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https://yadsaar-my.sharepoint.com/personal/e_jan_yadsa_com_ar/Documents/Escritorio/YAD_LOGISTICA/INFORME/"/>
    </mc:Choice>
  </mc:AlternateContent>
  <xr:revisionPtr revIDLastSave="2" documentId="13_ncr:1_{4BC06400-9175-49F3-8BAB-158D0F70E2BA}" xr6:coauthVersionLast="47" xr6:coauthVersionMax="47" xr10:uidLastSave="{5FF30679-38F4-49A1-B5BA-5B51783AEEA8}"/>
  <bookViews>
    <workbookView xWindow="-120" yWindow="-120" windowWidth="29040" windowHeight="15720" firstSheet="3" activeTab="8" xr2:uid="{00000000-000D-0000-FFFF-FFFF00000000}"/>
  </bookViews>
  <sheets>
    <sheet name="GASTOS" sheetId="1" r:id="rId1"/>
    <sheet name="VIAJES" sheetId="12" r:id="rId2"/>
    <sheet name="INGRESOS" sheetId="2" r:id="rId3"/>
    <sheet name="INGRESO X AREA" sheetId="3" r:id="rId4"/>
    <sheet name="CATEGORIZACION" sheetId="4" r:id="rId5"/>
    <sheet name="DATOS_DISTRIBUCION" sheetId="10" r:id="rId6"/>
    <sheet name="HOJA DE RUTA (3)" sheetId="14" r:id="rId7"/>
    <sheet name="VALORES VIAJES" sheetId="6" r:id="rId8"/>
    <sheet name="LOGISTICA COBRADA" sheetId="17" r:id="rId9"/>
    <sheet name="VALORES DIST" sheetId="15" r:id="rId10"/>
  </sheets>
  <definedNames>
    <definedName name="DatosExternos_1" localSheetId="6" hidden="1">'HOJA DE RUTA (3)'!$A$1:$R$508</definedName>
    <definedName name="DatosExternos_1" localSheetId="1" hidden="1">VIAJES!$A$1:$R$2001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2">
      <go:sheetsCustomData xmlns:go="http://customooxmlschemas.google.com/" r:id="rId11" roundtripDataChecksum="EjLTvH7XS6GTvjlA3yu3RKDEghY5Ac/ci1aseDc0Kpo="/>
    </ext>
  </extLst>
</workbook>
</file>

<file path=xl/calcChain.xml><?xml version="1.0" encoding="utf-8"?>
<calcChain xmlns="http://schemas.openxmlformats.org/spreadsheetml/2006/main">
  <c r="S2" i="12" l="1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S42" i="12"/>
  <c r="S43" i="12"/>
  <c r="S44" i="12"/>
  <c r="S45" i="12"/>
  <c r="S46" i="12"/>
  <c r="S47" i="12"/>
  <c r="S48" i="12"/>
  <c r="S49" i="12"/>
  <c r="S50" i="12"/>
  <c r="S51" i="12"/>
  <c r="S52" i="12"/>
  <c r="S53" i="12"/>
  <c r="S54" i="12"/>
  <c r="S55" i="12"/>
  <c r="S56" i="12"/>
  <c r="S57" i="12"/>
  <c r="S58" i="12"/>
  <c r="S59" i="12"/>
  <c r="S60" i="12"/>
  <c r="S61" i="12"/>
  <c r="S62" i="12"/>
  <c r="S63" i="12"/>
  <c r="S64" i="12"/>
  <c r="S65" i="12"/>
  <c r="S66" i="12"/>
  <c r="S67" i="12"/>
  <c r="S68" i="12"/>
  <c r="S69" i="12"/>
  <c r="S70" i="12"/>
  <c r="S71" i="12"/>
  <c r="S72" i="12"/>
  <c r="S73" i="12"/>
  <c r="S74" i="12"/>
  <c r="S75" i="12"/>
  <c r="S76" i="12"/>
  <c r="S77" i="12"/>
  <c r="S78" i="12"/>
  <c r="S79" i="12"/>
  <c r="S80" i="12"/>
  <c r="S81" i="12"/>
  <c r="S82" i="12"/>
  <c r="S83" i="12"/>
  <c r="S84" i="12"/>
  <c r="S85" i="12"/>
  <c r="S86" i="12"/>
  <c r="S87" i="12"/>
  <c r="S88" i="12"/>
  <c r="S89" i="12"/>
  <c r="S90" i="12"/>
  <c r="S91" i="12"/>
  <c r="S92" i="12"/>
  <c r="S93" i="12"/>
  <c r="S94" i="12"/>
  <c r="S95" i="12"/>
  <c r="S96" i="12"/>
  <c r="S97" i="12"/>
  <c r="S98" i="12"/>
  <c r="S99" i="12"/>
  <c r="S100" i="12"/>
  <c r="S101" i="12"/>
  <c r="S102" i="12"/>
  <c r="S103" i="12"/>
  <c r="S104" i="12"/>
  <c r="S105" i="12"/>
  <c r="S106" i="12"/>
  <c r="S107" i="12"/>
  <c r="S108" i="12"/>
  <c r="S109" i="12"/>
  <c r="S110" i="12"/>
  <c r="S111" i="12"/>
  <c r="S112" i="12"/>
  <c r="S113" i="12"/>
  <c r="S114" i="12"/>
  <c r="S115" i="12"/>
  <c r="S116" i="12"/>
  <c r="S117" i="12"/>
  <c r="S118" i="12"/>
  <c r="S119" i="12"/>
  <c r="S120" i="12"/>
  <c r="S121" i="12"/>
  <c r="S122" i="12"/>
  <c r="S123" i="12"/>
  <c r="S124" i="12"/>
  <c r="S125" i="12"/>
  <c r="S126" i="12"/>
  <c r="S127" i="12"/>
  <c r="S128" i="12"/>
  <c r="S129" i="12"/>
  <c r="S130" i="12"/>
  <c r="S131" i="12"/>
  <c r="S132" i="12"/>
  <c r="S133" i="12"/>
  <c r="S134" i="12"/>
  <c r="S135" i="12"/>
  <c r="S136" i="12"/>
  <c r="S137" i="12"/>
  <c r="S138" i="12"/>
  <c r="S139" i="12"/>
  <c r="S140" i="12"/>
  <c r="S141" i="12"/>
  <c r="S142" i="12"/>
  <c r="S143" i="12"/>
  <c r="S144" i="12"/>
  <c r="S145" i="12"/>
  <c r="S146" i="12"/>
  <c r="S147" i="12"/>
  <c r="S148" i="12"/>
  <c r="S149" i="12"/>
  <c r="S150" i="12"/>
  <c r="S151" i="12"/>
  <c r="S152" i="12"/>
  <c r="S153" i="12"/>
  <c r="S154" i="12"/>
  <c r="S155" i="12"/>
  <c r="S156" i="12"/>
  <c r="S157" i="12"/>
  <c r="S158" i="12"/>
  <c r="S159" i="12"/>
  <c r="S160" i="12"/>
  <c r="S161" i="12"/>
  <c r="S162" i="12"/>
  <c r="S163" i="12"/>
  <c r="S164" i="12"/>
  <c r="S165" i="12"/>
  <c r="S166" i="12"/>
  <c r="S167" i="12"/>
  <c r="S168" i="12"/>
  <c r="S169" i="12"/>
  <c r="S170" i="12"/>
  <c r="S171" i="12"/>
  <c r="S172" i="12"/>
  <c r="S173" i="12"/>
  <c r="S174" i="12"/>
  <c r="S175" i="12"/>
  <c r="S176" i="12"/>
  <c r="S177" i="12"/>
  <c r="S178" i="12"/>
  <c r="S179" i="12"/>
  <c r="S180" i="12"/>
  <c r="S181" i="12"/>
  <c r="S182" i="12"/>
  <c r="S183" i="12"/>
  <c r="S184" i="12"/>
  <c r="S185" i="12"/>
  <c r="S186" i="12"/>
  <c r="S187" i="12"/>
  <c r="S188" i="12"/>
  <c r="S189" i="12"/>
  <c r="S190" i="12"/>
  <c r="S191" i="12"/>
  <c r="S192" i="12"/>
  <c r="S193" i="12"/>
  <c r="S194" i="12"/>
  <c r="S195" i="12"/>
  <c r="S196" i="12"/>
  <c r="S197" i="12"/>
  <c r="S198" i="12"/>
  <c r="S199" i="12"/>
  <c r="S200" i="12"/>
  <c r="S201" i="12"/>
  <c r="S202" i="12"/>
  <c r="S203" i="12"/>
  <c r="S204" i="12"/>
  <c r="S205" i="12"/>
  <c r="S206" i="12"/>
  <c r="S207" i="12"/>
  <c r="S208" i="12"/>
  <c r="S209" i="12"/>
  <c r="S210" i="12"/>
  <c r="S211" i="12"/>
  <c r="S212" i="12"/>
  <c r="S213" i="12"/>
  <c r="S214" i="12"/>
  <c r="S215" i="12"/>
  <c r="S216" i="12"/>
  <c r="S217" i="12"/>
  <c r="S218" i="12"/>
  <c r="S219" i="12"/>
  <c r="S220" i="12"/>
  <c r="S221" i="12"/>
  <c r="S222" i="12"/>
  <c r="S223" i="12"/>
  <c r="S224" i="12"/>
  <c r="S225" i="12"/>
  <c r="S226" i="12"/>
  <c r="S227" i="12"/>
  <c r="S228" i="12"/>
  <c r="S229" i="12"/>
  <c r="S230" i="12"/>
  <c r="S231" i="12"/>
  <c r="S232" i="12"/>
  <c r="S233" i="12"/>
  <c r="S234" i="12"/>
  <c r="S235" i="12"/>
  <c r="S236" i="12"/>
  <c r="S237" i="12"/>
  <c r="S238" i="12"/>
  <c r="S239" i="12"/>
  <c r="S240" i="12"/>
  <c r="S241" i="12"/>
  <c r="S242" i="12"/>
  <c r="S243" i="12"/>
  <c r="S244" i="12"/>
  <c r="S245" i="12"/>
  <c r="S246" i="12"/>
  <c r="S247" i="12"/>
  <c r="S248" i="12"/>
  <c r="S249" i="12"/>
  <c r="S250" i="12"/>
  <c r="S251" i="12"/>
  <c r="S252" i="12"/>
  <c r="S253" i="12"/>
  <c r="S254" i="12"/>
  <c r="S255" i="12"/>
  <c r="S256" i="12"/>
  <c r="S257" i="12"/>
  <c r="S258" i="12"/>
  <c r="S259" i="12"/>
  <c r="S260" i="12"/>
  <c r="S261" i="12"/>
  <c r="S262" i="12"/>
  <c r="S263" i="12"/>
  <c r="S264" i="12"/>
  <c r="S265" i="12"/>
  <c r="S266" i="12"/>
  <c r="S267" i="12"/>
  <c r="S268" i="12"/>
  <c r="S269" i="12"/>
  <c r="S270" i="12"/>
  <c r="S271" i="12"/>
  <c r="S272" i="12"/>
  <c r="S273" i="12"/>
  <c r="S274" i="12"/>
  <c r="S275" i="12"/>
  <c r="S276" i="12"/>
  <c r="S277" i="12"/>
  <c r="S278" i="12"/>
  <c r="S279" i="12"/>
  <c r="S280" i="12"/>
  <c r="S281" i="12"/>
  <c r="S282" i="12"/>
  <c r="S283" i="12"/>
  <c r="S284" i="12"/>
  <c r="S285" i="12"/>
  <c r="S286" i="12"/>
  <c r="S287" i="12"/>
  <c r="S288" i="12"/>
  <c r="S289" i="12"/>
  <c r="S290" i="12"/>
  <c r="S291" i="12"/>
  <c r="S292" i="12"/>
  <c r="S293" i="12"/>
  <c r="S294" i="12"/>
  <c r="S295" i="12"/>
  <c r="S296" i="12"/>
  <c r="S297" i="12"/>
  <c r="S298" i="12"/>
  <c r="S299" i="12"/>
  <c r="S300" i="12"/>
  <c r="S301" i="12"/>
  <c r="S302" i="12"/>
  <c r="S303" i="12"/>
  <c r="S304" i="12"/>
  <c r="S305" i="12"/>
  <c r="S306" i="12"/>
  <c r="S307" i="12"/>
  <c r="S308" i="12"/>
  <c r="S309" i="12"/>
  <c r="S310" i="12"/>
  <c r="S311" i="12"/>
  <c r="S312" i="12"/>
  <c r="S313" i="12"/>
  <c r="S314" i="12"/>
  <c r="S315" i="12"/>
  <c r="S316" i="12"/>
  <c r="S317" i="12"/>
  <c r="S318" i="12"/>
  <c r="S319" i="12"/>
  <c r="S320" i="12"/>
  <c r="S321" i="12"/>
  <c r="S322" i="12"/>
  <c r="S323" i="12"/>
  <c r="S324" i="12"/>
  <c r="S325" i="12"/>
  <c r="S326" i="12"/>
  <c r="S327" i="12"/>
  <c r="S328" i="12"/>
  <c r="S329" i="12"/>
  <c r="S330" i="12"/>
  <c r="S331" i="12"/>
  <c r="S332" i="12"/>
  <c r="S333" i="12"/>
  <c r="S334" i="12"/>
  <c r="S335" i="12"/>
  <c r="S336" i="12"/>
  <c r="S337" i="12"/>
  <c r="S338" i="12"/>
  <c r="S339" i="12"/>
  <c r="S340" i="12"/>
  <c r="S341" i="12"/>
  <c r="S342" i="12"/>
  <c r="S343" i="12"/>
  <c r="S344" i="12"/>
  <c r="S345" i="12"/>
  <c r="S346" i="12"/>
  <c r="S347" i="12"/>
  <c r="S348" i="12"/>
  <c r="S349" i="12"/>
  <c r="S350" i="12"/>
  <c r="S351" i="12"/>
  <c r="S352" i="12"/>
  <c r="S353" i="12"/>
  <c r="S354" i="12"/>
  <c r="S355" i="12"/>
  <c r="S356" i="12"/>
  <c r="S357" i="12"/>
  <c r="S358" i="12"/>
  <c r="S359" i="12"/>
  <c r="S360" i="12"/>
  <c r="S361" i="12"/>
  <c r="S362" i="12"/>
  <c r="S363" i="12"/>
  <c r="S364" i="12"/>
  <c r="S365" i="12"/>
  <c r="S366" i="12"/>
  <c r="S367" i="12"/>
  <c r="S368" i="12"/>
  <c r="S369" i="12"/>
  <c r="S370" i="12"/>
  <c r="S371" i="12"/>
  <c r="S372" i="12"/>
  <c r="S373" i="12"/>
  <c r="S374" i="12"/>
  <c r="S375" i="12"/>
  <c r="S376" i="12"/>
  <c r="S377" i="12"/>
  <c r="S378" i="12"/>
  <c r="S379" i="12"/>
  <c r="S380" i="12"/>
  <c r="S381" i="12"/>
  <c r="S382" i="12"/>
  <c r="S383" i="12"/>
  <c r="S384" i="12"/>
  <c r="S385" i="12"/>
  <c r="S386" i="12"/>
  <c r="S387" i="12"/>
  <c r="S388" i="12"/>
  <c r="S389" i="12"/>
  <c r="S390" i="12"/>
  <c r="S391" i="12"/>
  <c r="S392" i="12"/>
  <c r="S393" i="12"/>
  <c r="S394" i="12"/>
  <c r="S395" i="12"/>
  <c r="S396" i="12"/>
  <c r="S397" i="12"/>
  <c r="S398" i="12"/>
  <c r="S399" i="12"/>
  <c r="S400" i="12"/>
  <c r="S401" i="12"/>
  <c r="S402" i="12"/>
  <c r="S403" i="12"/>
  <c r="S404" i="12"/>
  <c r="S405" i="12"/>
  <c r="S406" i="12"/>
  <c r="S407" i="12"/>
  <c r="S408" i="12"/>
  <c r="S409" i="12"/>
  <c r="S410" i="12"/>
  <c r="S411" i="12"/>
  <c r="S412" i="12"/>
  <c r="S413" i="12"/>
  <c r="S414" i="12"/>
  <c r="S415" i="12"/>
  <c r="S416" i="12"/>
  <c r="S417" i="12"/>
  <c r="S418" i="12"/>
  <c r="S419" i="12"/>
  <c r="S420" i="12"/>
  <c r="S421" i="12"/>
  <c r="S422" i="12"/>
  <c r="S423" i="12"/>
  <c r="S424" i="12"/>
  <c r="S425" i="12"/>
  <c r="S426" i="12"/>
  <c r="S427" i="12"/>
  <c r="S428" i="12"/>
  <c r="S429" i="12"/>
  <c r="S430" i="12"/>
  <c r="S431" i="12"/>
  <c r="S432" i="12"/>
  <c r="S433" i="12"/>
  <c r="S434" i="12"/>
  <c r="S435" i="12"/>
  <c r="S436" i="12"/>
  <c r="S437" i="12"/>
  <c r="S438" i="12"/>
  <c r="S439" i="12"/>
  <c r="S440" i="12"/>
  <c r="S441" i="12"/>
  <c r="S442" i="12"/>
  <c r="S443" i="12"/>
  <c r="S444" i="12"/>
  <c r="S445" i="12"/>
  <c r="S446" i="12"/>
  <c r="S447" i="12"/>
  <c r="S448" i="12"/>
  <c r="S449" i="12"/>
  <c r="S450" i="12"/>
  <c r="S451" i="12"/>
  <c r="S452" i="12"/>
  <c r="S453" i="12"/>
  <c r="S454" i="12"/>
  <c r="S455" i="12"/>
  <c r="S456" i="12"/>
  <c r="S457" i="12"/>
  <c r="S458" i="12"/>
  <c r="S459" i="12"/>
  <c r="S460" i="12"/>
  <c r="S461" i="12"/>
  <c r="S462" i="12"/>
  <c r="S463" i="12"/>
  <c r="S464" i="12"/>
  <c r="S465" i="12"/>
  <c r="S466" i="12"/>
  <c r="S467" i="12"/>
  <c r="S468" i="12"/>
  <c r="S469" i="12"/>
  <c r="S470" i="12"/>
  <c r="S471" i="12"/>
  <c r="S472" i="12"/>
  <c r="S473" i="12"/>
  <c r="S474" i="12"/>
  <c r="S475" i="12"/>
  <c r="S476" i="12"/>
  <c r="S477" i="12"/>
  <c r="S478" i="12"/>
  <c r="S479" i="12"/>
  <c r="S480" i="12"/>
  <c r="S481" i="12"/>
  <c r="S482" i="12"/>
  <c r="S483" i="12"/>
  <c r="S484" i="12"/>
  <c r="S485" i="12"/>
  <c r="S486" i="12"/>
  <c r="S487" i="12"/>
  <c r="S488" i="12"/>
  <c r="S489" i="12"/>
  <c r="S490" i="12"/>
  <c r="S491" i="12"/>
  <c r="S492" i="12"/>
  <c r="S493" i="12"/>
  <c r="S494" i="12"/>
  <c r="S495" i="12"/>
  <c r="S496" i="12"/>
  <c r="S497" i="12"/>
  <c r="S498" i="12"/>
  <c r="S499" i="12"/>
  <c r="S500" i="12"/>
  <c r="S501" i="12"/>
  <c r="S502" i="12"/>
  <c r="S503" i="12"/>
  <c r="S504" i="12"/>
  <c r="S505" i="12"/>
  <c r="S506" i="12"/>
  <c r="S507" i="12"/>
  <c r="S508" i="12"/>
  <c r="S509" i="12"/>
  <c r="S510" i="12"/>
  <c r="S511" i="12"/>
  <c r="S512" i="12"/>
  <c r="S513" i="12"/>
  <c r="S514" i="12"/>
  <c r="S515" i="12"/>
  <c r="S516" i="12"/>
  <c r="S517" i="12"/>
  <c r="S518" i="12"/>
  <c r="S519" i="12"/>
  <c r="S520" i="12"/>
  <c r="S521" i="12"/>
  <c r="S522" i="12"/>
  <c r="S523" i="12"/>
  <c r="S524" i="12"/>
  <c r="S525" i="12"/>
  <c r="S526" i="12"/>
  <c r="S527" i="12"/>
  <c r="S528" i="12"/>
  <c r="S529" i="12"/>
  <c r="S530" i="12"/>
  <c r="S531" i="12"/>
  <c r="S532" i="12"/>
  <c r="S533" i="12"/>
  <c r="S534" i="12"/>
  <c r="S535" i="12"/>
  <c r="S536" i="12"/>
  <c r="S537" i="12"/>
  <c r="S538" i="12"/>
  <c r="S539" i="12"/>
  <c r="S540" i="12"/>
  <c r="S541" i="12"/>
  <c r="S542" i="12"/>
  <c r="S543" i="12"/>
  <c r="S544" i="12"/>
  <c r="S545" i="12"/>
  <c r="S546" i="12"/>
  <c r="S547" i="12"/>
  <c r="S548" i="12"/>
  <c r="S549" i="12"/>
  <c r="S550" i="12"/>
  <c r="S551" i="12"/>
  <c r="S552" i="12"/>
  <c r="S553" i="12"/>
  <c r="S554" i="12"/>
  <c r="S555" i="12"/>
  <c r="S556" i="12"/>
  <c r="S557" i="12"/>
  <c r="S558" i="12"/>
  <c r="S559" i="12"/>
  <c r="S560" i="12"/>
  <c r="S561" i="12"/>
  <c r="S562" i="12"/>
  <c r="S563" i="12"/>
  <c r="S564" i="12"/>
  <c r="S565" i="12"/>
  <c r="S566" i="12"/>
  <c r="S567" i="12"/>
  <c r="S568" i="12"/>
  <c r="S569" i="12"/>
  <c r="S570" i="12"/>
  <c r="S571" i="12"/>
  <c r="S572" i="12"/>
  <c r="S573" i="12"/>
  <c r="S574" i="12"/>
  <c r="S575" i="12"/>
  <c r="S576" i="12"/>
  <c r="S577" i="12"/>
  <c r="S578" i="12"/>
  <c r="S579" i="12"/>
  <c r="S580" i="12"/>
  <c r="S581" i="12"/>
  <c r="S582" i="12"/>
  <c r="S583" i="12"/>
  <c r="S584" i="12"/>
  <c r="S585" i="12"/>
  <c r="S586" i="12"/>
  <c r="S587" i="12"/>
  <c r="S588" i="12"/>
  <c r="S589" i="12"/>
  <c r="S590" i="12"/>
  <c r="S591" i="12"/>
  <c r="S592" i="12"/>
  <c r="S593" i="12"/>
  <c r="S594" i="12"/>
  <c r="S595" i="12"/>
  <c r="S596" i="12"/>
  <c r="S597" i="12"/>
  <c r="S598" i="12"/>
  <c r="S599" i="12"/>
  <c r="S600" i="12"/>
  <c r="S601" i="12"/>
  <c r="S602" i="12"/>
  <c r="S603" i="12"/>
  <c r="S604" i="12"/>
  <c r="S605" i="12"/>
  <c r="S606" i="12"/>
  <c r="S607" i="12"/>
  <c r="S608" i="12"/>
  <c r="S609" i="12"/>
  <c r="S610" i="12"/>
  <c r="S611" i="12"/>
  <c r="S612" i="12"/>
  <c r="S613" i="12"/>
  <c r="S614" i="12"/>
  <c r="S615" i="12"/>
  <c r="S616" i="12"/>
  <c r="S617" i="12"/>
  <c r="S618" i="12"/>
  <c r="S619" i="12"/>
  <c r="S620" i="12"/>
  <c r="S621" i="12"/>
  <c r="S622" i="12"/>
  <c r="S623" i="12"/>
  <c r="S624" i="12"/>
  <c r="S625" i="12"/>
  <c r="S626" i="12"/>
  <c r="S627" i="12"/>
  <c r="S628" i="12"/>
  <c r="S629" i="12"/>
  <c r="S630" i="12"/>
  <c r="S631" i="12"/>
  <c r="S632" i="12"/>
  <c r="S633" i="12"/>
  <c r="S634" i="12"/>
  <c r="S635" i="12"/>
  <c r="S636" i="12"/>
  <c r="S637" i="12"/>
  <c r="S638" i="12"/>
  <c r="S639" i="12"/>
  <c r="S640" i="12"/>
  <c r="S641" i="12"/>
  <c r="S642" i="12"/>
  <c r="S643" i="12"/>
  <c r="S644" i="12"/>
  <c r="S645" i="12"/>
  <c r="S646" i="12"/>
  <c r="S647" i="12"/>
  <c r="S648" i="12"/>
  <c r="S649" i="12"/>
  <c r="S650" i="12"/>
  <c r="S651" i="12"/>
  <c r="S652" i="12"/>
  <c r="S653" i="12"/>
  <c r="S654" i="12"/>
  <c r="S655" i="12"/>
  <c r="S656" i="12"/>
  <c r="S657" i="12"/>
  <c r="S658" i="12"/>
  <c r="S659" i="12"/>
  <c r="S660" i="12"/>
  <c r="S661" i="12"/>
  <c r="S662" i="12"/>
  <c r="S663" i="12"/>
  <c r="S664" i="12"/>
  <c r="S665" i="12"/>
  <c r="S666" i="12"/>
  <c r="S667" i="12"/>
  <c r="S668" i="12"/>
  <c r="S669" i="12"/>
  <c r="S670" i="12"/>
  <c r="S671" i="12"/>
  <c r="S672" i="12"/>
  <c r="S673" i="12"/>
  <c r="S674" i="12"/>
  <c r="S675" i="12"/>
  <c r="S676" i="12"/>
  <c r="S677" i="12"/>
  <c r="S678" i="12"/>
  <c r="S679" i="12"/>
  <c r="S680" i="12"/>
  <c r="S681" i="12"/>
  <c r="S682" i="12"/>
  <c r="S683" i="12"/>
  <c r="S684" i="12"/>
  <c r="S685" i="12"/>
  <c r="S686" i="12"/>
  <c r="S687" i="12"/>
  <c r="S688" i="12"/>
  <c r="S689" i="12"/>
  <c r="S690" i="12"/>
  <c r="S691" i="12"/>
  <c r="S692" i="12"/>
  <c r="S693" i="12"/>
  <c r="S694" i="12"/>
  <c r="S695" i="12"/>
  <c r="S696" i="12"/>
  <c r="S697" i="12"/>
  <c r="S698" i="12"/>
  <c r="S699" i="12"/>
  <c r="S700" i="12"/>
  <c r="S701" i="12"/>
  <c r="S702" i="12"/>
  <c r="S703" i="12"/>
  <c r="S704" i="12"/>
  <c r="S705" i="12"/>
  <c r="S706" i="12"/>
  <c r="S707" i="12"/>
  <c r="S708" i="12"/>
  <c r="S709" i="12"/>
  <c r="S710" i="12"/>
  <c r="S711" i="12"/>
  <c r="S712" i="12"/>
  <c r="S713" i="12"/>
  <c r="S714" i="12"/>
  <c r="S715" i="12"/>
  <c r="S716" i="12"/>
  <c r="S717" i="12"/>
  <c r="S718" i="12"/>
  <c r="S719" i="12"/>
  <c r="S720" i="12"/>
  <c r="S721" i="12"/>
  <c r="S722" i="12"/>
  <c r="S723" i="12"/>
  <c r="S724" i="12"/>
  <c r="S725" i="12"/>
  <c r="S726" i="12"/>
  <c r="S727" i="12"/>
  <c r="S728" i="12"/>
  <c r="S729" i="12"/>
  <c r="S730" i="12"/>
  <c r="S731" i="12"/>
  <c r="S732" i="12"/>
  <c r="S733" i="12"/>
  <c r="S734" i="12"/>
  <c r="S735" i="12"/>
  <c r="S736" i="12"/>
  <c r="S737" i="12"/>
  <c r="S738" i="12"/>
  <c r="S739" i="12"/>
  <c r="S740" i="12"/>
  <c r="S741" i="12"/>
  <c r="S742" i="12"/>
  <c r="S743" i="12"/>
  <c r="S744" i="12"/>
  <c r="S745" i="12"/>
  <c r="S746" i="12"/>
  <c r="S747" i="12"/>
  <c r="S748" i="12"/>
  <c r="S749" i="12"/>
  <c r="S750" i="12"/>
  <c r="S751" i="12"/>
  <c r="S752" i="12"/>
  <c r="S753" i="12"/>
  <c r="S754" i="12"/>
  <c r="S755" i="12"/>
  <c r="S756" i="12"/>
  <c r="S757" i="12"/>
  <c r="S758" i="12"/>
  <c r="S759" i="12"/>
  <c r="S760" i="12"/>
  <c r="S761" i="12"/>
  <c r="S762" i="12"/>
  <c r="S763" i="12"/>
  <c r="S764" i="12"/>
  <c r="S765" i="12"/>
  <c r="S766" i="12"/>
  <c r="S767" i="12"/>
  <c r="S768" i="12"/>
  <c r="S769" i="12"/>
  <c r="S770" i="12"/>
  <c r="S771" i="12"/>
  <c r="S772" i="12"/>
  <c r="S773" i="12"/>
  <c r="S774" i="12"/>
  <c r="S775" i="12"/>
  <c r="S776" i="12"/>
  <c r="S777" i="12"/>
  <c r="S778" i="12"/>
  <c r="S779" i="12"/>
  <c r="S780" i="12"/>
  <c r="S781" i="12"/>
  <c r="S782" i="12"/>
  <c r="S783" i="12"/>
  <c r="S784" i="12"/>
  <c r="S785" i="12"/>
  <c r="S786" i="12"/>
  <c r="S787" i="12"/>
  <c r="S788" i="12"/>
  <c r="S789" i="12"/>
  <c r="S790" i="12"/>
  <c r="S791" i="12"/>
  <c r="S792" i="12"/>
  <c r="S793" i="12"/>
  <c r="S794" i="12"/>
  <c r="S795" i="12"/>
  <c r="S796" i="12"/>
  <c r="S797" i="12"/>
  <c r="S798" i="12"/>
  <c r="S799" i="12"/>
  <c r="S800" i="12"/>
  <c r="S801" i="12"/>
  <c r="S802" i="12"/>
  <c r="S803" i="12"/>
  <c r="S804" i="12"/>
  <c r="S805" i="12"/>
  <c r="S806" i="12"/>
  <c r="S807" i="12"/>
  <c r="S808" i="12"/>
  <c r="S809" i="12"/>
  <c r="S810" i="12"/>
  <c r="S811" i="12"/>
  <c r="S812" i="12"/>
  <c r="S813" i="12"/>
  <c r="S814" i="12"/>
  <c r="S815" i="12"/>
  <c r="S816" i="12"/>
  <c r="S817" i="12"/>
  <c r="S818" i="12"/>
  <c r="S819" i="12"/>
  <c r="S820" i="12"/>
  <c r="S821" i="12"/>
  <c r="S822" i="12"/>
  <c r="S823" i="12"/>
  <c r="S824" i="12"/>
  <c r="S825" i="12"/>
  <c r="S826" i="12"/>
  <c r="S827" i="12"/>
  <c r="S828" i="12"/>
  <c r="S829" i="12"/>
  <c r="S830" i="12"/>
  <c r="S831" i="12"/>
  <c r="S832" i="12"/>
  <c r="S833" i="12"/>
  <c r="S834" i="12"/>
  <c r="S835" i="12"/>
  <c r="S836" i="12"/>
  <c r="S837" i="12"/>
  <c r="S838" i="12"/>
  <c r="S839" i="12"/>
  <c r="S840" i="12"/>
  <c r="S841" i="12"/>
  <c r="S842" i="12"/>
  <c r="S843" i="12"/>
  <c r="S844" i="12"/>
  <c r="S845" i="12"/>
  <c r="S846" i="12"/>
  <c r="S847" i="12"/>
  <c r="S848" i="12"/>
  <c r="S849" i="12"/>
  <c r="S850" i="12"/>
  <c r="S851" i="12"/>
  <c r="S852" i="12"/>
  <c r="S853" i="12"/>
  <c r="S854" i="12"/>
  <c r="S855" i="12"/>
  <c r="S856" i="12"/>
  <c r="S857" i="12"/>
  <c r="S858" i="12"/>
  <c r="S859" i="12"/>
  <c r="S860" i="12"/>
  <c r="S861" i="12"/>
  <c r="S862" i="12"/>
  <c r="S863" i="12"/>
  <c r="S864" i="12"/>
  <c r="S865" i="12"/>
  <c r="S866" i="12"/>
  <c r="S867" i="12"/>
  <c r="S868" i="12"/>
  <c r="S869" i="12"/>
  <c r="S870" i="12"/>
  <c r="S871" i="12"/>
  <c r="S872" i="12"/>
  <c r="S873" i="12"/>
  <c r="S874" i="12"/>
  <c r="S875" i="12"/>
  <c r="S876" i="12"/>
  <c r="S877" i="12"/>
  <c r="S878" i="12"/>
  <c r="S879" i="12"/>
  <c r="S880" i="12"/>
  <c r="S881" i="12"/>
  <c r="S882" i="12"/>
  <c r="S883" i="12"/>
  <c r="S884" i="12"/>
  <c r="S885" i="12"/>
  <c r="S886" i="12"/>
  <c r="S887" i="12"/>
  <c r="S888" i="12"/>
  <c r="S889" i="12"/>
  <c r="S890" i="12"/>
  <c r="S891" i="12"/>
  <c r="S892" i="12"/>
  <c r="S893" i="12"/>
  <c r="S894" i="12"/>
  <c r="S895" i="12"/>
  <c r="S896" i="12"/>
  <c r="S897" i="12"/>
  <c r="S898" i="12"/>
  <c r="S899" i="12"/>
  <c r="S900" i="12"/>
  <c r="S901" i="12"/>
  <c r="S902" i="12"/>
  <c r="S903" i="12"/>
  <c r="S904" i="12"/>
  <c r="S905" i="12"/>
  <c r="S906" i="12"/>
  <c r="S907" i="12"/>
  <c r="S908" i="12"/>
  <c r="S909" i="12"/>
  <c r="S910" i="12"/>
  <c r="S911" i="12"/>
  <c r="S912" i="12"/>
  <c r="S913" i="12"/>
  <c r="S914" i="12"/>
  <c r="S915" i="12"/>
  <c r="S916" i="12"/>
  <c r="S917" i="12"/>
  <c r="S918" i="12"/>
  <c r="S919" i="12"/>
  <c r="S920" i="12"/>
  <c r="S921" i="12"/>
  <c r="S922" i="12"/>
  <c r="S923" i="12"/>
  <c r="S924" i="12"/>
  <c r="S925" i="12"/>
  <c r="S926" i="12"/>
  <c r="S927" i="12"/>
  <c r="S928" i="12"/>
  <c r="S929" i="12"/>
  <c r="S930" i="12"/>
  <c r="S931" i="12"/>
  <c r="S932" i="12"/>
  <c r="S933" i="12"/>
  <c r="S934" i="12"/>
  <c r="S935" i="12"/>
  <c r="S936" i="12"/>
  <c r="S937" i="12"/>
  <c r="S938" i="12"/>
  <c r="S939" i="12"/>
  <c r="S940" i="12"/>
  <c r="S941" i="12"/>
  <c r="S942" i="12"/>
  <c r="S943" i="12"/>
  <c r="S944" i="12"/>
  <c r="S945" i="12"/>
  <c r="S946" i="12"/>
  <c r="S947" i="12"/>
  <c r="S948" i="12"/>
  <c r="S949" i="12"/>
  <c r="S950" i="12"/>
  <c r="S951" i="12"/>
  <c r="S952" i="12"/>
  <c r="S953" i="12"/>
  <c r="S954" i="12"/>
  <c r="S955" i="12"/>
  <c r="S956" i="12"/>
  <c r="S957" i="12"/>
  <c r="S958" i="12"/>
  <c r="S959" i="12"/>
  <c r="S960" i="12"/>
  <c r="S961" i="12"/>
  <c r="S962" i="12"/>
  <c r="S963" i="12"/>
  <c r="S964" i="12"/>
  <c r="S965" i="12"/>
  <c r="S966" i="12"/>
  <c r="S967" i="12"/>
  <c r="S968" i="12"/>
  <c r="S969" i="12"/>
  <c r="S970" i="12"/>
  <c r="S971" i="12"/>
  <c r="S972" i="12"/>
  <c r="S973" i="12"/>
  <c r="S974" i="12"/>
  <c r="S975" i="12"/>
  <c r="S976" i="12"/>
  <c r="S977" i="12"/>
  <c r="S978" i="12"/>
  <c r="S979" i="12"/>
  <c r="S980" i="12"/>
  <c r="S981" i="12"/>
  <c r="S982" i="12"/>
  <c r="S983" i="12"/>
  <c r="S984" i="12"/>
  <c r="S985" i="12"/>
  <c r="S986" i="12"/>
  <c r="S987" i="12"/>
  <c r="S988" i="12"/>
  <c r="S989" i="12"/>
  <c r="S990" i="12"/>
  <c r="S991" i="12"/>
  <c r="S992" i="12"/>
  <c r="S993" i="12"/>
  <c r="S994" i="12"/>
  <c r="S995" i="12"/>
  <c r="S996" i="12"/>
  <c r="S997" i="12"/>
  <c r="S998" i="12"/>
  <c r="S999" i="12"/>
  <c r="S1000" i="12"/>
  <c r="S1001" i="12"/>
  <c r="S1002" i="12"/>
  <c r="S1003" i="12"/>
  <c r="S1004" i="12"/>
  <c r="S1005" i="12"/>
  <c r="S1006" i="12"/>
  <c r="S1007" i="12"/>
  <c r="S1008" i="12"/>
  <c r="S1009" i="12"/>
  <c r="S1010" i="12"/>
  <c r="S1011" i="12"/>
  <c r="S1012" i="12"/>
  <c r="S1013" i="12"/>
  <c r="S1014" i="12"/>
  <c r="S1015" i="12"/>
  <c r="S1016" i="12"/>
  <c r="S1017" i="12"/>
  <c r="S1018" i="12"/>
  <c r="S1019" i="12"/>
  <c r="S1020" i="12"/>
  <c r="S1021" i="12"/>
  <c r="S1022" i="12"/>
  <c r="S1023" i="12"/>
  <c r="S1024" i="12"/>
  <c r="S1025" i="12"/>
  <c r="S1026" i="12"/>
  <c r="S1027" i="12"/>
  <c r="S1028" i="12"/>
  <c r="S1029" i="12"/>
  <c r="S1030" i="12"/>
  <c r="S1031" i="12"/>
  <c r="S1032" i="12"/>
  <c r="S1033" i="12"/>
  <c r="S1034" i="12"/>
  <c r="S1035" i="12"/>
  <c r="S1036" i="12"/>
  <c r="S1037" i="12"/>
  <c r="S1038" i="12"/>
  <c r="S1039" i="12"/>
  <c r="S1040" i="12"/>
  <c r="S1041" i="12"/>
  <c r="S1042" i="12"/>
  <c r="S1043" i="12"/>
  <c r="S1044" i="12"/>
  <c r="S1045" i="12"/>
  <c r="S1046" i="12"/>
  <c r="S1047" i="12"/>
  <c r="S1048" i="12"/>
  <c r="S1049" i="12"/>
  <c r="S1050" i="12"/>
  <c r="S1051" i="12"/>
  <c r="S1052" i="12"/>
  <c r="S1053" i="12"/>
  <c r="S1054" i="12"/>
  <c r="S1055" i="12"/>
  <c r="S1056" i="12"/>
  <c r="S1057" i="12"/>
  <c r="S1058" i="12"/>
  <c r="S1059" i="12"/>
  <c r="S1060" i="12"/>
  <c r="S1061" i="12"/>
  <c r="S1062" i="12"/>
  <c r="S1063" i="12"/>
  <c r="S1064" i="12"/>
  <c r="S1065" i="12"/>
  <c r="S1066" i="12"/>
  <c r="S1067" i="12"/>
  <c r="S1068" i="12"/>
  <c r="S1069" i="12"/>
  <c r="S1070" i="12"/>
  <c r="S1071" i="12"/>
  <c r="S1072" i="12"/>
  <c r="S1073" i="12"/>
  <c r="S1074" i="12"/>
  <c r="S1075" i="12"/>
  <c r="S1076" i="12"/>
  <c r="S1077" i="12"/>
  <c r="S1078" i="12"/>
  <c r="S1079" i="12"/>
  <c r="S1080" i="12"/>
  <c r="S1081" i="12"/>
  <c r="S1082" i="12"/>
  <c r="S1083" i="12"/>
  <c r="S1084" i="12"/>
  <c r="S1085" i="12"/>
  <c r="S1086" i="12"/>
  <c r="S1087" i="12"/>
  <c r="S1088" i="12"/>
  <c r="S1089" i="12"/>
  <c r="S1090" i="12"/>
  <c r="S1091" i="12"/>
  <c r="S1092" i="12"/>
  <c r="S1093" i="12"/>
  <c r="S1094" i="12"/>
  <c r="S1095" i="12"/>
  <c r="S1096" i="12"/>
  <c r="S1097" i="12"/>
  <c r="S1098" i="12"/>
  <c r="S1099" i="12"/>
  <c r="S1100" i="12"/>
  <c r="S1101" i="12"/>
  <c r="S1102" i="12"/>
  <c r="S1103" i="12"/>
  <c r="S1104" i="12"/>
  <c r="S1105" i="12"/>
  <c r="S1106" i="12"/>
  <c r="S1107" i="12"/>
  <c r="S1108" i="12"/>
  <c r="S1109" i="12"/>
  <c r="S1110" i="12"/>
  <c r="S1111" i="12"/>
  <c r="S1112" i="12"/>
  <c r="S1113" i="12"/>
  <c r="S1114" i="12"/>
  <c r="S1115" i="12"/>
  <c r="S1116" i="12"/>
  <c r="S1117" i="12"/>
  <c r="S1118" i="12"/>
  <c r="S1119" i="12"/>
  <c r="S1120" i="12"/>
  <c r="S1121" i="12"/>
  <c r="S1122" i="12"/>
  <c r="S1123" i="12"/>
  <c r="S1124" i="12"/>
  <c r="S1125" i="12"/>
  <c r="S1126" i="12"/>
  <c r="S1127" i="12"/>
  <c r="S1128" i="12"/>
  <c r="S1129" i="12"/>
  <c r="S1130" i="12"/>
  <c r="S1131" i="12"/>
  <c r="S1132" i="12"/>
  <c r="S1133" i="12"/>
  <c r="S1134" i="12"/>
  <c r="S1135" i="12"/>
  <c r="S1136" i="12"/>
  <c r="S1137" i="12"/>
  <c r="S1138" i="12"/>
  <c r="S1139" i="12"/>
  <c r="S1140" i="12"/>
  <c r="S1141" i="12"/>
  <c r="S1142" i="12"/>
  <c r="S1143" i="12"/>
  <c r="S1144" i="12"/>
  <c r="S1145" i="12"/>
  <c r="S1146" i="12"/>
  <c r="S1147" i="12"/>
  <c r="S1148" i="12"/>
  <c r="S1149" i="12"/>
  <c r="S1150" i="12"/>
  <c r="S1151" i="12"/>
  <c r="S1152" i="12"/>
  <c r="S1153" i="12"/>
  <c r="S1154" i="12"/>
  <c r="S1155" i="12"/>
  <c r="S1156" i="12"/>
  <c r="S1157" i="12"/>
  <c r="S1158" i="12"/>
  <c r="S1159" i="12"/>
  <c r="S1160" i="12"/>
  <c r="S1161" i="12"/>
  <c r="S1162" i="12"/>
  <c r="S1163" i="12"/>
  <c r="S1164" i="12"/>
  <c r="S1165" i="12"/>
  <c r="S1166" i="12"/>
  <c r="S1167" i="12"/>
  <c r="S1168" i="12"/>
  <c r="S1169" i="12"/>
  <c r="S1170" i="12"/>
  <c r="S1171" i="12"/>
  <c r="S1172" i="12"/>
  <c r="S1173" i="12"/>
  <c r="S1174" i="12"/>
  <c r="S1175" i="12"/>
  <c r="S1176" i="12"/>
  <c r="S1177" i="12"/>
  <c r="S1178" i="12"/>
  <c r="S1179" i="12"/>
  <c r="S1180" i="12"/>
  <c r="S1181" i="12"/>
  <c r="S1182" i="12"/>
  <c r="S1183" i="12"/>
  <c r="S1184" i="12"/>
  <c r="S1185" i="12"/>
  <c r="S1186" i="12"/>
  <c r="S1187" i="12"/>
  <c r="S1188" i="12"/>
  <c r="S1189" i="12"/>
  <c r="S1190" i="12"/>
  <c r="S1191" i="12"/>
  <c r="S1192" i="12"/>
  <c r="S1193" i="12"/>
  <c r="S1194" i="12"/>
  <c r="S1195" i="12"/>
  <c r="S1196" i="12"/>
  <c r="S1197" i="12"/>
  <c r="S1198" i="12"/>
  <c r="S1199" i="12"/>
  <c r="S1200" i="12"/>
  <c r="S1201" i="12"/>
  <c r="X1201" i="12" s="1"/>
  <c r="S1202" i="12"/>
  <c r="S1203" i="12"/>
  <c r="S1204" i="12"/>
  <c r="S1205" i="12"/>
  <c r="S1206" i="12"/>
  <c r="S1207" i="12"/>
  <c r="S1208" i="12"/>
  <c r="S1209" i="12"/>
  <c r="S1210" i="12"/>
  <c r="S1211" i="12"/>
  <c r="S1212" i="12"/>
  <c r="S1213" i="12"/>
  <c r="S1214" i="12"/>
  <c r="S1215" i="12"/>
  <c r="S1216" i="12"/>
  <c r="S1217" i="12"/>
  <c r="S1218" i="12"/>
  <c r="S1219" i="12"/>
  <c r="S1220" i="12"/>
  <c r="S1221" i="12"/>
  <c r="S1222" i="12"/>
  <c r="S1223" i="12"/>
  <c r="S1224" i="12"/>
  <c r="S1225" i="12"/>
  <c r="S1226" i="12"/>
  <c r="S1227" i="12"/>
  <c r="S1228" i="12"/>
  <c r="S1229" i="12"/>
  <c r="S1230" i="12"/>
  <c r="S1231" i="12"/>
  <c r="S1232" i="12"/>
  <c r="S1233" i="12"/>
  <c r="S1234" i="12"/>
  <c r="S1235" i="12"/>
  <c r="S1236" i="12"/>
  <c r="S1237" i="12"/>
  <c r="S1238" i="12"/>
  <c r="S1239" i="12"/>
  <c r="S1240" i="12"/>
  <c r="S1241" i="12"/>
  <c r="S1242" i="12"/>
  <c r="S1243" i="12"/>
  <c r="S1244" i="12"/>
  <c r="S1245" i="12"/>
  <c r="S1246" i="12"/>
  <c r="S1247" i="12"/>
  <c r="S1248" i="12"/>
  <c r="S1249" i="12"/>
  <c r="S1250" i="12"/>
  <c r="S1251" i="12"/>
  <c r="S1252" i="12"/>
  <c r="S1253" i="12"/>
  <c r="S1254" i="12"/>
  <c r="S1255" i="12"/>
  <c r="S1256" i="12"/>
  <c r="S1257" i="12"/>
  <c r="S1258" i="12"/>
  <c r="S1259" i="12"/>
  <c r="S1260" i="12"/>
  <c r="S1261" i="12"/>
  <c r="S1262" i="12"/>
  <c r="S1263" i="12"/>
  <c r="S1264" i="12"/>
  <c r="S1265" i="12"/>
  <c r="S1266" i="12"/>
  <c r="S1267" i="12"/>
  <c r="S1268" i="12"/>
  <c r="S1269" i="12"/>
  <c r="S1270" i="12"/>
  <c r="S1271" i="12"/>
  <c r="S1272" i="12"/>
  <c r="S1273" i="12"/>
  <c r="S1274" i="12"/>
  <c r="S1275" i="12"/>
  <c r="S1276" i="12"/>
  <c r="S1277" i="12"/>
  <c r="S1278" i="12"/>
  <c r="S1279" i="12"/>
  <c r="S1280" i="12"/>
  <c r="S1281" i="12"/>
  <c r="S1282" i="12"/>
  <c r="S1283" i="12"/>
  <c r="S1284" i="12"/>
  <c r="S1285" i="12"/>
  <c r="S1286" i="12"/>
  <c r="S1287" i="12"/>
  <c r="S1288" i="12"/>
  <c r="S1289" i="12"/>
  <c r="S1290" i="12"/>
  <c r="S1291" i="12"/>
  <c r="S1292" i="12"/>
  <c r="S1293" i="12"/>
  <c r="S1294" i="12"/>
  <c r="S1295" i="12"/>
  <c r="S1296" i="12"/>
  <c r="S1297" i="12"/>
  <c r="S1298" i="12"/>
  <c r="S1299" i="12"/>
  <c r="S1300" i="12"/>
  <c r="S1301" i="12"/>
  <c r="S1302" i="12"/>
  <c r="S1303" i="12"/>
  <c r="S1304" i="12"/>
  <c r="S1305" i="12"/>
  <c r="S1306" i="12"/>
  <c r="S1307" i="12"/>
  <c r="S1308" i="12"/>
  <c r="S1309" i="12"/>
  <c r="S1310" i="12"/>
  <c r="S1311" i="12"/>
  <c r="S1312" i="12"/>
  <c r="S1313" i="12"/>
  <c r="S1314" i="12"/>
  <c r="S1315" i="12"/>
  <c r="S1316" i="12"/>
  <c r="S1317" i="12"/>
  <c r="S1318" i="12"/>
  <c r="S1319" i="12"/>
  <c r="S1320" i="12"/>
  <c r="S1321" i="12"/>
  <c r="S1322" i="12"/>
  <c r="S1323" i="12"/>
  <c r="S1324" i="12"/>
  <c r="S1325" i="12"/>
  <c r="S1326" i="12"/>
  <c r="S1327" i="12"/>
  <c r="S1328" i="12"/>
  <c r="S1329" i="12"/>
  <c r="S1330" i="12"/>
  <c r="S1331" i="12"/>
  <c r="S1332" i="12"/>
  <c r="S1333" i="12"/>
  <c r="S1334" i="12"/>
  <c r="S1335" i="12"/>
  <c r="S1336" i="12"/>
  <c r="S1337" i="12"/>
  <c r="S1338" i="12"/>
  <c r="S1339" i="12"/>
  <c r="S1340" i="12"/>
  <c r="S1341" i="12"/>
  <c r="S1342" i="12"/>
  <c r="S1343" i="12"/>
  <c r="S1344" i="12"/>
  <c r="S1345" i="12"/>
  <c r="S1346" i="12"/>
  <c r="S1347" i="12"/>
  <c r="S1348" i="12"/>
  <c r="S1349" i="12"/>
  <c r="S1350" i="12"/>
  <c r="S1351" i="12"/>
  <c r="S1352" i="12"/>
  <c r="S1353" i="12"/>
  <c r="S1354" i="12"/>
  <c r="S1355" i="12"/>
  <c r="S1356" i="12"/>
  <c r="S1357" i="12"/>
  <c r="S1358" i="12"/>
  <c r="S1359" i="12"/>
  <c r="S1360" i="12"/>
  <c r="S1361" i="12"/>
  <c r="S1362" i="12"/>
  <c r="S1363" i="12"/>
  <c r="S1364" i="12"/>
  <c r="S1365" i="12"/>
  <c r="S1366" i="12"/>
  <c r="S1367" i="12"/>
  <c r="S1368" i="12"/>
  <c r="S1369" i="12"/>
  <c r="S1370" i="12"/>
  <c r="S1371" i="12"/>
  <c r="S1372" i="12"/>
  <c r="S1373" i="12"/>
  <c r="S1374" i="12"/>
  <c r="S1375" i="12"/>
  <c r="S1376" i="12"/>
  <c r="S1377" i="12"/>
  <c r="S1378" i="12"/>
  <c r="S1379" i="12"/>
  <c r="S1380" i="12"/>
  <c r="S1381" i="12"/>
  <c r="S1382" i="12"/>
  <c r="S1383" i="12"/>
  <c r="S1384" i="12"/>
  <c r="S1385" i="12"/>
  <c r="S1386" i="12"/>
  <c r="S1387" i="12"/>
  <c r="S1388" i="12"/>
  <c r="S1389" i="12"/>
  <c r="S1390" i="12"/>
  <c r="S1391" i="12"/>
  <c r="S1392" i="12"/>
  <c r="S1393" i="12"/>
  <c r="S1394" i="12"/>
  <c r="S1395" i="12"/>
  <c r="S1396" i="12"/>
  <c r="S1397" i="12"/>
  <c r="S1398" i="12"/>
  <c r="S1399" i="12"/>
  <c r="S1400" i="12"/>
  <c r="S1401" i="12"/>
  <c r="S1402" i="12"/>
  <c r="S1403" i="12"/>
  <c r="S1404" i="12"/>
  <c r="S1405" i="12"/>
  <c r="S1406" i="12"/>
  <c r="S1407" i="12"/>
  <c r="S1408" i="12"/>
  <c r="S1409" i="12"/>
  <c r="S1410" i="12"/>
  <c r="S1411" i="12"/>
  <c r="S1412" i="12"/>
  <c r="S1413" i="12"/>
  <c r="S1414" i="12"/>
  <c r="S1415" i="12"/>
  <c r="S1416" i="12"/>
  <c r="S1417" i="12"/>
  <c r="S1418" i="12"/>
  <c r="S1419" i="12"/>
  <c r="S1420" i="12"/>
  <c r="S1421" i="12"/>
  <c r="S1422" i="12"/>
  <c r="S1423" i="12"/>
  <c r="S1424" i="12"/>
  <c r="S1425" i="12"/>
  <c r="S1426" i="12"/>
  <c r="S1427" i="12"/>
  <c r="S1428" i="12"/>
  <c r="S1429" i="12"/>
  <c r="S1430" i="12"/>
  <c r="S1431" i="12"/>
  <c r="S1432" i="12"/>
  <c r="S1433" i="12"/>
  <c r="S1434" i="12"/>
  <c r="S1435" i="12"/>
  <c r="S1436" i="12"/>
  <c r="S1437" i="12"/>
  <c r="S1438" i="12"/>
  <c r="S1439" i="12"/>
  <c r="S1440" i="12"/>
  <c r="S1441" i="12"/>
  <c r="S1442" i="12"/>
  <c r="S1443" i="12"/>
  <c r="S1444" i="12"/>
  <c r="S1445" i="12"/>
  <c r="S1446" i="12"/>
  <c r="S1447" i="12"/>
  <c r="S1448" i="12"/>
  <c r="S1449" i="12"/>
  <c r="S1450" i="12"/>
  <c r="S1451" i="12"/>
  <c r="S1452" i="12"/>
  <c r="S1453" i="12"/>
  <c r="S1454" i="12"/>
  <c r="S1455" i="12"/>
  <c r="S1456" i="12"/>
  <c r="S1457" i="12"/>
  <c r="S1458" i="12"/>
  <c r="S1459" i="12"/>
  <c r="S1460" i="12"/>
  <c r="S1461" i="12"/>
  <c r="S1462" i="12"/>
  <c r="S1463" i="12"/>
  <c r="S1464" i="12"/>
  <c r="S1465" i="12"/>
  <c r="S1466" i="12"/>
  <c r="S1467" i="12"/>
  <c r="S1468" i="12"/>
  <c r="S1469" i="12"/>
  <c r="S1470" i="12"/>
  <c r="S1471" i="12"/>
  <c r="S1472" i="12"/>
  <c r="S1473" i="12"/>
  <c r="S1474" i="12"/>
  <c r="S1475" i="12"/>
  <c r="S1476" i="12"/>
  <c r="S1477" i="12"/>
  <c r="S1478" i="12"/>
  <c r="S1479" i="12"/>
  <c r="S1480" i="12"/>
  <c r="S1481" i="12"/>
  <c r="S1482" i="12"/>
  <c r="S1483" i="12"/>
  <c r="S1484" i="12"/>
  <c r="S1485" i="12"/>
  <c r="S1486" i="12"/>
  <c r="S1487" i="12"/>
  <c r="S1488" i="12"/>
  <c r="S1489" i="12"/>
  <c r="S1490" i="12"/>
  <c r="S1491" i="12"/>
  <c r="S1492" i="12"/>
  <c r="S1493" i="12"/>
  <c r="S1494" i="12"/>
  <c r="S1495" i="12"/>
  <c r="S1496" i="12"/>
  <c r="S1497" i="12"/>
  <c r="S1498" i="12"/>
  <c r="S1499" i="12"/>
  <c r="S1500" i="12"/>
  <c r="S1501" i="12"/>
  <c r="S1502" i="12"/>
  <c r="S1503" i="12"/>
  <c r="S1504" i="12"/>
  <c r="S1505" i="12"/>
  <c r="S1506" i="12"/>
  <c r="S1507" i="12"/>
  <c r="S1508" i="12"/>
  <c r="S1509" i="12"/>
  <c r="S1510" i="12"/>
  <c r="S1511" i="12"/>
  <c r="S1512" i="12"/>
  <c r="S1513" i="12"/>
  <c r="S1514" i="12"/>
  <c r="S1515" i="12"/>
  <c r="S1516" i="12"/>
  <c r="S1517" i="12"/>
  <c r="S1518" i="12"/>
  <c r="S1519" i="12"/>
  <c r="S1520" i="12"/>
  <c r="S1521" i="12"/>
  <c r="S1522" i="12"/>
  <c r="S1523" i="12"/>
  <c r="S1524" i="12"/>
  <c r="S1525" i="12"/>
  <c r="S1526" i="12"/>
  <c r="S1527" i="12"/>
  <c r="S1528" i="12"/>
  <c r="S1529" i="12"/>
  <c r="S1530" i="12"/>
  <c r="S1531" i="12"/>
  <c r="S1532" i="12"/>
  <c r="S1533" i="12"/>
  <c r="S1534" i="12"/>
  <c r="S1535" i="12"/>
  <c r="S1536" i="12"/>
  <c r="S1537" i="12"/>
  <c r="S1538" i="12"/>
  <c r="S1539" i="12"/>
  <c r="S1540" i="12"/>
  <c r="S1541" i="12"/>
  <c r="S1542" i="12"/>
  <c r="S1543" i="12"/>
  <c r="S1544" i="12"/>
  <c r="S1545" i="12"/>
  <c r="S1546" i="12"/>
  <c r="S1547" i="12"/>
  <c r="S1548" i="12"/>
  <c r="S1549" i="12"/>
  <c r="S1550" i="12"/>
  <c r="S1551" i="12"/>
  <c r="S1552" i="12"/>
  <c r="S1553" i="12"/>
  <c r="S1554" i="12"/>
  <c r="S1555" i="12"/>
  <c r="S1556" i="12"/>
  <c r="S1557" i="12"/>
  <c r="S1558" i="12"/>
  <c r="S1559" i="12"/>
  <c r="S1560" i="12"/>
  <c r="S1561" i="12"/>
  <c r="S1562" i="12"/>
  <c r="S1563" i="12"/>
  <c r="S1564" i="12"/>
  <c r="S1565" i="12"/>
  <c r="S1566" i="12"/>
  <c r="S1567" i="12"/>
  <c r="S1568" i="12"/>
  <c r="S1569" i="12"/>
  <c r="S1570" i="12"/>
  <c r="S1571" i="12"/>
  <c r="S1572" i="12"/>
  <c r="S1573" i="12"/>
  <c r="S1574" i="12"/>
  <c r="S1575" i="12"/>
  <c r="S1576" i="12"/>
  <c r="S1577" i="12"/>
  <c r="S1578" i="12"/>
  <c r="S1579" i="12"/>
  <c r="S1580" i="12"/>
  <c r="S1581" i="12"/>
  <c r="S1582" i="12"/>
  <c r="S1583" i="12"/>
  <c r="S1584" i="12"/>
  <c r="S1585" i="12"/>
  <c r="S1586" i="12"/>
  <c r="S1587" i="12"/>
  <c r="S1588" i="12"/>
  <c r="S1589" i="12"/>
  <c r="S1590" i="12"/>
  <c r="S1591" i="12"/>
  <c r="S1592" i="12"/>
  <c r="S1593" i="12"/>
  <c r="S1594" i="12"/>
  <c r="S1595" i="12"/>
  <c r="S1596" i="12"/>
  <c r="S1597" i="12"/>
  <c r="S1598" i="12"/>
  <c r="S1599" i="12"/>
  <c r="S1600" i="12"/>
  <c r="S1601" i="12"/>
  <c r="S1602" i="12"/>
  <c r="S1603" i="12"/>
  <c r="S1604" i="12"/>
  <c r="S1605" i="12"/>
  <c r="S1606" i="12"/>
  <c r="S1607" i="12"/>
  <c r="S1608" i="12"/>
  <c r="S1609" i="12"/>
  <c r="S1610" i="12"/>
  <c r="S1611" i="12"/>
  <c r="S1612" i="12"/>
  <c r="S1613" i="12"/>
  <c r="S1614" i="12"/>
  <c r="S1615" i="12"/>
  <c r="S1616" i="12"/>
  <c r="S1617" i="12"/>
  <c r="S1618" i="12"/>
  <c r="S1619" i="12"/>
  <c r="S1620" i="12"/>
  <c r="S1621" i="12"/>
  <c r="S1622" i="12"/>
  <c r="S1623" i="12"/>
  <c r="S1624" i="12"/>
  <c r="S1625" i="12"/>
  <c r="S1626" i="12"/>
  <c r="S1627" i="12"/>
  <c r="S1628" i="12"/>
  <c r="S1629" i="12"/>
  <c r="S1630" i="12"/>
  <c r="S1631" i="12"/>
  <c r="S1632" i="12"/>
  <c r="S1633" i="12"/>
  <c r="X1633" i="12" s="1"/>
  <c r="S1634" i="12"/>
  <c r="S1635" i="12"/>
  <c r="S1636" i="12"/>
  <c r="S1637" i="12"/>
  <c r="S1638" i="12"/>
  <c r="S1639" i="12"/>
  <c r="S1640" i="12"/>
  <c r="S1641" i="12"/>
  <c r="S1642" i="12"/>
  <c r="S1643" i="12"/>
  <c r="S1644" i="12"/>
  <c r="S1645" i="12"/>
  <c r="S1646" i="12"/>
  <c r="S1647" i="12"/>
  <c r="S1648" i="12"/>
  <c r="S1649" i="12"/>
  <c r="S1650" i="12"/>
  <c r="S1651" i="12"/>
  <c r="S1652" i="12"/>
  <c r="S1653" i="12"/>
  <c r="S1654" i="12"/>
  <c r="S1655" i="12"/>
  <c r="S1656" i="12"/>
  <c r="S1657" i="12"/>
  <c r="S1658" i="12"/>
  <c r="S1659" i="12"/>
  <c r="S1660" i="12"/>
  <c r="S1661" i="12"/>
  <c r="S1662" i="12"/>
  <c r="S1663" i="12"/>
  <c r="S1664" i="12"/>
  <c r="S1665" i="12"/>
  <c r="S1666" i="12"/>
  <c r="S1667" i="12"/>
  <c r="S1668" i="12"/>
  <c r="S1669" i="12"/>
  <c r="S1670" i="12"/>
  <c r="S1671" i="12"/>
  <c r="S1672" i="12"/>
  <c r="S1673" i="12"/>
  <c r="S1674" i="12"/>
  <c r="S1675" i="12"/>
  <c r="S1676" i="12"/>
  <c r="S1677" i="12"/>
  <c r="S1678" i="12"/>
  <c r="S1679" i="12"/>
  <c r="S1680" i="12"/>
  <c r="S1681" i="12"/>
  <c r="S1682" i="12"/>
  <c r="S1683" i="12"/>
  <c r="S1684" i="12"/>
  <c r="S1685" i="12"/>
  <c r="S1686" i="12"/>
  <c r="S1687" i="12"/>
  <c r="S1688" i="12"/>
  <c r="S1689" i="12"/>
  <c r="S1690" i="12"/>
  <c r="S1691" i="12"/>
  <c r="S1692" i="12"/>
  <c r="S1693" i="12"/>
  <c r="S1694" i="12"/>
  <c r="S1695" i="12"/>
  <c r="S1696" i="12"/>
  <c r="S1697" i="12"/>
  <c r="S1698" i="12"/>
  <c r="S1699" i="12"/>
  <c r="S1700" i="12"/>
  <c r="S1701" i="12"/>
  <c r="S1702" i="12"/>
  <c r="S1703" i="12"/>
  <c r="S1704" i="12"/>
  <c r="S1705" i="12"/>
  <c r="S1706" i="12"/>
  <c r="S1707" i="12"/>
  <c r="S1708" i="12"/>
  <c r="S1709" i="12"/>
  <c r="S1710" i="12"/>
  <c r="S1711" i="12"/>
  <c r="S1712" i="12"/>
  <c r="S1713" i="12"/>
  <c r="S1714" i="12"/>
  <c r="S1715" i="12"/>
  <c r="S1716" i="12"/>
  <c r="S1717" i="12"/>
  <c r="S1718" i="12"/>
  <c r="S1719" i="12"/>
  <c r="S1720" i="12"/>
  <c r="S1721" i="12"/>
  <c r="S1722" i="12"/>
  <c r="S1723" i="12"/>
  <c r="S1724" i="12"/>
  <c r="S1725" i="12"/>
  <c r="S1726" i="12"/>
  <c r="S1727" i="12"/>
  <c r="S1728" i="12"/>
  <c r="S1729" i="12"/>
  <c r="S1730" i="12"/>
  <c r="S1731" i="12"/>
  <c r="S1732" i="12"/>
  <c r="S1733" i="12"/>
  <c r="S1734" i="12"/>
  <c r="S1735" i="12"/>
  <c r="S1736" i="12"/>
  <c r="S1737" i="12"/>
  <c r="S1738" i="12"/>
  <c r="S1739" i="12"/>
  <c r="S1740" i="12"/>
  <c r="S1741" i="12"/>
  <c r="S1742" i="12"/>
  <c r="S1743" i="12"/>
  <c r="S1744" i="12"/>
  <c r="S1745" i="12"/>
  <c r="S1746" i="12"/>
  <c r="S1747" i="12"/>
  <c r="S1748" i="12"/>
  <c r="S1749" i="12"/>
  <c r="S1750" i="12"/>
  <c r="S1751" i="12"/>
  <c r="S1752" i="12"/>
  <c r="S1753" i="12"/>
  <c r="S1754" i="12"/>
  <c r="S1755" i="12"/>
  <c r="S1756" i="12"/>
  <c r="S1757" i="12"/>
  <c r="S1758" i="12"/>
  <c r="S1759" i="12"/>
  <c r="S1760" i="12"/>
  <c r="S1761" i="12"/>
  <c r="S1762" i="12"/>
  <c r="S1763" i="12"/>
  <c r="S1764" i="12"/>
  <c r="S1765" i="12"/>
  <c r="S1766" i="12"/>
  <c r="S1767" i="12"/>
  <c r="S1768" i="12"/>
  <c r="S1769" i="12"/>
  <c r="S1770" i="12"/>
  <c r="S1771" i="12"/>
  <c r="S1772" i="12"/>
  <c r="S1773" i="12"/>
  <c r="S1774" i="12"/>
  <c r="S1775" i="12"/>
  <c r="S1776" i="12"/>
  <c r="S1777" i="12"/>
  <c r="S1778" i="12"/>
  <c r="S1779" i="12"/>
  <c r="S1780" i="12"/>
  <c r="S1781" i="12"/>
  <c r="S1782" i="12"/>
  <c r="S1783" i="12"/>
  <c r="S1784" i="12"/>
  <c r="S1785" i="12"/>
  <c r="S1786" i="12"/>
  <c r="S1787" i="12"/>
  <c r="S1788" i="12"/>
  <c r="S1789" i="12"/>
  <c r="S1790" i="12"/>
  <c r="S1791" i="12"/>
  <c r="S1792" i="12"/>
  <c r="S1793" i="12"/>
  <c r="S1794" i="12"/>
  <c r="S1795" i="12"/>
  <c r="S1796" i="12"/>
  <c r="S1797" i="12"/>
  <c r="S1798" i="12"/>
  <c r="S1799" i="12"/>
  <c r="S1800" i="12"/>
  <c r="S1801" i="12"/>
  <c r="S1802" i="12"/>
  <c r="S1803" i="12"/>
  <c r="S1804" i="12"/>
  <c r="S1805" i="12"/>
  <c r="S1806" i="12"/>
  <c r="S1807" i="12"/>
  <c r="S1808" i="12"/>
  <c r="S1809" i="12"/>
  <c r="S1810" i="12"/>
  <c r="S1811" i="12"/>
  <c r="S1812" i="12"/>
  <c r="S1813" i="12"/>
  <c r="S1814" i="12"/>
  <c r="S1815" i="12"/>
  <c r="S1816" i="12"/>
  <c r="S1817" i="12"/>
  <c r="S1818" i="12"/>
  <c r="S1819" i="12"/>
  <c r="S1820" i="12"/>
  <c r="S1821" i="12"/>
  <c r="S1822" i="12"/>
  <c r="S1823" i="12"/>
  <c r="S1824" i="12"/>
  <c r="S1825" i="12"/>
  <c r="S1826" i="12"/>
  <c r="S1827" i="12"/>
  <c r="S1828" i="12"/>
  <c r="S1829" i="12"/>
  <c r="S1830" i="12"/>
  <c r="S1831" i="12"/>
  <c r="S1832" i="12"/>
  <c r="S1833" i="12"/>
  <c r="S1834" i="12"/>
  <c r="S1835" i="12"/>
  <c r="S1836" i="12"/>
  <c r="S1837" i="12"/>
  <c r="S1838" i="12"/>
  <c r="S1839" i="12"/>
  <c r="S1840" i="12"/>
  <c r="S1841" i="12"/>
  <c r="S1842" i="12"/>
  <c r="S1843" i="12"/>
  <c r="S1844" i="12"/>
  <c r="S1845" i="12"/>
  <c r="S1846" i="12"/>
  <c r="S1847" i="12"/>
  <c r="S1848" i="12"/>
  <c r="S1849" i="12"/>
  <c r="S1850" i="12"/>
  <c r="S1851" i="12"/>
  <c r="S1852" i="12"/>
  <c r="S1853" i="12"/>
  <c r="S1854" i="12"/>
  <c r="S1855" i="12"/>
  <c r="S1856" i="12"/>
  <c r="S1857" i="12"/>
  <c r="S1858" i="12"/>
  <c r="S1859" i="12"/>
  <c r="S1860" i="12"/>
  <c r="S1861" i="12"/>
  <c r="S1862" i="12"/>
  <c r="S1863" i="12"/>
  <c r="S1864" i="12"/>
  <c r="S1865" i="12"/>
  <c r="S1866" i="12"/>
  <c r="S1867" i="12"/>
  <c r="S1868" i="12"/>
  <c r="S1869" i="12"/>
  <c r="S1870" i="12"/>
  <c r="S1871" i="12"/>
  <c r="S1872" i="12"/>
  <c r="S1873" i="12"/>
  <c r="S1874" i="12"/>
  <c r="S1875" i="12"/>
  <c r="S1876" i="12"/>
  <c r="S1877" i="12"/>
  <c r="S1878" i="12"/>
  <c r="S1879" i="12"/>
  <c r="S1880" i="12"/>
  <c r="S1881" i="12"/>
  <c r="S1882" i="12"/>
  <c r="S1883" i="12"/>
  <c r="S1884" i="12"/>
  <c r="S1885" i="12"/>
  <c r="S1886" i="12"/>
  <c r="S1887" i="12"/>
  <c r="S1888" i="12"/>
  <c r="S1889" i="12"/>
  <c r="S1890" i="12"/>
  <c r="S1891" i="12"/>
  <c r="S1892" i="12"/>
  <c r="S1893" i="12"/>
  <c r="S1894" i="12"/>
  <c r="S1895" i="12"/>
  <c r="S1896" i="12"/>
  <c r="S1897" i="12"/>
  <c r="S1898" i="12"/>
  <c r="S1899" i="12"/>
  <c r="S1900" i="12"/>
  <c r="S1901" i="12"/>
  <c r="S1902" i="12"/>
  <c r="S1903" i="12"/>
  <c r="S1904" i="12"/>
  <c r="S1905" i="12"/>
  <c r="S1906" i="12"/>
  <c r="S1907" i="12"/>
  <c r="S1908" i="12"/>
  <c r="S1909" i="12"/>
  <c r="S1910" i="12"/>
  <c r="S1911" i="12"/>
  <c r="S1912" i="12"/>
  <c r="S1913" i="12"/>
  <c r="S1914" i="12"/>
  <c r="S1915" i="12"/>
  <c r="S1916" i="12"/>
  <c r="S1917" i="12"/>
  <c r="S1918" i="12"/>
  <c r="S1919" i="12"/>
  <c r="S1920" i="12"/>
  <c r="S1921" i="12"/>
  <c r="S1922" i="12"/>
  <c r="S1923" i="12"/>
  <c r="S1924" i="12"/>
  <c r="S1925" i="12"/>
  <c r="S1926" i="12"/>
  <c r="S1927" i="12"/>
  <c r="S1928" i="12"/>
  <c r="S1929" i="12"/>
  <c r="S1930" i="12"/>
  <c r="S1931" i="12"/>
  <c r="S1932" i="12"/>
  <c r="S1933" i="12"/>
  <c r="S1934" i="12"/>
  <c r="S1935" i="12"/>
  <c r="S1936" i="12"/>
  <c r="S1937" i="12"/>
  <c r="S1938" i="12"/>
  <c r="S1939" i="12"/>
  <c r="S1940" i="12"/>
  <c r="S1941" i="12"/>
  <c r="S1942" i="12"/>
  <c r="S1943" i="12"/>
  <c r="S1944" i="12"/>
  <c r="S1945" i="12"/>
  <c r="S1946" i="12"/>
  <c r="S1947" i="12"/>
  <c r="S1948" i="12"/>
  <c r="S1949" i="12"/>
  <c r="S1950" i="12"/>
  <c r="S1951" i="12"/>
  <c r="S1952" i="12"/>
  <c r="S1953" i="12"/>
  <c r="S1954" i="12"/>
  <c r="S1955" i="12"/>
  <c r="S1956" i="12"/>
  <c r="S1957" i="12"/>
  <c r="S1958" i="12"/>
  <c r="S1959" i="12"/>
  <c r="S1960" i="12"/>
  <c r="S1961" i="12"/>
  <c r="S1962" i="12"/>
  <c r="S1963" i="12"/>
  <c r="S1964" i="12"/>
  <c r="S1965" i="12"/>
  <c r="S1966" i="12"/>
  <c r="S1967" i="12"/>
  <c r="S1968" i="12"/>
  <c r="S1969" i="12"/>
  <c r="S1970" i="12"/>
  <c r="S1971" i="12"/>
  <c r="S1972" i="12"/>
  <c r="S1973" i="12"/>
  <c r="S1974" i="12"/>
  <c r="S1975" i="12"/>
  <c r="S1976" i="12"/>
  <c r="S1977" i="12"/>
  <c r="S1978" i="12"/>
  <c r="S1979" i="12"/>
  <c r="S1980" i="12"/>
  <c r="S1981" i="12"/>
  <c r="S1982" i="12"/>
  <c r="S1983" i="12"/>
  <c r="S1984" i="12"/>
  <c r="S1985" i="12"/>
  <c r="S1986" i="12"/>
  <c r="S1987" i="12"/>
  <c r="S1988" i="12"/>
  <c r="S1989" i="12"/>
  <c r="S1990" i="12"/>
  <c r="S1991" i="12"/>
  <c r="S1992" i="12"/>
  <c r="S1993" i="12"/>
  <c r="S1994" i="12"/>
  <c r="S1995" i="12"/>
  <c r="S1996" i="12"/>
  <c r="S1997" i="12"/>
  <c r="S1998" i="12"/>
  <c r="S1999" i="12"/>
  <c r="S2000" i="12"/>
  <c r="S2001" i="12"/>
  <c r="T2" i="12"/>
  <c r="T3" i="12"/>
  <c r="T4" i="12"/>
  <c r="T5" i="12"/>
  <c r="T6" i="12"/>
  <c r="T7" i="12"/>
  <c r="T8" i="12"/>
  <c r="T9" i="12"/>
  <c r="T10" i="12"/>
  <c r="T11" i="12"/>
  <c r="T12" i="12"/>
  <c r="T13" i="12"/>
  <c r="T14" i="12"/>
  <c r="T15" i="12"/>
  <c r="T16" i="12"/>
  <c r="T17" i="12"/>
  <c r="X17" i="12" s="1"/>
  <c r="T18" i="12"/>
  <c r="T19" i="12"/>
  <c r="T20" i="12"/>
  <c r="T21" i="12"/>
  <c r="T22" i="12"/>
  <c r="T23" i="12"/>
  <c r="T24" i="12"/>
  <c r="T25" i="12"/>
  <c r="T26" i="12"/>
  <c r="T27" i="12"/>
  <c r="T28" i="12"/>
  <c r="T29" i="12"/>
  <c r="X29" i="12" s="1"/>
  <c r="T30" i="12"/>
  <c r="T31" i="12"/>
  <c r="T32" i="12"/>
  <c r="T33" i="12"/>
  <c r="T34" i="12"/>
  <c r="T35" i="12"/>
  <c r="T36" i="12"/>
  <c r="T37" i="12"/>
  <c r="T38" i="12"/>
  <c r="T39" i="12"/>
  <c r="T40" i="12"/>
  <c r="T41" i="12"/>
  <c r="X41" i="12" s="1"/>
  <c r="T42" i="12"/>
  <c r="T43" i="12"/>
  <c r="T44" i="12"/>
  <c r="T45" i="12"/>
  <c r="T46" i="12"/>
  <c r="T47" i="12"/>
  <c r="T48" i="12"/>
  <c r="T49" i="12"/>
  <c r="T50" i="12"/>
  <c r="T51" i="12"/>
  <c r="T52" i="12"/>
  <c r="T53" i="12"/>
  <c r="X53" i="12" s="1"/>
  <c r="T54" i="12"/>
  <c r="T55" i="12"/>
  <c r="T56" i="12"/>
  <c r="T57" i="12"/>
  <c r="T58" i="12"/>
  <c r="T59" i="12"/>
  <c r="T60" i="12"/>
  <c r="T61" i="12"/>
  <c r="T62" i="12"/>
  <c r="T63" i="12"/>
  <c r="T64" i="12"/>
  <c r="T65" i="12"/>
  <c r="X65" i="12" s="1"/>
  <c r="T66" i="12"/>
  <c r="T67" i="12"/>
  <c r="T68" i="12"/>
  <c r="T69" i="12"/>
  <c r="T70" i="12"/>
  <c r="T71" i="12"/>
  <c r="T72" i="12"/>
  <c r="T73" i="12"/>
  <c r="T74" i="12"/>
  <c r="T75" i="12"/>
  <c r="T76" i="12"/>
  <c r="T77" i="12"/>
  <c r="X77" i="12" s="1"/>
  <c r="T78" i="12"/>
  <c r="T79" i="12"/>
  <c r="T80" i="12"/>
  <c r="T81" i="12"/>
  <c r="T82" i="12"/>
  <c r="T83" i="12"/>
  <c r="T84" i="12"/>
  <c r="T85" i="12"/>
  <c r="T86" i="12"/>
  <c r="T87" i="12"/>
  <c r="T88" i="12"/>
  <c r="T89" i="12"/>
  <c r="X89" i="12" s="1"/>
  <c r="T90" i="12"/>
  <c r="T91" i="12"/>
  <c r="T92" i="12"/>
  <c r="T93" i="12"/>
  <c r="T94" i="12"/>
  <c r="T95" i="12"/>
  <c r="T96" i="12"/>
  <c r="T97" i="12"/>
  <c r="T98" i="12"/>
  <c r="T99" i="12"/>
  <c r="T100" i="12"/>
  <c r="T101" i="12"/>
  <c r="X101" i="12" s="1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X113" i="12" s="1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X125" i="12" s="1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X137" i="12" s="1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X149" i="12" s="1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X161" i="12" s="1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X173" i="12" s="1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X185" i="12" s="1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X197" i="12" s="1"/>
  <c r="T198" i="12"/>
  <c r="T199" i="12"/>
  <c r="T200" i="12"/>
  <c r="T201" i="12"/>
  <c r="T202" i="12"/>
  <c r="T203" i="12"/>
  <c r="T204" i="12"/>
  <c r="T205" i="12"/>
  <c r="T206" i="12"/>
  <c r="T207" i="12"/>
  <c r="T208" i="12"/>
  <c r="T209" i="12"/>
  <c r="X209" i="12" s="1"/>
  <c r="T210" i="12"/>
  <c r="T211" i="12"/>
  <c r="T212" i="12"/>
  <c r="T213" i="12"/>
  <c r="T214" i="12"/>
  <c r="T215" i="12"/>
  <c r="T216" i="12"/>
  <c r="T217" i="12"/>
  <c r="T218" i="12"/>
  <c r="T219" i="12"/>
  <c r="T220" i="12"/>
  <c r="T221" i="12"/>
  <c r="X221" i="12" s="1"/>
  <c r="T222" i="12"/>
  <c r="T223" i="12"/>
  <c r="T224" i="12"/>
  <c r="T225" i="12"/>
  <c r="T226" i="12"/>
  <c r="T227" i="12"/>
  <c r="T228" i="12"/>
  <c r="T229" i="12"/>
  <c r="T230" i="12"/>
  <c r="T231" i="12"/>
  <c r="T232" i="12"/>
  <c r="T233" i="12"/>
  <c r="X233" i="12" s="1"/>
  <c r="T234" i="12"/>
  <c r="T235" i="12"/>
  <c r="T236" i="12"/>
  <c r="T237" i="12"/>
  <c r="T238" i="12"/>
  <c r="T239" i="12"/>
  <c r="T240" i="12"/>
  <c r="T241" i="12"/>
  <c r="T242" i="12"/>
  <c r="T243" i="12"/>
  <c r="T244" i="12"/>
  <c r="T245" i="12"/>
  <c r="X245" i="12" s="1"/>
  <c r="T246" i="12"/>
  <c r="T247" i="12"/>
  <c r="T248" i="12"/>
  <c r="T249" i="12"/>
  <c r="T250" i="12"/>
  <c r="T251" i="12"/>
  <c r="T252" i="12"/>
  <c r="T253" i="12"/>
  <c r="T254" i="12"/>
  <c r="T255" i="12"/>
  <c r="T256" i="12"/>
  <c r="T257" i="12"/>
  <c r="X257" i="12" s="1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X269" i="12" s="1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X281" i="12" s="1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X293" i="12" s="1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X305" i="12" s="1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X317" i="12" s="1"/>
  <c r="T318" i="12"/>
  <c r="T319" i="12"/>
  <c r="T320" i="12"/>
  <c r="T321" i="12"/>
  <c r="T322" i="12"/>
  <c r="T323" i="12"/>
  <c r="T324" i="12"/>
  <c r="T325" i="12"/>
  <c r="T326" i="12"/>
  <c r="T327" i="12"/>
  <c r="T328" i="12"/>
  <c r="T329" i="12"/>
  <c r="X329" i="12" s="1"/>
  <c r="T330" i="12"/>
  <c r="T331" i="12"/>
  <c r="T332" i="12"/>
  <c r="T333" i="12"/>
  <c r="T334" i="12"/>
  <c r="T335" i="12"/>
  <c r="T336" i="12"/>
  <c r="T337" i="12"/>
  <c r="T338" i="12"/>
  <c r="T339" i="12"/>
  <c r="T340" i="12"/>
  <c r="T341" i="12"/>
  <c r="X341" i="12" s="1"/>
  <c r="T342" i="12"/>
  <c r="T343" i="12"/>
  <c r="T344" i="12"/>
  <c r="T345" i="12"/>
  <c r="T346" i="12"/>
  <c r="T347" i="12"/>
  <c r="T348" i="12"/>
  <c r="T349" i="12"/>
  <c r="T350" i="12"/>
  <c r="T351" i="12"/>
  <c r="T352" i="12"/>
  <c r="T353" i="12"/>
  <c r="X353" i="12" s="1"/>
  <c r="T354" i="12"/>
  <c r="T355" i="12"/>
  <c r="T356" i="12"/>
  <c r="T357" i="12"/>
  <c r="T358" i="12"/>
  <c r="T359" i="12"/>
  <c r="T360" i="12"/>
  <c r="T361" i="12"/>
  <c r="T362" i="12"/>
  <c r="T363" i="12"/>
  <c r="T364" i="12"/>
  <c r="T365" i="12"/>
  <c r="X365" i="12" s="1"/>
  <c r="T366" i="12"/>
  <c r="T367" i="12"/>
  <c r="T368" i="12"/>
  <c r="T369" i="12"/>
  <c r="T370" i="12"/>
  <c r="T371" i="12"/>
  <c r="T372" i="12"/>
  <c r="T373" i="12"/>
  <c r="T374" i="12"/>
  <c r="T375" i="12"/>
  <c r="T376" i="12"/>
  <c r="T377" i="12"/>
  <c r="X377" i="12" s="1"/>
  <c r="T378" i="12"/>
  <c r="T379" i="12"/>
  <c r="T380" i="12"/>
  <c r="T381" i="12"/>
  <c r="T382" i="12"/>
  <c r="T383" i="12"/>
  <c r="T384" i="12"/>
  <c r="T385" i="12"/>
  <c r="T386" i="12"/>
  <c r="T387" i="12"/>
  <c r="T388" i="12"/>
  <c r="T389" i="12"/>
  <c r="X389" i="12" s="1"/>
  <c r="T390" i="12"/>
  <c r="T391" i="12"/>
  <c r="T392" i="12"/>
  <c r="T393" i="12"/>
  <c r="T394" i="12"/>
  <c r="T395" i="12"/>
  <c r="T396" i="12"/>
  <c r="T397" i="12"/>
  <c r="T398" i="12"/>
  <c r="T399" i="12"/>
  <c r="T400" i="12"/>
  <c r="T401" i="12"/>
  <c r="X401" i="12" s="1"/>
  <c r="T402" i="12"/>
  <c r="T403" i="12"/>
  <c r="T404" i="12"/>
  <c r="T405" i="12"/>
  <c r="T406" i="12"/>
  <c r="T407" i="12"/>
  <c r="T408" i="12"/>
  <c r="T409" i="12"/>
  <c r="T410" i="12"/>
  <c r="T411" i="12"/>
  <c r="T412" i="12"/>
  <c r="T413" i="12"/>
  <c r="X413" i="12" s="1"/>
  <c r="T414" i="12"/>
  <c r="T415" i="12"/>
  <c r="T416" i="12"/>
  <c r="T417" i="12"/>
  <c r="T418" i="12"/>
  <c r="T419" i="12"/>
  <c r="T420" i="12"/>
  <c r="T421" i="12"/>
  <c r="T422" i="12"/>
  <c r="T423" i="12"/>
  <c r="T424" i="12"/>
  <c r="T425" i="12"/>
  <c r="X425" i="12" s="1"/>
  <c r="T426" i="12"/>
  <c r="T427" i="12"/>
  <c r="T428" i="12"/>
  <c r="T429" i="12"/>
  <c r="T430" i="12"/>
  <c r="T431" i="12"/>
  <c r="T432" i="12"/>
  <c r="T433" i="12"/>
  <c r="T434" i="12"/>
  <c r="T435" i="12"/>
  <c r="T436" i="12"/>
  <c r="T437" i="12"/>
  <c r="X437" i="12" s="1"/>
  <c r="T438" i="12"/>
  <c r="T439" i="12"/>
  <c r="T440" i="12"/>
  <c r="T441" i="12"/>
  <c r="T442" i="12"/>
  <c r="T443" i="12"/>
  <c r="T444" i="12"/>
  <c r="T445" i="12"/>
  <c r="T446" i="12"/>
  <c r="T447" i="12"/>
  <c r="T448" i="12"/>
  <c r="T449" i="12"/>
  <c r="X449" i="12" s="1"/>
  <c r="T450" i="12"/>
  <c r="T451" i="12"/>
  <c r="T452" i="12"/>
  <c r="T453" i="12"/>
  <c r="T454" i="12"/>
  <c r="T455" i="12"/>
  <c r="T456" i="12"/>
  <c r="T457" i="12"/>
  <c r="T458" i="12"/>
  <c r="T459" i="12"/>
  <c r="T460" i="12"/>
  <c r="T461" i="12"/>
  <c r="X461" i="12" s="1"/>
  <c r="T462" i="12"/>
  <c r="T463" i="12"/>
  <c r="T464" i="12"/>
  <c r="T465" i="12"/>
  <c r="T466" i="12"/>
  <c r="T467" i="12"/>
  <c r="T468" i="12"/>
  <c r="T469" i="12"/>
  <c r="T470" i="12"/>
  <c r="T471" i="12"/>
  <c r="T472" i="12"/>
  <c r="T473" i="12"/>
  <c r="X473" i="12" s="1"/>
  <c r="T474" i="12"/>
  <c r="T475" i="12"/>
  <c r="T476" i="12"/>
  <c r="T477" i="12"/>
  <c r="T478" i="12"/>
  <c r="T479" i="12"/>
  <c r="T480" i="12"/>
  <c r="T481" i="12"/>
  <c r="T482" i="12"/>
  <c r="T483" i="12"/>
  <c r="T484" i="12"/>
  <c r="T485" i="12"/>
  <c r="X485" i="12" s="1"/>
  <c r="T486" i="12"/>
  <c r="T487" i="12"/>
  <c r="T488" i="12"/>
  <c r="T489" i="12"/>
  <c r="T490" i="12"/>
  <c r="T491" i="12"/>
  <c r="T492" i="12"/>
  <c r="T493" i="12"/>
  <c r="T494" i="12"/>
  <c r="T495" i="12"/>
  <c r="T496" i="12"/>
  <c r="T497" i="12"/>
  <c r="X497" i="12" s="1"/>
  <c r="T498" i="12"/>
  <c r="T499" i="12"/>
  <c r="T500" i="12"/>
  <c r="T501" i="12"/>
  <c r="T502" i="12"/>
  <c r="T503" i="12"/>
  <c r="T504" i="12"/>
  <c r="T505" i="12"/>
  <c r="T506" i="12"/>
  <c r="T507" i="12"/>
  <c r="T508" i="12"/>
  <c r="T509" i="12"/>
  <c r="X509" i="12" s="1"/>
  <c r="T510" i="12"/>
  <c r="T511" i="12"/>
  <c r="T512" i="12"/>
  <c r="T513" i="12"/>
  <c r="T514" i="12"/>
  <c r="T515" i="12"/>
  <c r="T516" i="12"/>
  <c r="T517" i="12"/>
  <c r="T518" i="12"/>
  <c r="T519" i="12"/>
  <c r="T520" i="12"/>
  <c r="T521" i="12"/>
  <c r="X521" i="12" s="1"/>
  <c r="T522" i="12"/>
  <c r="T523" i="12"/>
  <c r="T524" i="12"/>
  <c r="T525" i="12"/>
  <c r="T526" i="12"/>
  <c r="T527" i="12"/>
  <c r="T528" i="12"/>
  <c r="T529" i="12"/>
  <c r="T530" i="12"/>
  <c r="T531" i="12"/>
  <c r="T532" i="12"/>
  <c r="T533" i="12"/>
  <c r="X533" i="12" s="1"/>
  <c r="T534" i="12"/>
  <c r="T535" i="12"/>
  <c r="T536" i="12"/>
  <c r="T537" i="12"/>
  <c r="T538" i="12"/>
  <c r="T539" i="12"/>
  <c r="T540" i="12"/>
  <c r="T541" i="12"/>
  <c r="T542" i="12"/>
  <c r="T543" i="12"/>
  <c r="T544" i="12"/>
  <c r="T545" i="12"/>
  <c r="X545" i="12" s="1"/>
  <c r="T546" i="12"/>
  <c r="T547" i="12"/>
  <c r="T548" i="12"/>
  <c r="T549" i="12"/>
  <c r="T550" i="12"/>
  <c r="T551" i="12"/>
  <c r="T552" i="12"/>
  <c r="T553" i="12"/>
  <c r="T554" i="12"/>
  <c r="T555" i="12"/>
  <c r="T556" i="12"/>
  <c r="T557" i="12"/>
  <c r="X557" i="12" s="1"/>
  <c r="T558" i="12"/>
  <c r="T559" i="12"/>
  <c r="T560" i="12"/>
  <c r="T561" i="12"/>
  <c r="T562" i="12"/>
  <c r="T563" i="12"/>
  <c r="T564" i="12"/>
  <c r="T565" i="12"/>
  <c r="T566" i="12"/>
  <c r="T567" i="12"/>
  <c r="T568" i="12"/>
  <c r="T569" i="12"/>
  <c r="X569" i="12" s="1"/>
  <c r="T570" i="12"/>
  <c r="T571" i="12"/>
  <c r="T572" i="12"/>
  <c r="T573" i="12"/>
  <c r="T574" i="12"/>
  <c r="T575" i="12"/>
  <c r="T576" i="12"/>
  <c r="T577" i="12"/>
  <c r="T578" i="12"/>
  <c r="T579" i="12"/>
  <c r="T580" i="12"/>
  <c r="T581" i="12"/>
  <c r="X581" i="12" s="1"/>
  <c r="T582" i="12"/>
  <c r="T583" i="12"/>
  <c r="T584" i="12"/>
  <c r="T585" i="12"/>
  <c r="T586" i="12"/>
  <c r="T587" i="12"/>
  <c r="T588" i="12"/>
  <c r="T589" i="12"/>
  <c r="T590" i="12"/>
  <c r="T591" i="12"/>
  <c r="T592" i="12"/>
  <c r="T593" i="12"/>
  <c r="X593" i="12" s="1"/>
  <c r="T594" i="12"/>
  <c r="T595" i="12"/>
  <c r="T596" i="12"/>
  <c r="T597" i="12"/>
  <c r="T598" i="12"/>
  <c r="T599" i="12"/>
  <c r="T600" i="12"/>
  <c r="T601" i="12"/>
  <c r="T602" i="12"/>
  <c r="T603" i="12"/>
  <c r="T604" i="12"/>
  <c r="T605" i="12"/>
  <c r="X605" i="12" s="1"/>
  <c r="T606" i="12"/>
  <c r="T607" i="12"/>
  <c r="T608" i="12"/>
  <c r="T609" i="12"/>
  <c r="T610" i="12"/>
  <c r="T611" i="12"/>
  <c r="T612" i="12"/>
  <c r="T613" i="12"/>
  <c r="T614" i="12"/>
  <c r="T615" i="12"/>
  <c r="T616" i="12"/>
  <c r="T617" i="12"/>
  <c r="X617" i="12" s="1"/>
  <c r="T618" i="12"/>
  <c r="T619" i="12"/>
  <c r="T620" i="12"/>
  <c r="T621" i="12"/>
  <c r="T622" i="12"/>
  <c r="T623" i="12"/>
  <c r="T624" i="12"/>
  <c r="T625" i="12"/>
  <c r="T626" i="12"/>
  <c r="T627" i="12"/>
  <c r="T628" i="12"/>
  <c r="T629" i="12"/>
  <c r="X629" i="12" s="1"/>
  <c r="T630" i="12"/>
  <c r="T631" i="12"/>
  <c r="T632" i="12"/>
  <c r="T633" i="12"/>
  <c r="T634" i="12"/>
  <c r="T635" i="12"/>
  <c r="T636" i="12"/>
  <c r="T637" i="12"/>
  <c r="T638" i="12"/>
  <c r="T639" i="12"/>
  <c r="T640" i="12"/>
  <c r="T641" i="12"/>
  <c r="X641" i="12" s="1"/>
  <c r="T642" i="12"/>
  <c r="T643" i="12"/>
  <c r="T644" i="12"/>
  <c r="T645" i="12"/>
  <c r="T646" i="12"/>
  <c r="T647" i="12"/>
  <c r="T648" i="12"/>
  <c r="T649" i="12"/>
  <c r="T650" i="12"/>
  <c r="T651" i="12"/>
  <c r="T652" i="12"/>
  <c r="T653" i="12"/>
  <c r="X653" i="12" s="1"/>
  <c r="T654" i="12"/>
  <c r="T655" i="12"/>
  <c r="T656" i="12"/>
  <c r="T657" i="12"/>
  <c r="T658" i="12"/>
  <c r="T659" i="12"/>
  <c r="T660" i="12"/>
  <c r="T661" i="12"/>
  <c r="T662" i="12"/>
  <c r="T663" i="12"/>
  <c r="T664" i="12"/>
  <c r="T665" i="12"/>
  <c r="X665" i="12" s="1"/>
  <c r="T666" i="12"/>
  <c r="T667" i="12"/>
  <c r="T668" i="12"/>
  <c r="T669" i="12"/>
  <c r="T670" i="12"/>
  <c r="T671" i="12"/>
  <c r="T672" i="12"/>
  <c r="T673" i="12"/>
  <c r="T674" i="12"/>
  <c r="T675" i="12"/>
  <c r="T676" i="12"/>
  <c r="T677" i="12"/>
  <c r="X677" i="12" s="1"/>
  <c r="T678" i="12"/>
  <c r="T679" i="12"/>
  <c r="T680" i="12"/>
  <c r="T681" i="12"/>
  <c r="T682" i="12"/>
  <c r="T683" i="12"/>
  <c r="T684" i="12"/>
  <c r="T685" i="12"/>
  <c r="T686" i="12"/>
  <c r="T687" i="12"/>
  <c r="T688" i="12"/>
  <c r="T689" i="12"/>
  <c r="X689" i="12" s="1"/>
  <c r="T690" i="12"/>
  <c r="T691" i="12"/>
  <c r="T692" i="12"/>
  <c r="T693" i="12"/>
  <c r="T694" i="12"/>
  <c r="T695" i="12"/>
  <c r="T696" i="12"/>
  <c r="T697" i="12"/>
  <c r="T698" i="12"/>
  <c r="T699" i="12"/>
  <c r="T700" i="12"/>
  <c r="T701" i="12"/>
  <c r="X701" i="12" s="1"/>
  <c r="T702" i="12"/>
  <c r="T703" i="12"/>
  <c r="T704" i="12"/>
  <c r="T705" i="12"/>
  <c r="T706" i="12"/>
  <c r="T707" i="12"/>
  <c r="T708" i="12"/>
  <c r="T709" i="12"/>
  <c r="T710" i="12"/>
  <c r="T711" i="12"/>
  <c r="T712" i="12"/>
  <c r="T713" i="12"/>
  <c r="X713" i="12" s="1"/>
  <c r="T714" i="12"/>
  <c r="T715" i="12"/>
  <c r="T716" i="12"/>
  <c r="T717" i="12"/>
  <c r="T718" i="12"/>
  <c r="T719" i="12"/>
  <c r="T720" i="12"/>
  <c r="T721" i="12"/>
  <c r="T722" i="12"/>
  <c r="T723" i="12"/>
  <c r="T724" i="12"/>
  <c r="T725" i="12"/>
  <c r="X725" i="12" s="1"/>
  <c r="T726" i="12"/>
  <c r="T727" i="12"/>
  <c r="T728" i="12"/>
  <c r="T729" i="12"/>
  <c r="T730" i="12"/>
  <c r="T731" i="12"/>
  <c r="T732" i="12"/>
  <c r="T733" i="12"/>
  <c r="T734" i="12"/>
  <c r="T735" i="12"/>
  <c r="T736" i="12"/>
  <c r="T737" i="12"/>
  <c r="X737" i="12" s="1"/>
  <c r="T738" i="12"/>
  <c r="T739" i="12"/>
  <c r="T740" i="12"/>
  <c r="T741" i="12"/>
  <c r="T742" i="12"/>
  <c r="T743" i="12"/>
  <c r="T744" i="12"/>
  <c r="T745" i="12"/>
  <c r="T746" i="12"/>
  <c r="T747" i="12"/>
  <c r="T748" i="12"/>
  <c r="T749" i="12"/>
  <c r="X749" i="12" s="1"/>
  <c r="T750" i="12"/>
  <c r="T751" i="12"/>
  <c r="T752" i="12"/>
  <c r="T753" i="12"/>
  <c r="T754" i="12"/>
  <c r="T755" i="12"/>
  <c r="T756" i="12"/>
  <c r="T757" i="12"/>
  <c r="T758" i="12"/>
  <c r="T759" i="12"/>
  <c r="T760" i="12"/>
  <c r="T761" i="12"/>
  <c r="X761" i="12" s="1"/>
  <c r="T762" i="12"/>
  <c r="T763" i="12"/>
  <c r="T764" i="12"/>
  <c r="T765" i="12"/>
  <c r="T766" i="12"/>
  <c r="T767" i="12"/>
  <c r="T768" i="12"/>
  <c r="T769" i="12"/>
  <c r="T770" i="12"/>
  <c r="T771" i="12"/>
  <c r="T772" i="12"/>
  <c r="T773" i="12"/>
  <c r="X773" i="12" s="1"/>
  <c r="T774" i="12"/>
  <c r="T775" i="12"/>
  <c r="T776" i="12"/>
  <c r="T777" i="12"/>
  <c r="T778" i="12"/>
  <c r="T779" i="12"/>
  <c r="T780" i="12"/>
  <c r="T781" i="12"/>
  <c r="T782" i="12"/>
  <c r="T783" i="12"/>
  <c r="T784" i="12"/>
  <c r="T785" i="12"/>
  <c r="X785" i="12" s="1"/>
  <c r="T786" i="12"/>
  <c r="T787" i="12"/>
  <c r="T788" i="12"/>
  <c r="T789" i="12"/>
  <c r="T790" i="12"/>
  <c r="T791" i="12"/>
  <c r="T792" i="12"/>
  <c r="T793" i="12"/>
  <c r="T794" i="12"/>
  <c r="T795" i="12"/>
  <c r="T796" i="12"/>
  <c r="T797" i="12"/>
  <c r="X797" i="12" s="1"/>
  <c r="T798" i="12"/>
  <c r="T799" i="12"/>
  <c r="T800" i="12"/>
  <c r="T801" i="12"/>
  <c r="T802" i="12"/>
  <c r="T803" i="12"/>
  <c r="T804" i="12"/>
  <c r="T805" i="12"/>
  <c r="T806" i="12"/>
  <c r="T807" i="12"/>
  <c r="T808" i="12"/>
  <c r="T809" i="12"/>
  <c r="X809" i="12" s="1"/>
  <c r="T810" i="12"/>
  <c r="T811" i="12"/>
  <c r="T812" i="12"/>
  <c r="T813" i="12"/>
  <c r="T814" i="12"/>
  <c r="T815" i="12"/>
  <c r="T816" i="12"/>
  <c r="T817" i="12"/>
  <c r="T818" i="12"/>
  <c r="T819" i="12"/>
  <c r="T820" i="12"/>
  <c r="T821" i="12"/>
  <c r="X821" i="12" s="1"/>
  <c r="T822" i="12"/>
  <c r="T823" i="12"/>
  <c r="T824" i="12"/>
  <c r="T825" i="12"/>
  <c r="T826" i="12"/>
  <c r="T827" i="12"/>
  <c r="T828" i="12"/>
  <c r="T829" i="12"/>
  <c r="T830" i="12"/>
  <c r="T831" i="12"/>
  <c r="T832" i="12"/>
  <c r="T833" i="12"/>
  <c r="X833" i="12" s="1"/>
  <c r="T834" i="12"/>
  <c r="T835" i="12"/>
  <c r="T836" i="12"/>
  <c r="T837" i="12"/>
  <c r="T838" i="12"/>
  <c r="T839" i="12"/>
  <c r="T840" i="12"/>
  <c r="T841" i="12"/>
  <c r="T842" i="12"/>
  <c r="T843" i="12"/>
  <c r="T844" i="12"/>
  <c r="T845" i="12"/>
  <c r="X845" i="12" s="1"/>
  <c r="T846" i="12"/>
  <c r="T847" i="12"/>
  <c r="T848" i="12"/>
  <c r="T849" i="12"/>
  <c r="T850" i="12"/>
  <c r="T851" i="12"/>
  <c r="T852" i="12"/>
  <c r="T853" i="12"/>
  <c r="T854" i="12"/>
  <c r="T855" i="12"/>
  <c r="T856" i="12"/>
  <c r="T857" i="12"/>
  <c r="X857" i="12" s="1"/>
  <c r="T858" i="12"/>
  <c r="T859" i="12"/>
  <c r="T860" i="12"/>
  <c r="T861" i="12"/>
  <c r="T862" i="12"/>
  <c r="T863" i="12"/>
  <c r="T864" i="12"/>
  <c r="T865" i="12"/>
  <c r="T866" i="12"/>
  <c r="T867" i="12"/>
  <c r="T868" i="12"/>
  <c r="T869" i="12"/>
  <c r="X869" i="12" s="1"/>
  <c r="T870" i="12"/>
  <c r="T871" i="12"/>
  <c r="T872" i="12"/>
  <c r="T873" i="12"/>
  <c r="T874" i="12"/>
  <c r="T875" i="12"/>
  <c r="T876" i="12"/>
  <c r="T877" i="12"/>
  <c r="T878" i="12"/>
  <c r="T879" i="12"/>
  <c r="T880" i="12"/>
  <c r="T881" i="12"/>
  <c r="X881" i="12" s="1"/>
  <c r="T882" i="12"/>
  <c r="T883" i="12"/>
  <c r="T884" i="12"/>
  <c r="T885" i="12"/>
  <c r="T886" i="12"/>
  <c r="T887" i="12"/>
  <c r="T888" i="12"/>
  <c r="T889" i="12"/>
  <c r="T890" i="12"/>
  <c r="T891" i="12"/>
  <c r="T892" i="12"/>
  <c r="T893" i="12"/>
  <c r="X893" i="12" s="1"/>
  <c r="T894" i="12"/>
  <c r="T895" i="12"/>
  <c r="T896" i="12"/>
  <c r="T897" i="12"/>
  <c r="T898" i="12"/>
  <c r="T899" i="12"/>
  <c r="T900" i="12"/>
  <c r="T901" i="12"/>
  <c r="T902" i="12"/>
  <c r="T903" i="12"/>
  <c r="T904" i="12"/>
  <c r="T905" i="12"/>
  <c r="X905" i="12" s="1"/>
  <c r="T906" i="12"/>
  <c r="T907" i="12"/>
  <c r="T908" i="12"/>
  <c r="T909" i="12"/>
  <c r="T910" i="12"/>
  <c r="T911" i="12"/>
  <c r="T912" i="12"/>
  <c r="T913" i="12"/>
  <c r="T914" i="12"/>
  <c r="T915" i="12"/>
  <c r="T916" i="12"/>
  <c r="T917" i="12"/>
  <c r="X917" i="12" s="1"/>
  <c r="T918" i="12"/>
  <c r="T919" i="12"/>
  <c r="T920" i="12"/>
  <c r="T921" i="12"/>
  <c r="T922" i="12"/>
  <c r="T923" i="12"/>
  <c r="T924" i="12"/>
  <c r="T925" i="12"/>
  <c r="T926" i="12"/>
  <c r="T927" i="12"/>
  <c r="T928" i="12"/>
  <c r="T929" i="12"/>
  <c r="X929" i="12" s="1"/>
  <c r="T930" i="12"/>
  <c r="T931" i="12"/>
  <c r="T932" i="12"/>
  <c r="T933" i="12"/>
  <c r="T934" i="12"/>
  <c r="T935" i="12"/>
  <c r="T936" i="12"/>
  <c r="T937" i="12"/>
  <c r="T938" i="12"/>
  <c r="T939" i="12"/>
  <c r="T940" i="12"/>
  <c r="T941" i="12"/>
  <c r="X941" i="12" s="1"/>
  <c r="T942" i="12"/>
  <c r="T943" i="12"/>
  <c r="T944" i="12"/>
  <c r="T945" i="12"/>
  <c r="T946" i="12"/>
  <c r="T947" i="12"/>
  <c r="T948" i="12"/>
  <c r="T949" i="12"/>
  <c r="T950" i="12"/>
  <c r="T951" i="12"/>
  <c r="T952" i="12"/>
  <c r="T953" i="12"/>
  <c r="X953" i="12" s="1"/>
  <c r="T954" i="12"/>
  <c r="T955" i="12"/>
  <c r="T956" i="12"/>
  <c r="T957" i="12"/>
  <c r="T958" i="12"/>
  <c r="T959" i="12"/>
  <c r="T960" i="12"/>
  <c r="T961" i="12"/>
  <c r="T962" i="12"/>
  <c r="T963" i="12"/>
  <c r="T964" i="12"/>
  <c r="T965" i="12"/>
  <c r="X965" i="12" s="1"/>
  <c r="T966" i="12"/>
  <c r="T967" i="12"/>
  <c r="T968" i="12"/>
  <c r="T969" i="12"/>
  <c r="T970" i="12"/>
  <c r="T971" i="12"/>
  <c r="T972" i="12"/>
  <c r="T973" i="12"/>
  <c r="T974" i="12"/>
  <c r="T975" i="12"/>
  <c r="T976" i="12"/>
  <c r="T977" i="12"/>
  <c r="X977" i="12" s="1"/>
  <c r="T978" i="12"/>
  <c r="T979" i="12"/>
  <c r="T980" i="12"/>
  <c r="T981" i="12"/>
  <c r="T982" i="12"/>
  <c r="T983" i="12"/>
  <c r="T984" i="12"/>
  <c r="T985" i="12"/>
  <c r="T986" i="12"/>
  <c r="T987" i="12"/>
  <c r="T988" i="12"/>
  <c r="T989" i="12"/>
  <c r="X989" i="12" s="1"/>
  <c r="T990" i="12"/>
  <c r="T991" i="12"/>
  <c r="T992" i="12"/>
  <c r="T993" i="12"/>
  <c r="T994" i="12"/>
  <c r="T995" i="12"/>
  <c r="T996" i="12"/>
  <c r="T997" i="12"/>
  <c r="T998" i="12"/>
  <c r="T999" i="12"/>
  <c r="T1000" i="12"/>
  <c r="T1001" i="12"/>
  <c r="X1001" i="12" s="1"/>
  <c r="T1002" i="12"/>
  <c r="T1003" i="12"/>
  <c r="T1004" i="12"/>
  <c r="T1005" i="12"/>
  <c r="T1006" i="12"/>
  <c r="T1007" i="12"/>
  <c r="T1008" i="12"/>
  <c r="T1009" i="12"/>
  <c r="T1010" i="12"/>
  <c r="T1011" i="12"/>
  <c r="T1012" i="12"/>
  <c r="T1013" i="12"/>
  <c r="X1013" i="12" s="1"/>
  <c r="T1014" i="12"/>
  <c r="T1015" i="12"/>
  <c r="T1016" i="12"/>
  <c r="T1017" i="12"/>
  <c r="T1018" i="12"/>
  <c r="T1019" i="12"/>
  <c r="T1020" i="12"/>
  <c r="T1021" i="12"/>
  <c r="T1022" i="12"/>
  <c r="T1023" i="12"/>
  <c r="T1024" i="12"/>
  <c r="T1025" i="12"/>
  <c r="X1025" i="12" s="1"/>
  <c r="T1026" i="12"/>
  <c r="T1027" i="12"/>
  <c r="T1028" i="12"/>
  <c r="T1029" i="12"/>
  <c r="T1030" i="12"/>
  <c r="T1031" i="12"/>
  <c r="T1032" i="12"/>
  <c r="T1033" i="12"/>
  <c r="T1034" i="12"/>
  <c r="T1035" i="12"/>
  <c r="T1036" i="12"/>
  <c r="T1037" i="12"/>
  <c r="X1037" i="12" s="1"/>
  <c r="T1038" i="12"/>
  <c r="T1039" i="12"/>
  <c r="T1040" i="12"/>
  <c r="T1041" i="12"/>
  <c r="T1042" i="12"/>
  <c r="T1043" i="12"/>
  <c r="T1044" i="12"/>
  <c r="T1045" i="12"/>
  <c r="T1046" i="12"/>
  <c r="T1047" i="12"/>
  <c r="T1048" i="12"/>
  <c r="T1049" i="12"/>
  <c r="X1049" i="12" s="1"/>
  <c r="T1050" i="12"/>
  <c r="T1051" i="12"/>
  <c r="T1052" i="12"/>
  <c r="T1053" i="12"/>
  <c r="T1054" i="12"/>
  <c r="T1055" i="12"/>
  <c r="T1056" i="12"/>
  <c r="T1057" i="12"/>
  <c r="T1058" i="12"/>
  <c r="T1059" i="12"/>
  <c r="T1060" i="12"/>
  <c r="T1061" i="12"/>
  <c r="X1061" i="12" s="1"/>
  <c r="T1062" i="12"/>
  <c r="T1063" i="12"/>
  <c r="T1064" i="12"/>
  <c r="T1065" i="12"/>
  <c r="T1066" i="12"/>
  <c r="T1067" i="12"/>
  <c r="T1068" i="12"/>
  <c r="T1069" i="12"/>
  <c r="T1070" i="12"/>
  <c r="T1071" i="12"/>
  <c r="T1072" i="12"/>
  <c r="T1073" i="12"/>
  <c r="X1073" i="12" s="1"/>
  <c r="T1074" i="12"/>
  <c r="T1075" i="12"/>
  <c r="T1076" i="12"/>
  <c r="T1077" i="12"/>
  <c r="T1078" i="12"/>
  <c r="T1079" i="12"/>
  <c r="T1080" i="12"/>
  <c r="T1081" i="12"/>
  <c r="T1082" i="12"/>
  <c r="T1083" i="12"/>
  <c r="T1084" i="12"/>
  <c r="T1085" i="12"/>
  <c r="X1085" i="12" s="1"/>
  <c r="T1086" i="12"/>
  <c r="T1087" i="12"/>
  <c r="T1088" i="12"/>
  <c r="T1089" i="12"/>
  <c r="T1090" i="12"/>
  <c r="T1091" i="12"/>
  <c r="T1092" i="12"/>
  <c r="T1093" i="12"/>
  <c r="T1094" i="12"/>
  <c r="T1095" i="12"/>
  <c r="T1096" i="12"/>
  <c r="T1097" i="12"/>
  <c r="X1097" i="12" s="1"/>
  <c r="T1098" i="12"/>
  <c r="T1099" i="12"/>
  <c r="T1100" i="12"/>
  <c r="T1101" i="12"/>
  <c r="T1102" i="12"/>
  <c r="T1103" i="12"/>
  <c r="T1104" i="12"/>
  <c r="T1105" i="12"/>
  <c r="T1106" i="12"/>
  <c r="T1107" i="12"/>
  <c r="T1108" i="12"/>
  <c r="T1109" i="12"/>
  <c r="X1109" i="12" s="1"/>
  <c r="T1110" i="12"/>
  <c r="T1111" i="12"/>
  <c r="T1112" i="12"/>
  <c r="T1113" i="12"/>
  <c r="T1114" i="12"/>
  <c r="T1115" i="12"/>
  <c r="T1116" i="12"/>
  <c r="T1117" i="12"/>
  <c r="T1118" i="12"/>
  <c r="T1119" i="12"/>
  <c r="T1120" i="12"/>
  <c r="T1121" i="12"/>
  <c r="X1121" i="12" s="1"/>
  <c r="T1122" i="12"/>
  <c r="T1123" i="12"/>
  <c r="T1124" i="12"/>
  <c r="T1125" i="12"/>
  <c r="T1126" i="12"/>
  <c r="T1127" i="12"/>
  <c r="T1128" i="12"/>
  <c r="T1129" i="12"/>
  <c r="T1130" i="12"/>
  <c r="T1131" i="12"/>
  <c r="T1132" i="12"/>
  <c r="T1133" i="12"/>
  <c r="X1133" i="12" s="1"/>
  <c r="T1134" i="12"/>
  <c r="T1135" i="12"/>
  <c r="T1136" i="12"/>
  <c r="T1137" i="12"/>
  <c r="T1138" i="12"/>
  <c r="T1139" i="12"/>
  <c r="T1140" i="12"/>
  <c r="T1141" i="12"/>
  <c r="T1142" i="12"/>
  <c r="T1143" i="12"/>
  <c r="T1144" i="12"/>
  <c r="T1145" i="12"/>
  <c r="X1145" i="12" s="1"/>
  <c r="T1146" i="12"/>
  <c r="T1147" i="12"/>
  <c r="T1148" i="12"/>
  <c r="T1149" i="12"/>
  <c r="T1150" i="12"/>
  <c r="T1151" i="12"/>
  <c r="T1152" i="12"/>
  <c r="T1153" i="12"/>
  <c r="T1154" i="12"/>
  <c r="T1155" i="12"/>
  <c r="T1156" i="12"/>
  <c r="T1157" i="12"/>
  <c r="X1157" i="12" s="1"/>
  <c r="T1158" i="12"/>
  <c r="T1159" i="12"/>
  <c r="T1160" i="12"/>
  <c r="T1161" i="12"/>
  <c r="T1162" i="12"/>
  <c r="T1163" i="12"/>
  <c r="T1164" i="12"/>
  <c r="T1165" i="12"/>
  <c r="T1166" i="12"/>
  <c r="T1167" i="12"/>
  <c r="T1168" i="12"/>
  <c r="T1169" i="12"/>
  <c r="X1169" i="12" s="1"/>
  <c r="T1170" i="12"/>
  <c r="T1171" i="12"/>
  <c r="T1172" i="12"/>
  <c r="T1173" i="12"/>
  <c r="T1174" i="12"/>
  <c r="T1175" i="12"/>
  <c r="T1176" i="12"/>
  <c r="T1177" i="12"/>
  <c r="T1178" i="12"/>
  <c r="T1179" i="12"/>
  <c r="T1180" i="12"/>
  <c r="T1181" i="12"/>
  <c r="X1181" i="12" s="1"/>
  <c r="T1182" i="12"/>
  <c r="T1183" i="12"/>
  <c r="T1184" i="12"/>
  <c r="T1185" i="12"/>
  <c r="T1186" i="12"/>
  <c r="T1187" i="12"/>
  <c r="T1188" i="12"/>
  <c r="T1189" i="12"/>
  <c r="T1190" i="12"/>
  <c r="T1191" i="12"/>
  <c r="T1192" i="12"/>
  <c r="T1193" i="12"/>
  <c r="X1193" i="12" s="1"/>
  <c r="T1194" i="12"/>
  <c r="T1195" i="12"/>
  <c r="T1196" i="12"/>
  <c r="T1197" i="12"/>
  <c r="T1198" i="12"/>
  <c r="T1199" i="12"/>
  <c r="T1200" i="12"/>
  <c r="T1201" i="12"/>
  <c r="T1202" i="12"/>
  <c r="T1203" i="12"/>
  <c r="T1204" i="12"/>
  <c r="T1205" i="12"/>
  <c r="X1205" i="12" s="1"/>
  <c r="T1206" i="12"/>
  <c r="T1207" i="12"/>
  <c r="T1208" i="12"/>
  <c r="T1209" i="12"/>
  <c r="T1210" i="12"/>
  <c r="T1211" i="12"/>
  <c r="T1212" i="12"/>
  <c r="T1213" i="12"/>
  <c r="T1214" i="12"/>
  <c r="T1215" i="12"/>
  <c r="T1216" i="12"/>
  <c r="T1217" i="12"/>
  <c r="X1217" i="12" s="1"/>
  <c r="T1218" i="12"/>
  <c r="T1219" i="12"/>
  <c r="T1220" i="12"/>
  <c r="T1221" i="12"/>
  <c r="T1222" i="12"/>
  <c r="T1223" i="12"/>
  <c r="T1224" i="12"/>
  <c r="T1225" i="12"/>
  <c r="T1226" i="12"/>
  <c r="T1227" i="12"/>
  <c r="T1228" i="12"/>
  <c r="T1229" i="12"/>
  <c r="X1229" i="12" s="1"/>
  <c r="T1230" i="12"/>
  <c r="T1231" i="12"/>
  <c r="T1232" i="12"/>
  <c r="T1233" i="12"/>
  <c r="T1234" i="12"/>
  <c r="T1235" i="12"/>
  <c r="T1236" i="12"/>
  <c r="T1237" i="12"/>
  <c r="T1238" i="12"/>
  <c r="T1239" i="12"/>
  <c r="T1240" i="12"/>
  <c r="T1241" i="12"/>
  <c r="X1241" i="12" s="1"/>
  <c r="T1242" i="12"/>
  <c r="T1243" i="12"/>
  <c r="T1244" i="12"/>
  <c r="T1245" i="12"/>
  <c r="T1246" i="12"/>
  <c r="T1247" i="12"/>
  <c r="T1248" i="12"/>
  <c r="T1249" i="12"/>
  <c r="T1250" i="12"/>
  <c r="T1251" i="12"/>
  <c r="T1252" i="12"/>
  <c r="T1253" i="12"/>
  <c r="X1253" i="12" s="1"/>
  <c r="T1254" i="12"/>
  <c r="T1255" i="12"/>
  <c r="T1256" i="12"/>
  <c r="T1257" i="12"/>
  <c r="T1258" i="12"/>
  <c r="T1259" i="12"/>
  <c r="T1260" i="12"/>
  <c r="T1261" i="12"/>
  <c r="T1262" i="12"/>
  <c r="T1263" i="12"/>
  <c r="T1264" i="12"/>
  <c r="T1265" i="12"/>
  <c r="X1265" i="12" s="1"/>
  <c r="T1266" i="12"/>
  <c r="T1267" i="12"/>
  <c r="T1268" i="12"/>
  <c r="T1269" i="12"/>
  <c r="T1270" i="12"/>
  <c r="T1271" i="12"/>
  <c r="T1272" i="12"/>
  <c r="T1273" i="12"/>
  <c r="T1274" i="12"/>
  <c r="T1275" i="12"/>
  <c r="T1276" i="12"/>
  <c r="T1277" i="12"/>
  <c r="X1277" i="12" s="1"/>
  <c r="T1278" i="12"/>
  <c r="T1279" i="12"/>
  <c r="T1280" i="12"/>
  <c r="T1281" i="12"/>
  <c r="T1282" i="12"/>
  <c r="T1283" i="12"/>
  <c r="T1284" i="12"/>
  <c r="T1285" i="12"/>
  <c r="T1286" i="12"/>
  <c r="T1287" i="12"/>
  <c r="T1288" i="12"/>
  <c r="T1289" i="12"/>
  <c r="X1289" i="12" s="1"/>
  <c r="T1290" i="12"/>
  <c r="T1291" i="12"/>
  <c r="T1292" i="12"/>
  <c r="T1293" i="12"/>
  <c r="T1294" i="12"/>
  <c r="T1295" i="12"/>
  <c r="T1296" i="12"/>
  <c r="T1297" i="12"/>
  <c r="T1298" i="12"/>
  <c r="T1299" i="12"/>
  <c r="T1300" i="12"/>
  <c r="T1301" i="12"/>
  <c r="X1301" i="12" s="1"/>
  <c r="T1302" i="12"/>
  <c r="T1303" i="12"/>
  <c r="T1304" i="12"/>
  <c r="T1305" i="12"/>
  <c r="T1306" i="12"/>
  <c r="T1307" i="12"/>
  <c r="T1308" i="12"/>
  <c r="T1309" i="12"/>
  <c r="T1310" i="12"/>
  <c r="T1311" i="12"/>
  <c r="T1312" i="12"/>
  <c r="T1313" i="12"/>
  <c r="X1313" i="12" s="1"/>
  <c r="T1314" i="12"/>
  <c r="T1315" i="12"/>
  <c r="T1316" i="12"/>
  <c r="T1317" i="12"/>
  <c r="T1318" i="12"/>
  <c r="T1319" i="12"/>
  <c r="T1320" i="12"/>
  <c r="T1321" i="12"/>
  <c r="T1322" i="12"/>
  <c r="T1323" i="12"/>
  <c r="T1324" i="12"/>
  <c r="T1325" i="12"/>
  <c r="X1325" i="12" s="1"/>
  <c r="T1326" i="12"/>
  <c r="T1327" i="12"/>
  <c r="T1328" i="12"/>
  <c r="T1329" i="12"/>
  <c r="T1330" i="12"/>
  <c r="T1331" i="12"/>
  <c r="T1332" i="12"/>
  <c r="T1333" i="12"/>
  <c r="T1334" i="12"/>
  <c r="T1335" i="12"/>
  <c r="T1336" i="12"/>
  <c r="T1337" i="12"/>
  <c r="X1337" i="12" s="1"/>
  <c r="T1338" i="12"/>
  <c r="T1339" i="12"/>
  <c r="T1340" i="12"/>
  <c r="T1341" i="12"/>
  <c r="T1342" i="12"/>
  <c r="T1343" i="12"/>
  <c r="T1344" i="12"/>
  <c r="T1345" i="12"/>
  <c r="T1346" i="12"/>
  <c r="T1347" i="12"/>
  <c r="T1348" i="12"/>
  <c r="T1349" i="12"/>
  <c r="X1349" i="12" s="1"/>
  <c r="T1350" i="12"/>
  <c r="T1351" i="12"/>
  <c r="T1352" i="12"/>
  <c r="T1353" i="12"/>
  <c r="T1354" i="12"/>
  <c r="T1355" i="12"/>
  <c r="T1356" i="12"/>
  <c r="T1357" i="12"/>
  <c r="T1358" i="12"/>
  <c r="T1359" i="12"/>
  <c r="T1360" i="12"/>
  <c r="T1361" i="12"/>
  <c r="X1361" i="12" s="1"/>
  <c r="T1362" i="12"/>
  <c r="T1363" i="12"/>
  <c r="T1364" i="12"/>
  <c r="T1365" i="12"/>
  <c r="T1366" i="12"/>
  <c r="T1367" i="12"/>
  <c r="T1368" i="12"/>
  <c r="T1369" i="12"/>
  <c r="T1370" i="12"/>
  <c r="T1371" i="12"/>
  <c r="T1372" i="12"/>
  <c r="T1373" i="12"/>
  <c r="X1373" i="12" s="1"/>
  <c r="T1374" i="12"/>
  <c r="T1375" i="12"/>
  <c r="T1376" i="12"/>
  <c r="T1377" i="12"/>
  <c r="T1378" i="12"/>
  <c r="T1379" i="12"/>
  <c r="T1380" i="12"/>
  <c r="T1381" i="12"/>
  <c r="T1382" i="12"/>
  <c r="T1383" i="12"/>
  <c r="T1384" i="12"/>
  <c r="T1385" i="12"/>
  <c r="X1385" i="12" s="1"/>
  <c r="T1386" i="12"/>
  <c r="T1387" i="12"/>
  <c r="T1388" i="12"/>
  <c r="T1389" i="12"/>
  <c r="T1390" i="12"/>
  <c r="T1391" i="12"/>
  <c r="T1392" i="12"/>
  <c r="T1393" i="12"/>
  <c r="T1394" i="12"/>
  <c r="T1395" i="12"/>
  <c r="T1396" i="12"/>
  <c r="T1397" i="12"/>
  <c r="X1397" i="12" s="1"/>
  <c r="T1398" i="12"/>
  <c r="T1399" i="12"/>
  <c r="T1400" i="12"/>
  <c r="T1401" i="12"/>
  <c r="T1402" i="12"/>
  <c r="T1403" i="12"/>
  <c r="T1404" i="12"/>
  <c r="T1405" i="12"/>
  <c r="T1406" i="12"/>
  <c r="T1407" i="12"/>
  <c r="T1408" i="12"/>
  <c r="T1409" i="12"/>
  <c r="X1409" i="12" s="1"/>
  <c r="T1410" i="12"/>
  <c r="T1411" i="12"/>
  <c r="T1412" i="12"/>
  <c r="T1413" i="12"/>
  <c r="T1414" i="12"/>
  <c r="T1415" i="12"/>
  <c r="T1416" i="12"/>
  <c r="T1417" i="12"/>
  <c r="T1418" i="12"/>
  <c r="T1419" i="12"/>
  <c r="T1420" i="12"/>
  <c r="T1421" i="12"/>
  <c r="X1421" i="12" s="1"/>
  <c r="T1422" i="12"/>
  <c r="T1423" i="12"/>
  <c r="T1424" i="12"/>
  <c r="T1425" i="12"/>
  <c r="T1426" i="12"/>
  <c r="T1427" i="12"/>
  <c r="T1428" i="12"/>
  <c r="T1429" i="12"/>
  <c r="T1430" i="12"/>
  <c r="T1431" i="12"/>
  <c r="T1432" i="12"/>
  <c r="T1433" i="12"/>
  <c r="X1433" i="12" s="1"/>
  <c r="T1434" i="12"/>
  <c r="T1435" i="12"/>
  <c r="T1436" i="12"/>
  <c r="T1437" i="12"/>
  <c r="T1438" i="12"/>
  <c r="T1439" i="12"/>
  <c r="T1440" i="12"/>
  <c r="T1441" i="12"/>
  <c r="T1442" i="12"/>
  <c r="T1443" i="12"/>
  <c r="T1444" i="12"/>
  <c r="T1445" i="12"/>
  <c r="X1445" i="12" s="1"/>
  <c r="T1446" i="12"/>
  <c r="T1447" i="12"/>
  <c r="T1448" i="12"/>
  <c r="T1449" i="12"/>
  <c r="T1450" i="12"/>
  <c r="T1451" i="12"/>
  <c r="T1452" i="12"/>
  <c r="T1453" i="12"/>
  <c r="T1454" i="12"/>
  <c r="T1455" i="12"/>
  <c r="T1456" i="12"/>
  <c r="T1457" i="12"/>
  <c r="X1457" i="12" s="1"/>
  <c r="T1458" i="12"/>
  <c r="T1459" i="12"/>
  <c r="T1460" i="12"/>
  <c r="T1461" i="12"/>
  <c r="T1462" i="12"/>
  <c r="T1463" i="12"/>
  <c r="T1464" i="12"/>
  <c r="T1465" i="12"/>
  <c r="T1466" i="12"/>
  <c r="T1467" i="12"/>
  <c r="T1468" i="12"/>
  <c r="T1469" i="12"/>
  <c r="X1469" i="12" s="1"/>
  <c r="T1470" i="12"/>
  <c r="T1471" i="12"/>
  <c r="T1472" i="12"/>
  <c r="T1473" i="12"/>
  <c r="T1474" i="12"/>
  <c r="T1475" i="12"/>
  <c r="T1476" i="12"/>
  <c r="T1477" i="12"/>
  <c r="T1478" i="12"/>
  <c r="T1479" i="12"/>
  <c r="T1480" i="12"/>
  <c r="T1481" i="12"/>
  <c r="X1481" i="12" s="1"/>
  <c r="T1482" i="12"/>
  <c r="T1483" i="12"/>
  <c r="T1484" i="12"/>
  <c r="T1485" i="12"/>
  <c r="T1486" i="12"/>
  <c r="T1487" i="12"/>
  <c r="T1488" i="12"/>
  <c r="T1489" i="12"/>
  <c r="T1490" i="12"/>
  <c r="T1491" i="12"/>
  <c r="T1492" i="12"/>
  <c r="T1493" i="12"/>
  <c r="X1493" i="12" s="1"/>
  <c r="T1494" i="12"/>
  <c r="T1495" i="12"/>
  <c r="T1496" i="12"/>
  <c r="T1497" i="12"/>
  <c r="T1498" i="12"/>
  <c r="T1499" i="12"/>
  <c r="T1500" i="12"/>
  <c r="T1501" i="12"/>
  <c r="T1502" i="12"/>
  <c r="T1503" i="12"/>
  <c r="T1504" i="12"/>
  <c r="T1505" i="12"/>
  <c r="X1505" i="12" s="1"/>
  <c r="T1506" i="12"/>
  <c r="T1507" i="12"/>
  <c r="T1508" i="12"/>
  <c r="T1509" i="12"/>
  <c r="T1510" i="12"/>
  <c r="T1511" i="12"/>
  <c r="T1512" i="12"/>
  <c r="T1513" i="12"/>
  <c r="T1514" i="12"/>
  <c r="T1515" i="12"/>
  <c r="T1516" i="12"/>
  <c r="T1517" i="12"/>
  <c r="X1517" i="12" s="1"/>
  <c r="T1518" i="12"/>
  <c r="T1519" i="12"/>
  <c r="T1520" i="12"/>
  <c r="T1521" i="12"/>
  <c r="T1522" i="12"/>
  <c r="T1523" i="12"/>
  <c r="T1524" i="12"/>
  <c r="T1525" i="12"/>
  <c r="T1526" i="12"/>
  <c r="T1527" i="12"/>
  <c r="T1528" i="12"/>
  <c r="T1529" i="12"/>
  <c r="X1529" i="12" s="1"/>
  <c r="T1530" i="12"/>
  <c r="T1531" i="12"/>
  <c r="T1532" i="12"/>
  <c r="T1533" i="12"/>
  <c r="T1534" i="12"/>
  <c r="T1535" i="12"/>
  <c r="T1536" i="12"/>
  <c r="T1537" i="12"/>
  <c r="T1538" i="12"/>
  <c r="T1539" i="12"/>
  <c r="T1540" i="12"/>
  <c r="T1541" i="12"/>
  <c r="X1541" i="12" s="1"/>
  <c r="T1542" i="12"/>
  <c r="T1543" i="12"/>
  <c r="T1544" i="12"/>
  <c r="T1545" i="12"/>
  <c r="T1546" i="12"/>
  <c r="T1547" i="12"/>
  <c r="T1548" i="12"/>
  <c r="T1549" i="12"/>
  <c r="T1550" i="12"/>
  <c r="T1551" i="12"/>
  <c r="T1552" i="12"/>
  <c r="T1553" i="12"/>
  <c r="X1553" i="12" s="1"/>
  <c r="T1554" i="12"/>
  <c r="T1555" i="12"/>
  <c r="T1556" i="12"/>
  <c r="T1557" i="12"/>
  <c r="T1558" i="12"/>
  <c r="T1559" i="12"/>
  <c r="T1560" i="12"/>
  <c r="T1561" i="12"/>
  <c r="T1562" i="12"/>
  <c r="T1563" i="12"/>
  <c r="T1564" i="12"/>
  <c r="T1565" i="12"/>
  <c r="X1565" i="12" s="1"/>
  <c r="T1566" i="12"/>
  <c r="T1567" i="12"/>
  <c r="T1568" i="12"/>
  <c r="T1569" i="12"/>
  <c r="T1570" i="12"/>
  <c r="T1571" i="12"/>
  <c r="T1572" i="12"/>
  <c r="T1573" i="12"/>
  <c r="T1574" i="12"/>
  <c r="T1575" i="12"/>
  <c r="T1576" i="12"/>
  <c r="T1577" i="12"/>
  <c r="X1577" i="12" s="1"/>
  <c r="T1578" i="12"/>
  <c r="T1579" i="12"/>
  <c r="T1580" i="12"/>
  <c r="T1581" i="12"/>
  <c r="T1582" i="12"/>
  <c r="T1583" i="12"/>
  <c r="T1584" i="12"/>
  <c r="T1585" i="12"/>
  <c r="T1586" i="12"/>
  <c r="T1587" i="12"/>
  <c r="T1588" i="12"/>
  <c r="T1589" i="12"/>
  <c r="X1589" i="12" s="1"/>
  <c r="T1590" i="12"/>
  <c r="T1591" i="12"/>
  <c r="T1592" i="12"/>
  <c r="T1593" i="12"/>
  <c r="T1594" i="12"/>
  <c r="T1595" i="12"/>
  <c r="T1596" i="12"/>
  <c r="T1597" i="12"/>
  <c r="T1598" i="12"/>
  <c r="T1599" i="12"/>
  <c r="T1600" i="12"/>
  <c r="T1601" i="12"/>
  <c r="X1601" i="12" s="1"/>
  <c r="T1602" i="12"/>
  <c r="T1603" i="12"/>
  <c r="T1604" i="12"/>
  <c r="T1605" i="12"/>
  <c r="T1606" i="12"/>
  <c r="T1607" i="12"/>
  <c r="T1608" i="12"/>
  <c r="T1609" i="12"/>
  <c r="T1610" i="12"/>
  <c r="T1611" i="12"/>
  <c r="T1612" i="12"/>
  <c r="T1613" i="12"/>
  <c r="X1613" i="12" s="1"/>
  <c r="T1614" i="12"/>
  <c r="T1615" i="12"/>
  <c r="T1616" i="12"/>
  <c r="T1617" i="12"/>
  <c r="T1618" i="12"/>
  <c r="T1619" i="12"/>
  <c r="T1620" i="12"/>
  <c r="T1621" i="12"/>
  <c r="T1622" i="12"/>
  <c r="T1623" i="12"/>
  <c r="T1624" i="12"/>
  <c r="T1625" i="12"/>
  <c r="X1625" i="12" s="1"/>
  <c r="T1626" i="12"/>
  <c r="T1627" i="12"/>
  <c r="T1628" i="12"/>
  <c r="T1629" i="12"/>
  <c r="T1630" i="12"/>
  <c r="T1631" i="12"/>
  <c r="T1632" i="12"/>
  <c r="T1633" i="12"/>
  <c r="T1634" i="12"/>
  <c r="T1635" i="12"/>
  <c r="T1636" i="12"/>
  <c r="T1637" i="12"/>
  <c r="X1637" i="12" s="1"/>
  <c r="T1638" i="12"/>
  <c r="T1639" i="12"/>
  <c r="T1640" i="12"/>
  <c r="T1641" i="12"/>
  <c r="T1642" i="12"/>
  <c r="T1643" i="12"/>
  <c r="T1644" i="12"/>
  <c r="T1645" i="12"/>
  <c r="T1646" i="12"/>
  <c r="T1647" i="12"/>
  <c r="T1648" i="12"/>
  <c r="T1649" i="12"/>
  <c r="X1649" i="12" s="1"/>
  <c r="T1650" i="12"/>
  <c r="T1651" i="12"/>
  <c r="T1652" i="12"/>
  <c r="T1653" i="12"/>
  <c r="T1654" i="12"/>
  <c r="T1655" i="12"/>
  <c r="T1656" i="12"/>
  <c r="T1657" i="12"/>
  <c r="T1658" i="12"/>
  <c r="T1659" i="12"/>
  <c r="T1660" i="12"/>
  <c r="T1661" i="12"/>
  <c r="X1661" i="12" s="1"/>
  <c r="T1662" i="12"/>
  <c r="T1663" i="12"/>
  <c r="T1664" i="12"/>
  <c r="T1665" i="12"/>
  <c r="T1666" i="12"/>
  <c r="T1667" i="12"/>
  <c r="T1668" i="12"/>
  <c r="T1669" i="12"/>
  <c r="T1670" i="12"/>
  <c r="T1671" i="12"/>
  <c r="T1672" i="12"/>
  <c r="T1673" i="12"/>
  <c r="X1673" i="12" s="1"/>
  <c r="T1674" i="12"/>
  <c r="T1675" i="12"/>
  <c r="T1676" i="12"/>
  <c r="T1677" i="12"/>
  <c r="T1678" i="12"/>
  <c r="T1679" i="12"/>
  <c r="T1680" i="12"/>
  <c r="T1681" i="12"/>
  <c r="T1682" i="12"/>
  <c r="T1683" i="12"/>
  <c r="T1684" i="12"/>
  <c r="T1685" i="12"/>
  <c r="X1685" i="12" s="1"/>
  <c r="T1686" i="12"/>
  <c r="T1687" i="12"/>
  <c r="T1688" i="12"/>
  <c r="T1689" i="12"/>
  <c r="T1690" i="12"/>
  <c r="T1691" i="12"/>
  <c r="T1692" i="12"/>
  <c r="T1693" i="12"/>
  <c r="T1694" i="12"/>
  <c r="T1695" i="12"/>
  <c r="T1696" i="12"/>
  <c r="T1697" i="12"/>
  <c r="X1697" i="12" s="1"/>
  <c r="T1698" i="12"/>
  <c r="T1699" i="12"/>
  <c r="T1700" i="12"/>
  <c r="T1701" i="12"/>
  <c r="T1702" i="12"/>
  <c r="T1703" i="12"/>
  <c r="T1704" i="12"/>
  <c r="T1705" i="12"/>
  <c r="T1706" i="12"/>
  <c r="T1707" i="12"/>
  <c r="T1708" i="12"/>
  <c r="T1709" i="12"/>
  <c r="X1709" i="12" s="1"/>
  <c r="T1710" i="12"/>
  <c r="T1711" i="12"/>
  <c r="T1712" i="12"/>
  <c r="T1713" i="12"/>
  <c r="T1714" i="12"/>
  <c r="T1715" i="12"/>
  <c r="T1716" i="12"/>
  <c r="T1717" i="12"/>
  <c r="T1718" i="12"/>
  <c r="T1719" i="12"/>
  <c r="T1720" i="12"/>
  <c r="T1721" i="12"/>
  <c r="X1721" i="12" s="1"/>
  <c r="T1722" i="12"/>
  <c r="T1723" i="12"/>
  <c r="T1724" i="12"/>
  <c r="T1725" i="12"/>
  <c r="T1726" i="12"/>
  <c r="T1727" i="12"/>
  <c r="T1728" i="12"/>
  <c r="T1729" i="12"/>
  <c r="T1730" i="12"/>
  <c r="T1731" i="12"/>
  <c r="T1732" i="12"/>
  <c r="T1733" i="12"/>
  <c r="X1733" i="12" s="1"/>
  <c r="T1734" i="12"/>
  <c r="T1735" i="12"/>
  <c r="T1736" i="12"/>
  <c r="T1737" i="12"/>
  <c r="T1738" i="12"/>
  <c r="T1739" i="12"/>
  <c r="T1740" i="12"/>
  <c r="T1741" i="12"/>
  <c r="T1742" i="12"/>
  <c r="T1743" i="12"/>
  <c r="T1744" i="12"/>
  <c r="T1745" i="12"/>
  <c r="X1745" i="12" s="1"/>
  <c r="T1746" i="12"/>
  <c r="T1747" i="12"/>
  <c r="T1748" i="12"/>
  <c r="T1749" i="12"/>
  <c r="T1750" i="12"/>
  <c r="T1751" i="12"/>
  <c r="T1752" i="12"/>
  <c r="T1753" i="12"/>
  <c r="T1754" i="12"/>
  <c r="T1755" i="12"/>
  <c r="T1756" i="12"/>
  <c r="T1757" i="12"/>
  <c r="X1757" i="12" s="1"/>
  <c r="T1758" i="12"/>
  <c r="T1759" i="12"/>
  <c r="T1760" i="12"/>
  <c r="T1761" i="12"/>
  <c r="T1762" i="12"/>
  <c r="T1763" i="12"/>
  <c r="T1764" i="12"/>
  <c r="T1765" i="12"/>
  <c r="T1766" i="12"/>
  <c r="T1767" i="12"/>
  <c r="T1768" i="12"/>
  <c r="T1769" i="12"/>
  <c r="X1769" i="12" s="1"/>
  <c r="T1770" i="12"/>
  <c r="T1771" i="12"/>
  <c r="T1772" i="12"/>
  <c r="T1773" i="12"/>
  <c r="T1774" i="12"/>
  <c r="T1775" i="12"/>
  <c r="T1776" i="12"/>
  <c r="T1777" i="12"/>
  <c r="T1778" i="12"/>
  <c r="T1779" i="12"/>
  <c r="T1780" i="12"/>
  <c r="T1781" i="12"/>
  <c r="X1781" i="12" s="1"/>
  <c r="T1782" i="12"/>
  <c r="T1783" i="12"/>
  <c r="T1784" i="12"/>
  <c r="T1785" i="12"/>
  <c r="T1786" i="12"/>
  <c r="T1787" i="12"/>
  <c r="T1788" i="12"/>
  <c r="T1789" i="12"/>
  <c r="T1790" i="12"/>
  <c r="T1791" i="12"/>
  <c r="T1792" i="12"/>
  <c r="T1793" i="12"/>
  <c r="X1793" i="12" s="1"/>
  <c r="T1794" i="12"/>
  <c r="T1795" i="12"/>
  <c r="T1796" i="12"/>
  <c r="T1797" i="12"/>
  <c r="T1798" i="12"/>
  <c r="T1799" i="12"/>
  <c r="T1800" i="12"/>
  <c r="T1801" i="12"/>
  <c r="T1802" i="12"/>
  <c r="T1803" i="12"/>
  <c r="T1804" i="12"/>
  <c r="T1805" i="12"/>
  <c r="X1805" i="12" s="1"/>
  <c r="T1806" i="12"/>
  <c r="T1807" i="12"/>
  <c r="T1808" i="12"/>
  <c r="T1809" i="12"/>
  <c r="T1810" i="12"/>
  <c r="T1811" i="12"/>
  <c r="T1812" i="12"/>
  <c r="T1813" i="12"/>
  <c r="T1814" i="12"/>
  <c r="T1815" i="12"/>
  <c r="T1816" i="12"/>
  <c r="T1817" i="12"/>
  <c r="X1817" i="12" s="1"/>
  <c r="T1818" i="12"/>
  <c r="T1819" i="12"/>
  <c r="T1820" i="12"/>
  <c r="T1821" i="12"/>
  <c r="T1822" i="12"/>
  <c r="T1823" i="12"/>
  <c r="T1824" i="12"/>
  <c r="T1825" i="12"/>
  <c r="T1826" i="12"/>
  <c r="T1827" i="12"/>
  <c r="T1828" i="12"/>
  <c r="T1829" i="12"/>
  <c r="X1829" i="12" s="1"/>
  <c r="T1830" i="12"/>
  <c r="T1831" i="12"/>
  <c r="T1832" i="12"/>
  <c r="T1833" i="12"/>
  <c r="T1834" i="12"/>
  <c r="T1835" i="12"/>
  <c r="T1836" i="12"/>
  <c r="T1837" i="12"/>
  <c r="T1838" i="12"/>
  <c r="T1839" i="12"/>
  <c r="T1840" i="12"/>
  <c r="T1841" i="12"/>
  <c r="X1841" i="12" s="1"/>
  <c r="T1842" i="12"/>
  <c r="T1843" i="12"/>
  <c r="T1844" i="12"/>
  <c r="T1845" i="12"/>
  <c r="T1846" i="12"/>
  <c r="T1847" i="12"/>
  <c r="T1848" i="12"/>
  <c r="T1849" i="12"/>
  <c r="T1850" i="12"/>
  <c r="T1851" i="12"/>
  <c r="T1852" i="12"/>
  <c r="T1853" i="12"/>
  <c r="X1853" i="12" s="1"/>
  <c r="T1854" i="12"/>
  <c r="T1855" i="12"/>
  <c r="T1856" i="12"/>
  <c r="T1857" i="12"/>
  <c r="T1858" i="12"/>
  <c r="T1859" i="12"/>
  <c r="T1860" i="12"/>
  <c r="T1861" i="12"/>
  <c r="T1862" i="12"/>
  <c r="T1863" i="12"/>
  <c r="T1864" i="12"/>
  <c r="T1865" i="12"/>
  <c r="X1865" i="12" s="1"/>
  <c r="T1866" i="12"/>
  <c r="T1867" i="12"/>
  <c r="T1868" i="12"/>
  <c r="T1869" i="12"/>
  <c r="T1870" i="12"/>
  <c r="T1871" i="12"/>
  <c r="T1872" i="12"/>
  <c r="T1873" i="12"/>
  <c r="T1874" i="12"/>
  <c r="T1875" i="12"/>
  <c r="T1876" i="12"/>
  <c r="T1877" i="12"/>
  <c r="X1877" i="12" s="1"/>
  <c r="T1878" i="12"/>
  <c r="T1879" i="12"/>
  <c r="T1880" i="12"/>
  <c r="T1881" i="12"/>
  <c r="T1882" i="12"/>
  <c r="T1883" i="12"/>
  <c r="T1884" i="12"/>
  <c r="T1885" i="12"/>
  <c r="T1886" i="12"/>
  <c r="T1887" i="12"/>
  <c r="T1888" i="12"/>
  <c r="T1889" i="12"/>
  <c r="X1889" i="12" s="1"/>
  <c r="T1890" i="12"/>
  <c r="T1891" i="12"/>
  <c r="T1892" i="12"/>
  <c r="T1893" i="12"/>
  <c r="T1894" i="12"/>
  <c r="T1895" i="12"/>
  <c r="T1896" i="12"/>
  <c r="T1897" i="12"/>
  <c r="T1898" i="12"/>
  <c r="T1899" i="12"/>
  <c r="T1900" i="12"/>
  <c r="T1901" i="12"/>
  <c r="X1901" i="12" s="1"/>
  <c r="T1902" i="12"/>
  <c r="T1903" i="12"/>
  <c r="T1904" i="12"/>
  <c r="T1905" i="12"/>
  <c r="T1906" i="12"/>
  <c r="T1907" i="12"/>
  <c r="T1908" i="12"/>
  <c r="T1909" i="12"/>
  <c r="T1910" i="12"/>
  <c r="T1911" i="12"/>
  <c r="T1912" i="12"/>
  <c r="T1913" i="12"/>
  <c r="X1913" i="12" s="1"/>
  <c r="T1914" i="12"/>
  <c r="T1915" i="12"/>
  <c r="T1916" i="12"/>
  <c r="T1917" i="12"/>
  <c r="T1918" i="12"/>
  <c r="T1919" i="12"/>
  <c r="T1920" i="12"/>
  <c r="T1921" i="12"/>
  <c r="T1922" i="12"/>
  <c r="T1923" i="12"/>
  <c r="T1924" i="12"/>
  <c r="T1925" i="12"/>
  <c r="X1925" i="12" s="1"/>
  <c r="T1926" i="12"/>
  <c r="T1927" i="12"/>
  <c r="T1928" i="12"/>
  <c r="T1929" i="12"/>
  <c r="T1930" i="12"/>
  <c r="T1931" i="12"/>
  <c r="T1932" i="12"/>
  <c r="T1933" i="12"/>
  <c r="T1934" i="12"/>
  <c r="T1935" i="12"/>
  <c r="T1936" i="12"/>
  <c r="T1937" i="12"/>
  <c r="X1937" i="12" s="1"/>
  <c r="T1938" i="12"/>
  <c r="T1939" i="12"/>
  <c r="T1940" i="12"/>
  <c r="T1941" i="12"/>
  <c r="T1942" i="12"/>
  <c r="T1943" i="12"/>
  <c r="T1944" i="12"/>
  <c r="T1945" i="12"/>
  <c r="T1946" i="12"/>
  <c r="T1947" i="12"/>
  <c r="T1948" i="12"/>
  <c r="T1949" i="12"/>
  <c r="X1949" i="12" s="1"/>
  <c r="T1950" i="12"/>
  <c r="T1951" i="12"/>
  <c r="T1952" i="12"/>
  <c r="T1953" i="12"/>
  <c r="T1954" i="12"/>
  <c r="T1955" i="12"/>
  <c r="T1956" i="12"/>
  <c r="T1957" i="12"/>
  <c r="T1958" i="12"/>
  <c r="T1959" i="12"/>
  <c r="T1960" i="12"/>
  <c r="T1961" i="12"/>
  <c r="X1961" i="12" s="1"/>
  <c r="T1962" i="12"/>
  <c r="T1963" i="12"/>
  <c r="T1964" i="12"/>
  <c r="T1965" i="12"/>
  <c r="T1966" i="12"/>
  <c r="T1967" i="12"/>
  <c r="T1968" i="12"/>
  <c r="T1969" i="12"/>
  <c r="T1970" i="12"/>
  <c r="T1971" i="12"/>
  <c r="T1972" i="12"/>
  <c r="T1973" i="12"/>
  <c r="X1973" i="12" s="1"/>
  <c r="T1974" i="12"/>
  <c r="T1975" i="12"/>
  <c r="T1976" i="12"/>
  <c r="T1977" i="12"/>
  <c r="T1978" i="12"/>
  <c r="T1979" i="12"/>
  <c r="T1980" i="12"/>
  <c r="T1981" i="12"/>
  <c r="T1982" i="12"/>
  <c r="T1983" i="12"/>
  <c r="T1984" i="12"/>
  <c r="T1985" i="12"/>
  <c r="X1985" i="12" s="1"/>
  <c r="T1986" i="12"/>
  <c r="T1987" i="12"/>
  <c r="T1988" i="12"/>
  <c r="T1989" i="12"/>
  <c r="T1990" i="12"/>
  <c r="T1991" i="12"/>
  <c r="T1992" i="12"/>
  <c r="T1993" i="12"/>
  <c r="T1994" i="12"/>
  <c r="T1995" i="12"/>
  <c r="T1996" i="12"/>
  <c r="T1997" i="12"/>
  <c r="X1997" i="12" s="1"/>
  <c r="T1998" i="12"/>
  <c r="T1999" i="12"/>
  <c r="T2000" i="12"/>
  <c r="T2001" i="12"/>
  <c r="U2" i="12"/>
  <c r="U3" i="12"/>
  <c r="U4" i="12"/>
  <c r="U5" i="12"/>
  <c r="U6" i="12"/>
  <c r="X6" i="12" s="1"/>
  <c r="U7" i="12"/>
  <c r="U8" i="12"/>
  <c r="U9" i="12"/>
  <c r="X9" i="12" s="1"/>
  <c r="U10" i="12"/>
  <c r="U11" i="12"/>
  <c r="U12" i="12"/>
  <c r="U13" i="12"/>
  <c r="U14" i="12"/>
  <c r="U15" i="12"/>
  <c r="U16" i="12"/>
  <c r="U17" i="12"/>
  <c r="U18" i="12"/>
  <c r="X18" i="12" s="1"/>
  <c r="U19" i="12"/>
  <c r="U20" i="12"/>
  <c r="U21" i="12"/>
  <c r="X21" i="12" s="1"/>
  <c r="U22" i="12"/>
  <c r="U23" i="12"/>
  <c r="U24" i="12"/>
  <c r="U25" i="12"/>
  <c r="U26" i="12"/>
  <c r="U27" i="12"/>
  <c r="U28" i="12"/>
  <c r="U29" i="12"/>
  <c r="U30" i="12"/>
  <c r="X30" i="12" s="1"/>
  <c r="U31" i="12"/>
  <c r="U32" i="12"/>
  <c r="U33" i="12"/>
  <c r="X33" i="12" s="1"/>
  <c r="U34" i="12"/>
  <c r="U35" i="12"/>
  <c r="U36" i="12"/>
  <c r="U37" i="12"/>
  <c r="U38" i="12"/>
  <c r="U39" i="12"/>
  <c r="U40" i="12"/>
  <c r="U41" i="12"/>
  <c r="U42" i="12"/>
  <c r="X42" i="12" s="1"/>
  <c r="U43" i="12"/>
  <c r="U44" i="12"/>
  <c r="U45" i="12"/>
  <c r="X45" i="12" s="1"/>
  <c r="U46" i="12"/>
  <c r="U47" i="12"/>
  <c r="U48" i="12"/>
  <c r="U49" i="12"/>
  <c r="U50" i="12"/>
  <c r="U51" i="12"/>
  <c r="U52" i="12"/>
  <c r="U53" i="12"/>
  <c r="U54" i="12"/>
  <c r="X54" i="12" s="1"/>
  <c r="U55" i="12"/>
  <c r="U56" i="12"/>
  <c r="U57" i="12"/>
  <c r="X57" i="12" s="1"/>
  <c r="U58" i="12"/>
  <c r="U59" i="12"/>
  <c r="U60" i="12"/>
  <c r="U61" i="12"/>
  <c r="U62" i="12"/>
  <c r="U63" i="12"/>
  <c r="U64" i="12"/>
  <c r="U65" i="12"/>
  <c r="U66" i="12"/>
  <c r="X66" i="12" s="1"/>
  <c r="U67" i="12"/>
  <c r="U68" i="12"/>
  <c r="U69" i="12"/>
  <c r="X69" i="12" s="1"/>
  <c r="U70" i="12"/>
  <c r="U71" i="12"/>
  <c r="U72" i="12"/>
  <c r="U73" i="12"/>
  <c r="U74" i="12"/>
  <c r="U75" i="12"/>
  <c r="U76" i="12"/>
  <c r="U77" i="12"/>
  <c r="U78" i="12"/>
  <c r="X78" i="12" s="1"/>
  <c r="U79" i="12"/>
  <c r="U80" i="12"/>
  <c r="U81" i="12"/>
  <c r="X81" i="12" s="1"/>
  <c r="U82" i="12"/>
  <c r="U83" i="12"/>
  <c r="U84" i="12"/>
  <c r="U85" i="12"/>
  <c r="U86" i="12"/>
  <c r="U87" i="12"/>
  <c r="U88" i="12"/>
  <c r="U89" i="12"/>
  <c r="U90" i="12"/>
  <c r="X90" i="12" s="1"/>
  <c r="U91" i="12"/>
  <c r="U92" i="12"/>
  <c r="U93" i="12"/>
  <c r="X93" i="12" s="1"/>
  <c r="U94" i="12"/>
  <c r="U95" i="12"/>
  <c r="U96" i="12"/>
  <c r="U97" i="12"/>
  <c r="U98" i="12"/>
  <c r="U99" i="12"/>
  <c r="U100" i="12"/>
  <c r="U101" i="12"/>
  <c r="U102" i="12"/>
  <c r="X102" i="12" s="1"/>
  <c r="U103" i="12"/>
  <c r="U104" i="12"/>
  <c r="U105" i="12"/>
  <c r="X105" i="12" s="1"/>
  <c r="U106" i="12"/>
  <c r="U107" i="12"/>
  <c r="U108" i="12"/>
  <c r="U109" i="12"/>
  <c r="U110" i="12"/>
  <c r="U111" i="12"/>
  <c r="U112" i="12"/>
  <c r="U113" i="12"/>
  <c r="U114" i="12"/>
  <c r="X114" i="12" s="1"/>
  <c r="U115" i="12"/>
  <c r="U116" i="12"/>
  <c r="U117" i="12"/>
  <c r="X117" i="12" s="1"/>
  <c r="U118" i="12"/>
  <c r="U119" i="12"/>
  <c r="U120" i="12"/>
  <c r="U121" i="12"/>
  <c r="U122" i="12"/>
  <c r="U123" i="12"/>
  <c r="U124" i="12"/>
  <c r="U125" i="12"/>
  <c r="U126" i="12"/>
  <c r="X126" i="12" s="1"/>
  <c r="U127" i="12"/>
  <c r="U128" i="12"/>
  <c r="U129" i="12"/>
  <c r="X129" i="12" s="1"/>
  <c r="U130" i="12"/>
  <c r="U131" i="12"/>
  <c r="U132" i="12"/>
  <c r="U133" i="12"/>
  <c r="U134" i="12"/>
  <c r="U135" i="12"/>
  <c r="U136" i="12"/>
  <c r="U137" i="12"/>
  <c r="U138" i="12"/>
  <c r="X138" i="12" s="1"/>
  <c r="U139" i="12"/>
  <c r="U140" i="12"/>
  <c r="U141" i="12"/>
  <c r="X141" i="12" s="1"/>
  <c r="U142" i="12"/>
  <c r="U143" i="12"/>
  <c r="U144" i="12"/>
  <c r="U145" i="12"/>
  <c r="U146" i="12"/>
  <c r="U147" i="12"/>
  <c r="U148" i="12"/>
  <c r="U149" i="12"/>
  <c r="U150" i="12"/>
  <c r="X150" i="12" s="1"/>
  <c r="U151" i="12"/>
  <c r="U152" i="12"/>
  <c r="U153" i="12"/>
  <c r="X153" i="12" s="1"/>
  <c r="U154" i="12"/>
  <c r="U155" i="12"/>
  <c r="U156" i="12"/>
  <c r="U157" i="12"/>
  <c r="U158" i="12"/>
  <c r="U159" i="12"/>
  <c r="U160" i="12"/>
  <c r="U161" i="12"/>
  <c r="U162" i="12"/>
  <c r="X162" i="12" s="1"/>
  <c r="U163" i="12"/>
  <c r="U164" i="12"/>
  <c r="U165" i="12"/>
  <c r="X165" i="12" s="1"/>
  <c r="U166" i="12"/>
  <c r="U167" i="12"/>
  <c r="U168" i="12"/>
  <c r="U169" i="12"/>
  <c r="U170" i="12"/>
  <c r="U171" i="12"/>
  <c r="U172" i="12"/>
  <c r="U173" i="12"/>
  <c r="U174" i="12"/>
  <c r="X174" i="12" s="1"/>
  <c r="U175" i="12"/>
  <c r="U176" i="12"/>
  <c r="U177" i="12"/>
  <c r="X177" i="12" s="1"/>
  <c r="U178" i="12"/>
  <c r="U179" i="12"/>
  <c r="U180" i="12"/>
  <c r="U181" i="12"/>
  <c r="U182" i="12"/>
  <c r="U183" i="12"/>
  <c r="U184" i="12"/>
  <c r="U185" i="12"/>
  <c r="U186" i="12"/>
  <c r="X186" i="12" s="1"/>
  <c r="U187" i="12"/>
  <c r="U188" i="12"/>
  <c r="U189" i="12"/>
  <c r="X189" i="12" s="1"/>
  <c r="U190" i="12"/>
  <c r="U191" i="12"/>
  <c r="U192" i="12"/>
  <c r="U193" i="12"/>
  <c r="U194" i="12"/>
  <c r="U195" i="12"/>
  <c r="U196" i="12"/>
  <c r="U197" i="12"/>
  <c r="U198" i="12"/>
  <c r="X198" i="12" s="1"/>
  <c r="U199" i="12"/>
  <c r="U200" i="12"/>
  <c r="U201" i="12"/>
  <c r="X201" i="12" s="1"/>
  <c r="U202" i="12"/>
  <c r="U203" i="12"/>
  <c r="U204" i="12"/>
  <c r="U205" i="12"/>
  <c r="U206" i="12"/>
  <c r="U207" i="12"/>
  <c r="U208" i="12"/>
  <c r="U209" i="12"/>
  <c r="U210" i="12"/>
  <c r="X210" i="12" s="1"/>
  <c r="U211" i="12"/>
  <c r="U212" i="12"/>
  <c r="U213" i="12"/>
  <c r="X213" i="12" s="1"/>
  <c r="U214" i="12"/>
  <c r="U215" i="12"/>
  <c r="U216" i="12"/>
  <c r="U217" i="12"/>
  <c r="U218" i="12"/>
  <c r="U219" i="12"/>
  <c r="U220" i="12"/>
  <c r="U221" i="12"/>
  <c r="U222" i="12"/>
  <c r="X222" i="12" s="1"/>
  <c r="U223" i="12"/>
  <c r="U224" i="12"/>
  <c r="U225" i="12"/>
  <c r="X225" i="12" s="1"/>
  <c r="U226" i="12"/>
  <c r="U227" i="12"/>
  <c r="U228" i="12"/>
  <c r="U229" i="12"/>
  <c r="U230" i="12"/>
  <c r="U231" i="12"/>
  <c r="U232" i="12"/>
  <c r="U233" i="12"/>
  <c r="U234" i="12"/>
  <c r="X234" i="12" s="1"/>
  <c r="U235" i="12"/>
  <c r="U236" i="12"/>
  <c r="U237" i="12"/>
  <c r="X237" i="12" s="1"/>
  <c r="U238" i="12"/>
  <c r="U239" i="12"/>
  <c r="U240" i="12"/>
  <c r="U241" i="12"/>
  <c r="U242" i="12"/>
  <c r="U243" i="12"/>
  <c r="U244" i="12"/>
  <c r="U245" i="12"/>
  <c r="U246" i="12"/>
  <c r="X246" i="12" s="1"/>
  <c r="U247" i="12"/>
  <c r="U248" i="12"/>
  <c r="U249" i="12"/>
  <c r="X249" i="12" s="1"/>
  <c r="U250" i="12"/>
  <c r="U251" i="12"/>
  <c r="U252" i="12"/>
  <c r="U253" i="12"/>
  <c r="U254" i="12"/>
  <c r="U255" i="12"/>
  <c r="U256" i="12"/>
  <c r="U257" i="12"/>
  <c r="U258" i="12"/>
  <c r="X258" i="12" s="1"/>
  <c r="U259" i="12"/>
  <c r="U260" i="12"/>
  <c r="U261" i="12"/>
  <c r="X261" i="12" s="1"/>
  <c r="U262" i="12"/>
  <c r="U263" i="12"/>
  <c r="U264" i="12"/>
  <c r="U265" i="12"/>
  <c r="U266" i="12"/>
  <c r="U267" i="12"/>
  <c r="U268" i="12"/>
  <c r="U269" i="12"/>
  <c r="U270" i="12"/>
  <c r="X270" i="12" s="1"/>
  <c r="U271" i="12"/>
  <c r="U272" i="12"/>
  <c r="U273" i="12"/>
  <c r="X273" i="12" s="1"/>
  <c r="U274" i="12"/>
  <c r="U275" i="12"/>
  <c r="U276" i="12"/>
  <c r="U277" i="12"/>
  <c r="U278" i="12"/>
  <c r="U279" i="12"/>
  <c r="U280" i="12"/>
  <c r="U281" i="12"/>
  <c r="U282" i="12"/>
  <c r="X282" i="12" s="1"/>
  <c r="U283" i="12"/>
  <c r="U284" i="12"/>
  <c r="U285" i="12"/>
  <c r="X285" i="12" s="1"/>
  <c r="U286" i="12"/>
  <c r="U287" i="12"/>
  <c r="U288" i="12"/>
  <c r="U289" i="12"/>
  <c r="U290" i="12"/>
  <c r="U291" i="12"/>
  <c r="U292" i="12"/>
  <c r="U293" i="12"/>
  <c r="U294" i="12"/>
  <c r="X294" i="12" s="1"/>
  <c r="U295" i="12"/>
  <c r="U296" i="12"/>
  <c r="U297" i="12"/>
  <c r="X297" i="12" s="1"/>
  <c r="U298" i="12"/>
  <c r="U299" i="12"/>
  <c r="U300" i="12"/>
  <c r="U301" i="12"/>
  <c r="U302" i="12"/>
  <c r="U303" i="12"/>
  <c r="U304" i="12"/>
  <c r="U305" i="12"/>
  <c r="U306" i="12"/>
  <c r="X306" i="12" s="1"/>
  <c r="U307" i="12"/>
  <c r="U308" i="12"/>
  <c r="U309" i="12"/>
  <c r="X309" i="12" s="1"/>
  <c r="U310" i="12"/>
  <c r="U311" i="12"/>
  <c r="U312" i="12"/>
  <c r="U313" i="12"/>
  <c r="U314" i="12"/>
  <c r="U315" i="12"/>
  <c r="U316" i="12"/>
  <c r="U317" i="12"/>
  <c r="U318" i="12"/>
  <c r="X318" i="12" s="1"/>
  <c r="U319" i="12"/>
  <c r="U320" i="12"/>
  <c r="U321" i="12"/>
  <c r="X321" i="12" s="1"/>
  <c r="U322" i="12"/>
  <c r="U323" i="12"/>
  <c r="U324" i="12"/>
  <c r="U325" i="12"/>
  <c r="U326" i="12"/>
  <c r="U327" i="12"/>
  <c r="U328" i="12"/>
  <c r="U329" i="12"/>
  <c r="U330" i="12"/>
  <c r="X330" i="12" s="1"/>
  <c r="U331" i="12"/>
  <c r="U332" i="12"/>
  <c r="U333" i="12"/>
  <c r="X333" i="12" s="1"/>
  <c r="U334" i="12"/>
  <c r="U335" i="12"/>
  <c r="U336" i="12"/>
  <c r="U337" i="12"/>
  <c r="U338" i="12"/>
  <c r="U339" i="12"/>
  <c r="U340" i="12"/>
  <c r="U341" i="12"/>
  <c r="U342" i="12"/>
  <c r="X342" i="12" s="1"/>
  <c r="U343" i="12"/>
  <c r="U344" i="12"/>
  <c r="U345" i="12"/>
  <c r="X345" i="12" s="1"/>
  <c r="U346" i="12"/>
  <c r="U347" i="12"/>
  <c r="U348" i="12"/>
  <c r="U349" i="12"/>
  <c r="U350" i="12"/>
  <c r="U351" i="12"/>
  <c r="U352" i="12"/>
  <c r="U353" i="12"/>
  <c r="U354" i="12"/>
  <c r="X354" i="12" s="1"/>
  <c r="U355" i="12"/>
  <c r="U356" i="12"/>
  <c r="U357" i="12"/>
  <c r="X357" i="12" s="1"/>
  <c r="U358" i="12"/>
  <c r="U359" i="12"/>
  <c r="U360" i="12"/>
  <c r="U361" i="12"/>
  <c r="U362" i="12"/>
  <c r="U363" i="12"/>
  <c r="U364" i="12"/>
  <c r="U365" i="12"/>
  <c r="U366" i="12"/>
  <c r="X366" i="12" s="1"/>
  <c r="U367" i="12"/>
  <c r="U368" i="12"/>
  <c r="U369" i="12"/>
  <c r="X369" i="12" s="1"/>
  <c r="U370" i="12"/>
  <c r="U371" i="12"/>
  <c r="U372" i="12"/>
  <c r="U373" i="12"/>
  <c r="U374" i="12"/>
  <c r="U375" i="12"/>
  <c r="U376" i="12"/>
  <c r="U377" i="12"/>
  <c r="U378" i="12"/>
  <c r="X378" i="12" s="1"/>
  <c r="U379" i="12"/>
  <c r="U380" i="12"/>
  <c r="U381" i="12"/>
  <c r="X381" i="12" s="1"/>
  <c r="U382" i="12"/>
  <c r="U383" i="12"/>
  <c r="U384" i="12"/>
  <c r="U385" i="12"/>
  <c r="U386" i="12"/>
  <c r="U387" i="12"/>
  <c r="U388" i="12"/>
  <c r="U389" i="12"/>
  <c r="U390" i="12"/>
  <c r="X390" i="12" s="1"/>
  <c r="U391" i="12"/>
  <c r="U392" i="12"/>
  <c r="U393" i="12"/>
  <c r="X393" i="12" s="1"/>
  <c r="U394" i="12"/>
  <c r="U395" i="12"/>
  <c r="U396" i="12"/>
  <c r="U397" i="12"/>
  <c r="U398" i="12"/>
  <c r="U399" i="12"/>
  <c r="U400" i="12"/>
  <c r="U401" i="12"/>
  <c r="U402" i="12"/>
  <c r="X402" i="12" s="1"/>
  <c r="U403" i="12"/>
  <c r="U404" i="12"/>
  <c r="U405" i="12"/>
  <c r="X405" i="12" s="1"/>
  <c r="U406" i="12"/>
  <c r="U407" i="12"/>
  <c r="U408" i="12"/>
  <c r="U409" i="12"/>
  <c r="U410" i="12"/>
  <c r="U411" i="12"/>
  <c r="U412" i="12"/>
  <c r="U413" i="12"/>
  <c r="U414" i="12"/>
  <c r="X414" i="12" s="1"/>
  <c r="U415" i="12"/>
  <c r="U416" i="12"/>
  <c r="U417" i="12"/>
  <c r="X417" i="12" s="1"/>
  <c r="U418" i="12"/>
  <c r="U419" i="12"/>
  <c r="U420" i="12"/>
  <c r="U421" i="12"/>
  <c r="U422" i="12"/>
  <c r="U423" i="12"/>
  <c r="U424" i="12"/>
  <c r="U425" i="12"/>
  <c r="U426" i="12"/>
  <c r="X426" i="12" s="1"/>
  <c r="U427" i="12"/>
  <c r="U428" i="12"/>
  <c r="U429" i="12"/>
  <c r="X429" i="12" s="1"/>
  <c r="U430" i="12"/>
  <c r="U431" i="12"/>
  <c r="U432" i="12"/>
  <c r="U433" i="12"/>
  <c r="U434" i="12"/>
  <c r="U435" i="12"/>
  <c r="U436" i="12"/>
  <c r="U437" i="12"/>
  <c r="U438" i="12"/>
  <c r="X438" i="12" s="1"/>
  <c r="U439" i="12"/>
  <c r="U440" i="12"/>
  <c r="U441" i="12"/>
  <c r="X441" i="12" s="1"/>
  <c r="U442" i="12"/>
  <c r="U443" i="12"/>
  <c r="U444" i="12"/>
  <c r="U445" i="12"/>
  <c r="U446" i="12"/>
  <c r="U447" i="12"/>
  <c r="U448" i="12"/>
  <c r="U449" i="12"/>
  <c r="U450" i="12"/>
  <c r="X450" i="12" s="1"/>
  <c r="U451" i="12"/>
  <c r="U452" i="12"/>
  <c r="U453" i="12"/>
  <c r="X453" i="12" s="1"/>
  <c r="U454" i="12"/>
  <c r="U455" i="12"/>
  <c r="U456" i="12"/>
  <c r="U457" i="12"/>
  <c r="U458" i="12"/>
  <c r="U459" i="12"/>
  <c r="U460" i="12"/>
  <c r="U461" i="12"/>
  <c r="U462" i="12"/>
  <c r="X462" i="12" s="1"/>
  <c r="U463" i="12"/>
  <c r="U464" i="12"/>
  <c r="U465" i="12"/>
  <c r="X465" i="12" s="1"/>
  <c r="U466" i="12"/>
  <c r="U467" i="12"/>
  <c r="U468" i="12"/>
  <c r="U469" i="12"/>
  <c r="U470" i="12"/>
  <c r="U471" i="12"/>
  <c r="U472" i="12"/>
  <c r="U473" i="12"/>
  <c r="U474" i="12"/>
  <c r="X474" i="12" s="1"/>
  <c r="U475" i="12"/>
  <c r="U476" i="12"/>
  <c r="U477" i="12"/>
  <c r="X477" i="12" s="1"/>
  <c r="U478" i="12"/>
  <c r="U479" i="12"/>
  <c r="U480" i="12"/>
  <c r="U481" i="12"/>
  <c r="U482" i="12"/>
  <c r="U483" i="12"/>
  <c r="U484" i="12"/>
  <c r="U485" i="12"/>
  <c r="U486" i="12"/>
  <c r="X486" i="12" s="1"/>
  <c r="U487" i="12"/>
  <c r="U488" i="12"/>
  <c r="U489" i="12"/>
  <c r="X489" i="12" s="1"/>
  <c r="U490" i="12"/>
  <c r="U491" i="12"/>
  <c r="U492" i="12"/>
  <c r="U493" i="12"/>
  <c r="U494" i="12"/>
  <c r="U495" i="12"/>
  <c r="U496" i="12"/>
  <c r="U497" i="12"/>
  <c r="U498" i="12"/>
  <c r="X498" i="12" s="1"/>
  <c r="U499" i="12"/>
  <c r="U500" i="12"/>
  <c r="U501" i="12"/>
  <c r="X501" i="12" s="1"/>
  <c r="U502" i="12"/>
  <c r="U503" i="12"/>
  <c r="U504" i="12"/>
  <c r="U505" i="12"/>
  <c r="U506" i="12"/>
  <c r="U507" i="12"/>
  <c r="U508" i="12"/>
  <c r="U509" i="12"/>
  <c r="U510" i="12"/>
  <c r="X510" i="12" s="1"/>
  <c r="U511" i="12"/>
  <c r="U512" i="12"/>
  <c r="U513" i="12"/>
  <c r="X513" i="12" s="1"/>
  <c r="U514" i="12"/>
  <c r="U515" i="12"/>
  <c r="U516" i="12"/>
  <c r="U517" i="12"/>
  <c r="U518" i="12"/>
  <c r="U519" i="12"/>
  <c r="U520" i="12"/>
  <c r="U521" i="12"/>
  <c r="U522" i="12"/>
  <c r="X522" i="12" s="1"/>
  <c r="U523" i="12"/>
  <c r="U524" i="12"/>
  <c r="U525" i="12"/>
  <c r="X525" i="12" s="1"/>
  <c r="U526" i="12"/>
  <c r="U527" i="12"/>
  <c r="U528" i="12"/>
  <c r="U529" i="12"/>
  <c r="U530" i="12"/>
  <c r="U531" i="12"/>
  <c r="U532" i="12"/>
  <c r="U533" i="12"/>
  <c r="U534" i="12"/>
  <c r="X534" i="12" s="1"/>
  <c r="U535" i="12"/>
  <c r="U536" i="12"/>
  <c r="U537" i="12"/>
  <c r="X537" i="12" s="1"/>
  <c r="U538" i="12"/>
  <c r="U539" i="12"/>
  <c r="U540" i="12"/>
  <c r="U541" i="12"/>
  <c r="U542" i="12"/>
  <c r="U543" i="12"/>
  <c r="U544" i="12"/>
  <c r="U545" i="12"/>
  <c r="U546" i="12"/>
  <c r="X546" i="12" s="1"/>
  <c r="U547" i="12"/>
  <c r="U548" i="12"/>
  <c r="U549" i="12"/>
  <c r="X549" i="12" s="1"/>
  <c r="U550" i="12"/>
  <c r="U551" i="12"/>
  <c r="U552" i="12"/>
  <c r="U553" i="12"/>
  <c r="U554" i="12"/>
  <c r="U555" i="12"/>
  <c r="U556" i="12"/>
  <c r="U557" i="12"/>
  <c r="U558" i="12"/>
  <c r="X558" i="12" s="1"/>
  <c r="U559" i="12"/>
  <c r="U560" i="12"/>
  <c r="U561" i="12"/>
  <c r="X561" i="12" s="1"/>
  <c r="U562" i="12"/>
  <c r="U563" i="12"/>
  <c r="U564" i="12"/>
  <c r="U565" i="12"/>
  <c r="U566" i="12"/>
  <c r="U567" i="12"/>
  <c r="U568" i="12"/>
  <c r="U569" i="12"/>
  <c r="U570" i="12"/>
  <c r="X570" i="12" s="1"/>
  <c r="U571" i="12"/>
  <c r="U572" i="12"/>
  <c r="U573" i="12"/>
  <c r="X573" i="12" s="1"/>
  <c r="U574" i="12"/>
  <c r="U575" i="12"/>
  <c r="U576" i="12"/>
  <c r="U577" i="12"/>
  <c r="U578" i="12"/>
  <c r="U579" i="12"/>
  <c r="U580" i="12"/>
  <c r="U581" i="12"/>
  <c r="U582" i="12"/>
  <c r="X582" i="12" s="1"/>
  <c r="U583" i="12"/>
  <c r="U584" i="12"/>
  <c r="U585" i="12"/>
  <c r="X585" i="12" s="1"/>
  <c r="U586" i="12"/>
  <c r="U587" i="12"/>
  <c r="U588" i="12"/>
  <c r="U589" i="12"/>
  <c r="U590" i="12"/>
  <c r="U591" i="12"/>
  <c r="U592" i="12"/>
  <c r="U593" i="12"/>
  <c r="U594" i="12"/>
  <c r="X594" i="12" s="1"/>
  <c r="U595" i="12"/>
  <c r="U596" i="12"/>
  <c r="U597" i="12"/>
  <c r="X597" i="12" s="1"/>
  <c r="U598" i="12"/>
  <c r="U599" i="12"/>
  <c r="U600" i="12"/>
  <c r="U601" i="12"/>
  <c r="U602" i="12"/>
  <c r="U603" i="12"/>
  <c r="U604" i="12"/>
  <c r="U605" i="12"/>
  <c r="U606" i="12"/>
  <c r="X606" i="12" s="1"/>
  <c r="U607" i="12"/>
  <c r="U608" i="12"/>
  <c r="U609" i="12"/>
  <c r="X609" i="12" s="1"/>
  <c r="U610" i="12"/>
  <c r="U611" i="12"/>
  <c r="U612" i="12"/>
  <c r="U613" i="12"/>
  <c r="U614" i="12"/>
  <c r="U615" i="12"/>
  <c r="U616" i="12"/>
  <c r="U617" i="12"/>
  <c r="U618" i="12"/>
  <c r="X618" i="12" s="1"/>
  <c r="U619" i="12"/>
  <c r="U620" i="12"/>
  <c r="U621" i="12"/>
  <c r="X621" i="12" s="1"/>
  <c r="U622" i="12"/>
  <c r="U623" i="12"/>
  <c r="U624" i="12"/>
  <c r="U625" i="12"/>
  <c r="U626" i="12"/>
  <c r="U627" i="12"/>
  <c r="U628" i="12"/>
  <c r="U629" i="12"/>
  <c r="U630" i="12"/>
  <c r="X630" i="12" s="1"/>
  <c r="U631" i="12"/>
  <c r="U632" i="12"/>
  <c r="U633" i="12"/>
  <c r="X633" i="12" s="1"/>
  <c r="U634" i="12"/>
  <c r="U635" i="12"/>
  <c r="U636" i="12"/>
  <c r="U637" i="12"/>
  <c r="U638" i="12"/>
  <c r="U639" i="12"/>
  <c r="U640" i="12"/>
  <c r="U641" i="12"/>
  <c r="U642" i="12"/>
  <c r="X642" i="12" s="1"/>
  <c r="U643" i="12"/>
  <c r="U644" i="12"/>
  <c r="U645" i="12"/>
  <c r="X645" i="12" s="1"/>
  <c r="U646" i="12"/>
  <c r="U647" i="12"/>
  <c r="U648" i="12"/>
  <c r="U649" i="12"/>
  <c r="U650" i="12"/>
  <c r="U651" i="12"/>
  <c r="U652" i="12"/>
  <c r="U653" i="12"/>
  <c r="U654" i="12"/>
  <c r="X654" i="12" s="1"/>
  <c r="U655" i="12"/>
  <c r="U656" i="12"/>
  <c r="U657" i="12"/>
  <c r="X657" i="12" s="1"/>
  <c r="U658" i="12"/>
  <c r="U659" i="12"/>
  <c r="U660" i="12"/>
  <c r="U661" i="12"/>
  <c r="U662" i="12"/>
  <c r="U663" i="12"/>
  <c r="U664" i="12"/>
  <c r="U665" i="12"/>
  <c r="U666" i="12"/>
  <c r="X666" i="12" s="1"/>
  <c r="U667" i="12"/>
  <c r="U668" i="12"/>
  <c r="U669" i="12"/>
  <c r="X669" i="12" s="1"/>
  <c r="U670" i="12"/>
  <c r="U671" i="12"/>
  <c r="U672" i="12"/>
  <c r="U673" i="12"/>
  <c r="U674" i="12"/>
  <c r="U675" i="12"/>
  <c r="U676" i="12"/>
  <c r="U677" i="12"/>
  <c r="U678" i="12"/>
  <c r="X678" i="12" s="1"/>
  <c r="U679" i="12"/>
  <c r="U680" i="12"/>
  <c r="U681" i="12"/>
  <c r="X681" i="12" s="1"/>
  <c r="U682" i="12"/>
  <c r="U683" i="12"/>
  <c r="U684" i="12"/>
  <c r="U685" i="12"/>
  <c r="U686" i="12"/>
  <c r="U687" i="12"/>
  <c r="U688" i="12"/>
  <c r="U689" i="12"/>
  <c r="U690" i="12"/>
  <c r="X690" i="12" s="1"/>
  <c r="U691" i="12"/>
  <c r="U692" i="12"/>
  <c r="U693" i="12"/>
  <c r="X693" i="12" s="1"/>
  <c r="U694" i="12"/>
  <c r="U695" i="12"/>
  <c r="U696" i="12"/>
  <c r="U697" i="12"/>
  <c r="U698" i="12"/>
  <c r="U699" i="12"/>
  <c r="U700" i="12"/>
  <c r="U701" i="12"/>
  <c r="U702" i="12"/>
  <c r="X702" i="12" s="1"/>
  <c r="U703" i="12"/>
  <c r="U704" i="12"/>
  <c r="U705" i="12"/>
  <c r="X705" i="12" s="1"/>
  <c r="U706" i="12"/>
  <c r="U707" i="12"/>
  <c r="U708" i="12"/>
  <c r="U709" i="12"/>
  <c r="U710" i="12"/>
  <c r="U711" i="12"/>
  <c r="U712" i="12"/>
  <c r="U713" i="12"/>
  <c r="U714" i="12"/>
  <c r="X714" i="12" s="1"/>
  <c r="U715" i="12"/>
  <c r="U716" i="12"/>
  <c r="U717" i="12"/>
  <c r="X717" i="12" s="1"/>
  <c r="U718" i="12"/>
  <c r="U719" i="12"/>
  <c r="U720" i="12"/>
  <c r="U721" i="12"/>
  <c r="U722" i="12"/>
  <c r="U723" i="12"/>
  <c r="U724" i="12"/>
  <c r="U725" i="12"/>
  <c r="U726" i="12"/>
  <c r="X726" i="12" s="1"/>
  <c r="U727" i="12"/>
  <c r="U728" i="12"/>
  <c r="U729" i="12"/>
  <c r="X729" i="12" s="1"/>
  <c r="U730" i="12"/>
  <c r="U731" i="12"/>
  <c r="U732" i="12"/>
  <c r="U733" i="12"/>
  <c r="U734" i="12"/>
  <c r="U735" i="12"/>
  <c r="U736" i="12"/>
  <c r="U737" i="12"/>
  <c r="U738" i="12"/>
  <c r="X738" i="12" s="1"/>
  <c r="U739" i="12"/>
  <c r="U740" i="12"/>
  <c r="U741" i="12"/>
  <c r="X741" i="12" s="1"/>
  <c r="U742" i="12"/>
  <c r="U743" i="12"/>
  <c r="U744" i="12"/>
  <c r="U745" i="12"/>
  <c r="U746" i="12"/>
  <c r="U747" i="12"/>
  <c r="U748" i="12"/>
  <c r="U749" i="12"/>
  <c r="U750" i="12"/>
  <c r="X750" i="12" s="1"/>
  <c r="U751" i="12"/>
  <c r="U752" i="12"/>
  <c r="U753" i="12"/>
  <c r="X753" i="12" s="1"/>
  <c r="U754" i="12"/>
  <c r="U755" i="12"/>
  <c r="U756" i="12"/>
  <c r="U757" i="12"/>
  <c r="U758" i="12"/>
  <c r="U759" i="12"/>
  <c r="U760" i="12"/>
  <c r="U761" i="12"/>
  <c r="U762" i="12"/>
  <c r="X762" i="12" s="1"/>
  <c r="U763" i="12"/>
  <c r="U764" i="12"/>
  <c r="U765" i="12"/>
  <c r="X765" i="12" s="1"/>
  <c r="U766" i="12"/>
  <c r="U767" i="12"/>
  <c r="U768" i="12"/>
  <c r="U769" i="12"/>
  <c r="U770" i="12"/>
  <c r="U771" i="12"/>
  <c r="U772" i="12"/>
  <c r="U773" i="12"/>
  <c r="U774" i="12"/>
  <c r="X774" i="12" s="1"/>
  <c r="U775" i="12"/>
  <c r="U776" i="12"/>
  <c r="U777" i="12"/>
  <c r="X777" i="12" s="1"/>
  <c r="U778" i="12"/>
  <c r="U779" i="12"/>
  <c r="U780" i="12"/>
  <c r="U781" i="12"/>
  <c r="U782" i="12"/>
  <c r="U783" i="12"/>
  <c r="U784" i="12"/>
  <c r="U785" i="12"/>
  <c r="U786" i="12"/>
  <c r="X786" i="12" s="1"/>
  <c r="U787" i="12"/>
  <c r="U788" i="12"/>
  <c r="U789" i="12"/>
  <c r="X789" i="12" s="1"/>
  <c r="U790" i="12"/>
  <c r="U791" i="12"/>
  <c r="U792" i="12"/>
  <c r="U793" i="12"/>
  <c r="U794" i="12"/>
  <c r="U795" i="12"/>
  <c r="U796" i="12"/>
  <c r="U797" i="12"/>
  <c r="U798" i="12"/>
  <c r="X798" i="12" s="1"/>
  <c r="U799" i="12"/>
  <c r="U800" i="12"/>
  <c r="U801" i="12"/>
  <c r="X801" i="12" s="1"/>
  <c r="U802" i="12"/>
  <c r="U803" i="12"/>
  <c r="U804" i="12"/>
  <c r="U805" i="12"/>
  <c r="U806" i="12"/>
  <c r="U807" i="12"/>
  <c r="U808" i="12"/>
  <c r="U809" i="12"/>
  <c r="U810" i="12"/>
  <c r="X810" i="12" s="1"/>
  <c r="U811" i="12"/>
  <c r="U812" i="12"/>
  <c r="U813" i="12"/>
  <c r="X813" i="12" s="1"/>
  <c r="U814" i="12"/>
  <c r="U815" i="12"/>
  <c r="U816" i="12"/>
  <c r="U817" i="12"/>
  <c r="U818" i="12"/>
  <c r="U819" i="12"/>
  <c r="U820" i="12"/>
  <c r="U821" i="12"/>
  <c r="U822" i="12"/>
  <c r="X822" i="12" s="1"/>
  <c r="U823" i="12"/>
  <c r="U824" i="12"/>
  <c r="U825" i="12"/>
  <c r="X825" i="12" s="1"/>
  <c r="U826" i="12"/>
  <c r="U827" i="12"/>
  <c r="U828" i="12"/>
  <c r="U829" i="12"/>
  <c r="U830" i="12"/>
  <c r="U831" i="12"/>
  <c r="U832" i="12"/>
  <c r="U833" i="12"/>
  <c r="U834" i="12"/>
  <c r="X834" i="12" s="1"/>
  <c r="U835" i="12"/>
  <c r="U836" i="12"/>
  <c r="U837" i="12"/>
  <c r="X837" i="12" s="1"/>
  <c r="U838" i="12"/>
  <c r="U839" i="12"/>
  <c r="U840" i="12"/>
  <c r="U841" i="12"/>
  <c r="U842" i="12"/>
  <c r="U843" i="12"/>
  <c r="U844" i="12"/>
  <c r="U845" i="12"/>
  <c r="U846" i="12"/>
  <c r="X846" i="12" s="1"/>
  <c r="U847" i="12"/>
  <c r="U848" i="12"/>
  <c r="U849" i="12"/>
  <c r="X849" i="12" s="1"/>
  <c r="U850" i="12"/>
  <c r="U851" i="12"/>
  <c r="U852" i="12"/>
  <c r="U853" i="12"/>
  <c r="U854" i="12"/>
  <c r="U855" i="12"/>
  <c r="U856" i="12"/>
  <c r="U857" i="12"/>
  <c r="U858" i="12"/>
  <c r="X858" i="12" s="1"/>
  <c r="U859" i="12"/>
  <c r="U860" i="12"/>
  <c r="U861" i="12"/>
  <c r="X861" i="12" s="1"/>
  <c r="U862" i="12"/>
  <c r="U863" i="12"/>
  <c r="U864" i="12"/>
  <c r="U865" i="12"/>
  <c r="U866" i="12"/>
  <c r="U867" i="12"/>
  <c r="U868" i="12"/>
  <c r="U869" i="12"/>
  <c r="U870" i="12"/>
  <c r="X870" i="12" s="1"/>
  <c r="U871" i="12"/>
  <c r="U872" i="12"/>
  <c r="U873" i="12"/>
  <c r="X873" i="12" s="1"/>
  <c r="U874" i="12"/>
  <c r="U875" i="12"/>
  <c r="U876" i="12"/>
  <c r="U877" i="12"/>
  <c r="U878" i="12"/>
  <c r="U879" i="12"/>
  <c r="U880" i="12"/>
  <c r="U881" i="12"/>
  <c r="U882" i="12"/>
  <c r="X882" i="12" s="1"/>
  <c r="U883" i="12"/>
  <c r="U884" i="12"/>
  <c r="U885" i="12"/>
  <c r="X885" i="12" s="1"/>
  <c r="U886" i="12"/>
  <c r="U887" i="12"/>
  <c r="U888" i="12"/>
  <c r="U889" i="12"/>
  <c r="U890" i="12"/>
  <c r="U891" i="12"/>
  <c r="U892" i="12"/>
  <c r="U893" i="12"/>
  <c r="U894" i="12"/>
  <c r="X894" i="12" s="1"/>
  <c r="U895" i="12"/>
  <c r="U896" i="12"/>
  <c r="U897" i="12"/>
  <c r="X897" i="12" s="1"/>
  <c r="U898" i="12"/>
  <c r="U899" i="12"/>
  <c r="U900" i="12"/>
  <c r="U901" i="12"/>
  <c r="U902" i="12"/>
  <c r="U903" i="12"/>
  <c r="U904" i="12"/>
  <c r="U905" i="12"/>
  <c r="U906" i="12"/>
  <c r="X906" i="12" s="1"/>
  <c r="U907" i="12"/>
  <c r="U908" i="12"/>
  <c r="U909" i="12"/>
  <c r="X909" i="12" s="1"/>
  <c r="U910" i="12"/>
  <c r="U911" i="12"/>
  <c r="U912" i="12"/>
  <c r="U913" i="12"/>
  <c r="U914" i="12"/>
  <c r="U915" i="12"/>
  <c r="U916" i="12"/>
  <c r="U917" i="12"/>
  <c r="U918" i="12"/>
  <c r="X918" i="12" s="1"/>
  <c r="U919" i="12"/>
  <c r="U920" i="12"/>
  <c r="U921" i="12"/>
  <c r="X921" i="12" s="1"/>
  <c r="U922" i="12"/>
  <c r="U923" i="12"/>
  <c r="U924" i="12"/>
  <c r="U925" i="12"/>
  <c r="U926" i="12"/>
  <c r="U927" i="12"/>
  <c r="U928" i="12"/>
  <c r="U929" i="12"/>
  <c r="U930" i="12"/>
  <c r="X930" i="12" s="1"/>
  <c r="U931" i="12"/>
  <c r="U932" i="12"/>
  <c r="U933" i="12"/>
  <c r="X933" i="12" s="1"/>
  <c r="U934" i="12"/>
  <c r="U935" i="12"/>
  <c r="U936" i="12"/>
  <c r="U937" i="12"/>
  <c r="U938" i="12"/>
  <c r="U939" i="12"/>
  <c r="U940" i="12"/>
  <c r="U941" i="12"/>
  <c r="U942" i="12"/>
  <c r="X942" i="12" s="1"/>
  <c r="U943" i="12"/>
  <c r="U944" i="12"/>
  <c r="U945" i="12"/>
  <c r="X945" i="12" s="1"/>
  <c r="U946" i="12"/>
  <c r="U947" i="12"/>
  <c r="U948" i="12"/>
  <c r="U949" i="12"/>
  <c r="U950" i="12"/>
  <c r="U951" i="12"/>
  <c r="U952" i="12"/>
  <c r="U953" i="12"/>
  <c r="U954" i="12"/>
  <c r="X954" i="12" s="1"/>
  <c r="U955" i="12"/>
  <c r="U956" i="12"/>
  <c r="U957" i="12"/>
  <c r="X957" i="12" s="1"/>
  <c r="U958" i="12"/>
  <c r="U959" i="12"/>
  <c r="U960" i="12"/>
  <c r="U961" i="12"/>
  <c r="U962" i="12"/>
  <c r="U963" i="12"/>
  <c r="U964" i="12"/>
  <c r="U965" i="12"/>
  <c r="U966" i="12"/>
  <c r="X966" i="12" s="1"/>
  <c r="U967" i="12"/>
  <c r="U968" i="12"/>
  <c r="U969" i="12"/>
  <c r="X969" i="12" s="1"/>
  <c r="U970" i="12"/>
  <c r="U971" i="12"/>
  <c r="U972" i="12"/>
  <c r="U973" i="12"/>
  <c r="U974" i="12"/>
  <c r="U975" i="12"/>
  <c r="U976" i="12"/>
  <c r="U977" i="12"/>
  <c r="U978" i="12"/>
  <c r="X978" i="12" s="1"/>
  <c r="U979" i="12"/>
  <c r="U980" i="12"/>
  <c r="U981" i="12"/>
  <c r="X981" i="12" s="1"/>
  <c r="U982" i="12"/>
  <c r="U983" i="12"/>
  <c r="U984" i="12"/>
  <c r="U985" i="12"/>
  <c r="U986" i="12"/>
  <c r="U987" i="12"/>
  <c r="U988" i="12"/>
  <c r="U989" i="12"/>
  <c r="U990" i="12"/>
  <c r="X990" i="12" s="1"/>
  <c r="U991" i="12"/>
  <c r="U992" i="12"/>
  <c r="U993" i="12"/>
  <c r="X993" i="12" s="1"/>
  <c r="U994" i="12"/>
  <c r="U995" i="12"/>
  <c r="U996" i="12"/>
  <c r="U997" i="12"/>
  <c r="U998" i="12"/>
  <c r="U999" i="12"/>
  <c r="U1000" i="12"/>
  <c r="U1001" i="12"/>
  <c r="U1002" i="12"/>
  <c r="X1002" i="12" s="1"/>
  <c r="U1003" i="12"/>
  <c r="U1004" i="12"/>
  <c r="U1005" i="12"/>
  <c r="X1005" i="12" s="1"/>
  <c r="U1006" i="12"/>
  <c r="U1007" i="12"/>
  <c r="U1008" i="12"/>
  <c r="U1009" i="12"/>
  <c r="U1010" i="12"/>
  <c r="U1011" i="12"/>
  <c r="U1012" i="12"/>
  <c r="U1013" i="12"/>
  <c r="U1014" i="12"/>
  <c r="X1014" i="12" s="1"/>
  <c r="U1015" i="12"/>
  <c r="U1016" i="12"/>
  <c r="U1017" i="12"/>
  <c r="X1017" i="12" s="1"/>
  <c r="U1018" i="12"/>
  <c r="U1019" i="12"/>
  <c r="U1020" i="12"/>
  <c r="U1021" i="12"/>
  <c r="U1022" i="12"/>
  <c r="U1023" i="12"/>
  <c r="U1024" i="12"/>
  <c r="U1025" i="12"/>
  <c r="U1026" i="12"/>
  <c r="X1026" i="12" s="1"/>
  <c r="U1027" i="12"/>
  <c r="U1028" i="12"/>
  <c r="U1029" i="12"/>
  <c r="X1029" i="12" s="1"/>
  <c r="U1030" i="12"/>
  <c r="U1031" i="12"/>
  <c r="U1032" i="12"/>
  <c r="U1033" i="12"/>
  <c r="U1034" i="12"/>
  <c r="U1035" i="12"/>
  <c r="U1036" i="12"/>
  <c r="U1037" i="12"/>
  <c r="U1038" i="12"/>
  <c r="X1038" i="12" s="1"/>
  <c r="U1039" i="12"/>
  <c r="U1040" i="12"/>
  <c r="U1041" i="12"/>
  <c r="X1041" i="12" s="1"/>
  <c r="U1042" i="12"/>
  <c r="U1043" i="12"/>
  <c r="U1044" i="12"/>
  <c r="U1045" i="12"/>
  <c r="U1046" i="12"/>
  <c r="U1047" i="12"/>
  <c r="U1048" i="12"/>
  <c r="U1049" i="12"/>
  <c r="U1050" i="12"/>
  <c r="X1050" i="12" s="1"/>
  <c r="U1051" i="12"/>
  <c r="U1052" i="12"/>
  <c r="U1053" i="12"/>
  <c r="X1053" i="12" s="1"/>
  <c r="U1054" i="12"/>
  <c r="U1055" i="12"/>
  <c r="U1056" i="12"/>
  <c r="U1057" i="12"/>
  <c r="U1058" i="12"/>
  <c r="U1059" i="12"/>
  <c r="U1060" i="12"/>
  <c r="U1061" i="12"/>
  <c r="U1062" i="12"/>
  <c r="X1062" i="12" s="1"/>
  <c r="U1063" i="12"/>
  <c r="U1064" i="12"/>
  <c r="U1065" i="12"/>
  <c r="X1065" i="12" s="1"/>
  <c r="U1066" i="12"/>
  <c r="U1067" i="12"/>
  <c r="U1068" i="12"/>
  <c r="U1069" i="12"/>
  <c r="U1070" i="12"/>
  <c r="U1071" i="12"/>
  <c r="U1072" i="12"/>
  <c r="U1073" i="12"/>
  <c r="U1074" i="12"/>
  <c r="X1074" i="12" s="1"/>
  <c r="U1075" i="12"/>
  <c r="U1076" i="12"/>
  <c r="U1077" i="12"/>
  <c r="X1077" i="12" s="1"/>
  <c r="U1078" i="12"/>
  <c r="U1079" i="12"/>
  <c r="U1080" i="12"/>
  <c r="U1081" i="12"/>
  <c r="U1082" i="12"/>
  <c r="U1083" i="12"/>
  <c r="U1084" i="12"/>
  <c r="U1085" i="12"/>
  <c r="U1086" i="12"/>
  <c r="X1086" i="12" s="1"/>
  <c r="U1087" i="12"/>
  <c r="U1088" i="12"/>
  <c r="U1089" i="12"/>
  <c r="X1089" i="12" s="1"/>
  <c r="U1090" i="12"/>
  <c r="U1091" i="12"/>
  <c r="U1092" i="12"/>
  <c r="U1093" i="12"/>
  <c r="U1094" i="12"/>
  <c r="U1095" i="12"/>
  <c r="U1096" i="12"/>
  <c r="U1097" i="12"/>
  <c r="U1098" i="12"/>
  <c r="X1098" i="12" s="1"/>
  <c r="U1099" i="12"/>
  <c r="U1100" i="12"/>
  <c r="U1101" i="12"/>
  <c r="X1101" i="12" s="1"/>
  <c r="U1102" i="12"/>
  <c r="U1103" i="12"/>
  <c r="U1104" i="12"/>
  <c r="U1105" i="12"/>
  <c r="U1106" i="12"/>
  <c r="U1107" i="12"/>
  <c r="U1108" i="12"/>
  <c r="U1109" i="12"/>
  <c r="U1110" i="12"/>
  <c r="X1110" i="12" s="1"/>
  <c r="U1111" i="12"/>
  <c r="U1112" i="12"/>
  <c r="U1113" i="12"/>
  <c r="X1113" i="12" s="1"/>
  <c r="U1114" i="12"/>
  <c r="U1115" i="12"/>
  <c r="U1116" i="12"/>
  <c r="U1117" i="12"/>
  <c r="U1118" i="12"/>
  <c r="U1119" i="12"/>
  <c r="U1120" i="12"/>
  <c r="U1121" i="12"/>
  <c r="U1122" i="12"/>
  <c r="X1122" i="12" s="1"/>
  <c r="U1123" i="12"/>
  <c r="U1124" i="12"/>
  <c r="U1125" i="12"/>
  <c r="X1125" i="12" s="1"/>
  <c r="U1126" i="12"/>
  <c r="U1127" i="12"/>
  <c r="U1128" i="12"/>
  <c r="U1129" i="12"/>
  <c r="U1130" i="12"/>
  <c r="U1131" i="12"/>
  <c r="U1132" i="12"/>
  <c r="U1133" i="12"/>
  <c r="U1134" i="12"/>
  <c r="X1134" i="12" s="1"/>
  <c r="U1135" i="12"/>
  <c r="U1136" i="12"/>
  <c r="U1137" i="12"/>
  <c r="X1137" i="12" s="1"/>
  <c r="U1138" i="12"/>
  <c r="U1139" i="12"/>
  <c r="U1140" i="12"/>
  <c r="U1141" i="12"/>
  <c r="U1142" i="12"/>
  <c r="U1143" i="12"/>
  <c r="U1144" i="12"/>
  <c r="U1145" i="12"/>
  <c r="U1146" i="12"/>
  <c r="X1146" i="12" s="1"/>
  <c r="U1147" i="12"/>
  <c r="U1148" i="12"/>
  <c r="U1149" i="12"/>
  <c r="X1149" i="12" s="1"/>
  <c r="U1150" i="12"/>
  <c r="U1151" i="12"/>
  <c r="U1152" i="12"/>
  <c r="U1153" i="12"/>
  <c r="U1154" i="12"/>
  <c r="U1155" i="12"/>
  <c r="U1156" i="12"/>
  <c r="U1157" i="12"/>
  <c r="U1158" i="12"/>
  <c r="X1158" i="12" s="1"/>
  <c r="U1159" i="12"/>
  <c r="U1160" i="12"/>
  <c r="U1161" i="12"/>
  <c r="X1161" i="12" s="1"/>
  <c r="U1162" i="12"/>
  <c r="U1163" i="12"/>
  <c r="U1164" i="12"/>
  <c r="U1165" i="12"/>
  <c r="U1166" i="12"/>
  <c r="U1167" i="12"/>
  <c r="U1168" i="12"/>
  <c r="U1169" i="12"/>
  <c r="U1170" i="12"/>
  <c r="X1170" i="12" s="1"/>
  <c r="U1171" i="12"/>
  <c r="U1172" i="12"/>
  <c r="U1173" i="12"/>
  <c r="X1173" i="12" s="1"/>
  <c r="U1174" i="12"/>
  <c r="U1175" i="12"/>
  <c r="U1176" i="12"/>
  <c r="U1177" i="12"/>
  <c r="U1178" i="12"/>
  <c r="U1179" i="12"/>
  <c r="U1180" i="12"/>
  <c r="U1181" i="12"/>
  <c r="U1182" i="12"/>
  <c r="X1182" i="12" s="1"/>
  <c r="U1183" i="12"/>
  <c r="U1184" i="12"/>
  <c r="U1185" i="12"/>
  <c r="X1185" i="12" s="1"/>
  <c r="U1186" i="12"/>
  <c r="U1187" i="12"/>
  <c r="U1188" i="12"/>
  <c r="U1189" i="12"/>
  <c r="U1190" i="12"/>
  <c r="U1191" i="12"/>
  <c r="U1192" i="12"/>
  <c r="U1193" i="12"/>
  <c r="U1194" i="12"/>
  <c r="X1194" i="12" s="1"/>
  <c r="U1195" i="12"/>
  <c r="U1196" i="12"/>
  <c r="U1197" i="12"/>
  <c r="X1197" i="12" s="1"/>
  <c r="U1198" i="12"/>
  <c r="U1199" i="12"/>
  <c r="U1200" i="12"/>
  <c r="U1201" i="12"/>
  <c r="U1202" i="12"/>
  <c r="U1203" i="12"/>
  <c r="U1204" i="12"/>
  <c r="U1205" i="12"/>
  <c r="U1206" i="12"/>
  <c r="X1206" i="12" s="1"/>
  <c r="U1207" i="12"/>
  <c r="U1208" i="12"/>
  <c r="U1209" i="12"/>
  <c r="X1209" i="12" s="1"/>
  <c r="U1210" i="12"/>
  <c r="U1211" i="12"/>
  <c r="U1212" i="12"/>
  <c r="U1213" i="12"/>
  <c r="U1214" i="12"/>
  <c r="U1215" i="12"/>
  <c r="U1216" i="12"/>
  <c r="U1217" i="12"/>
  <c r="U1218" i="12"/>
  <c r="X1218" i="12" s="1"/>
  <c r="U1219" i="12"/>
  <c r="U1220" i="12"/>
  <c r="U1221" i="12"/>
  <c r="X1221" i="12" s="1"/>
  <c r="U1222" i="12"/>
  <c r="U1223" i="12"/>
  <c r="U1224" i="12"/>
  <c r="U1225" i="12"/>
  <c r="U1226" i="12"/>
  <c r="U1227" i="12"/>
  <c r="U1228" i="12"/>
  <c r="U1229" i="12"/>
  <c r="U1230" i="12"/>
  <c r="X1230" i="12" s="1"/>
  <c r="U1231" i="12"/>
  <c r="U1232" i="12"/>
  <c r="U1233" i="12"/>
  <c r="X1233" i="12" s="1"/>
  <c r="U1234" i="12"/>
  <c r="U1235" i="12"/>
  <c r="U1236" i="12"/>
  <c r="U1237" i="12"/>
  <c r="U1238" i="12"/>
  <c r="U1239" i="12"/>
  <c r="U1240" i="12"/>
  <c r="U1241" i="12"/>
  <c r="U1242" i="12"/>
  <c r="X1242" i="12" s="1"/>
  <c r="U1243" i="12"/>
  <c r="U1244" i="12"/>
  <c r="U1245" i="12"/>
  <c r="X1245" i="12" s="1"/>
  <c r="U1246" i="12"/>
  <c r="U1247" i="12"/>
  <c r="U1248" i="12"/>
  <c r="U1249" i="12"/>
  <c r="U1250" i="12"/>
  <c r="U1251" i="12"/>
  <c r="U1252" i="12"/>
  <c r="U1253" i="12"/>
  <c r="U1254" i="12"/>
  <c r="X1254" i="12" s="1"/>
  <c r="U1255" i="12"/>
  <c r="U1256" i="12"/>
  <c r="U1257" i="12"/>
  <c r="X1257" i="12" s="1"/>
  <c r="U1258" i="12"/>
  <c r="U1259" i="12"/>
  <c r="U1260" i="12"/>
  <c r="U1261" i="12"/>
  <c r="U1262" i="12"/>
  <c r="U1263" i="12"/>
  <c r="U1264" i="12"/>
  <c r="U1265" i="12"/>
  <c r="U1266" i="12"/>
  <c r="X1266" i="12" s="1"/>
  <c r="U1267" i="12"/>
  <c r="U1268" i="12"/>
  <c r="U1269" i="12"/>
  <c r="X1269" i="12" s="1"/>
  <c r="U1270" i="12"/>
  <c r="U1271" i="12"/>
  <c r="U1272" i="12"/>
  <c r="U1273" i="12"/>
  <c r="U1274" i="12"/>
  <c r="U1275" i="12"/>
  <c r="U1276" i="12"/>
  <c r="U1277" i="12"/>
  <c r="U1278" i="12"/>
  <c r="X1278" i="12" s="1"/>
  <c r="U1279" i="12"/>
  <c r="U1280" i="12"/>
  <c r="U1281" i="12"/>
  <c r="X1281" i="12" s="1"/>
  <c r="U1282" i="12"/>
  <c r="U1283" i="12"/>
  <c r="U1284" i="12"/>
  <c r="U1285" i="12"/>
  <c r="U1286" i="12"/>
  <c r="U1287" i="12"/>
  <c r="U1288" i="12"/>
  <c r="U1289" i="12"/>
  <c r="U1290" i="12"/>
  <c r="X1290" i="12" s="1"/>
  <c r="U1291" i="12"/>
  <c r="U1292" i="12"/>
  <c r="U1293" i="12"/>
  <c r="X1293" i="12" s="1"/>
  <c r="U1294" i="12"/>
  <c r="U1295" i="12"/>
  <c r="U1296" i="12"/>
  <c r="U1297" i="12"/>
  <c r="U1298" i="12"/>
  <c r="U1299" i="12"/>
  <c r="U1300" i="12"/>
  <c r="U1301" i="12"/>
  <c r="U1302" i="12"/>
  <c r="X1302" i="12" s="1"/>
  <c r="U1303" i="12"/>
  <c r="U1304" i="12"/>
  <c r="U1305" i="12"/>
  <c r="X1305" i="12" s="1"/>
  <c r="U1306" i="12"/>
  <c r="U1307" i="12"/>
  <c r="U1308" i="12"/>
  <c r="U1309" i="12"/>
  <c r="U1310" i="12"/>
  <c r="U1311" i="12"/>
  <c r="U1312" i="12"/>
  <c r="U1313" i="12"/>
  <c r="U1314" i="12"/>
  <c r="X1314" i="12" s="1"/>
  <c r="U1315" i="12"/>
  <c r="U1316" i="12"/>
  <c r="U1317" i="12"/>
  <c r="X1317" i="12" s="1"/>
  <c r="U1318" i="12"/>
  <c r="U1319" i="12"/>
  <c r="U1320" i="12"/>
  <c r="U1321" i="12"/>
  <c r="U1322" i="12"/>
  <c r="U1323" i="12"/>
  <c r="U1324" i="12"/>
  <c r="U1325" i="12"/>
  <c r="U1326" i="12"/>
  <c r="X1326" i="12" s="1"/>
  <c r="U1327" i="12"/>
  <c r="U1328" i="12"/>
  <c r="U1329" i="12"/>
  <c r="X1329" i="12" s="1"/>
  <c r="U1330" i="12"/>
  <c r="U1331" i="12"/>
  <c r="U1332" i="12"/>
  <c r="U1333" i="12"/>
  <c r="U1334" i="12"/>
  <c r="U1335" i="12"/>
  <c r="U1336" i="12"/>
  <c r="U1337" i="12"/>
  <c r="U1338" i="12"/>
  <c r="X1338" i="12" s="1"/>
  <c r="U1339" i="12"/>
  <c r="U1340" i="12"/>
  <c r="U1341" i="12"/>
  <c r="X1341" i="12" s="1"/>
  <c r="U1342" i="12"/>
  <c r="U1343" i="12"/>
  <c r="U1344" i="12"/>
  <c r="U1345" i="12"/>
  <c r="U1346" i="12"/>
  <c r="U1347" i="12"/>
  <c r="U1348" i="12"/>
  <c r="U1349" i="12"/>
  <c r="U1350" i="12"/>
  <c r="X1350" i="12" s="1"/>
  <c r="U1351" i="12"/>
  <c r="U1352" i="12"/>
  <c r="U1353" i="12"/>
  <c r="X1353" i="12" s="1"/>
  <c r="U1354" i="12"/>
  <c r="U1355" i="12"/>
  <c r="U1356" i="12"/>
  <c r="U1357" i="12"/>
  <c r="U1358" i="12"/>
  <c r="U1359" i="12"/>
  <c r="U1360" i="12"/>
  <c r="U1361" i="12"/>
  <c r="U1362" i="12"/>
  <c r="X1362" i="12" s="1"/>
  <c r="U1363" i="12"/>
  <c r="U1364" i="12"/>
  <c r="U1365" i="12"/>
  <c r="X1365" i="12" s="1"/>
  <c r="U1366" i="12"/>
  <c r="U1367" i="12"/>
  <c r="U1368" i="12"/>
  <c r="U1369" i="12"/>
  <c r="U1370" i="12"/>
  <c r="U1371" i="12"/>
  <c r="U1372" i="12"/>
  <c r="U1373" i="12"/>
  <c r="U1374" i="12"/>
  <c r="X1374" i="12" s="1"/>
  <c r="U1375" i="12"/>
  <c r="U1376" i="12"/>
  <c r="U1377" i="12"/>
  <c r="X1377" i="12" s="1"/>
  <c r="U1378" i="12"/>
  <c r="U1379" i="12"/>
  <c r="U1380" i="12"/>
  <c r="U1381" i="12"/>
  <c r="U1382" i="12"/>
  <c r="U1383" i="12"/>
  <c r="U1384" i="12"/>
  <c r="U1385" i="12"/>
  <c r="U1386" i="12"/>
  <c r="X1386" i="12" s="1"/>
  <c r="U1387" i="12"/>
  <c r="U1388" i="12"/>
  <c r="U1389" i="12"/>
  <c r="X1389" i="12" s="1"/>
  <c r="U1390" i="12"/>
  <c r="U1391" i="12"/>
  <c r="U1392" i="12"/>
  <c r="U1393" i="12"/>
  <c r="U1394" i="12"/>
  <c r="U1395" i="12"/>
  <c r="U1396" i="12"/>
  <c r="U1397" i="12"/>
  <c r="U1398" i="12"/>
  <c r="X1398" i="12" s="1"/>
  <c r="U1399" i="12"/>
  <c r="U1400" i="12"/>
  <c r="U1401" i="12"/>
  <c r="X1401" i="12" s="1"/>
  <c r="U1402" i="12"/>
  <c r="U1403" i="12"/>
  <c r="U1404" i="12"/>
  <c r="U1405" i="12"/>
  <c r="U1406" i="12"/>
  <c r="U1407" i="12"/>
  <c r="U1408" i="12"/>
  <c r="U1409" i="12"/>
  <c r="U1410" i="12"/>
  <c r="X1410" i="12" s="1"/>
  <c r="U1411" i="12"/>
  <c r="U1412" i="12"/>
  <c r="U1413" i="12"/>
  <c r="X1413" i="12" s="1"/>
  <c r="U1414" i="12"/>
  <c r="U1415" i="12"/>
  <c r="U1416" i="12"/>
  <c r="U1417" i="12"/>
  <c r="U1418" i="12"/>
  <c r="U1419" i="12"/>
  <c r="U1420" i="12"/>
  <c r="U1421" i="12"/>
  <c r="U1422" i="12"/>
  <c r="X1422" i="12" s="1"/>
  <c r="U1423" i="12"/>
  <c r="U1424" i="12"/>
  <c r="U1425" i="12"/>
  <c r="X1425" i="12" s="1"/>
  <c r="U1426" i="12"/>
  <c r="U1427" i="12"/>
  <c r="U1428" i="12"/>
  <c r="U1429" i="12"/>
  <c r="U1430" i="12"/>
  <c r="U1431" i="12"/>
  <c r="U1432" i="12"/>
  <c r="U1433" i="12"/>
  <c r="U1434" i="12"/>
  <c r="X1434" i="12" s="1"/>
  <c r="U1435" i="12"/>
  <c r="U1436" i="12"/>
  <c r="U1437" i="12"/>
  <c r="X1437" i="12" s="1"/>
  <c r="U1438" i="12"/>
  <c r="U1439" i="12"/>
  <c r="U1440" i="12"/>
  <c r="U1441" i="12"/>
  <c r="U1442" i="12"/>
  <c r="U1443" i="12"/>
  <c r="U1444" i="12"/>
  <c r="U1445" i="12"/>
  <c r="U1446" i="12"/>
  <c r="X1446" i="12" s="1"/>
  <c r="U1447" i="12"/>
  <c r="U1448" i="12"/>
  <c r="U1449" i="12"/>
  <c r="X1449" i="12" s="1"/>
  <c r="U1450" i="12"/>
  <c r="U1451" i="12"/>
  <c r="U1452" i="12"/>
  <c r="U1453" i="12"/>
  <c r="U1454" i="12"/>
  <c r="U1455" i="12"/>
  <c r="U1456" i="12"/>
  <c r="U1457" i="12"/>
  <c r="U1458" i="12"/>
  <c r="X1458" i="12" s="1"/>
  <c r="U1459" i="12"/>
  <c r="U1460" i="12"/>
  <c r="U1461" i="12"/>
  <c r="X1461" i="12" s="1"/>
  <c r="U1462" i="12"/>
  <c r="U1463" i="12"/>
  <c r="U1464" i="12"/>
  <c r="U1465" i="12"/>
  <c r="U1466" i="12"/>
  <c r="U1467" i="12"/>
  <c r="U1468" i="12"/>
  <c r="U1469" i="12"/>
  <c r="U1470" i="12"/>
  <c r="X1470" i="12" s="1"/>
  <c r="U1471" i="12"/>
  <c r="U1472" i="12"/>
  <c r="U1473" i="12"/>
  <c r="X1473" i="12" s="1"/>
  <c r="U1474" i="12"/>
  <c r="U1475" i="12"/>
  <c r="U1476" i="12"/>
  <c r="U1477" i="12"/>
  <c r="U1478" i="12"/>
  <c r="U1479" i="12"/>
  <c r="U1480" i="12"/>
  <c r="U1481" i="12"/>
  <c r="U1482" i="12"/>
  <c r="X1482" i="12" s="1"/>
  <c r="U1483" i="12"/>
  <c r="U1484" i="12"/>
  <c r="U1485" i="12"/>
  <c r="X1485" i="12" s="1"/>
  <c r="U1486" i="12"/>
  <c r="U1487" i="12"/>
  <c r="U1488" i="12"/>
  <c r="U1489" i="12"/>
  <c r="U1490" i="12"/>
  <c r="U1491" i="12"/>
  <c r="U1492" i="12"/>
  <c r="U1493" i="12"/>
  <c r="U1494" i="12"/>
  <c r="X1494" i="12" s="1"/>
  <c r="U1495" i="12"/>
  <c r="U1496" i="12"/>
  <c r="U1497" i="12"/>
  <c r="X1497" i="12" s="1"/>
  <c r="U1498" i="12"/>
  <c r="U1499" i="12"/>
  <c r="U1500" i="12"/>
  <c r="U1501" i="12"/>
  <c r="U1502" i="12"/>
  <c r="U1503" i="12"/>
  <c r="U1504" i="12"/>
  <c r="U1505" i="12"/>
  <c r="U1506" i="12"/>
  <c r="X1506" i="12" s="1"/>
  <c r="U1507" i="12"/>
  <c r="U1508" i="12"/>
  <c r="U1509" i="12"/>
  <c r="X1509" i="12" s="1"/>
  <c r="U1510" i="12"/>
  <c r="U1511" i="12"/>
  <c r="U1512" i="12"/>
  <c r="U1513" i="12"/>
  <c r="U1514" i="12"/>
  <c r="U1515" i="12"/>
  <c r="U1516" i="12"/>
  <c r="U1517" i="12"/>
  <c r="U1518" i="12"/>
  <c r="X1518" i="12" s="1"/>
  <c r="U1519" i="12"/>
  <c r="U1520" i="12"/>
  <c r="U1521" i="12"/>
  <c r="X1521" i="12" s="1"/>
  <c r="U1522" i="12"/>
  <c r="U1523" i="12"/>
  <c r="U1524" i="12"/>
  <c r="U1525" i="12"/>
  <c r="U1526" i="12"/>
  <c r="U1527" i="12"/>
  <c r="U1528" i="12"/>
  <c r="U1529" i="12"/>
  <c r="U1530" i="12"/>
  <c r="X1530" i="12" s="1"/>
  <c r="U1531" i="12"/>
  <c r="U1532" i="12"/>
  <c r="U1533" i="12"/>
  <c r="X1533" i="12" s="1"/>
  <c r="U1534" i="12"/>
  <c r="U1535" i="12"/>
  <c r="U1536" i="12"/>
  <c r="U1537" i="12"/>
  <c r="U1538" i="12"/>
  <c r="U1539" i="12"/>
  <c r="U1540" i="12"/>
  <c r="U1541" i="12"/>
  <c r="U1542" i="12"/>
  <c r="X1542" i="12" s="1"/>
  <c r="U1543" i="12"/>
  <c r="U1544" i="12"/>
  <c r="U1545" i="12"/>
  <c r="X1545" i="12" s="1"/>
  <c r="U1546" i="12"/>
  <c r="U1547" i="12"/>
  <c r="U1548" i="12"/>
  <c r="U1549" i="12"/>
  <c r="U1550" i="12"/>
  <c r="U1551" i="12"/>
  <c r="U1552" i="12"/>
  <c r="U1553" i="12"/>
  <c r="U1554" i="12"/>
  <c r="X1554" i="12" s="1"/>
  <c r="U1555" i="12"/>
  <c r="U1556" i="12"/>
  <c r="U1557" i="12"/>
  <c r="X1557" i="12" s="1"/>
  <c r="U1558" i="12"/>
  <c r="U1559" i="12"/>
  <c r="U1560" i="12"/>
  <c r="U1561" i="12"/>
  <c r="U1562" i="12"/>
  <c r="U1563" i="12"/>
  <c r="U1564" i="12"/>
  <c r="U1565" i="12"/>
  <c r="U1566" i="12"/>
  <c r="X1566" i="12" s="1"/>
  <c r="U1567" i="12"/>
  <c r="U1568" i="12"/>
  <c r="U1569" i="12"/>
  <c r="X1569" i="12" s="1"/>
  <c r="U1570" i="12"/>
  <c r="U1571" i="12"/>
  <c r="U1572" i="12"/>
  <c r="U1573" i="12"/>
  <c r="U1574" i="12"/>
  <c r="U1575" i="12"/>
  <c r="U1576" i="12"/>
  <c r="U1577" i="12"/>
  <c r="U1578" i="12"/>
  <c r="X1578" i="12" s="1"/>
  <c r="U1579" i="12"/>
  <c r="U1580" i="12"/>
  <c r="U1581" i="12"/>
  <c r="X1581" i="12" s="1"/>
  <c r="U1582" i="12"/>
  <c r="U1583" i="12"/>
  <c r="U1584" i="12"/>
  <c r="U1585" i="12"/>
  <c r="U1586" i="12"/>
  <c r="U1587" i="12"/>
  <c r="U1588" i="12"/>
  <c r="U1589" i="12"/>
  <c r="U1590" i="12"/>
  <c r="X1590" i="12" s="1"/>
  <c r="U1591" i="12"/>
  <c r="U1592" i="12"/>
  <c r="U1593" i="12"/>
  <c r="X1593" i="12" s="1"/>
  <c r="U1594" i="12"/>
  <c r="U1595" i="12"/>
  <c r="U1596" i="12"/>
  <c r="U1597" i="12"/>
  <c r="U1598" i="12"/>
  <c r="U1599" i="12"/>
  <c r="U1600" i="12"/>
  <c r="U1601" i="12"/>
  <c r="U1602" i="12"/>
  <c r="X1602" i="12" s="1"/>
  <c r="U1603" i="12"/>
  <c r="U1604" i="12"/>
  <c r="U1605" i="12"/>
  <c r="X1605" i="12" s="1"/>
  <c r="U1606" i="12"/>
  <c r="U1607" i="12"/>
  <c r="U1608" i="12"/>
  <c r="U1609" i="12"/>
  <c r="U1610" i="12"/>
  <c r="U1611" i="12"/>
  <c r="U1612" i="12"/>
  <c r="U1613" i="12"/>
  <c r="U1614" i="12"/>
  <c r="X1614" i="12" s="1"/>
  <c r="U1615" i="12"/>
  <c r="U1616" i="12"/>
  <c r="U1617" i="12"/>
  <c r="X1617" i="12" s="1"/>
  <c r="U1618" i="12"/>
  <c r="U1619" i="12"/>
  <c r="U1620" i="12"/>
  <c r="U1621" i="12"/>
  <c r="U1622" i="12"/>
  <c r="U1623" i="12"/>
  <c r="U1624" i="12"/>
  <c r="U1625" i="12"/>
  <c r="U1626" i="12"/>
  <c r="X1626" i="12" s="1"/>
  <c r="U1627" i="12"/>
  <c r="U1628" i="12"/>
  <c r="U1629" i="12"/>
  <c r="X1629" i="12" s="1"/>
  <c r="U1630" i="12"/>
  <c r="U1631" i="12"/>
  <c r="U1632" i="12"/>
  <c r="U1633" i="12"/>
  <c r="U1634" i="12"/>
  <c r="U1635" i="12"/>
  <c r="U1636" i="12"/>
  <c r="U1637" i="12"/>
  <c r="U1638" i="12"/>
  <c r="X1638" i="12" s="1"/>
  <c r="U1639" i="12"/>
  <c r="U1640" i="12"/>
  <c r="U1641" i="12"/>
  <c r="X1641" i="12" s="1"/>
  <c r="U1642" i="12"/>
  <c r="U1643" i="12"/>
  <c r="U1644" i="12"/>
  <c r="U1645" i="12"/>
  <c r="U1646" i="12"/>
  <c r="U1647" i="12"/>
  <c r="U1648" i="12"/>
  <c r="U1649" i="12"/>
  <c r="U1650" i="12"/>
  <c r="X1650" i="12" s="1"/>
  <c r="U1651" i="12"/>
  <c r="U1652" i="12"/>
  <c r="U1653" i="12"/>
  <c r="X1653" i="12" s="1"/>
  <c r="U1654" i="12"/>
  <c r="U1655" i="12"/>
  <c r="U1656" i="12"/>
  <c r="U1657" i="12"/>
  <c r="U1658" i="12"/>
  <c r="U1659" i="12"/>
  <c r="U1660" i="12"/>
  <c r="U1661" i="12"/>
  <c r="U1662" i="12"/>
  <c r="X1662" i="12" s="1"/>
  <c r="U1663" i="12"/>
  <c r="U1664" i="12"/>
  <c r="U1665" i="12"/>
  <c r="X1665" i="12" s="1"/>
  <c r="U1666" i="12"/>
  <c r="U1667" i="12"/>
  <c r="U1668" i="12"/>
  <c r="U1669" i="12"/>
  <c r="U1670" i="12"/>
  <c r="U1671" i="12"/>
  <c r="U1672" i="12"/>
  <c r="U1673" i="12"/>
  <c r="U1674" i="12"/>
  <c r="X1674" i="12" s="1"/>
  <c r="U1675" i="12"/>
  <c r="U1676" i="12"/>
  <c r="U1677" i="12"/>
  <c r="X1677" i="12" s="1"/>
  <c r="U1678" i="12"/>
  <c r="U1679" i="12"/>
  <c r="U1680" i="12"/>
  <c r="U1681" i="12"/>
  <c r="U1682" i="12"/>
  <c r="U1683" i="12"/>
  <c r="U1684" i="12"/>
  <c r="U1685" i="12"/>
  <c r="U1686" i="12"/>
  <c r="X1686" i="12" s="1"/>
  <c r="U1687" i="12"/>
  <c r="U1688" i="12"/>
  <c r="U1689" i="12"/>
  <c r="X1689" i="12" s="1"/>
  <c r="U1690" i="12"/>
  <c r="U1691" i="12"/>
  <c r="U1692" i="12"/>
  <c r="U1693" i="12"/>
  <c r="U1694" i="12"/>
  <c r="U1695" i="12"/>
  <c r="U1696" i="12"/>
  <c r="U1697" i="12"/>
  <c r="U1698" i="12"/>
  <c r="X1698" i="12" s="1"/>
  <c r="U1699" i="12"/>
  <c r="U1700" i="12"/>
  <c r="U1701" i="12"/>
  <c r="X1701" i="12" s="1"/>
  <c r="U1702" i="12"/>
  <c r="U1703" i="12"/>
  <c r="U1704" i="12"/>
  <c r="U1705" i="12"/>
  <c r="U1706" i="12"/>
  <c r="U1707" i="12"/>
  <c r="U1708" i="12"/>
  <c r="U1709" i="12"/>
  <c r="U1710" i="12"/>
  <c r="U1711" i="12"/>
  <c r="U1712" i="12"/>
  <c r="U1713" i="12"/>
  <c r="X1713" i="12" s="1"/>
  <c r="U1714" i="12"/>
  <c r="U1715" i="12"/>
  <c r="U1716" i="12"/>
  <c r="U1717" i="12"/>
  <c r="U1718" i="12"/>
  <c r="U1719" i="12"/>
  <c r="U1720" i="12"/>
  <c r="U1721" i="12"/>
  <c r="U1722" i="12"/>
  <c r="X1722" i="12" s="1"/>
  <c r="U1723" i="12"/>
  <c r="U1724" i="12"/>
  <c r="U1725" i="12"/>
  <c r="X1725" i="12" s="1"/>
  <c r="U1726" i="12"/>
  <c r="U1727" i="12"/>
  <c r="U1728" i="12"/>
  <c r="U1729" i="12"/>
  <c r="U1730" i="12"/>
  <c r="U1731" i="12"/>
  <c r="U1732" i="12"/>
  <c r="U1733" i="12"/>
  <c r="U1734" i="12"/>
  <c r="X1734" i="12" s="1"/>
  <c r="U1735" i="12"/>
  <c r="U1736" i="12"/>
  <c r="U1737" i="12"/>
  <c r="X1737" i="12" s="1"/>
  <c r="U1738" i="12"/>
  <c r="U1739" i="12"/>
  <c r="U1740" i="12"/>
  <c r="U1741" i="12"/>
  <c r="U1742" i="12"/>
  <c r="U1743" i="12"/>
  <c r="U1744" i="12"/>
  <c r="U1745" i="12"/>
  <c r="U1746" i="12"/>
  <c r="X1746" i="12" s="1"/>
  <c r="U1747" i="12"/>
  <c r="U1748" i="12"/>
  <c r="U1749" i="12"/>
  <c r="X1749" i="12" s="1"/>
  <c r="U1750" i="12"/>
  <c r="U1751" i="12"/>
  <c r="U1752" i="12"/>
  <c r="U1753" i="12"/>
  <c r="U1754" i="12"/>
  <c r="U1755" i="12"/>
  <c r="U1756" i="12"/>
  <c r="U1757" i="12"/>
  <c r="U1758" i="12"/>
  <c r="X1758" i="12" s="1"/>
  <c r="U1759" i="12"/>
  <c r="U1760" i="12"/>
  <c r="U1761" i="12"/>
  <c r="X1761" i="12" s="1"/>
  <c r="U1762" i="12"/>
  <c r="U1763" i="12"/>
  <c r="U1764" i="12"/>
  <c r="U1765" i="12"/>
  <c r="U1766" i="12"/>
  <c r="U1767" i="12"/>
  <c r="U1768" i="12"/>
  <c r="U1769" i="12"/>
  <c r="U1770" i="12"/>
  <c r="X1770" i="12" s="1"/>
  <c r="U1771" i="12"/>
  <c r="U1772" i="12"/>
  <c r="U1773" i="12"/>
  <c r="X1773" i="12" s="1"/>
  <c r="U1774" i="12"/>
  <c r="U1775" i="12"/>
  <c r="U1776" i="12"/>
  <c r="U1777" i="12"/>
  <c r="U1778" i="12"/>
  <c r="U1779" i="12"/>
  <c r="U1780" i="12"/>
  <c r="U1781" i="12"/>
  <c r="U1782" i="12"/>
  <c r="X1782" i="12" s="1"/>
  <c r="U1783" i="12"/>
  <c r="U1784" i="12"/>
  <c r="U1785" i="12"/>
  <c r="X1785" i="12" s="1"/>
  <c r="U1786" i="12"/>
  <c r="U1787" i="12"/>
  <c r="U1788" i="12"/>
  <c r="U1789" i="12"/>
  <c r="U1790" i="12"/>
  <c r="U1791" i="12"/>
  <c r="U1792" i="12"/>
  <c r="U1793" i="12"/>
  <c r="U1794" i="12"/>
  <c r="X1794" i="12" s="1"/>
  <c r="U1795" i="12"/>
  <c r="U1796" i="12"/>
  <c r="U1797" i="12"/>
  <c r="X1797" i="12" s="1"/>
  <c r="U1798" i="12"/>
  <c r="U1799" i="12"/>
  <c r="U1800" i="12"/>
  <c r="U1801" i="12"/>
  <c r="U1802" i="12"/>
  <c r="U1803" i="12"/>
  <c r="U1804" i="12"/>
  <c r="U1805" i="12"/>
  <c r="U1806" i="12"/>
  <c r="X1806" i="12" s="1"/>
  <c r="U1807" i="12"/>
  <c r="U1808" i="12"/>
  <c r="U1809" i="12"/>
  <c r="X1809" i="12" s="1"/>
  <c r="U1810" i="12"/>
  <c r="U1811" i="12"/>
  <c r="U1812" i="12"/>
  <c r="U1813" i="12"/>
  <c r="U1814" i="12"/>
  <c r="U1815" i="12"/>
  <c r="U1816" i="12"/>
  <c r="U1817" i="12"/>
  <c r="U1818" i="12"/>
  <c r="X1818" i="12" s="1"/>
  <c r="U1819" i="12"/>
  <c r="U1820" i="12"/>
  <c r="U1821" i="12"/>
  <c r="X1821" i="12" s="1"/>
  <c r="U1822" i="12"/>
  <c r="U1823" i="12"/>
  <c r="U1824" i="12"/>
  <c r="U1825" i="12"/>
  <c r="U1826" i="12"/>
  <c r="U1827" i="12"/>
  <c r="U1828" i="12"/>
  <c r="U1829" i="12"/>
  <c r="U1830" i="12"/>
  <c r="X1830" i="12" s="1"/>
  <c r="U1831" i="12"/>
  <c r="U1832" i="12"/>
  <c r="U1833" i="12"/>
  <c r="X1833" i="12" s="1"/>
  <c r="U1834" i="12"/>
  <c r="U1835" i="12"/>
  <c r="U1836" i="12"/>
  <c r="U1837" i="12"/>
  <c r="U1838" i="12"/>
  <c r="U1839" i="12"/>
  <c r="U1840" i="12"/>
  <c r="U1841" i="12"/>
  <c r="U1842" i="12"/>
  <c r="X1842" i="12" s="1"/>
  <c r="U1843" i="12"/>
  <c r="U1844" i="12"/>
  <c r="U1845" i="12"/>
  <c r="X1845" i="12" s="1"/>
  <c r="U1846" i="12"/>
  <c r="U1847" i="12"/>
  <c r="U1848" i="12"/>
  <c r="U1849" i="12"/>
  <c r="U1850" i="12"/>
  <c r="U1851" i="12"/>
  <c r="U1852" i="12"/>
  <c r="U1853" i="12"/>
  <c r="U1854" i="12"/>
  <c r="X1854" i="12" s="1"/>
  <c r="U1855" i="12"/>
  <c r="U1856" i="12"/>
  <c r="U1857" i="12"/>
  <c r="X1857" i="12" s="1"/>
  <c r="U1858" i="12"/>
  <c r="U1859" i="12"/>
  <c r="U1860" i="12"/>
  <c r="U1861" i="12"/>
  <c r="U1862" i="12"/>
  <c r="U1863" i="12"/>
  <c r="U1864" i="12"/>
  <c r="U1865" i="12"/>
  <c r="U1866" i="12"/>
  <c r="X1866" i="12" s="1"/>
  <c r="U1867" i="12"/>
  <c r="U1868" i="12"/>
  <c r="U1869" i="12"/>
  <c r="X1869" i="12" s="1"/>
  <c r="U1870" i="12"/>
  <c r="U1871" i="12"/>
  <c r="U1872" i="12"/>
  <c r="U1873" i="12"/>
  <c r="U1874" i="12"/>
  <c r="U1875" i="12"/>
  <c r="U1876" i="12"/>
  <c r="U1877" i="12"/>
  <c r="U1878" i="12"/>
  <c r="X1878" i="12" s="1"/>
  <c r="U1879" i="12"/>
  <c r="U1880" i="12"/>
  <c r="U1881" i="12"/>
  <c r="X1881" i="12" s="1"/>
  <c r="U1882" i="12"/>
  <c r="U1883" i="12"/>
  <c r="U1884" i="12"/>
  <c r="U1885" i="12"/>
  <c r="U1886" i="12"/>
  <c r="U1887" i="12"/>
  <c r="U1888" i="12"/>
  <c r="U1889" i="12"/>
  <c r="U1890" i="12"/>
  <c r="X1890" i="12" s="1"/>
  <c r="U1891" i="12"/>
  <c r="U1892" i="12"/>
  <c r="U1893" i="12"/>
  <c r="X1893" i="12" s="1"/>
  <c r="U1894" i="12"/>
  <c r="U1895" i="12"/>
  <c r="U1896" i="12"/>
  <c r="U1897" i="12"/>
  <c r="U1898" i="12"/>
  <c r="U1899" i="12"/>
  <c r="U1900" i="12"/>
  <c r="U1901" i="12"/>
  <c r="U1902" i="12"/>
  <c r="X1902" i="12" s="1"/>
  <c r="U1903" i="12"/>
  <c r="U1904" i="12"/>
  <c r="U1905" i="12"/>
  <c r="X1905" i="12" s="1"/>
  <c r="U1906" i="12"/>
  <c r="U1907" i="12"/>
  <c r="U1908" i="12"/>
  <c r="U1909" i="12"/>
  <c r="U1910" i="12"/>
  <c r="U1911" i="12"/>
  <c r="U1912" i="12"/>
  <c r="U1913" i="12"/>
  <c r="U1914" i="12"/>
  <c r="X1914" i="12" s="1"/>
  <c r="U1915" i="12"/>
  <c r="U1916" i="12"/>
  <c r="U1917" i="12"/>
  <c r="X1917" i="12" s="1"/>
  <c r="U1918" i="12"/>
  <c r="U1919" i="12"/>
  <c r="U1920" i="12"/>
  <c r="U1921" i="12"/>
  <c r="U1922" i="12"/>
  <c r="U1923" i="12"/>
  <c r="U1924" i="12"/>
  <c r="U1925" i="12"/>
  <c r="U1926" i="12"/>
  <c r="X1926" i="12" s="1"/>
  <c r="U1927" i="12"/>
  <c r="U1928" i="12"/>
  <c r="U1929" i="12"/>
  <c r="X1929" i="12" s="1"/>
  <c r="U1930" i="12"/>
  <c r="U1931" i="12"/>
  <c r="U1932" i="12"/>
  <c r="U1933" i="12"/>
  <c r="U1934" i="12"/>
  <c r="U1935" i="12"/>
  <c r="U1936" i="12"/>
  <c r="U1937" i="12"/>
  <c r="U1938" i="12"/>
  <c r="X1938" i="12" s="1"/>
  <c r="U1939" i="12"/>
  <c r="U1940" i="12"/>
  <c r="U1941" i="12"/>
  <c r="X1941" i="12" s="1"/>
  <c r="U1942" i="12"/>
  <c r="U1943" i="12"/>
  <c r="U1944" i="12"/>
  <c r="U1945" i="12"/>
  <c r="U1946" i="12"/>
  <c r="U1947" i="12"/>
  <c r="U1948" i="12"/>
  <c r="U1949" i="12"/>
  <c r="U1950" i="12"/>
  <c r="X1950" i="12" s="1"/>
  <c r="U1951" i="12"/>
  <c r="U1952" i="12"/>
  <c r="U1953" i="12"/>
  <c r="X1953" i="12" s="1"/>
  <c r="U1954" i="12"/>
  <c r="U1955" i="12"/>
  <c r="U1956" i="12"/>
  <c r="U1957" i="12"/>
  <c r="U1958" i="12"/>
  <c r="U1959" i="12"/>
  <c r="U1960" i="12"/>
  <c r="U1961" i="12"/>
  <c r="U1962" i="12"/>
  <c r="X1962" i="12" s="1"/>
  <c r="U1963" i="12"/>
  <c r="U1964" i="12"/>
  <c r="U1965" i="12"/>
  <c r="X1965" i="12" s="1"/>
  <c r="U1966" i="12"/>
  <c r="U1967" i="12"/>
  <c r="U1968" i="12"/>
  <c r="U1969" i="12"/>
  <c r="U1970" i="12"/>
  <c r="U1971" i="12"/>
  <c r="U1972" i="12"/>
  <c r="U1973" i="12"/>
  <c r="U1974" i="12"/>
  <c r="X1974" i="12" s="1"/>
  <c r="U1975" i="12"/>
  <c r="U1976" i="12"/>
  <c r="U1977" i="12"/>
  <c r="X1977" i="12" s="1"/>
  <c r="U1978" i="12"/>
  <c r="U1979" i="12"/>
  <c r="U1980" i="12"/>
  <c r="U1981" i="12"/>
  <c r="U1982" i="12"/>
  <c r="U1983" i="12"/>
  <c r="U1984" i="12"/>
  <c r="U1985" i="12"/>
  <c r="U1986" i="12"/>
  <c r="X1986" i="12" s="1"/>
  <c r="U1987" i="12"/>
  <c r="U1988" i="12"/>
  <c r="U1989" i="12"/>
  <c r="X1989" i="12" s="1"/>
  <c r="U1990" i="12"/>
  <c r="U1991" i="12"/>
  <c r="U1992" i="12"/>
  <c r="U1993" i="12"/>
  <c r="U1994" i="12"/>
  <c r="U1995" i="12"/>
  <c r="U1996" i="12"/>
  <c r="U1997" i="12"/>
  <c r="U1998" i="12"/>
  <c r="X1998" i="12" s="1"/>
  <c r="U1999" i="12"/>
  <c r="U2000" i="12"/>
  <c r="U2001" i="12"/>
  <c r="X2001" i="12" s="1"/>
  <c r="V2" i="12"/>
  <c r="V3" i="12"/>
  <c r="V4" i="12"/>
  <c r="V5" i="12"/>
  <c r="V6" i="12"/>
  <c r="V7" i="12"/>
  <c r="V8" i="12"/>
  <c r="V9" i="12"/>
  <c r="V10" i="12"/>
  <c r="X10" i="12" s="1"/>
  <c r="V11" i="12"/>
  <c r="V12" i="12"/>
  <c r="V13" i="12"/>
  <c r="V14" i="12"/>
  <c r="V15" i="12"/>
  <c r="V16" i="12"/>
  <c r="X16" i="12" s="1"/>
  <c r="V17" i="12"/>
  <c r="V18" i="12"/>
  <c r="V19" i="12"/>
  <c r="V20" i="12"/>
  <c r="V21" i="12"/>
  <c r="V22" i="12"/>
  <c r="X22" i="12" s="1"/>
  <c r="V23" i="12"/>
  <c r="V24" i="12"/>
  <c r="V25" i="12"/>
  <c r="X25" i="12" s="1"/>
  <c r="V26" i="12"/>
  <c r="V27" i="12"/>
  <c r="V28" i="12"/>
  <c r="X28" i="12" s="1"/>
  <c r="V29" i="12"/>
  <c r="V30" i="12"/>
  <c r="V31" i="12"/>
  <c r="V32" i="12"/>
  <c r="V33" i="12"/>
  <c r="V34" i="12"/>
  <c r="X34" i="12" s="1"/>
  <c r="V35" i="12"/>
  <c r="V36" i="12"/>
  <c r="V37" i="12"/>
  <c r="X37" i="12" s="1"/>
  <c r="V38" i="12"/>
  <c r="V39" i="12"/>
  <c r="V40" i="12"/>
  <c r="X40" i="12" s="1"/>
  <c r="V41" i="12"/>
  <c r="V42" i="12"/>
  <c r="V43" i="12"/>
  <c r="V44" i="12"/>
  <c r="V45" i="12"/>
  <c r="V46" i="12"/>
  <c r="X46" i="12" s="1"/>
  <c r="V47" i="12"/>
  <c r="V48" i="12"/>
  <c r="V49" i="12"/>
  <c r="X49" i="12" s="1"/>
  <c r="V50" i="12"/>
  <c r="V51" i="12"/>
  <c r="V52" i="12"/>
  <c r="X52" i="12" s="1"/>
  <c r="V53" i="12"/>
  <c r="V54" i="12"/>
  <c r="V55" i="12"/>
  <c r="V56" i="12"/>
  <c r="V57" i="12"/>
  <c r="V58" i="12"/>
  <c r="X58" i="12" s="1"/>
  <c r="V59" i="12"/>
  <c r="V60" i="12"/>
  <c r="V61" i="12"/>
  <c r="X61" i="12" s="1"/>
  <c r="V62" i="12"/>
  <c r="V63" i="12"/>
  <c r="V64" i="12"/>
  <c r="X64" i="12" s="1"/>
  <c r="V65" i="12"/>
  <c r="V66" i="12"/>
  <c r="V67" i="12"/>
  <c r="V68" i="12"/>
  <c r="V69" i="12"/>
  <c r="V70" i="12"/>
  <c r="X70" i="12" s="1"/>
  <c r="V71" i="12"/>
  <c r="V72" i="12"/>
  <c r="V73" i="12"/>
  <c r="X73" i="12" s="1"/>
  <c r="V74" i="12"/>
  <c r="V75" i="12"/>
  <c r="V76" i="12"/>
  <c r="X76" i="12" s="1"/>
  <c r="V77" i="12"/>
  <c r="V78" i="12"/>
  <c r="V79" i="12"/>
  <c r="V80" i="12"/>
  <c r="V81" i="12"/>
  <c r="V82" i="12"/>
  <c r="X82" i="12" s="1"/>
  <c r="V83" i="12"/>
  <c r="V84" i="12"/>
  <c r="V85" i="12"/>
  <c r="X85" i="12" s="1"/>
  <c r="V86" i="12"/>
  <c r="V87" i="12"/>
  <c r="V88" i="12"/>
  <c r="X88" i="12" s="1"/>
  <c r="V89" i="12"/>
  <c r="V90" i="12"/>
  <c r="V91" i="12"/>
  <c r="V92" i="12"/>
  <c r="V93" i="12"/>
  <c r="V94" i="12"/>
  <c r="X94" i="12" s="1"/>
  <c r="V95" i="12"/>
  <c r="V96" i="12"/>
  <c r="V97" i="12"/>
  <c r="X97" i="12" s="1"/>
  <c r="V98" i="12"/>
  <c r="V99" i="12"/>
  <c r="V100" i="12"/>
  <c r="X100" i="12" s="1"/>
  <c r="V101" i="12"/>
  <c r="V102" i="12"/>
  <c r="V103" i="12"/>
  <c r="V104" i="12"/>
  <c r="V105" i="12"/>
  <c r="V106" i="12"/>
  <c r="X106" i="12" s="1"/>
  <c r="V107" i="12"/>
  <c r="V108" i="12"/>
  <c r="V109" i="12"/>
  <c r="X109" i="12" s="1"/>
  <c r="V110" i="12"/>
  <c r="V111" i="12"/>
  <c r="V112" i="12"/>
  <c r="X112" i="12" s="1"/>
  <c r="V113" i="12"/>
  <c r="V114" i="12"/>
  <c r="V115" i="12"/>
  <c r="V116" i="12"/>
  <c r="V117" i="12"/>
  <c r="V118" i="12"/>
  <c r="X118" i="12" s="1"/>
  <c r="V119" i="12"/>
  <c r="V120" i="12"/>
  <c r="V121" i="12"/>
  <c r="X121" i="12" s="1"/>
  <c r="V122" i="12"/>
  <c r="V123" i="12"/>
  <c r="V124" i="12"/>
  <c r="X124" i="12" s="1"/>
  <c r="V125" i="12"/>
  <c r="V126" i="12"/>
  <c r="V127" i="12"/>
  <c r="V128" i="12"/>
  <c r="V129" i="12"/>
  <c r="V130" i="12"/>
  <c r="X130" i="12" s="1"/>
  <c r="V131" i="12"/>
  <c r="V132" i="12"/>
  <c r="V133" i="12"/>
  <c r="X133" i="12" s="1"/>
  <c r="V134" i="12"/>
  <c r="V135" i="12"/>
  <c r="V136" i="12"/>
  <c r="X136" i="12" s="1"/>
  <c r="V137" i="12"/>
  <c r="V138" i="12"/>
  <c r="V139" i="12"/>
  <c r="V140" i="12"/>
  <c r="V141" i="12"/>
  <c r="V142" i="12"/>
  <c r="X142" i="12" s="1"/>
  <c r="V143" i="12"/>
  <c r="V144" i="12"/>
  <c r="V145" i="12"/>
  <c r="X145" i="12" s="1"/>
  <c r="V146" i="12"/>
  <c r="V147" i="12"/>
  <c r="V148" i="12"/>
  <c r="X148" i="12" s="1"/>
  <c r="V149" i="12"/>
  <c r="V150" i="12"/>
  <c r="V151" i="12"/>
  <c r="V152" i="12"/>
  <c r="V153" i="12"/>
  <c r="V154" i="12"/>
  <c r="X154" i="12" s="1"/>
  <c r="V155" i="12"/>
  <c r="V156" i="12"/>
  <c r="V157" i="12"/>
  <c r="X157" i="12" s="1"/>
  <c r="V158" i="12"/>
  <c r="V159" i="12"/>
  <c r="V160" i="12"/>
  <c r="X160" i="12" s="1"/>
  <c r="V161" i="12"/>
  <c r="V162" i="12"/>
  <c r="V163" i="12"/>
  <c r="V164" i="12"/>
  <c r="V165" i="12"/>
  <c r="V166" i="12"/>
  <c r="X166" i="12" s="1"/>
  <c r="V167" i="12"/>
  <c r="V168" i="12"/>
  <c r="V169" i="12"/>
  <c r="X169" i="12" s="1"/>
  <c r="V170" i="12"/>
  <c r="V171" i="12"/>
  <c r="V172" i="12"/>
  <c r="X172" i="12" s="1"/>
  <c r="V173" i="12"/>
  <c r="V174" i="12"/>
  <c r="V175" i="12"/>
  <c r="V176" i="12"/>
  <c r="V177" i="12"/>
  <c r="V178" i="12"/>
  <c r="X178" i="12" s="1"/>
  <c r="V179" i="12"/>
  <c r="V180" i="12"/>
  <c r="V181" i="12"/>
  <c r="X181" i="12" s="1"/>
  <c r="V182" i="12"/>
  <c r="V183" i="12"/>
  <c r="V184" i="12"/>
  <c r="X184" i="12" s="1"/>
  <c r="V185" i="12"/>
  <c r="V186" i="12"/>
  <c r="V187" i="12"/>
  <c r="V188" i="12"/>
  <c r="V189" i="12"/>
  <c r="V190" i="12"/>
  <c r="X190" i="12" s="1"/>
  <c r="V191" i="12"/>
  <c r="V192" i="12"/>
  <c r="V193" i="12"/>
  <c r="X193" i="12" s="1"/>
  <c r="V194" i="12"/>
  <c r="V195" i="12"/>
  <c r="V196" i="12"/>
  <c r="X196" i="12" s="1"/>
  <c r="V197" i="12"/>
  <c r="V198" i="12"/>
  <c r="V199" i="12"/>
  <c r="V200" i="12"/>
  <c r="V201" i="12"/>
  <c r="V202" i="12"/>
  <c r="X202" i="12" s="1"/>
  <c r="V203" i="12"/>
  <c r="V204" i="12"/>
  <c r="V205" i="12"/>
  <c r="X205" i="12" s="1"/>
  <c r="V206" i="12"/>
  <c r="V207" i="12"/>
  <c r="V208" i="12"/>
  <c r="X208" i="12" s="1"/>
  <c r="V209" i="12"/>
  <c r="V210" i="12"/>
  <c r="V211" i="12"/>
  <c r="V212" i="12"/>
  <c r="V213" i="12"/>
  <c r="V214" i="12"/>
  <c r="X214" i="12" s="1"/>
  <c r="V215" i="12"/>
  <c r="V216" i="12"/>
  <c r="V217" i="12"/>
  <c r="X217" i="12" s="1"/>
  <c r="V218" i="12"/>
  <c r="V219" i="12"/>
  <c r="V220" i="12"/>
  <c r="X220" i="12" s="1"/>
  <c r="V221" i="12"/>
  <c r="V222" i="12"/>
  <c r="V223" i="12"/>
  <c r="V224" i="12"/>
  <c r="V225" i="12"/>
  <c r="V226" i="12"/>
  <c r="X226" i="12" s="1"/>
  <c r="V227" i="12"/>
  <c r="V228" i="12"/>
  <c r="V229" i="12"/>
  <c r="X229" i="12" s="1"/>
  <c r="V230" i="12"/>
  <c r="V231" i="12"/>
  <c r="V232" i="12"/>
  <c r="X232" i="12" s="1"/>
  <c r="V233" i="12"/>
  <c r="V234" i="12"/>
  <c r="V235" i="12"/>
  <c r="V236" i="12"/>
  <c r="V237" i="12"/>
  <c r="V238" i="12"/>
  <c r="X238" i="12" s="1"/>
  <c r="V239" i="12"/>
  <c r="V240" i="12"/>
  <c r="V241" i="12"/>
  <c r="X241" i="12" s="1"/>
  <c r="V242" i="12"/>
  <c r="V243" i="12"/>
  <c r="V244" i="12"/>
  <c r="X244" i="12" s="1"/>
  <c r="V245" i="12"/>
  <c r="V246" i="12"/>
  <c r="V247" i="12"/>
  <c r="V248" i="12"/>
  <c r="V249" i="12"/>
  <c r="V250" i="12"/>
  <c r="X250" i="12" s="1"/>
  <c r="V251" i="12"/>
  <c r="V252" i="12"/>
  <c r="V253" i="12"/>
  <c r="X253" i="12" s="1"/>
  <c r="V254" i="12"/>
  <c r="V255" i="12"/>
  <c r="V256" i="12"/>
  <c r="X256" i="12" s="1"/>
  <c r="V257" i="12"/>
  <c r="V258" i="12"/>
  <c r="V259" i="12"/>
  <c r="V260" i="12"/>
  <c r="V261" i="12"/>
  <c r="V262" i="12"/>
  <c r="X262" i="12" s="1"/>
  <c r="V263" i="12"/>
  <c r="V264" i="12"/>
  <c r="V265" i="12"/>
  <c r="X265" i="12" s="1"/>
  <c r="V266" i="12"/>
  <c r="V267" i="12"/>
  <c r="V268" i="12"/>
  <c r="X268" i="12" s="1"/>
  <c r="V269" i="12"/>
  <c r="V270" i="12"/>
  <c r="V271" i="12"/>
  <c r="V272" i="12"/>
  <c r="V273" i="12"/>
  <c r="V274" i="12"/>
  <c r="X274" i="12" s="1"/>
  <c r="V275" i="12"/>
  <c r="V276" i="12"/>
  <c r="V277" i="12"/>
  <c r="X277" i="12" s="1"/>
  <c r="V278" i="12"/>
  <c r="V279" i="12"/>
  <c r="V280" i="12"/>
  <c r="X280" i="12" s="1"/>
  <c r="V281" i="12"/>
  <c r="V282" i="12"/>
  <c r="V283" i="12"/>
  <c r="V284" i="12"/>
  <c r="V285" i="12"/>
  <c r="V286" i="12"/>
  <c r="X286" i="12" s="1"/>
  <c r="V287" i="12"/>
  <c r="V288" i="12"/>
  <c r="V289" i="12"/>
  <c r="X289" i="12" s="1"/>
  <c r="V290" i="12"/>
  <c r="V291" i="12"/>
  <c r="V292" i="12"/>
  <c r="X292" i="12" s="1"/>
  <c r="V293" i="12"/>
  <c r="V294" i="12"/>
  <c r="V295" i="12"/>
  <c r="V296" i="12"/>
  <c r="V297" i="12"/>
  <c r="V298" i="12"/>
  <c r="X298" i="12" s="1"/>
  <c r="V299" i="12"/>
  <c r="V300" i="12"/>
  <c r="V301" i="12"/>
  <c r="X301" i="12" s="1"/>
  <c r="V302" i="12"/>
  <c r="V303" i="12"/>
  <c r="V304" i="12"/>
  <c r="X304" i="12" s="1"/>
  <c r="V305" i="12"/>
  <c r="V306" i="12"/>
  <c r="V307" i="12"/>
  <c r="V308" i="12"/>
  <c r="V309" i="12"/>
  <c r="V310" i="12"/>
  <c r="X310" i="12" s="1"/>
  <c r="V311" i="12"/>
  <c r="V312" i="12"/>
  <c r="V313" i="12"/>
  <c r="X313" i="12" s="1"/>
  <c r="V314" i="12"/>
  <c r="V315" i="12"/>
  <c r="V316" i="12"/>
  <c r="X316" i="12" s="1"/>
  <c r="V317" i="12"/>
  <c r="V318" i="12"/>
  <c r="V319" i="12"/>
  <c r="V320" i="12"/>
  <c r="V321" i="12"/>
  <c r="V322" i="12"/>
  <c r="X322" i="12" s="1"/>
  <c r="V323" i="12"/>
  <c r="V324" i="12"/>
  <c r="V325" i="12"/>
  <c r="X325" i="12" s="1"/>
  <c r="V326" i="12"/>
  <c r="V327" i="12"/>
  <c r="V328" i="12"/>
  <c r="X328" i="12" s="1"/>
  <c r="V329" i="12"/>
  <c r="V330" i="12"/>
  <c r="V331" i="12"/>
  <c r="V332" i="12"/>
  <c r="V333" i="12"/>
  <c r="V334" i="12"/>
  <c r="X334" i="12" s="1"/>
  <c r="V335" i="12"/>
  <c r="V336" i="12"/>
  <c r="V337" i="12"/>
  <c r="X337" i="12" s="1"/>
  <c r="V338" i="12"/>
  <c r="V339" i="12"/>
  <c r="V340" i="12"/>
  <c r="X340" i="12" s="1"/>
  <c r="V341" i="12"/>
  <c r="V342" i="12"/>
  <c r="V343" i="12"/>
  <c r="V344" i="12"/>
  <c r="V345" i="12"/>
  <c r="V346" i="12"/>
  <c r="X346" i="12" s="1"/>
  <c r="V347" i="12"/>
  <c r="V348" i="12"/>
  <c r="V349" i="12"/>
  <c r="X349" i="12" s="1"/>
  <c r="V350" i="12"/>
  <c r="V351" i="12"/>
  <c r="V352" i="12"/>
  <c r="X352" i="12" s="1"/>
  <c r="V353" i="12"/>
  <c r="V354" i="12"/>
  <c r="V355" i="12"/>
  <c r="V356" i="12"/>
  <c r="V357" i="12"/>
  <c r="V358" i="12"/>
  <c r="X358" i="12" s="1"/>
  <c r="V359" i="12"/>
  <c r="V360" i="12"/>
  <c r="V361" i="12"/>
  <c r="X361" i="12" s="1"/>
  <c r="V362" i="12"/>
  <c r="V363" i="12"/>
  <c r="V364" i="12"/>
  <c r="X364" i="12" s="1"/>
  <c r="V365" i="12"/>
  <c r="V366" i="12"/>
  <c r="V367" i="12"/>
  <c r="V368" i="12"/>
  <c r="V369" i="12"/>
  <c r="V370" i="12"/>
  <c r="X370" i="12" s="1"/>
  <c r="V371" i="12"/>
  <c r="V372" i="12"/>
  <c r="V373" i="12"/>
  <c r="X373" i="12" s="1"/>
  <c r="V374" i="12"/>
  <c r="V375" i="12"/>
  <c r="V376" i="12"/>
  <c r="X376" i="12" s="1"/>
  <c r="V377" i="12"/>
  <c r="V378" i="12"/>
  <c r="V379" i="12"/>
  <c r="V380" i="12"/>
  <c r="V381" i="12"/>
  <c r="V382" i="12"/>
  <c r="X382" i="12" s="1"/>
  <c r="V383" i="12"/>
  <c r="V384" i="12"/>
  <c r="V385" i="12"/>
  <c r="X385" i="12" s="1"/>
  <c r="V386" i="12"/>
  <c r="V387" i="12"/>
  <c r="V388" i="12"/>
  <c r="X388" i="12" s="1"/>
  <c r="V389" i="12"/>
  <c r="V390" i="12"/>
  <c r="V391" i="12"/>
  <c r="V392" i="12"/>
  <c r="V393" i="12"/>
  <c r="V394" i="12"/>
  <c r="X394" i="12" s="1"/>
  <c r="V395" i="12"/>
  <c r="V396" i="12"/>
  <c r="V397" i="12"/>
  <c r="X397" i="12" s="1"/>
  <c r="V398" i="12"/>
  <c r="V399" i="12"/>
  <c r="V400" i="12"/>
  <c r="X400" i="12" s="1"/>
  <c r="V401" i="12"/>
  <c r="V402" i="12"/>
  <c r="V403" i="12"/>
  <c r="V404" i="12"/>
  <c r="V405" i="12"/>
  <c r="V406" i="12"/>
  <c r="X406" i="12" s="1"/>
  <c r="V407" i="12"/>
  <c r="V408" i="12"/>
  <c r="V409" i="12"/>
  <c r="X409" i="12" s="1"/>
  <c r="V410" i="12"/>
  <c r="V411" i="12"/>
  <c r="V412" i="12"/>
  <c r="X412" i="12" s="1"/>
  <c r="V413" i="12"/>
  <c r="V414" i="12"/>
  <c r="V415" i="12"/>
  <c r="V416" i="12"/>
  <c r="V417" i="12"/>
  <c r="V418" i="12"/>
  <c r="X418" i="12" s="1"/>
  <c r="V419" i="12"/>
  <c r="V420" i="12"/>
  <c r="V421" i="12"/>
  <c r="X421" i="12" s="1"/>
  <c r="V422" i="12"/>
  <c r="V423" i="12"/>
  <c r="V424" i="12"/>
  <c r="X424" i="12" s="1"/>
  <c r="V425" i="12"/>
  <c r="V426" i="12"/>
  <c r="V427" i="12"/>
  <c r="V428" i="12"/>
  <c r="V429" i="12"/>
  <c r="V430" i="12"/>
  <c r="X430" i="12" s="1"/>
  <c r="V431" i="12"/>
  <c r="V432" i="12"/>
  <c r="V433" i="12"/>
  <c r="X433" i="12" s="1"/>
  <c r="V434" i="12"/>
  <c r="V435" i="12"/>
  <c r="V436" i="12"/>
  <c r="X436" i="12" s="1"/>
  <c r="V437" i="12"/>
  <c r="V438" i="12"/>
  <c r="V439" i="12"/>
  <c r="V440" i="12"/>
  <c r="V441" i="12"/>
  <c r="V442" i="12"/>
  <c r="X442" i="12" s="1"/>
  <c r="V443" i="12"/>
  <c r="V444" i="12"/>
  <c r="V445" i="12"/>
  <c r="X445" i="12" s="1"/>
  <c r="V446" i="12"/>
  <c r="V447" i="12"/>
  <c r="V448" i="12"/>
  <c r="X448" i="12" s="1"/>
  <c r="V449" i="12"/>
  <c r="V450" i="12"/>
  <c r="V451" i="12"/>
  <c r="V452" i="12"/>
  <c r="V453" i="12"/>
  <c r="V454" i="12"/>
  <c r="X454" i="12" s="1"/>
  <c r="V455" i="12"/>
  <c r="V456" i="12"/>
  <c r="V457" i="12"/>
  <c r="X457" i="12" s="1"/>
  <c r="V458" i="12"/>
  <c r="V459" i="12"/>
  <c r="V460" i="12"/>
  <c r="X460" i="12" s="1"/>
  <c r="V461" i="12"/>
  <c r="V462" i="12"/>
  <c r="V463" i="12"/>
  <c r="V464" i="12"/>
  <c r="V465" i="12"/>
  <c r="V466" i="12"/>
  <c r="X466" i="12" s="1"/>
  <c r="V467" i="12"/>
  <c r="V468" i="12"/>
  <c r="V469" i="12"/>
  <c r="X469" i="12" s="1"/>
  <c r="V470" i="12"/>
  <c r="V471" i="12"/>
  <c r="V472" i="12"/>
  <c r="X472" i="12" s="1"/>
  <c r="V473" i="12"/>
  <c r="V474" i="12"/>
  <c r="V475" i="12"/>
  <c r="V476" i="12"/>
  <c r="V477" i="12"/>
  <c r="V478" i="12"/>
  <c r="X478" i="12" s="1"/>
  <c r="V479" i="12"/>
  <c r="V480" i="12"/>
  <c r="V481" i="12"/>
  <c r="X481" i="12" s="1"/>
  <c r="V482" i="12"/>
  <c r="V483" i="12"/>
  <c r="V484" i="12"/>
  <c r="X484" i="12" s="1"/>
  <c r="V485" i="12"/>
  <c r="V486" i="12"/>
  <c r="V487" i="12"/>
  <c r="V488" i="12"/>
  <c r="V489" i="12"/>
  <c r="V490" i="12"/>
  <c r="X490" i="12" s="1"/>
  <c r="V491" i="12"/>
  <c r="V492" i="12"/>
  <c r="V493" i="12"/>
  <c r="X493" i="12" s="1"/>
  <c r="V494" i="12"/>
  <c r="V495" i="12"/>
  <c r="V496" i="12"/>
  <c r="X496" i="12" s="1"/>
  <c r="V497" i="12"/>
  <c r="V498" i="12"/>
  <c r="V499" i="12"/>
  <c r="V500" i="12"/>
  <c r="V501" i="12"/>
  <c r="V502" i="12"/>
  <c r="X502" i="12" s="1"/>
  <c r="V503" i="12"/>
  <c r="V504" i="12"/>
  <c r="V505" i="12"/>
  <c r="X505" i="12" s="1"/>
  <c r="V506" i="12"/>
  <c r="V507" i="12"/>
  <c r="V508" i="12"/>
  <c r="X508" i="12" s="1"/>
  <c r="V509" i="12"/>
  <c r="V510" i="12"/>
  <c r="V511" i="12"/>
  <c r="V512" i="12"/>
  <c r="V513" i="12"/>
  <c r="V514" i="12"/>
  <c r="X514" i="12" s="1"/>
  <c r="V515" i="12"/>
  <c r="V516" i="12"/>
  <c r="V517" i="12"/>
  <c r="X517" i="12" s="1"/>
  <c r="V518" i="12"/>
  <c r="V519" i="12"/>
  <c r="V520" i="12"/>
  <c r="X520" i="12" s="1"/>
  <c r="V521" i="12"/>
  <c r="V522" i="12"/>
  <c r="V523" i="12"/>
  <c r="V524" i="12"/>
  <c r="V525" i="12"/>
  <c r="V526" i="12"/>
  <c r="X526" i="12" s="1"/>
  <c r="V527" i="12"/>
  <c r="V528" i="12"/>
  <c r="V529" i="12"/>
  <c r="X529" i="12" s="1"/>
  <c r="V530" i="12"/>
  <c r="V531" i="12"/>
  <c r="V532" i="12"/>
  <c r="X532" i="12" s="1"/>
  <c r="V533" i="12"/>
  <c r="V534" i="12"/>
  <c r="V535" i="12"/>
  <c r="V536" i="12"/>
  <c r="V537" i="12"/>
  <c r="V538" i="12"/>
  <c r="X538" i="12" s="1"/>
  <c r="V539" i="12"/>
  <c r="V540" i="12"/>
  <c r="V541" i="12"/>
  <c r="X541" i="12" s="1"/>
  <c r="V542" i="12"/>
  <c r="V543" i="12"/>
  <c r="V544" i="12"/>
  <c r="X544" i="12" s="1"/>
  <c r="V545" i="12"/>
  <c r="V546" i="12"/>
  <c r="V547" i="12"/>
  <c r="V548" i="12"/>
  <c r="V549" i="12"/>
  <c r="V550" i="12"/>
  <c r="X550" i="12" s="1"/>
  <c r="V551" i="12"/>
  <c r="V552" i="12"/>
  <c r="V553" i="12"/>
  <c r="X553" i="12" s="1"/>
  <c r="V554" i="12"/>
  <c r="V555" i="12"/>
  <c r="V556" i="12"/>
  <c r="X556" i="12" s="1"/>
  <c r="V557" i="12"/>
  <c r="V558" i="12"/>
  <c r="V559" i="12"/>
  <c r="V560" i="12"/>
  <c r="V561" i="12"/>
  <c r="V562" i="12"/>
  <c r="X562" i="12" s="1"/>
  <c r="V563" i="12"/>
  <c r="V564" i="12"/>
  <c r="V565" i="12"/>
  <c r="X565" i="12" s="1"/>
  <c r="V566" i="12"/>
  <c r="V567" i="12"/>
  <c r="V568" i="12"/>
  <c r="X568" i="12" s="1"/>
  <c r="V569" i="12"/>
  <c r="V570" i="12"/>
  <c r="V571" i="12"/>
  <c r="V572" i="12"/>
  <c r="V573" i="12"/>
  <c r="V574" i="12"/>
  <c r="X574" i="12" s="1"/>
  <c r="V575" i="12"/>
  <c r="V576" i="12"/>
  <c r="V577" i="12"/>
  <c r="X577" i="12" s="1"/>
  <c r="V578" i="12"/>
  <c r="V579" i="12"/>
  <c r="V580" i="12"/>
  <c r="V581" i="12"/>
  <c r="V582" i="12"/>
  <c r="V583" i="12"/>
  <c r="V584" i="12"/>
  <c r="V585" i="12"/>
  <c r="V586" i="12"/>
  <c r="X586" i="12" s="1"/>
  <c r="V587" i="12"/>
  <c r="V588" i="12"/>
  <c r="V589" i="12"/>
  <c r="X589" i="12" s="1"/>
  <c r="V590" i="12"/>
  <c r="V591" i="12"/>
  <c r="V592" i="12"/>
  <c r="X592" i="12" s="1"/>
  <c r="V593" i="12"/>
  <c r="V594" i="12"/>
  <c r="V595" i="12"/>
  <c r="V596" i="12"/>
  <c r="V597" i="12"/>
  <c r="V598" i="12"/>
  <c r="X598" i="12" s="1"/>
  <c r="V599" i="12"/>
  <c r="V600" i="12"/>
  <c r="V601" i="12"/>
  <c r="X601" i="12" s="1"/>
  <c r="V602" i="12"/>
  <c r="V603" i="12"/>
  <c r="V604" i="12"/>
  <c r="X604" i="12" s="1"/>
  <c r="V605" i="12"/>
  <c r="V606" i="12"/>
  <c r="V607" i="12"/>
  <c r="V608" i="12"/>
  <c r="V609" i="12"/>
  <c r="V610" i="12"/>
  <c r="X610" i="12" s="1"/>
  <c r="V611" i="12"/>
  <c r="V612" i="12"/>
  <c r="V613" i="12"/>
  <c r="X613" i="12" s="1"/>
  <c r="V614" i="12"/>
  <c r="V615" i="12"/>
  <c r="V616" i="12"/>
  <c r="X616" i="12" s="1"/>
  <c r="V617" i="12"/>
  <c r="V618" i="12"/>
  <c r="V619" i="12"/>
  <c r="V620" i="12"/>
  <c r="V621" i="12"/>
  <c r="V622" i="12"/>
  <c r="X622" i="12" s="1"/>
  <c r="V623" i="12"/>
  <c r="V624" i="12"/>
  <c r="V625" i="12"/>
  <c r="X625" i="12" s="1"/>
  <c r="V626" i="12"/>
  <c r="V627" i="12"/>
  <c r="V628" i="12"/>
  <c r="X628" i="12" s="1"/>
  <c r="V629" i="12"/>
  <c r="V630" i="12"/>
  <c r="V631" i="12"/>
  <c r="V632" i="12"/>
  <c r="V633" i="12"/>
  <c r="V634" i="12"/>
  <c r="X634" i="12" s="1"/>
  <c r="V635" i="12"/>
  <c r="V636" i="12"/>
  <c r="V637" i="12"/>
  <c r="X637" i="12" s="1"/>
  <c r="V638" i="12"/>
  <c r="V639" i="12"/>
  <c r="V640" i="12"/>
  <c r="X640" i="12" s="1"/>
  <c r="V641" i="12"/>
  <c r="V642" i="12"/>
  <c r="V643" i="12"/>
  <c r="V644" i="12"/>
  <c r="V645" i="12"/>
  <c r="V646" i="12"/>
  <c r="X646" i="12" s="1"/>
  <c r="V647" i="12"/>
  <c r="V648" i="12"/>
  <c r="V649" i="12"/>
  <c r="X649" i="12" s="1"/>
  <c r="V650" i="12"/>
  <c r="V651" i="12"/>
  <c r="V652" i="12"/>
  <c r="X652" i="12" s="1"/>
  <c r="V653" i="12"/>
  <c r="V654" i="12"/>
  <c r="V655" i="12"/>
  <c r="V656" i="12"/>
  <c r="V657" i="12"/>
  <c r="V658" i="12"/>
  <c r="X658" i="12" s="1"/>
  <c r="V659" i="12"/>
  <c r="V660" i="12"/>
  <c r="V661" i="12"/>
  <c r="X661" i="12" s="1"/>
  <c r="V662" i="12"/>
  <c r="V663" i="12"/>
  <c r="V664" i="12"/>
  <c r="X664" i="12" s="1"/>
  <c r="V665" i="12"/>
  <c r="V666" i="12"/>
  <c r="V667" i="12"/>
  <c r="V668" i="12"/>
  <c r="V669" i="12"/>
  <c r="V670" i="12"/>
  <c r="X670" i="12" s="1"/>
  <c r="V671" i="12"/>
  <c r="V672" i="12"/>
  <c r="V673" i="12"/>
  <c r="X673" i="12" s="1"/>
  <c r="V674" i="12"/>
  <c r="V675" i="12"/>
  <c r="V676" i="12"/>
  <c r="X676" i="12" s="1"/>
  <c r="V677" i="12"/>
  <c r="V678" i="12"/>
  <c r="V679" i="12"/>
  <c r="V680" i="12"/>
  <c r="V681" i="12"/>
  <c r="V682" i="12"/>
  <c r="X682" i="12" s="1"/>
  <c r="V683" i="12"/>
  <c r="V684" i="12"/>
  <c r="V685" i="12"/>
  <c r="X685" i="12" s="1"/>
  <c r="V686" i="12"/>
  <c r="V687" i="12"/>
  <c r="V688" i="12"/>
  <c r="X688" i="12" s="1"/>
  <c r="V689" i="12"/>
  <c r="V690" i="12"/>
  <c r="V691" i="12"/>
  <c r="V692" i="12"/>
  <c r="V693" i="12"/>
  <c r="V694" i="12"/>
  <c r="X694" i="12" s="1"/>
  <c r="V695" i="12"/>
  <c r="V696" i="12"/>
  <c r="V697" i="12"/>
  <c r="X697" i="12" s="1"/>
  <c r="V698" i="12"/>
  <c r="V699" i="12"/>
  <c r="V700" i="12"/>
  <c r="X700" i="12" s="1"/>
  <c r="V701" i="12"/>
  <c r="V702" i="12"/>
  <c r="V703" i="12"/>
  <c r="V704" i="12"/>
  <c r="V705" i="12"/>
  <c r="V706" i="12"/>
  <c r="X706" i="12" s="1"/>
  <c r="V707" i="12"/>
  <c r="V708" i="12"/>
  <c r="V709" i="12"/>
  <c r="X709" i="12" s="1"/>
  <c r="V710" i="12"/>
  <c r="V711" i="12"/>
  <c r="V712" i="12"/>
  <c r="X712" i="12" s="1"/>
  <c r="V713" i="12"/>
  <c r="V714" i="12"/>
  <c r="V715" i="12"/>
  <c r="V716" i="12"/>
  <c r="V717" i="12"/>
  <c r="V718" i="12"/>
  <c r="X718" i="12" s="1"/>
  <c r="V719" i="12"/>
  <c r="V720" i="12"/>
  <c r="V721" i="12"/>
  <c r="X721" i="12" s="1"/>
  <c r="V722" i="12"/>
  <c r="V723" i="12"/>
  <c r="V724" i="12"/>
  <c r="X724" i="12" s="1"/>
  <c r="V725" i="12"/>
  <c r="V726" i="12"/>
  <c r="V727" i="12"/>
  <c r="V728" i="12"/>
  <c r="V729" i="12"/>
  <c r="V730" i="12"/>
  <c r="X730" i="12" s="1"/>
  <c r="V731" i="12"/>
  <c r="V732" i="12"/>
  <c r="V733" i="12"/>
  <c r="X733" i="12" s="1"/>
  <c r="V734" i="12"/>
  <c r="V735" i="12"/>
  <c r="V736" i="12"/>
  <c r="X736" i="12" s="1"/>
  <c r="V737" i="12"/>
  <c r="V738" i="12"/>
  <c r="V739" i="12"/>
  <c r="V740" i="12"/>
  <c r="V741" i="12"/>
  <c r="V742" i="12"/>
  <c r="X742" i="12" s="1"/>
  <c r="V743" i="12"/>
  <c r="V744" i="12"/>
  <c r="V745" i="12"/>
  <c r="X745" i="12" s="1"/>
  <c r="V746" i="12"/>
  <c r="V747" i="12"/>
  <c r="V748" i="12"/>
  <c r="X748" i="12" s="1"/>
  <c r="V749" i="12"/>
  <c r="V750" i="12"/>
  <c r="V751" i="12"/>
  <c r="V752" i="12"/>
  <c r="V753" i="12"/>
  <c r="V754" i="12"/>
  <c r="X754" i="12" s="1"/>
  <c r="V755" i="12"/>
  <c r="V756" i="12"/>
  <c r="V757" i="12"/>
  <c r="X757" i="12" s="1"/>
  <c r="V758" i="12"/>
  <c r="V759" i="12"/>
  <c r="V760" i="12"/>
  <c r="X760" i="12" s="1"/>
  <c r="V761" i="12"/>
  <c r="V762" i="12"/>
  <c r="V763" i="12"/>
  <c r="V764" i="12"/>
  <c r="V765" i="12"/>
  <c r="V766" i="12"/>
  <c r="X766" i="12" s="1"/>
  <c r="V767" i="12"/>
  <c r="V768" i="12"/>
  <c r="V769" i="12"/>
  <c r="X769" i="12" s="1"/>
  <c r="V770" i="12"/>
  <c r="V771" i="12"/>
  <c r="V772" i="12"/>
  <c r="X772" i="12" s="1"/>
  <c r="V773" i="12"/>
  <c r="V774" i="12"/>
  <c r="V775" i="12"/>
  <c r="V776" i="12"/>
  <c r="V777" i="12"/>
  <c r="V778" i="12"/>
  <c r="X778" i="12" s="1"/>
  <c r="V779" i="12"/>
  <c r="V780" i="12"/>
  <c r="V781" i="12"/>
  <c r="X781" i="12" s="1"/>
  <c r="V782" i="12"/>
  <c r="V783" i="12"/>
  <c r="V784" i="12"/>
  <c r="X784" i="12" s="1"/>
  <c r="V785" i="12"/>
  <c r="V786" i="12"/>
  <c r="V787" i="12"/>
  <c r="V788" i="12"/>
  <c r="V789" i="12"/>
  <c r="V790" i="12"/>
  <c r="X790" i="12" s="1"/>
  <c r="V791" i="12"/>
  <c r="V792" i="12"/>
  <c r="V793" i="12"/>
  <c r="X793" i="12" s="1"/>
  <c r="V794" i="12"/>
  <c r="V795" i="12"/>
  <c r="V796" i="12"/>
  <c r="X796" i="12" s="1"/>
  <c r="V797" i="12"/>
  <c r="V798" i="12"/>
  <c r="V799" i="12"/>
  <c r="V800" i="12"/>
  <c r="V801" i="12"/>
  <c r="V802" i="12"/>
  <c r="X802" i="12" s="1"/>
  <c r="V803" i="12"/>
  <c r="V804" i="12"/>
  <c r="V805" i="12"/>
  <c r="X805" i="12" s="1"/>
  <c r="V806" i="12"/>
  <c r="V807" i="12"/>
  <c r="V808" i="12"/>
  <c r="X808" i="12" s="1"/>
  <c r="V809" i="12"/>
  <c r="V810" i="12"/>
  <c r="V811" i="12"/>
  <c r="V812" i="12"/>
  <c r="V813" i="12"/>
  <c r="V814" i="12"/>
  <c r="X814" i="12" s="1"/>
  <c r="V815" i="12"/>
  <c r="V816" i="12"/>
  <c r="V817" i="12"/>
  <c r="X817" i="12" s="1"/>
  <c r="V818" i="12"/>
  <c r="V819" i="12"/>
  <c r="V820" i="12"/>
  <c r="X820" i="12" s="1"/>
  <c r="V821" i="12"/>
  <c r="V822" i="12"/>
  <c r="V823" i="12"/>
  <c r="V824" i="12"/>
  <c r="V825" i="12"/>
  <c r="V826" i="12"/>
  <c r="X826" i="12" s="1"/>
  <c r="V827" i="12"/>
  <c r="V828" i="12"/>
  <c r="V829" i="12"/>
  <c r="X829" i="12" s="1"/>
  <c r="V830" i="12"/>
  <c r="V831" i="12"/>
  <c r="V832" i="12"/>
  <c r="X832" i="12" s="1"/>
  <c r="V833" i="12"/>
  <c r="V834" i="12"/>
  <c r="V835" i="12"/>
  <c r="V836" i="12"/>
  <c r="V837" i="12"/>
  <c r="V838" i="12"/>
  <c r="X838" i="12" s="1"/>
  <c r="V839" i="12"/>
  <c r="V840" i="12"/>
  <c r="V841" i="12"/>
  <c r="X841" i="12" s="1"/>
  <c r="V842" i="12"/>
  <c r="V843" i="12"/>
  <c r="V844" i="12"/>
  <c r="X844" i="12" s="1"/>
  <c r="V845" i="12"/>
  <c r="V846" i="12"/>
  <c r="V847" i="12"/>
  <c r="V848" i="12"/>
  <c r="V849" i="12"/>
  <c r="V850" i="12"/>
  <c r="X850" i="12" s="1"/>
  <c r="V851" i="12"/>
  <c r="V852" i="12"/>
  <c r="V853" i="12"/>
  <c r="X853" i="12" s="1"/>
  <c r="V854" i="12"/>
  <c r="V855" i="12"/>
  <c r="V856" i="12"/>
  <c r="X856" i="12" s="1"/>
  <c r="V857" i="12"/>
  <c r="V858" i="12"/>
  <c r="V859" i="12"/>
  <c r="V860" i="12"/>
  <c r="V861" i="12"/>
  <c r="V862" i="12"/>
  <c r="X862" i="12" s="1"/>
  <c r="V863" i="12"/>
  <c r="V864" i="12"/>
  <c r="V865" i="12"/>
  <c r="X865" i="12" s="1"/>
  <c r="V866" i="12"/>
  <c r="V867" i="12"/>
  <c r="V868" i="12"/>
  <c r="X868" i="12" s="1"/>
  <c r="V869" i="12"/>
  <c r="V870" i="12"/>
  <c r="V871" i="12"/>
  <c r="V872" i="12"/>
  <c r="V873" i="12"/>
  <c r="V874" i="12"/>
  <c r="X874" i="12" s="1"/>
  <c r="V875" i="12"/>
  <c r="V876" i="12"/>
  <c r="V877" i="12"/>
  <c r="X877" i="12" s="1"/>
  <c r="V878" i="12"/>
  <c r="V879" i="12"/>
  <c r="V880" i="12"/>
  <c r="X880" i="12" s="1"/>
  <c r="V881" i="12"/>
  <c r="V882" i="12"/>
  <c r="V883" i="12"/>
  <c r="V884" i="12"/>
  <c r="V885" i="12"/>
  <c r="V886" i="12"/>
  <c r="X886" i="12" s="1"/>
  <c r="V887" i="12"/>
  <c r="V888" i="12"/>
  <c r="V889" i="12"/>
  <c r="X889" i="12" s="1"/>
  <c r="V890" i="12"/>
  <c r="V891" i="12"/>
  <c r="V892" i="12"/>
  <c r="X892" i="12" s="1"/>
  <c r="V893" i="12"/>
  <c r="V894" i="12"/>
  <c r="V895" i="12"/>
  <c r="V896" i="12"/>
  <c r="V897" i="12"/>
  <c r="V898" i="12"/>
  <c r="X898" i="12" s="1"/>
  <c r="V899" i="12"/>
  <c r="V900" i="12"/>
  <c r="V901" i="12"/>
  <c r="X901" i="12" s="1"/>
  <c r="V902" i="12"/>
  <c r="V903" i="12"/>
  <c r="V904" i="12"/>
  <c r="X904" i="12" s="1"/>
  <c r="V905" i="12"/>
  <c r="V906" i="12"/>
  <c r="V907" i="12"/>
  <c r="V908" i="12"/>
  <c r="V909" i="12"/>
  <c r="V910" i="12"/>
  <c r="X910" i="12" s="1"/>
  <c r="V911" i="12"/>
  <c r="V912" i="12"/>
  <c r="V913" i="12"/>
  <c r="X913" i="12" s="1"/>
  <c r="V914" i="12"/>
  <c r="V915" i="12"/>
  <c r="V916" i="12"/>
  <c r="X916" i="12" s="1"/>
  <c r="V917" i="12"/>
  <c r="V918" i="12"/>
  <c r="V919" i="12"/>
  <c r="V920" i="12"/>
  <c r="V921" i="12"/>
  <c r="V922" i="12"/>
  <c r="X922" i="12" s="1"/>
  <c r="V923" i="12"/>
  <c r="V924" i="12"/>
  <c r="V925" i="12"/>
  <c r="X925" i="12" s="1"/>
  <c r="V926" i="12"/>
  <c r="V927" i="12"/>
  <c r="V928" i="12"/>
  <c r="X928" i="12" s="1"/>
  <c r="V929" i="12"/>
  <c r="V930" i="12"/>
  <c r="V931" i="12"/>
  <c r="V932" i="12"/>
  <c r="V933" i="12"/>
  <c r="V934" i="12"/>
  <c r="X934" i="12" s="1"/>
  <c r="V935" i="12"/>
  <c r="V936" i="12"/>
  <c r="V937" i="12"/>
  <c r="X937" i="12" s="1"/>
  <c r="V938" i="12"/>
  <c r="V939" i="12"/>
  <c r="V940" i="12"/>
  <c r="X940" i="12" s="1"/>
  <c r="V941" i="12"/>
  <c r="V942" i="12"/>
  <c r="V943" i="12"/>
  <c r="V944" i="12"/>
  <c r="V945" i="12"/>
  <c r="V946" i="12"/>
  <c r="X946" i="12" s="1"/>
  <c r="V947" i="12"/>
  <c r="V948" i="12"/>
  <c r="V949" i="12"/>
  <c r="X949" i="12" s="1"/>
  <c r="V950" i="12"/>
  <c r="V951" i="12"/>
  <c r="V952" i="12"/>
  <c r="X952" i="12" s="1"/>
  <c r="V953" i="12"/>
  <c r="V954" i="12"/>
  <c r="V955" i="12"/>
  <c r="V956" i="12"/>
  <c r="V957" i="12"/>
  <c r="V958" i="12"/>
  <c r="X958" i="12" s="1"/>
  <c r="V959" i="12"/>
  <c r="V960" i="12"/>
  <c r="V961" i="12"/>
  <c r="X961" i="12" s="1"/>
  <c r="V962" i="12"/>
  <c r="V963" i="12"/>
  <c r="V964" i="12"/>
  <c r="X964" i="12" s="1"/>
  <c r="V965" i="12"/>
  <c r="V966" i="12"/>
  <c r="V967" i="12"/>
  <c r="V968" i="12"/>
  <c r="V969" i="12"/>
  <c r="V970" i="12"/>
  <c r="X970" i="12" s="1"/>
  <c r="V971" i="12"/>
  <c r="V972" i="12"/>
  <c r="V973" i="12"/>
  <c r="X973" i="12" s="1"/>
  <c r="V974" i="12"/>
  <c r="V975" i="12"/>
  <c r="V976" i="12"/>
  <c r="X976" i="12" s="1"/>
  <c r="V977" i="12"/>
  <c r="V978" i="12"/>
  <c r="V979" i="12"/>
  <c r="V980" i="12"/>
  <c r="V981" i="12"/>
  <c r="V982" i="12"/>
  <c r="X982" i="12" s="1"/>
  <c r="V983" i="12"/>
  <c r="V984" i="12"/>
  <c r="V985" i="12"/>
  <c r="X985" i="12" s="1"/>
  <c r="V986" i="12"/>
  <c r="V987" i="12"/>
  <c r="V988" i="12"/>
  <c r="X988" i="12" s="1"/>
  <c r="V989" i="12"/>
  <c r="V990" i="12"/>
  <c r="V991" i="12"/>
  <c r="V992" i="12"/>
  <c r="V993" i="12"/>
  <c r="V994" i="12"/>
  <c r="X994" i="12" s="1"/>
  <c r="V995" i="12"/>
  <c r="V996" i="12"/>
  <c r="V997" i="12"/>
  <c r="X997" i="12" s="1"/>
  <c r="V998" i="12"/>
  <c r="V999" i="12"/>
  <c r="V1000" i="12"/>
  <c r="X1000" i="12" s="1"/>
  <c r="V1001" i="12"/>
  <c r="V1002" i="12"/>
  <c r="V1003" i="12"/>
  <c r="V1004" i="12"/>
  <c r="V1005" i="12"/>
  <c r="V1006" i="12"/>
  <c r="X1006" i="12" s="1"/>
  <c r="V1007" i="12"/>
  <c r="V1008" i="12"/>
  <c r="V1009" i="12"/>
  <c r="X1009" i="12" s="1"/>
  <c r="V1010" i="12"/>
  <c r="V1011" i="12"/>
  <c r="V1012" i="12"/>
  <c r="X1012" i="12" s="1"/>
  <c r="V1013" i="12"/>
  <c r="V1014" i="12"/>
  <c r="V1015" i="12"/>
  <c r="V1016" i="12"/>
  <c r="V1017" i="12"/>
  <c r="V1018" i="12"/>
  <c r="X1018" i="12" s="1"/>
  <c r="V1019" i="12"/>
  <c r="V1020" i="12"/>
  <c r="V1021" i="12"/>
  <c r="X1021" i="12" s="1"/>
  <c r="V1022" i="12"/>
  <c r="V1023" i="12"/>
  <c r="V1024" i="12"/>
  <c r="X1024" i="12" s="1"/>
  <c r="V1025" i="12"/>
  <c r="V1026" i="12"/>
  <c r="V1027" i="12"/>
  <c r="V1028" i="12"/>
  <c r="V1029" i="12"/>
  <c r="V1030" i="12"/>
  <c r="X1030" i="12" s="1"/>
  <c r="V1031" i="12"/>
  <c r="V1032" i="12"/>
  <c r="V1033" i="12"/>
  <c r="X1033" i="12" s="1"/>
  <c r="V1034" i="12"/>
  <c r="V1035" i="12"/>
  <c r="V1036" i="12"/>
  <c r="X1036" i="12" s="1"/>
  <c r="V1037" i="12"/>
  <c r="V1038" i="12"/>
  <c r="V1039" i="12"/>
  <c r="V1040" i="12"/>
  <c r="V1041" i="12"/>
  <c r="V1042" i="12"/>
  <c r="X1042" i="12" s="1"/>
  <c r="V1043" i="12"/>
  <c r="V1044" i="12"/>
  <c r="V1045" i="12"/>
  <c r="X1045" i="12" s="1"/>
  <c r="V1046" i="12"/>
  <c r="V1047" i="12"/>
  <c r="V1048" i="12"/>
  <c r="X1048" i="12" s="1"/>
  <c r="V1049" i="12"/>
  <c r="V1050" i="12"/>
  <c r="V1051" i="12"/>
  <c r="V1052" i="12"/>
  <c r="V1053" i="12"/>
  <c r="V1054" i="12"/>
  <c r="X1054" i="12" s="1"/>
  <c r="V1055" i="12"/>
  <c r="V1056" i="12"/>
  <c r="V1057" i="12"/>
  <c r="X1057" i="12" s="1"/>
  <c r="V1058" i="12"/>
  <c r="V1059" i="12"/>
  <c r="V1060" i="12"/>
  <c r="X1060" i="12" s="1"/>
  <c r="V1061" i="12"/>
  <c r="V1062" i="12"/>
  <c r="V1063" i="12"/>
  <c r="V1064" i="12"/>
  <c r="V1065" i="12"/>
  <c r="V1066" i="12"/>
  <c r="X1066" i="12" s="1"/>
  <c r="V1067" i="12"/>
  <c r="V1068" i="12"/>
  <c r="V1069" i="12"/>
  <c r="X1069" i="12" s="1"/>
  <c r="V1070" i="12"/>
  <c r="V1071" i="12"/>
  <c r="V1072" i="12"/>
  <c r="X1072" i="12" s="1"/>
  <c r="V1073" i="12"/>
  <c r="V1074" i="12"/>
  <c r="V1075" i="12"/>
  <c r="V1076" i="12"/>
  <c r="V1077" i="12"/>
  <c r="V1078" i="12"/>
  <c r="X1078" i="12" s="1"/>
  <c r="V1079" i="12"/>
  <c r="V1080" i="12"/>
  <c r="V1081" i="12"/>
  <c r="X1081" i="12" s="1"/>
  <c r="V1082" i="12"/>
  <c r="V1083" i="12"/>
  <c r="V1084" i="12"/>
  <c r="X1084" i="12" s="1"/>
  <c r="V1085" i="12"/>
  <c r="V1086" i="12"/>
  <c r="V1087" i="12"/>
  <c r="V1088" i="12"/>
  <c r="V1089" i="12"/>
  <c r="V1090" i="12"/>
  <c r="X1090" i="12" s="1"/>
  <c r="V1091" i="12"/>
  <c r="V1092" i="12"/>
  <c r="V1093" i="12"/>
  <c r="X1093" i="12" s="1"/>
  <c r="V1094" i="12"/>
  <c r="V1095" i="12"/>
  <c r="V1096" i="12"/>
  <c r="X1096" i="12" s="1"/>
  <c r="V1097" i="12"/>
  <c r="V1098" i="12"/>
  <c r="V1099" i="12"/>
  <c r="V1100" i="12"/>
  <c r="V1101" i="12"/>
  <c r="V1102" i="12"/>
  <c r="X1102" i="12" s="1"/>
  <c r="V1103" i="12"/>
  <c r="V1104" i="12"/>
  <c r="V1105" i="12"/>
  <c r="X1105" i="12" s="1"/>
  <c r="V1106" i="12"/>
  <c r="V1107" i="12"/>
  <c r="V1108" i="12"/>
  <c r="X1108" i="12" s="1"/>
  <c r="V1109" i="12"/>
  <c r="V1110" i="12"/>
  <c r="V1111" i="12"/>
  <c r="V1112" i="12"/>
  <c r="V1113" i="12"/>
  <c r="V1114" i="12"/>
  <c r="X1114" i="12" s="1"/>
  <c r="V1115" i="12"/>
  <c r="V1116" i="12"/>
  <c r="V1117" i="12"/>
  <c r="X1117" i="12" s="1"/>
  <c r="V1118" i="12"/>
  <c r="V1119" i="12"/>
  <c r="V1120" i="12"/>
  <c r="X1120" i="12" s="1"/>
  <c r="V1121" i="12"/>
  <c r="V1122" i="12"/>
  <c r="V1123" i="12"/>
  <c r="V1124" i="12"/>
  <c r="V1125" i="12"/>
  <c r="V1126" i="12"/>
  <c r="X1126" i="12" s="1"/>
  <c r="V1127" i="12"/>
  <c r="V1128" i="12"/>
  <c r="V1129" i="12"/>
  <c r="X1129" i="12" s="1"/>
  <c r="V1130" i="12"/>
  <c r="V1131" i="12"/>
  <c r="V1132" i="12"/>
  <c r="X1132" i="12" s="1"/>
  <c r="V1133" i="12"/>
  <c r="V1134" i="12"/>
  <c r="V1135" i="12"/>
  <c r="V1136" i="12"/>
  <c r="V1137" i="12"/>
  <c r="V1138" i="12"/>
  <c r="X1138" i="12" s="1"/>
  <c r="V1139" i="12"/>
  <c r="V1140" i="12"/>
  <c r="V1141" i="12"/>
  <c r="X1141" i="12" s="1"/>
  <c r="V1142" i="12"/>
  <c r="V1143" i="12"/>
  <c r="V1144" i="12"/>
  <c r="X1144" i="12" s="1"/>
  <c r="V1145" i="12"/>
  <c r="V1146" i="12"/>
  <c r="V1147" i="12"/>
  <c r="V1148" i="12"/>
  <c r="V1149" i="12"/>
  <c r="V1150" i="12"/>
  <c r="X1150" i="12" s="1"/>
  <c r="V1151" i="12"/>
  <c r="V1152" i="12"/>
  <c r="V1153" i="12"/>
  <c r="X1153" i="12" s="1"/>
  <c r="V1154" i="12"/>
  <c r="V1155" i="12"/>
  <c r="V1156" i="12"/>
  <c r="X1156" i="12" s="1"/>
  <c r="V1157" i="12"/>
  <c r="V1158" i="12"/>
  <c r="V1159" i="12"/>
  <c r="V1160" i="12"/>
  <c r="V1161" i="12"/>
  <c r="V1162" i="12"/>
  <c r="X1162" i="12" s="1"/>
  <c r="V1163" i="12"/>
  <c r="V1164" i="12"/>
  <c r="V1165" i="12"/>
  <c r="X1165" i="12" s="1"/>
  <c r="V1166" i="12"/>
  <c r="V1167" i="12"/>
  <c r="V1168" i="12"/>
  <c r="X1168" i="12" s="1"/>
  <c r="V1169" i="12"/>
  <c r="V1170" i="12"/>
  <c r="V1171" i="12"/>
  <c r="V1172" i="12"/>
  <c r="V1173" i="12"/>
  <c r="V1174" i="12"/>
  <c r="X1174" i="12" s="1"/>
  <c r="V1175" i="12"/>
  <c r="V1176" i="12"/>
  <c r="V1177" i="12"/>
  <c r="X1177" i="12" s="1"/>
  <c r="V1178" i="12"/>
  <c r="V1179" i="12"/>
  <c r="V1180" i="12"/>
  <c r="X1180" i="12" s="1"/>
  <c r="V1181" i="12"/>
  <c r="V1182" i="12"/>
  <c r="V1183" i="12"/>
  <c r="V1184" i="12"/>
  <c r="V1185" i="12"/>
  <c r="V1186" i="12"/>
  <c r="X1186" i="12" s="1"/>
  <c r="V1187" i="12"/>
  <c r="V1188" i="12"/>
  <c r="V1189" i="12"/>
  <c r="X1189" i="12" s="1"/>
  <c r="V1190" i="12"/>
  <c r="V1191" i="12"/>
  <c r="V1192" i="12"/>
  <c r="X1192" i="12" s="1"/>
  <c r="V1193" i="12"/>
  <c r="V1194" i="12"/>
  <c r="V1195" i="12"/>
  <c r="V1196" i="12"/>
  <c r="V1197" i="12"/>
  <c r="V1198" i="12"/>
  <c r="X1198" i="12" s="1"/>
  <c r="V1199" i="12"/>
  <c r="V1200" i="12"/>
  <c r="V1201" i="12"/>
  <c r="V1202" i="12"/>
  <c r="V1203" i="12"/>
  <c r="V1204" i="12"/>
  <c r="X1204" i="12" s="1"/>
  <c r="V1205" i="12"/>
  <c r="V1206" i="12"/>
  <c r="V1207" i="12"/>
  <c r="V1208" i="12"/>
  <c r="V1209" i="12"/>
  <c r="V1210" i="12"/>
  <c r="X1210" i="12" s="1"/>
  <c r="V1211" i="12"/>
  <c r="V1212" i="12"/>
  <c r="V1213" i="12"/>
  <c r="X1213" i="12" s="1"/>
  <c r="V1214" i="12"/>
  <c r="V1215" i="12"/>
  <c r="V1216" i="12"/>
  <c r="X1216" i="12" s="1"/>
  <c r="V1217" i="12"/>
  <c r="V1218" i="12"/>
  <c r="V1219" i="12"/>
  <c r="V1220" i="12"/>
  <c r="V1221" i="12"/>
  <c r="V1222" i="12"/>
  <c r="X1222" i="12" s="1"/>
  <c r="V1223" i="12"/>
  <c r="V1224" i="12"/>
  <c r="V1225" i="12"/>
  <c r="X1225" i="12" s="1"/>
  <c r="V1226" i="12"/>
  <c r="V1227" i="12"/>
  <c r="V1228" i="12"/>
  <c r="X1228" i="12" s="1"/>
  <c r="V1229" i="12"/>
  <c r="V1230" i="12"/>
  <c r="V1231" i="12"/>
  <c r="V1232" i="12"/>
  <c r="V1233" i="12"/>
  <c r="V1234" i="12"/>
  <c r="X1234" i="12" s="1"/>
  <c r="V1235" i="12"/>
  <c r="V1236" i="12"/>
  <c r="V1237" i="12"/>
  <c r="X1237" i="12" s="1"/>
  <c r="V1238" i="12"/>
  <c r="V1239" i="12"/>
  <c r="V1240" i="12"/>
  <c r="X1240" i="12" s="1"/>
  <c r="V1241" i="12"/>
  <c r="V1242" i="12"/>
  <c r="V1243" i="12"/>
  <c r="V1244" i="12"/>
  <c r="V1245" i="12"/>
  <c r="V1246" i="12"/>
  <c r="X1246" i="12" s="1"/>
  <c r="V1247" i="12"/>
  <c r="V1248" i="12"/>
  <c r="V1249" i="12"/>
  <c r="X1249" i="12" s="1"/>
  <c r="V1250" i="12"/>
  <c r="V1251" i="12"/>
  <c r="V1252" i="12"/>
  <c r="X1252" i="12" s="1"/>
  <c r="V1253" i="12"/>
  <c r="V1254" i="12"/>
  <c r="V1255" i="12"/>
  <c r="V1256" i="12"/>
  <c r="V1257" i="12"/>
  <c r="V1258" i="12"/>
  <c r="X1258" i="12" s="1"/>
  <c r="V1259" i="12"/>
  <c r="V1260" i="12"/>
  <c r="V1261" i="12"/>
  <c r="V1262" i="12"/>
  <c r="V1263" i="12"/>
  <c r="V1264" i="12"/>
  <c r="X1264" i="12" s="1"/>
  <c r="V1265" i="12"/>
  <c r="V1266" i="12"/>
  <c r="V1267" i="12"/>
  <c r="V1268" i="12"/>
  <c r="V1269" i="12"/>
  <c r="V1270" i="12"/>
  <c r="X1270" i="12" s="1"/>
  <c r="V1271" i="12"/>
  <c r="V1272" i="12"/>
  <c r="V1273" i="12"/>
  <c r="V1274" i="12"/>
  <c r="V1275" i="12"/>
  <c r="V1276" i="12"/>
  <c r="X1276" i="12" s="1"/>
  <c r="V1277" i="12"/>
  <c r="V1278" i="12"/>
  <c r="V1279" i="12"/>
  <c r="V1280" i="12"/>
  <c r="V1281" i="12"/>
  <c r="V1282" i="12"/>
  <c r="X1282" i="12" s="1"/>
  <c r="V1283" i="12"/>
  <c r="V1284" i="12"/>
  <c r="V1285" i="12"/>
  <c r="V1286" i="12"/>
  <c r="V1287" i="12"/>
  <c r="V1288" i="12"/>
  <c r="V1289" i="12"/>
  <c r="V1290" i="12"/>
  <c r="V1291" i="12"/>
  <c r="V1292" i="12"/>
  <c r="V1293" i="12"/>
  <c r="V1294" i="12"/>
  <c r="X1294" i="12" s="1"/>
  <c r="V1295" i="12"/>
  <c r="V1296" i="12"/>
  <c r="V1297" i="12"/>
  <c r="V1298" i="12"/>
  <c r="V1299" i="12"/>
  <c r="V1300" i="12"/>
  <c r="X1300" i="12" s="1"/>
  <c r="V1301" i="12"/>
  <c r="V1302" i="12"/>
  <c r="V1303" i="12"/>
  <c r="V1304" i="12"/>
  <c r="V1305" i="12"/>
  <c r="V1306" i="12"/>
  <c r="X1306" i="12" s="1"/>
  <c r="V1307" i="12"/>
  <c r="V1308" i="12"/>
  <c r="V1309" i="12"/>
  <c r="V1310" i="12"/>
  <c r="V1311" i="12"/>
  <c r="V1312" i="12"/>
  <c r="X1312" i="12" s="1"/>
  <c r="V1313" i="12"/>
  <c r="V1314" i="12"/>
  <c r="V1315" i="12"/>
  <c r="V1316" i="12"/>
  <c r="V1317" i="12"/>
  <c r="V1318" i="12"/>
  <c r="X1318" i="12" s="1"/>
  <c r="V1319" i="12"/>
  <c r="V1320" i="12"/>
  <c r="V1321" i="12"/>
  <c r="V1322" i="12"/>
  <c r="V1323" i="12"/>
  <c r="V1324" i="12"/>
  <c r="X1324" i="12" s="1"/>
  <c r="V1325" i="12"/>
  <c r="V1326" i="12"/>
  <c r="V1327" i="12"/>
  <c r="V1328" i="12"/>
  <c r="V1329" i="12"/>
  <c r="V1330" i="12"/>
  <c r="X1330" i="12" s="1"/>
  <c r="V1331" i="12"/>
  <c r="V1332" i="12"/>
  <c r="V1333" i="12"/>
  <c r="V1334" i="12"/>
  <c r="V1335" i="12"/>
  <c r="V1336" i="12"/>
  <c r="X1336" i="12" s="1"/>
  <c r="V1337" i="12"/>
  <c r="V1338" i="12"/>
  <c r="V1339" i="12"/>
  <c r="V1340" i="12"/>
  <c r="V1341" i="12"/>
  <c r="V1342" i="12"/>
  <c r="X1342" i="12" s="1"/>
  <c r="V1343" i="12"/>
  <c r="V1344" i="12"/>
  <c r="V1345" i="12"/>
  <c r="V1346" i="12"/>
  <c r="V1347" i="12"/>
  <c r="V1348" i="12"/>
  <c r="X1348" i="12" s="1"/>
  <c r="V1349" i="12"/>
  <c r="V1350" i="12"/>
  <c r="V1351" i="12"/>
  <c r="V1352" i="12"/>
  <c r="V1353" i="12"/>
  <c r="V1354" i="12"/>
  <c r="X1354" i="12" s="1"/>
  <c r="V1355" i="12"/>
  <c r="V1356" i="12"/>
  <c r="V1357" i="12"/>
  <c r="V1358" i="12"/>
  <c r="V1359" i="12"/>
  <c r="V1360" i="12"/>
  <c r="X1360" i="12" s="1"/>
  <c r="V1361" i="12"/>
  <c r="V1362" i="12"/>
  <c r="V1363" i="12"/>
  <c r="V1364" i="12"/>
  <c r="V1365" i="12"/>
  <c r="V1366" i="12"/>
  <c r="X1366" i="12" s="1"/>
  <c r="V1367" i="12"/>
  <c r="V1368" i="12"/>
  <c r="V1369" i="12"/>
  <c r="X1369" i="12" s="1"/>
  <c r="V1370" i="12"/>
  <c r="V1371" i="12"/>
  <c r="V1372" i="12"/>
  <c r="X1372" i="12" s="1"/>
  <c r="V1373" i="12"/>
  <c r="V1374" i="12"/>
  <c r="V1375" i="12"/>
  <c r="V1376" i="12"/>
  <c r="V1377" i="12"/>
  <c r="V1378" i="12"/>
  <c r="X1378" i="12" s="1"/>
  <c r="V1379" i="12"/>
  <c r="V1380" i="12"/>
  <c r="V1381" i="12"/>
  <c r="V1382" i="12"/>
  <c r="V1383" i="12"/>
  <c r="V1384" i="12"/>
  <c r="X1384" i="12" s="1"/>
  <c r="V1385" i="12"/>
  <c r="V1386" i="12"/>
  <c r="V1387" i="12"/>
  <c r="V1388" i="12"/>
  <c r="V1389" i="12"/>
  <c r="V1390" i="12"/>
  <c r="X1390" i="12" s="1"/>
  <c r="V1391" i="12"/>
  <c r="V1392" i="12"/>
  <c r="V1393" i="12"/>
  <c r="V1394" i="12"/>
  <c r="V1395" i="12"/>
  <c r="V1396" i="12"/>
  <c r="V1397" i="12"/>
  <c r="V1398" i="12"/>
  <c r="V1399" i="12"/>
  <c r="V1400" i="12"/>
  <c r="V1401" i="12"/>
  <c r="V1402" i="12"/>
  <c r="X1402" i="12" s="1"/>
  <c r="V1403" i="12"/>
  <c r="V1404" i="12"/>
  <c r="V1405" i="12"/>
  <c r="X1405" i="12" s="1"/>
  <c r="V1406" i="12"/>
  <c r="V1407" i="12"/>
  <c r="V1408" i="12"/>
  <c r="X1408" i="12" s="1"/>
  <c r="V1409" i="12"/>
  <c r="V1410" i="12"/>
  <c r="V1411" i="12"/>
  <c r="V1412" i="12"/>
  <c r="V1413" i="12"/>
  <c r="V1414" i="12"/>
  <c r="X1414" i="12" s="1"/>
  <c r="V1415" i="12"/>
  <c r="V1416" i="12"/>
  <c r="V1417" i="12"/>
  <c r="V1418" i="12"/>
  <c r="V1419" i="12"/>
  <c r="V1420" i="12"/>
  <c r="X1420" i="12" s="1"/>
  <c r="V1421" i="12"/>
  <c r="V1422" i="12"/>
  <c r="V1423" i="12"/>
  <c r="V1424" i="12"/>
  <c r="V1425" i="12"/>
  <c r="V1426" i="12"/>
  <c r="X1426" i="12" s="1"/>
  <c r="V1427" i="12"/>
  <c r="V1428" i="12"/>
  <c r="V1429" i="12"/>
  <c r="V1430" i="12"/>
  <c r="V1431" i="12"/>
  <c r="V1432" i="12"/>
  <c r="X1432" i="12" s="1"/>
  <c r="V1433" i="12"/>
  <c r="V1434" i="12"/>
  <c r="V1435" i="12"/>
  <c r="V1436" i="12"/>
  <c r="V1437" i="12"/>
  <c r="V1438" i="12"/>
  <c r="X1438" i="12" s="1"/>
  <c r="V1439" i="12"/>
  <c r="V1440" i="12"/>
  <c r="V1441" i="12"/>
  <c r="V1442" i="12"/>
  <c r="V1443" i="12"/>
  <c r="V1444" i="12"/>
  <c r="X1444" i="12" s="1"/>
  <c r="V1445" i="12"/>
  <c r="V1446" i="12"/>
  <c r="V1447" i="12"/>
  <c r="V1448" i="12"/>
  <c r="V1449" i="12"/>
  <c r="V1450" i="12"/>
  <c r="X1450" i="12" s="1"/>
  <c r="V1451" i="12"/>
  <c r="V1452" i="12"/>
  <c r="V1453" i="12"/>
  <c r="V1454" i="12"/>
  <c r="V1455" i="12"/>
  <c r="V1456" i="12"/>
  <c r="X1456" i="12" s="1"/>
  <c r="V1457" i="12"/>
  <c r="V1458" i="12"/>
  <c r="V1459" i="12"/>
  <c r="V1460" i="12"/>
  <c r="V1461" i="12"/>
  <c r="V1462" i="12"/>
  <c r="X1462" i="12" s="1"/>
  <c r="V1463" i="12"/>
  <c r="V1464" i="12"/>
  <c r="V1465" i="12"/>
  <c r="V1466" i="12"/>
  <c r="V1467" i="12"/>
  <c r="V1468" i="12"/>
  <c r="X1468" i="12" s="1"/>
  <c r="V1469" i="12"/>
  <c r="V1470" i="12"/>
  <c r="V1471" i="12"/>
  <c r="V1472" i="12"/>
  <c r="V1473" i="12"/>
  <c r="V1474" i="12"/>
  <c r="X1474" i="12" s="1"/>
  <c r="V1475" i="12"/>
  <c r="V1476" i="12"/>
  <c r="V1477" i="12"/>
  <c r="V1478" i="12"/>
  <c r="V1479" i="12"/>
  <c r="V1480" i="12"/>
  <c r="X1480" i="12" s="1"/>
  <c r="V1481" i="12"/>
  <c r="V1482" i="12"/>
  <c r="V1483" i="12"/>
  <c r="V1484" i="12"/>
  <c r="V1485" i="12"/>
  <c r="V1486" i="12"/>
  <c r="X1486" i="12" s="1"/>
  <c r="V1487" i="12"/>
  <c r="V1488" i="12"/>
  <c r="V1489" i="12"/>
  <c r="V1490" i="12"/>
  <c r="V1491" i="12"/>
  <c r="V1492" i="12"/>
  <c r="X1492" i="12" s="1"/>
  <c r="V1493" i="12"/>
  <c r="V1494" i="12"/>
  <c r="V1495" i="12"/>
  <c r="V1496" i="12"/>
  <c r="V1497" i="12"/>
  <c r="V1498" i="12"/>
  <c r="X1498" i="12" s="1"/>
  <c r="V1499" i="12"/>
  <c r="V1500" i="12"/>
  <c r="V1501" i="12"/>
  <c r="V1502" i="12"/>
  <c r="V1503" i="12"/>
  <c r="V1504" i="12"/>
  <c r="X1504" i="12" s="1"/>
  <c r="V1505" i="12"/>
  <c r="V1506" i="12"/>
  <c r="V1507" i="12"/>
  <c r="V1508" i="12"/>
  <c r="V1509" i="12"/>
  <c r="V1510" i="12"/>
  <c r="X1510" i="12" s="1"/>
  <c r="V1511" i="12"/>
  <c r="V1512" i="12"/>
  <c r="V1513" i="12"/>
  <c r="V1514" i="12"/>
  <c r="V1515" i="12"/>
  <c r="V1516" i="12"/>
  <c r="X1516" i="12" s="1"/>
  <c r="V1517" i="12"/>
  <c r="V1518" i="12"/>
  <c r="V1519" i="12"/>
  <c r="V1520" i="12"/>
  <c r="V1521" i="12"/>
  <c r="V1522" i="12"/>
  <c r="X1522" i="12" s="1"/>
  <c r="V1523" i="12"/>
  <c r="V1524" i="12"/>
  <c r="V1525" i="12"/>
  <c r="V1526" i="12"/>
  <c r="V1527" i="12"/>
  <c r="V1528" i="12"/>
  <c r="X1528" i="12" s="1"/>
  <c r="V1529" i="12"/>
  <c r="V1530" i="12"/>
  <c r="V1531" i="12"/>
  <c r="V1532" i="12"/>
  <c r="V1533" i="12"/>
  <c r="V1534" i="12"/>
  <c r="X1534" i="12" s="1"/>
  <c r="V1535" i="12"/>
  <c r="V1536" i="12"/>
  <c r="V1537" i="12"/>
  <c r="V1538" i="12"/>
  <c r="V1539" i="12"/>
  <c r="V1540" i="12"/>
  <c r="X1540" i="12" s="1"/>
  <c r="V1541" i="12"/>
  <c r="V1542" i="12"/>
  <c r="V1543" i="12"/>
  <c r="V1544" i="12"/>
  <c r="V1545" i="12"/>
  <c r="V1546" i="12"/>
  <c r="X1546" i="12" s="1"/>
  <c r="V1547" i="12"/>
  <c r="V1548" i="12"/>
  <c r="V1549" i="12"/>
  <c r="V1550" i="12"/>
  <c r="V1551" i="12"/>
  <c r="V1552" i="12"/>
  <c r="X1552" i="12" s="1"/>
  <c r="V1553" i="12"/>
  <c r="V1554" i="12"/>
  <c r="V1555" i="12"/>
  <c r="V1556" i="12"/>
  <c r="V1557" i="12"/>
  <c r="V1558" i="12"/>
  <c r="X1558" i="12" s="1"/>
  <c r="V1559" i="12"/>
  <c r="V1560" i="12"/>
  <c r="V1561" i="12"/>
  <c r="V1562" i="12"/>
  <c r="V1563" i="12"/>
  <c r="V1564" i="12"/>
  <c r="X1564" i="12" s="1"/>
  <c r="V1565" i="12"/>
  <c r="V1566" i="12"/>
  <c r="V1567" i="12"/>
  <c r="V1568" i="12"/>
  <c r="V1569" i="12"/>
  <c r="V1570" i="12"/>
  <c r="X1570" i="12" s="1"/>
  <c r="V1571" i="12"/>
  <c r="V1572" i="12"/>
  <c r="V1573" i="12"/>
  <c r="V1574" i="12"/>
  <c r="V1575" i="12"/>
  <c r="V1576" i="12"/>
  <c r="X1576" i="12" s="1"/>
  <c r="V1577" i="12"/>
  <c r="V1578" i="12"/>
  <c r="V1579" i="12"/>
  <c r="V1580" i="12"/>
  <c r="V1581" i="12"/>
  <c r="V1582" i="12"/>
  <c r="X1582" i="12" s="1"/>
  <c r="V1583" i="12"/>
  <c r="V1584" i="12"/>
  <c r="V1585" i="12"/>
  <c r="V1586" i="12"/>
  <c r="V1587" i="12"/>
  <c r="V1588" i="12"/>
  <c r="X1588" i="12" s="1"/>
  <c r="V1589" i="12"/>
  <c r="V1590" i="12"/>
  <c r="V1591" i="12"/>
  <c r="V1592" i="12"/>
  <c r="V1593" i="12"/>
  <c r="V1594" i="12"/>
  <c r="X1594" i="12" s="1"/>
  <c r="V1595" i="12"/>
  <c r="V1596" i="12"/>
  <c r="V1597" i="12"/>
  <c r="V1598" i="12"/>
  <c r="V1599" i="12"/>
  <c r="V1600" i="12"/>
  <c r="X1600" i="12" s="1"/>
  <c r="V1601" i="12"/>
  <c r="V1602" i="12"/>
  <c r="V1603" i="12"/>
  <c r="V1604" i="12"/>
  <c r="V1605" i="12"/>
  <c r="V1606" i="12"/>
  <c r="X1606" i="12" s="1"/>
  <c r="V1607" i="12"/>
  <c r="V1608" i="12"/>
  <c r="V1609" i="12"/>
  <c r="V1610" i="12"/>
  <c r="V1611" i="12"/>
  <c r="V1612" i="12"/>
  <c r="X1612" i="12" s="1"/>
  <c r="V1613" i="12"/>
  <c r="V1614" i="12"/>
  <c r="V1615" i="12"/>
  <c r="V1616" i="12"/>
  <c r="V1617" i="12"/>
  <c r="V1618" i="12"/>
  <c r="X1618" i="12" s="1"/>
  <c r="V1619" i="12"/>
  <c r="V1620" i="12"/>
  <c r="V1621" i="12"/>
  <c r="V1622" i="12"/>
  <c r="V1623" i="12"/>
  <c r="V1624" i="12"/>
  <c r="X1624" i="12" s="1"/>
  <c r="V1625" i="12"/>
  <c r="V1626" i="12"/>
  <c r="V1627" i="12"/>
  <c r="V1628" i="12"/>
  <c r="V1629" i="12"/>
  <c r="V1630" i="12"/>
  <c r="X1630" i="12" s="1"/>
  <c r="V1631" i="12"/>
  <c r="V1632" i="12"/>
  <c r="V1633" i="12"/>
  <c r="V1634" i="12"/>
  <c r="V1635" i="12"/>
  <c r="V1636" i="12"/>
  <c r="X1636" i="12" s="1"/>
  <c r="V1637" i="12"/>
  <c r="V1638" i="12"/>
  <c r="V1639" i="12"/>
  <c r="V1640" i="12"/>
  <c r="V1641" i="12"/>
  <c r="V1642" i="12"/>
  <c r="X1642" i="12" s="1"/>
  <c r="V1643" i="12"/>
  <c r="V1644" i="12"/>
  <c r="V1645" i="12"/>
  <c r="V1646" i="12"/>
  <c r="V1647" i="12"/>
  <c r="V1648" i="12"/>
  <c r="X1648" i="12" s="1"/>
  <c r="V1649" i="12"/>
  <c r="V1650" i="12"/>
  <c r="V1651" i="12"/>
  <c r="V1652" i="12"/>
  <c r="V1653" i="12"/>
  <c r="V1654" i="12"/>
  <c r="X1654" i="12" s="1"/>
  <c r="V1655" i="12"/>
  <c r="V1656" i="12"/>
  <c r="V1657" i="12"/>
  <c r="V1658" i="12"/>
  <c r="V1659" i="12"/>
  <c r="V1660" i="12"/>
  <c r="X1660" i="12" s="1"/>
  <c r="V1661" i="12"/>
  <c r="V1662" i="12"/>
  <c r="V1663" i="12"/>
  <c r="V1664" i="12"/>
  <c r="V1665" i="12"/>
  <c r="V1666" i="12"/>
  <c r="X1666" i="12" s="1"/>
  <c r="V1667" i="12"/>
  <c r="V1668" i="12"/>
  <c r="V1669" i="12"/>
  <c r="V1670" i="12"/>
  <c r="V1671" i="12"/>
  <c r="V1672" i="12"/>
  <c r="X1672" i="12" s="1"/>
  <c r="V1673" i="12"/>
  <c r="V1674" i="12"/>
  <c r="V1675" i="12"/>
  <c r="V1676" i="12"/>
  <c r="V1677" i="12"/>
  <c r="V1678" i="12"/>
  <c r="X1678" i="12" s="1"/>
  <c r="V1679" i="12"/>
  <c r="V1680" i="12"/>
  <c r="V1681" i="12"/>
  <c r="V1682" i="12"/>
  <c r="V1683" i="12"/>
  <c r="V1684" i="12"/>
  <c r="X1684" i="12" s="1"/>
  <c r="V1685" i="12"/>
  <c r="V1686" i="12"/>
  <c r="V1687" i="12"/>
  <c r="V1688" i="12"/>
  <c r="V1689" i="12"/>
  <c r="V1690" i="12"/>
  <c r="X1690" i="12" s="1"/>
  <c r="V1691" i="12"/>
  <c r="V1692" i="12"/>
  <c r="V1693" i="12"/>
  <c r="V1694" i="12"/>
  <c r="V1695" i="12"/>
  <c r="V1696" i="12"/>
  <c r="X1696" i="12" s="1"/>
  <c r="V1697" i="12"/>
  <c r="V1698" i="12"/>
  <c r="V1699" i="12"/>
  <c r="V1700" i="12"/>
  <c r="V1701" i="12"/>
  <c r="V1702" i="12"/>
  <c r="X1702" i="12" s="1"/>
  <c r="V1703" i="12"/>
  <c r="V1704" i="12"/>
  <c r="V1705" i="12"/>
  <c r="V1706" i="12"/>
  <c r="V1707" i="12"/>
  <c r="V1708" i="12"/>
  <c r="X1708" i="12" s="1"/>
  <c r="V1709" i="12"/>
  <c r="V1710" i="12"/>
  <c r="V1711" i="12"/>
  <c r="V1712" i="12"/>
  <c r="V1713" i="12"/>
  <c r="V1714" i="12"/>
  <c r="X1714" i="12" s="1"/>
  <c r="V1715" i="12"/>
  <c r="V1716" i="12"/>
  <c r="V1717" i="12"/>
  <c r="V1718" i="12"/>
  <c r="V1719" i="12"/>
  <c r="V1720" i="12"/>
  <c r="X1720" i="12" s="1"/>
  <c r="V1721" i="12"/>
  <c r="V1722" i="12"/>
  <c r="V1723" i="12"/>
  <c r="V1724" i="12"/>
  <c r="V1725" i="12"/>
  <c r="V1726" i="12"/>
  <c r="X1726" i="12" s="1"/>
  <c r="V1727" i="12"/>
  <c r="V1728" i="12"/>
  <c r="V1729" i="12"/>
  <c r="V1730" i="12"/>
  <c r="V1731" i="12"/>
  <c r="V1732" i="12"/>
  <c r="X1732" i="12" s="1"/>
  <c r="V1733" i="12"/>
  <c r="V1734" i="12"/>
  <c r="V1735" i="12"/>
  <c r="V1736" i="12"/>
  <c r="V1737" i="12"/>
  <c r="V1738" i="12"/>
  <c r="X1738" i="12" s="1"/>
  <c r="V1739" i="12"/>
  <c r="V1740" i="12"/>
  <c r="V1741" i="12"/>
  <c r="V1742" i="12"/>
  <c r="V1743" i="12"/>
  <c r="V1744" i="12"/>
  <c r="X1744" i="12" s="1"/>
  <c r="V1745" i="12"/>
  <c r="V1746" i="12"/>
  <c r="V1747" i="12"/>
  <c r="V1748" i="12"/>
  <c r="V1749" i="12"/>
  <c r="V1750" i="12"/>
  <c r="X1750" i="12" s="1"/>
  <c r="V1751" i="12"/>
  <c r="V1752" i="12"/>
  <c r="V1753" i="12"/>
  <c r="V1754" i="12"/>
  <c r="V1755" i="12"/>
  <c r="V1756" i="12"/>
  <c r="X1756" i="12" s="1"/>
  <c r="V1757" i="12"/>
  <c r="V1758" i="12"/>
  <c r="V1759" i="12"/>
  <c r="V1760" i="12"/>
  <c r="V1761" i="12"/>
  <c r="V1762" i="12"/>
  <c r="X1762" i="12" s="1"/>
  <c r="V1763" i="12"/>
  <c r="V1764" i="12"/>
  <c r="V1765" i="12"/>
  <c r="V1766" i="12"/>
  <c r="V1767" i="12"/>
  <c r="V1768" i="12"/>
  <c r="X1768" i="12" s="1"/>
  <c r="V1769" i="12"/>
  <c r="V1770" i="12"/>
  <c r="V1771" i="12"/>
  <c r="V1772" i="12"/>
  <c r="V1773" i="12"/>
  <c r="V1774" i="12"/>
  <c r="X1774" i="12" s="1"/>
  <c r="V1775" i="12"/>
  <c r="V1776" i="12"/>
  <c r="V1777" i="12"/>
  <c r="V1778" i="12"/>
  <c r="V1779" i="12"/>
  <c r="V1780" i="12"/>
  <c r="X1780" i="12" s="1"/>
  <c r="V1781" i="12"/>
  <c r="V1782" i="12"/>
  <c r="V1783" i="12"/>
  <c r="V1784" i="12"/>
  <c r="V1785" i="12"/>
  <c r="V1786" i="12"/>
  <c r="X1786" i="12" s="1"/>
  <c r="V1787" i="12"/>
  <c r="V1788" i="12"/>
  <c r="V1789" i="12"/>
  <c r="V1790" i="12"/>
  <c r="V1791" i="12"/>
  <c r="V1792" i="12"/>
  <c r="X1792" i="12" s="1"/>
  <c r="V1793" i="12"/>
  <c r="V1794" i="12"/>
  <c r="V1795" i="12"/>
  <c r="V1796" i="12"/>
  <c r="V1797" i="12"/>
  <c r="V1798" i="12"/>
  <c r="X1798" i="12" s="1"/>
  <c r="V1799" i="12"/>
  <c r="V1800" i="12"/>
  <c r="V1801" i="12"/>
  <c r="V1802" i="12"/>
  <c r="V1803" i="12"/>
  <c r="V1804" i="12"/>
  <c r="X1804" i="12" s="1"/>
  <c r="V1805" i="12"/>
  <c r="V1806" i="12"/>
  <c r="V1807" i="12"/>
  <c r="V1808" i="12"/>
  <c r="V1809" i="12"/>
  <c r="V1810" i="12"/>
  <c r="X1810" i="12" s="1"/>
  <c r="V1811" i="12"/>
  <c r="V1812" i="12"/>
  <c r="V1813" i="12"/>
  <c r="V1814" i="12"/>
  <c r="V1815" i="12"/>
  <c r="V1816" i="12"/>
  <c r="X1816" i="12" s="1"/>
  <c r="V1817" i="12"/>
  <c r="V1818" i="12"/>
  <c r="V1819" i="12"/>
  <c r="V1820" i="12"/>
  <c r="V1821" i="12"/>
  <c r="V1822" i="12"/>
  <c r="X1822" i="12" s="1"/>
  <c r="V1823" i="12"/>
  <c r="V1824" i="12"/>
  <c r="V1825" i="12"/>
  <c r="V1826" i="12"/>
  <c r="V1827" i="12"/>
  <c r="V1828" i="12"/>
  <c r="X1828" i="12" s="1"/>
  <c r="V1829" i="12"/>
  <c r="V1830" i="12"/>
  <c r="V1831" i="12"/>
  <c r="V1832" i="12"/>
  <c r="V1833" i="12"/>
  <c r="V1834" i="12"/>
  <c r="X1834" i="12" s="1"/>
  <c r="V1835" i="12"/>
  <c r="V1836" i="12"/>
  <c r="V1837" i="12"/>
  <c r="V1838" i="12"/>
  <c r="V1839" i="12"/>
  <c r="V1840" i="12"/>
  <c r="X1840" i="12" s="1"/>
  <c r="V1841" i="12"/>
  <c r="V1842" i="12"/>
  <c r="V1843" i="12"/>
  <c r="V1844" i="12"/>
  <c r="V1845" i="12"/>
  <c r="V1846" i="12"/>
  <c r="X1846" i="12" s="1"/>
  <c r="V1847" i="12"/>
  <c r="V1848" i="12"/>
  <c r="V1849" i="12"/>
  <c r="V1850" i="12"/>
  <c r="V1851" i="12"/>
  <c r="V1852" i="12"/>
  <c r="X1852" i="12" s="1"/>
  <c r="V1853" i="12"/>
  <c r="V1854" i="12"/>
  <c r="V1855" i="12"/>
  <c r="V1856" i="12"/>
  <c r="V1857" i="12"/>
  <c r="V1858" i="12"/>
  <c r="X1858" i="12" s="1"/>
  <c r="V1859" i="12"/>
  <c r="V1860" i="12"/>
  <c r="V1861" i="12"/>
  <c r="V1862" i="12"/>
  <c r="V1863" i="12"/>
  <c r="V1864" i="12"/>
  <c r="X1864" i="12" s="1"/>
  <c r="V1865" i="12"/>
  <c r="V1866" i="12"/>
  <c r="V1867" i="12"/>
  <c r="V1868" i="12"/>
  <c r="V1869" i="12"/>
  <c r="V1870" i="12"/>
  <c r="X1870" i="12" s="1"/>
  <c r="V1871" i="12"/>
  <c r="V1872" i="12"/>
  <c r="V1873" i="12"/>
  <c r="V1874" i="12"/>
  <c r="V1875" i="12"/>
  <c r="V1876" i="12"/>
  <c r="X1876" i="12" s="1"/>
  <c r="V1877" i="12"/>
  <c r="V1878" i="12"/>
  <c r="V1879" i="12"/>
  <c r="V1880" i="12"/>
  <c r="V1881" i="12"/>
  <c r="V1882" i="12"/>
  <c r="X1882" i="12" s="1"/>
  <c r="V1883" i="12"/>
  <c r="V1884" i="12"/>
  <c r="V1885" i="12"/>
  <c r="V1886" i="12"/>
  <c r="V1887" i="12"/>
  <c r="V1888" i="12"/>
  <c r="X1888" i="12" s="1"/>
  <c r="V1889" i="12"/>
  <c r="V1890" i="12"/>
  <c r="V1891" i="12"/>
  <c r="V1892" i="12"/>
  <c r="V1893" i="12"/>
  <c r="V1894" i="12"/>
  <c r="X1894" i="12" s="1"/>
  <c r="V1895" i="12"/>
  <c r="V1896" i="12"/>
  <c r="V1897" i="12"/>
  <c r="V1898" i="12"/>
  <c r="V1899" i="12"/>
  <c r="V1900" i="12"/>
  <c r="X1900" i="12" s="1"/>
  <c r="V1901" i="12"/>
  <c r="V1902" i="12"/>
  <c r="V1903" i="12"/>
  <c r="V1904" i="12"/>
  <c r="V1905" i="12"/>
  <c r="V1906" i="12"/>
  <c r="X1906" i="12" s="1"/>
  <c r="V1907" i="12"/>
  <c r="V1908" i="12"/>
  <c r="V1909" i="12"/>
  <c r="V1910" i="12"/>
  <c r="V1911" i="12"/>
  <c r="V1912" i="12"/>
  <c r="X1912" i="12" s="1"/>
  <c r="V1913" i="12"/>
  <c r="V1914" i="12"/>
  <c r="V1915" i="12"/>
  <c r="V1916" i="12"/>
  <c r="V1917" i="12"/>
  <c r="V1918" i="12"/>
  <c r="X1918" i="12" s="1"/>
  <c r="V1919" i="12"/>
  <c r="V1920" i="12"/>
  <c r="V1921" i="12"/>
  <c r="V1922" i="12"/>
  <c r="V1923" i="12"/>
  <c r="V1924" i="12"/>
  <c r="X1924" i="12" s="1"/>
  <c r="V1925" i="12"/>
  <c r="V1926" i="12"/>
  <c r="V1927" i="12"/>
  <c r="V1928" i="12"/>
  <c r="V1929" i="12"/>
  <c r="V1930" i="12"/>
  <c r="X1930" i="12" s="1"/>
  <c r="V1931" i="12"/>
  <c r="V1932" i="12"/>
  <c r="V1933" i="12"/>
  <c r="V1934" i="12"/>
  <c r="V1935" i="12"/>
  <c r="V1936" i="12"/>
  <c r="X1936" i="12" s="1"/>
  <c r="V1937" i="12"/>
  <c r="V1938" i="12"/>
  <c r="V1939" i="12"/>
  <c r="V1940" i="12"/>
  <c r="V1941" i="12"/>
  <c r="V1942" i="12"/>
  <c r="X1942" i="12" s="1"/>
  <c r="V1943" i="12"/>
  <c r="V1944" i="12"/>
  <c r="V1945" i="12"/>
  <c r="V1946" i="12"/>
  <c r="V1947" i="12"/>
  <c r="V1948" i="12"/>
  <c r="X1948" i="12" s="1"/>
  <c r="V1949" i="12"/>
  <c r="V1950" i="12"/>
  <c r="V1951" i="12"/>
  <c r="V1952" i="12"/>
  <c r="V1953" i="12"/>
  <c r="V1954" i="12"/>
  <c r="X1954" i="12" s="1"/>
  <c r="V1955" i="12"/>
  <c r="V1956" i="12"/>
  <c r="V1957" i="12"/>
  <c r="V1958" i="12"/>
  <c r="V1959" i="12"/>
  <c r="V1960" i="12"/>
  <c r="X1960" i="12" s="1"/>
  <c r="V1961" i="12"/>
  <c r="V1962" i="12"/>
  <c r="V1963" i="12"/>
  <c r="V1964" i="12"/>
  <c r="V1965" i="12"/>
  <c r="V1966" i="12"/>
  <c r="X1966" i="12" s="1"/>
  <c r="V1967" i="12"/>
  <c r="V1968" i="12"/>
  <c r="V1969" i="12"/>
  <c r="V1970" i="12"/>
  <c r="V1971" i="12"/>
  <c r="V1972" i="12"/>
  <c r="X1972" i="12" s="1"/>
  <c r="V1973" i="12"/>
  <c r="V1974" i="12"/>
  <c r="V1975" i="12"/>
  <c r="V1976" i="12"/>
  <c r="V1977" i="12"/>
  <c r="V1978" i="12"/>
  <c r="X1978" i="12" s="1"/>
  <c r="V1979" i="12"/>
  <c r="V1980" i="12"/>
  <c r="V1981" i="12"/>
  <c r="V1982" i="12"/>
  <c r="V1983" i="12"/>
  <c r="V1984" i="12"/>
  <c r="X1984" i="12" s="1"/>
  <c r="V1985" i="12"/>
  <c r="V1986" i="12"/>
  <c r="V1987" i="12"/>
  <c r="V1988" i="12"/>
  <c r="V1989" i="12"/>
  <c r="V1990" i="12"/>
  <c r="X1990" i="12" s="1"/>
  <c r="V1991" i="12"/>
  <c r="V1992" i="12"/>
  <c r="V1993" i="12"/>
  <c r="V1994" i="12"/>
  <c r="V1995" i="12"/>
  <c r="V1996" i="12"/>
  <c r="X1996" i="12" s="1"/>
  <c r="V1997" i="12"/>
  <c r="V1998" i="12"/>
  <c r="V1999" i="12"/>
  <c r="V2000" i="12"/>
  <c r="V2001" i="12"/>
  <c r="X2" i="12"/>
  <c r="X3" i="12"/>
  <c r="X4" i="12"/>
  <c r="X5" i="12"/>
  <c r="X7" i="12"/>
  <c r="X8" i="12"/>
  <c r="X11" i="12"/>
  <c r="X15" i="12"/>
  <c r="X19" i="12"/>
  <c r="X20" i="12"/>
  <c r="X23" i="12"/>
  <c r="X26" i="12"/>
  <c r="X27" i="12"/>
  <c r="X31" i="12"/>
  <c r="X32" i="12"/>
  <c r="X35" i="12"/>
  <c r="X39" i="12"/>
  <c r="X43" i="12"/>
  <c r="X44" i="12"/>
  <c r="X47" i="12"/>
  <c r="X51" i="12"/>
  <c r="X55" i="12"/>
  <c r="X56" i="12"/>
  <c r="X59" i="12"/>
  <c r="X63" i="12"/>
  <c r="X67" i="12"/>
  <c r="X68" i="12"/>
  <c r="X71" i="12"/>
  <c r="X74" i="12"/>
  <c r="X75" i="12"/>
  <c r="X79" i="12"/>
  <c r="X80" i="12"/>
  <c r="X83" i="12"/>
  <c r="X87" i="12"/>
  <c r="X91" i="12"/>
  <c r="X92" i="12"/>
  <c r="X95" i="12"/>
  <c r="X99" i="12"/>
  <c r="X103" i="12"/>
  <c r="X104" i="12"/>
  <c r="X107" i="12"/>
  <c r="X110" i="12"/>
  <c r="X111" i="12"/>
  <c r="X115" i="12"/>
  <c r="X116" i="12"/>
  <c r="X119" i="12"/>
  <c r="X123" i="12"/>
  <c r="X127" i="12"/>
  <c r="X128" i="12"/>
  <c r="X131" i="12"/>
  <c r="X135" i="12"/>
  <c r="X139" i="12"/>
  <c r="X140" i="12"/>
  <c r="X143" i="12"/>
  <c r="X146" i="12"/>
  <c r="X147" i="12"/>
  <c r="X151" i="12"/>
  <c r="X152" i="12"/>
  <c r="X155" i="12"/>
  <c r="X159" i="12"/>
  <c r="X163" i="12"/>
  <c r="X164" i="12"/>
  <c r="X167" i="12"/>
  <c r="X170" i="12"/>
  <c r="X171" i="12"/>
  <c r="X175" i="12"/>
  <c r="X176" i="12"/>
  <c r="X179" i="12"/>
  <c r="X183" i="12"/>
  <c r="X187" i="12"/>
  <c r="X188" i="12"/>
  <c r="X191" i="12"/>
  <c r="X195" i="12"/>
  <c r="X199" i="12"/>
  <c r="X200" i="12"/>
  <c r="X203" i="12"/>
  <c r="X207" i="12"/>
  <c r="X211" i="12"/>
  <c r="X212" i="12"/>
  <c r="X215" i="12"/>
  <c r="X218" i="12"/>
  <c r="X219" i="12"/>
  <c r="X223" i="12"/>
  <c r="X224" i="12"/>
  <c r="X227" i="12"/>
  <c r="X231" i="12"/>
  <c r="X235" i="12"/>
  <c r="X236" i="12"/>
  <c r="X239" i="12"/>
  <c r="X243" i="12"/>
  <c r="X247" i="12"/>
  <c r="X248" i="12"/>
  <c r="X251" i="12"/>
  <c r="X254" i="12"/>
  <c r="X255" i="12"/>
  <c r="X259" i="12"/>
  <c r="X260" i="12"/>
  <c r="X263" i="12"/>
  <c r="X267" i="12"/>
  <c r="X271" i="12"/>
  <c r="X272" i="12"/>
  <c r="X275" i="12"/>
  <c r="X279" i="12"/>
  <c r="X283" i="12"/>
  <c r="X284" i="12"/>
  <c r="X287" i="12"/>
  <c r="X290" i="12"/>
  <c r="X291" i="12"/>
  <c r="X295" i="12"/>
  <c r="X296" i="12"/>
  <c r="X299" i="12"/>
  <c r="X303" i="12"/>
  <c r="X307" i="12"/>
  <c r="X308" i="12"/>
  <c r="X311" i="12"/>
  <c r="X314" i="12"/>
  <c r="X315" i="12"/>
  <c r="X319" i="12"/>
  <c r="X320" i="12"/>
  <c r="X323" i="12"/>
  <c r="X327" i="12"/>
  <c r="X331" i="12"/>
  <c r="X332" i="12"/>
  <c r="X335" i="12"/>
  <c r="X339" i="12"/>
  <c r="X343" i="12"/>
  <c r="X344" i="12"/>
  <c r="X347" i="12"/>
  <c r="X351" i="12"/>
  <c r="X355" i="12"/>
  <c r="X356" i="12"/>
  <c r="X359" i="12"/>
  <c r="X362" i="12"/>
  <c r="X363" i="12"/>
  <c r="X367" i="12"/>
  <c r="X368" i="12"/>
  <c r="X371" i="12"/>
  <c r="X375" i="12"/>
  <c r="X379" i="12"/>
  <c r="X380" i="12"/>
  <c r="X383" i="12"/>
  <c r="X387" i="12"/>
  <c r="X391" i="12"/>
  <c r="X392" i="12"/>
  <c r="X395" i="12"/>
  <c r="X398" i="12"/>
  <c r="X399" i="12"/>
  <c r="X403" i="12"/>
  <c r="X404" i="12"/>
  <c r="X407" i="12"/>
  <c r="X411" i="12"/>
  <c r="X415" i="12"/>
  <c r="X416" i="12"/>
  <c r="X419" i="12"/>
  <c r="X423" i="12"/>
  <c r="X427" i="12"/>
  <c r="X428" i="12"/>
  <c r="X431" i="12"/>
  <c r="X434" i="12"/>
  <c r="X435" i="12"/>
  <c r="X439" i="12"/>
  <c r="X440" i="12"/>
  <c r="X443" i="12"/>
  <c r="X447" i="12"/>
  <c r="X451" i="12"/>
  <c r="X452" i="12"/>
  <c r="X455" i="12"/>
  <c r="X458" i="12"/>
  <c r="X459" i="12"/>
  <c r="X463" i="12"/>
  <c r="X464" i="12"/>
  <c r="X467" i="12"/>
  <c r="X471" i="12"/>
  <c r="X475" i="12"/>
  <c r="X476" i="12"/>
  <c r="X479" i="12"/>
  <c r="X483" i="12"/>
  <c r="X487" i="12"/>
  <c r="X488" i="12"/>
  <c r="X491" i="12"/>
  <c r="X495" i="12"/>
  <c r="X499" i="12"/>
  <c r="X500" i="12"/>
  <c r="X503" i="12"/>
  <c r="X506" i="12"/>
  <c r="X507" i="12"/>
  <c r="X511" i="12"/>
  <c r="X512" i="12"/>
  <c r="X515" i="12"/>
  <c r="X519" i="12"/>
  <c r="X523" i="12"/>
  <c r="X524" i="12"/>
  <c r="X527" i="12"/>
  <c r="X531" i="12"/>
  <c r="X535" i="12"/>
  <c r="X536" i="12"/>
  <c r="X539" i="12"/>
  <c r="X542" i="12"/>
  <c r="X543" i="12"/>
  <c r="X547" i="12"/>
  <c r="X548" i="12"/>
  <c r="X551" i="12"/>
  <c r="X555" i="12"/>
  <c r="X559" i="12"/>
  <c r="X560" i="12"/>
  <c r="X563" i="12"/>
  <c r="X567" i="12"/>
  <c r="X571" i="12"/>
  <c r="X572" i="12"/>
  <c r="X575" i="12"/>
  <c r="X578" i="12"/>
  <c r="X579" i="12"/>
  <c r="X580" i="12"/>
  <c r="X583" i="12"/>
  <c r="X584" i="12"/>
  <c r="X587" i="12"/>
  <c r="X591" i="12"/>
  <c r="X595" i="12"/>
  <c r="X596" i="12"/>
  <c r="X599" i="12"/>
  <c r="X603" i="12"/>
  <c r="X607" i="12"/>
  <c r="X608" i="12"/>
  <c r="X611" i="12"/>
  <c r="X615" i="12"/>
  <c r="X619" i="12"/>
  <c r="X620" i="12"/>
  <c r="X623" i="12"/>
  <c r="X627" i="12"/>
  <c r="X631" i="12"/>
  <c r="X632" i="12"/>
  <c r="X635" i="12"/>
  <c r="X639" i="12"/>
  <c r="X643" i="12"/>
  <c r="X644" i="12"/>
  <c r="X647" i="12"/>
  <c r="X650" i="12"/>
  <c r="X651" i="12"/>
  <c r="X655" i="12"/>
  <c r="X656" i="12"/>
  <c r="X659" i="12"/>
  <c r="X663" i="12"/>
  <c r="X667" i="12"/>
  <c r="X668" i="12"/>
  <c r="X671" i="12"/>
  <c r="X675" i="12"/>
  <c r="X679" i="12"/>
  <c r="X680" i="12"/>
  <c r="X683" i="12"/>
  <c r="X687" i="12"/>
  <c r="X691" i="12"/>
  <c r="X692" i="12"/>
  <c r="X695" i="12"/>
  <c r="X699" i="12"/>
  <c r="X703" i="12"/>
  <c r="X704" i="12"/>
  <c r="X707" i="12"/>
  <c r="X711" i="12"/>
  <c r="X715" i="12"/>
  <c r="X719" i="12"/>
  <c r="X723" i="12"/>
  <c r="X727" i="12"/>
  <c r="X731" i="12"/>
  <c r="X735" i="12"/>
  <c r="X739" i="12"/>
  <c r="X740" i="12"/>
  <c r="X743" i="12"/>
  <c r="X747" i="12"/>
  <c r="X751" i="12"/>
  <c r="X755" i="12"/>
  <c r="X759" i="12"/>
  <c r="X763" i="12"/>
  <c r="X764" i="12"/>
  <c r="X767" i="12"/>
  <c r="X771" i="12"/>
  <c r="X775" i="12"/>
  <c r="X779" i="12"/>
  <c r="X783" i="12"/>
  <c r="X787" i="12"/>
  <c r="X791" i="12"/>
  <c r="X794" i="12"/>
  <c r="X795" i="12"/>
  <c r="X799" i="12"/>
  <c r="X803" i="12"/>
  <c r="X807" i="12"/>
  <c r="X811" i="12"/>
  <c r="X812" i="12"/>
  <c r="X815" i="12"/>
  <c r="X819" i="12"/>
  <c r="X823" i="12"/>
  <c r="X827" i="12"/>
  <c r="X830" i="12"/>
  <c r="X831" i="12"/>
  <c r="X835" i="12"/>
  <c r="X839" i="12"/>
  <c r="X843" i="12"/>
  <c r="X847" i="12"/>
  <c r="X851" i="12"/>
  <c r="X854" i="12"/>
  <c r="X855" i="12"/>
  <c r="X859" i="12"/>
  <c r="X860" i="12"/>
  <c r="X863" i="12"/>
  <c r="X867" i="12"/>
  <c r="X871" i="12"/>
  <c r="X875" i="12"/>
  <c r="X879" i="12"/>
  <c r="X883" i="12"/>
  <c r="X887" i="12"/>
  <c r="X890" i="12"/>
  <c r="X891" i="12"/>
  <c r="X895" i="12"/>
  <c r="X896" i="12"/>
  <c r="X899" i="12"/>
  <c r="X903" i="12"/>
  <c r="X907" i="12"/>
  <c r="X911" i="12"/>
  <c r="X915" i="12"/>
  <c r="X919" i="12"/>
  <c r="X923" i="12"/>
  <c r="X926" i="12"/>
  <c r="X927" i="12"/>
  <c r="X931" i="12"/>
  <c r="X932" i="12"/>
  <c r="X935" i="12"/>
  <c r="X939" i="12"/>
  <c r="X943" i="12"/>
  <c r="X947" i="12"/>
  <c r="X951" i="12"/>
  <c r="X955" i="12"/>
  <c r="X959" i="12"/>
  <c r="X963" i="12"/>
  <c r="X967" i="12"/>
  <c r="X968" i="12"/>
  <c r="X971" i="12"/>
  <c r="X974" i="12"/>
  <c r="X975" i="12"/>
  <c r="X979" i="12"/>
  <c r="X983" i="12"/>
  <c r="X987" i="12"/>
  <c r="X991" i="12"/>
  <c r="X995" i="12"/>
  <c r="X998" i="12"/>
  <c r="X999" i="12"/>
  <c r="X1003" i="12"/>
  <c r="X1004" i="12"/>
  <c r="X1007" i="12"/>
  <c r="X1010" i="12"/>
  <c r="X1011" i="12"/>
  <c r="X1015" i="12"/>
  <c r="X1019" i="12"/>
  <c r="X1023" i="12"/>
  <c r="X1027" i="12"/>
  <c r="X1031" i="12"/>
  <c r="X1035" i="12"/>
  <c r="X1039" i="12"/>
  <c r="X1043" i="12"/>
  <c r="X1047" i="12"/>
  <c r="X1051" i="12"/>
  <c r="X1055" i="12"/>
  <c r="X1059" i="12"/>
  <c r="X1063" i="12"/>
  <c r="X1067" i="12"/>
  <c r="X1071" i="12"/>
  <c r="X1075" i="12"/>
  <c r="X1079" i="12"/>
  <c r="X1083" i="12"/>
  <c r="X1087" i="12"/>
  <c r="X1091" i="12"/>
  <c r="X1095" i="12"/>
  <c r="X1099" i="12"/>
  <c r="X1103" i="12"/>
  <c r="X1107" i="12"/>
  <c r="X1111" i="12"/>
  <c r="X1115" i="12"/>
  <c r="X1119" i="12"/>
  <c r="X1123" i="12"/>
  <c r="X1127" i="12"/>
  <c r="X1131" i="12"/>
  <c r="X1135" i="12"/>
  <c r="X1139" i="12"/>
  <c r="X1143" i="12"/>
  <c r="X1147" i="12"/>
  <c r="X1151" i="12"/>
  <c r="X1155" i="12"/>
  <c r="X1159" i="12"/>
  <c r="X1163" i="12"/>
  <c r="X1167" i="12"/>
  <c r="X1171" i="12"/>
  <c r="X1175" i="12"/>
  <c r="X1179" i="12"/>
  <c r="X1183" i="12"/>
  <c r="X1187" i="12"/>
  <c r="X1191" i="12"/>
  <c r="X1195" i="12"/>
  <c r="X1199" i="12"/>
  <c r="X1203" i="12"/>
  <c r="X1207" i="12"/>
  <c r="X1211" i="12"/>
  <c r="X1215" i="12"/>
  <c r="X1219" i="12"/>
  <c r="X1223" i="12"/>
  <c r="X1227" i="12"/>
  <c r="X1231" i="12"/>
  <c r="X1235" i="12"/>
  <c r="X1239" i="12"/>
  <c r="X1243" i="12"/>
  <c r="X1247" i="12"/>
  <c r="X1251" i="12"/>
  <c r="X1255" i="12"/>
  <c r="X1259" i="12"/>
  <c r="X1263" i="12"/>
  <c r="X1267" i="12"/>
  <c r="X1271" i="12"/>
  <c r="X1275" i="12"/>
  <c r="X1279" i="12"/>
  <c r="X1283" i="12"/>
  <c r="X1287" i="12"/>
  <c r="X1288" i="12"/>
  <c r="X1291" i="12"/>
  <c r="X1295" i="12"/>
  <c r="X1299" i="12"/>
  <c r="X1303" i="12"/>
  <c r="X1307" i="12"/>
  <c r="X1311" i="12"/>
  <c r="X1315" i="12"/>
  <c r="X1319" i="12"/>
  <c r="X1323" i="12"/>
  <c r="X1327" i="12"/>
  <c r="X1331" i="12"/>
  <c r="X1335" i="12"/>
  <c r="X1339" i="12"/>
  <c r="X1343" i="12"/>
  <c r="X1347" i="12"/>
  <c r="X1351" i="12"/>
  <c r="X1355" i="12"/>
  <c r="X1359" i="12"/>
  <c r="X1363" i="12"/>
  <c r="X1367" i="12"/>
  <c r="X1371" i="12"/>
  <c r="X1375" i="12"/>
  <c r="X1379" i="12"/>
  <c r="X1383" i="12"/>
  <c r="X1387" i="12"/>
  <c r="X1391" i="12"/>
  <c r="X1395" i="12"/>
  <c r="X1396" i="12"/>
  <c r="X1399" i="12"/>
  <c r="X1403" i="12"/>
  <c r="X1407" i="12"/>
  <c r="X1411" i="12"/>
  <c r="X1415" i="12"/>
  <c r="X1419" i="12"/>
  <c r="X1423" i="12"/>
  <c r="X1427" i="12"/>
  <c r="X1431" i="12"/>
  <c r="X1435" i="12"/>
  <c r="X1439" i="12"/>
  <c r="X1443" i="12"/>
  <c r="X1447" i="12"/>
  <c r="X1451" i="12"/>
  <c r="X1455" i="12"/>
  <c r="X1459" i="12"/>
  <c r="X1463" i="12"/>
  <c r="X1467" i="12"/>
  <c r="X1471" i="12"/>
  <c r="X1475" i="12"/>
  <c r="X1479" i="12"/>
  <c r="X1483" i="12"/>
  <c r="X1487" i="12"/>
  <c r="X1491" i="12"/>
  <c r="X1495" i="12"/>
  <c r="X1499" i="12"/>
  <c r="X1503" i="12"/>
  <c r="X1507" i="12"/>
  <c r="X1511" i="12"/>
  <c r="X1515" i="12"/>
  <c r="X1519" i="12"/>
  <c r="X1523" i="12"/>
  <c r="X1527" i="12"/>
  <c r="X1531" i="12"/>
  <c r="X1535" i="12"/>
  <c r="X1539" i="12"/>
  <c r="X1543" i="12"/>
  <c r="X1547" i="12"/>
  <c r="X1551" i="12"/>
  <c r="X1555" i="12"/>
  <c r="X1559" i="12"/>
  <c r="X1563" i="12"/>
  <c r="X1567" i="12"/>
  <c r="X1571" i="12"/>
  <c r="X1575" i="12"/>
  <c r="X1579" i="12"/>
  <c r="X1583" i="12"/>
  <c r="X1587" i="12"/>
  <c r="X1591" i="12"/>
  <c r="X1595" i="12"/>
  <c r="X1599" i="12"/>
  <c r="X1603" i="12"/>
  <c r="X1607" i="12"/>
  <c r="X1611" i="12"/>
  <c r="X1615" i="12"/>
  <c r="X1619" i="12"/>
  <c r="X1623" i="12"/>
  <c r="X1627" i="12"/>
  <c r="X1631" i="12"/>
  <c r="X1635" i="12"/>
  <c r="X1639" i="12"/>
  <c r="X1643" i="12"/>
  <c r="X1647" i="12"/>
  <c r="X1651" i="12"/>
  <c r="X1655" i="12"/>
  <c r="X1659" i="12"/>
  <c r="X1663" i="12"/>
  <c r="X1667" i="12"/>
  <c r="X1671" i="12"/>
  <c r="X1675" i="12"/>
  <c r="X1679" i="12"/>
  <c r="X1683" i="12"/>
  <c r="X1687" i="12"/>
  <c r="X1691" i="12"/>
  <c r="X1695" i="12"/>
  <c r="X1699" i="12"/>
  <c r="X1703" i="12"/>
  <c r="X1707" i="12"/>
  <c r="X1710" i="12"/>
  <c r="X1711" i="12"/>
  <c r="X1712" i="12"/>
  <c r="X1715" i="12"/>
  <c r="X1719" i="12"/>
  <c r="X1723" i="12"/>
  <c r="X1727" i="12"/>
  <c r="X1731" i="12"/>
  <c r="X1735" i="12"/>
  <c r="X1739" i="12"/>
  <c r="X1743" i="12"/>
  <c r="X1747" i="12"/>
  <c r="X1751" i="12"/>
  <c r="X1755" i="12"/>
  <c r="X1759" i="12"/>
  <c r="X1763" i="12"/>
  <c r="X1767" i="12"/>
  <c r="X1771" i="12"/>
  <c r="X1775" i="12"/>
  <c r="X1779" i="12"/>
  <c r="X1783" i="12"/>
  <c r="X1787" i="12"/>
  <c r="X1791" i="12"/>
  <c r="X1795" i="12"/>
  <c r="X1799" i="12"/>
  <c r="X1803" i="12"/>
  <c r="X1807" i="12"/>
  <c r="X1811" i="12"/>
  <c r="X1815" i="12"/>
  <c r="X1819" i="12"/>
  <c r="X1823" i="12"/>
  <c r="X1827" i="12"/>
  <c r="X1831" i="12"/>
  <c r="X1835" i="12"/>
  <c r="X1839" i="12"/>
  <c r="X1843" i="12"/>
  <c r="X1847" i="12"/>
  <c r="X1851" i="12"/>
  <c r="X1855" i="12"/>
  <c r="X1859" i="12"/>
  <c r="X1863" i="12"/>
  <c r="X1867" i="12"/>
  <c r="X1871" i="12"/>
  <c r="X1875" i="12"/>
  <c r="X1879" i="12"/>
  <c r="X1883" i="12"/>
  <c r="X1887" i="12"/>
  <c r="X1891" i="12"/>
  <c r="X1895" i="12"/>
  <c r="X1899" i="12"/>
  <c r="X1903" i="12"/>
  <c r="X1907" i="12"/>
  <c r="X1911" i="12"/>
  <c r="X1915" i="12"/>
  <c r="X1919" i="12"/>
  <c r="X1923" i="12"/>
  <c r="X1927" i="12"/>
  <c r="X1931" i="12"/>
  <c r="X1935" i="12"/>
  <c r="X1939" i="12"/>
  <c r="X1943" i="12"/>
  <c r="X1947" i="12"/>
  <c r="X1951" i="12"/>
  <c r="X1955" i="12"/>
  <c r="X1959" i="12"/>
  <c r="X1963" i="12"/>
  <c r="X1967" i="12"/>
  <c r="X1971" i="12"/>
  <c r="X1975" i="12"/>
  <c r="X1979" i="12"/>
  <c r="X1983" i="12"/>
  <c r="X1987" i="12"/>
  <c r="X1991" i="12"/>
  <c r="X1995" i="12"/>
  <c r="X1999" i="12"/>
  <c r="X1981" i="12" l="1"/>
  <c r="X1873" i="12"/>
  <c r="X1765" i="12"/>
  <c r="X1489" i="12"/>
  <c r="X1297" i="12"/>
  <c r="X1261" i="12"/>
  <c r="X13" i="12"/>
  <c r="X1957" i="12"/>
  <c r="X1861" i="12"/>
  <c r="X1753" i="12"/>
  <c r="X1585" i="12"/>
  <c r="X1345" i="12"/>
  <c r="X1921" i="12"/>
  <c r="X1813" i="12"/>
  <c r="X1693" i="12"/>
  <c r="X1549" i="12"/>
  <c r="X1994" i="12"/>
  <c r="X1982" i="12"/>
  <c r="X1970" i="12"/>
  <c r="X1958" i="12"/>
  <c r="X1946" i="12"/>
  <c r="X1934" i="12"/>
  <c r="X1922" i="12"/>
  <c r="X1910" i="12"/>
  <c r="X1898" i="12"/>
  <c r="X1886" i="12"/>
  <c r="X1874" i="12"/>
  <c r="X1862" i="12"/>
  <c r="X1850" i="12"/>
  <c r="X1838" i="12"/>
  <c r="X1826" i="12"/>
  <c r="X1814" i="12"/>
  <c r="X1802" i="12"/>
  <c r="X1790" i="12"/>
  <c r="X1778" i="12"/>
  <c r="X1766" i="12"/>
  <c r="X1754" i="12"/>
  <c r="X1742" i="12"/>
  <c r="X1730" i="12"/>
  <c r="X1718" i="12"/>
  <c r="X1706" i="12"/>
  <c r="X1694" i="12"/>
  <c r="X1682" i="12"/>
  <c r="X1670" i="12"/>
  <c r="X1658" i="12"/>
  <c r="X1646" i="12"/>
  <c r="X1634" i="12"/>
  <c r="X1622" i="12"/>
  <c r="X1610" i="12"/>
  <c r="X1598" i="12"/>
  <c r="X1586" i="12"/>
  <c r="X1574" i="12"/>
  <c r="X1562" i="12"/>
  <c r="X1550" i="12"/>
  <c r="X1538" i="12"/>
  <c r="X1526" i="12"/>
  <c r="X1514" i="12"/>
  <c r="X1502" i="12"/>
  <c r="X1490" i="12"/>
  <c r="X1478" i="12"/>
  <c r="X1466" i="12"/>
  <c r="X1454" i="12"/>
  <c r="X1442" i="12"/>
  <c r="X1430" i="12"/>
  <c r="X1418" i="12"/>
  <c r="X1406" i="12"/>
  <c r="X1394" i="12"/>
  <c r="X1382" i="12"/>
  <c r="X1370" i="12"/>
  <c r="X1358" i="12"/>
  <c r="X1346" i="12"/>
  <c r="X1334" i="12"/>
  <c r="X1909" i="12"/>
  <c r="X1801" i="12"/>
  <c r="X1657" i="12"/>
  <c r="X1441" i="12"/>
  <c r="X1993" i="12"/>
  <c r="X1837" i="12"/>
  <c r="X1717" i="12"/>
  <c r="X1945" i="12"/>
  <c r="X1789" i="12"/>
  <c r="X1513" i="12"/>
  <c r="X1897" i="12"/>
  <c r="X1969" i="12"/>
  <c r="X1849" i="12"/>
  <c r="X1933" i="12"/>
  <c r="X1825" i="12"/>
  <c r="X1729" i="12"/>
  <c r="X1885" i="12"/>
  <c r="X1777" i="12"/>
  <c r="X1741" i="12"/>
  <c r="X1322" i="12"/>
  <c r="X1310" i="12"/>
  <c r="X1298" i="12"/>
  <c r="X1286" i="12"/>
  <c r="X1274" i="12"/>
  <c r="X1262" i="12"/>
  <c r="X1250" i="12"/>
  <c r="X1238" i="12"/>
  <c r="X1226" i="12"/>
  <c r="X1214" i="12"/>
  <c r="X1202" i="12"/>
  <c r="X1190" i="12"/>
  <c r="X1178" i="12"/>
  <c r="X1166" i="12"/>
  <c r="X1154" i="12"/>
  <c r="X1142" i="12"/>
  <c r="X1130" i="12"/>
  <c r="X1118" i="12"/>
  <c r="X1106" i="12"/>
  <c r="X1094" i="12"/>
  <c r="X1082" i="12"/>
  <c r="X1070" i="12"/>
  <c r="X1058" i="12"/>
  <c r="X1046" i="12"/>
  <c r="X1034" i="12"/>
  <c r="X1022" i="12"/>
  <c r="X986" i="12"/>
  <c r="X962" i="12"/>
  <c r="X950" i="12"/>
  <c r="X938" i="12"/>
  <c r="X914" i="12"/>
  <c r="X902" i="12"/>
  <c r="X878" i="12"/>
  <c r="X866" i="12"/>
  <c r="X842" i="12"/>
  <c r="X818" i="12"/>
  <c r="X806" i="12"/>
  <c r="X782" i="12"/>
  <c r="X770" i="12"/>
  <c r="X758" i="12"/>
  <c r="X746" i="12"/>
  <c r="X734" i="12"/>
  <c r="X722" i="12"/>
  <c r="X710" i="12"/>
  <c r="X698" i="12"/>
  <c r="X686" i="12"/>
  <c r="X674" i="12"/>
  <c r="X662" i="12"/>
  <c r="X638" i="12"/>
  <c r="X626" i="12"/>
  <c r="X614" i="12"/>
  <c r="X602" i="12"/>
  <c r="X590" i="12"/>
  <c r="X566" i="12"/>
  <c r="X554" i="12"/>
  <c r="X530" i="12"/>
  <c r="X518" i="12"/>
  <c r="X494" i="12"/>
  <c r="X482" i="12"/>
  <c r="X470" i="12"/>
  <c r="X446" i="12"/>
  <c r="X422" i="12"/>
  <c r="X410" i="12"/>
  <c r="X386" i="12"/>
  <c r="X374" i="12"/>
  <c r="X350" i="12"/>
  <c r="X338" i="12"/>
  <c r="X326" i="12"/>
  <c r="X302" i="12"/>
  <c r="X278" i="12"/>
  <c r="X266" i="12"/>
  <c r="X242" i="12"/>
  <c r="X230" i="12"/>
  <c r="X206" i="12"/>
  <c r="X194" i="12"/>
  <c r="X182" i="12"/>
  <c r="X158" i="12"/>
  <c r="X134" i="12"/>
  <c r="X122" i="12"/>
  <c r="X98" i="12"/>
  <c r="X86" i="12"/>
  <c r="X62" i="12"/>
  <c r="X50" i="12"/>
  <c r="X38" i="12"/>
  <c r="X14" i="12"/>
  <c r="X1032" i="12"/>
  <c r="X2000" i="12"/>
  <c r="X1988" i="12"/>
  <c r="X1976" i="12"/>
  <c r="X1964" i="12"/>
  <c r="X1952" i="12"/>
  <c r="X1940" i="12"/>
  <c r="X1928" i="12"/>
  <c r="X1916" i="12"/>
  <c r="X1904" i="12"/>
  <c r="X1892" i="12"/>
  <c r="X1880" i="12"/>
  <c r="X1868" i="12"/>
  <c r="X1856" i="12"/>
  <c r="X1844" i="12"/>
  <c r="X1832" i="12"/>
  <c r="X1820" i="12"/>
  <c r="X1808" i="12"/>
  <c r="X1796" i="12"/>
  <c r="X1784" i="12"/>
  <c r="X1772" i="12"/>
  <c r="X1760" i="12"/>
  <c r="X1748" i="12"/>
  <c r="X1736" i="12"/>
  <c r="X1724" i="12"/>
  <c r="X1448" i="12"/>
  <c r="X1436" i="12"/>
  <c r="X788" i="12"/>
  <c r="X776" i="12"/>
  <c r="X752" i="12"/>
  <c r="X728" i="12"/>
  <c r="X716" i="12"/>
  <c r="X1645" i="12"/>
  <c r="X1561" i="12"/>
  <c r="X1453" i="12"/>
  <c r="X1357" i="12"/>
  <c r="X1501" i="12"/>
  <c r="X1393" i="12"/>
  <c r="X1609" i="12"/>
  <c r="X1333" i="12"/>
  <c r="X1537" i="12"/>
  <c r="X1417" i="12"/>
  <c r="X1273" i="12"/>
  <c r="X1621" i="12"/>
  <c r="X1525" i="12"/>
  <c r="X1429" i="12"/>
  <c r="X1381" i="12"/>
  <c r="X1285" i="12"/>
  <c r="X1705" i="12"/>
  <c r="X1597" i="12"/>
  <c r="X1465" i="12"/>
  <c r="X1309" i="12"/>
  <c r="X1669" i="12"/>
  <c r="X1321" i="12"/>
  <c r="X1681" i="12"/>
  <c r="X1573" i="12"/>
  <c r="X1477" i="12"/>
  <c r="X996" i="12"/>
  <c r="X972" i="12"/>
  <c r="X948" i="12"/>
  <c r="X936" i="12"/>
  <c r="X924" i="12"/>
  <c r="X912" i="12"/>
  <c r="X900" i="12"/>
  <c r="X888" i="12"/>
  <c r="X876" i="12"/>
  <c r="X864" i="12"/>
  <c r="X852" i="12"/>
  <c r="X840" i="12"/>
  <c r="X816" i="12"/>
  <c r="X792" i="12"/>
  <c r="X780" i="12"/>
  <c r="X1980" i="12"/>
  <c r="X1956" i="12"/>
  <c r="X1932" i="12"/>
  <c r="X1908" i="12"/>
  <c r="X1884" i="12"/>
  <c r="X1860" i="12"/>
  <c r="X1836" i="12"/>
  <c r="X1812" i="12"/>
  <c r="X1788" i="12"/>
  <c r="X1764" i="12"/>
  <c r="X1740" i="12"/>
  <c r="X1716" i="12"/>
  <c r="X1692" i="12"/>
  <c r="X1668" i="12"/>
  <c r="X1644" i="12"/>
  <c r="X1620" i="12"/>
  <c r="X1596" i="12"/>
  <c r="X1572" i="12"/>
  <c r="X1560" i="12"/>
  <c r="X1536" i="12"/>
  <c r="X1512" i="12"/>
  <c r="X1488" i="12"/>
  <c r="X1464" i="12"/>
  <c r="X1440" i="12"/>
  <c r="X1416" i="12"/>
  <c r="X1392" i="12"/>
  <c r="X1368" i="12"/>
  <c r="X1344" i="12"/>
  <c r="X1320" i="12"/>
  <c r="X1296" i="12"/>
  <c r="X1272" i="12"/>
  <c r="X1248" i="12"/>
  <c r="X1224" i="12"/>
  <c r="X1188" i="12"/>
  <c r="X1164" i="12"/>
  <c r="X1140" i="12"/>
  <c r="X1116" i="12"/>
  <c r="X1092" i="12"/>
  <c r="X1068" i="12"/>
  <c r="X1044" i="12"/>
  <c r="X1008" i="12"/>
  <c r="X960" i="12"/>
  <c r="X804" i="12"/>
  <c r="X1992" i="12"/>
  <c r="X1968" i="12"/>
  <c r="X1944" i="12"/>
  <c r="X1920" i="12"/>
  <c r="X1896" i="12"/>
  <c r="X1872" i="12"/>
  <c r="X1848" i="12"/>
  <c r="X1824" i="12"/>
  <c r="X1800" i="12"/>
  <c r="X1776" i="12"/>
  <c r="X1752" i="12"/>
  <c r="X1728" i="12"/>
  <c r="X1704" i="12"/>
  <c r="X1680" i="12"/>
  <c r="X1656" i="12"/>
  <c r="X1632" i="12"/>
  <c r="X1608" i="12"/>
  <c r="X1584" i="12"/>
  <c r="X1548" i="12"/>
  <c r="X1524" i="12"/>
  <c r="X1500" i="12"/>
  <c r="X1476" i="12"/>
  <c r="X1452" i="12"/>
  <c r="X1428" i="12"/>
  <c r="X1404" i="12"/>
  <c r="X1380" i="12"/>
  <c r="X1356" i="12"/>
  <c r="X1332" i="12"/>
  <c r="X1308" i="12"/>
  <c r="X1284" i="12"/>
  <c r="X1260" i="12"/>
  <c r="X1236" i="12"/>
  <c r="X1212" i="12"/>
  <c r="X1200" i="12"/>
  <c r="X1176" i="12"/>
  <c r="X1152" i="12"/>
  <c r="X1128" i="12"/>
  <c r="X1104" i="12"/>
  <c r="X1080" i="12"/>
  <c r="X1056" i="12"/>
  <c r="X1020" i="12"/>
  <c r="X984" i="12"/>
  <c r="X828" i="12"/>
  <c r="X696" i="12"/>
  <c r="X660" i="12"/>
  <c r="X624" i="12"/>
  <c r="X588" i="12"/>
  <c r="X552" i="12"/>
  <c r="X516" i="12"/>
  <c r="X480" i="12"/>
  <c r="X444" i="12"/>
  <c r="X408" i="12"/>
  <c r="X372" i="12"/>
  <c r="X336" i="12"/>
  <c r="X312" i="12"/>
  <c r="X276" i="12"/>
  <c r="X228" i="12"/>
  <c r="X192" i="12"/>
  <c r="X156" i="12"/>
  <c r="X120" i="12"/>
  <c r="X84" i="12"/>
  <c r="X48" i="12"/>
  <c r="X12" i="12"/>
  <c r="X1700" i="12"/>
  <c r="X1664" i="12"/>
  <c r="X1640" i="12"/>
  <c r="X1628" i="12"/>
  <c r="X1616" i="12"/>
  <c r="X1604" i="12"/>
  <c r="X1592" i="12"/>
  <c r="X1580" i="12"/>
  <c r="X1568" i="12"/>
  <c r="X1556" i="12"/>
  <c r="X1544" i="12"/>
  <c r="X1532" i="12"/>
  <c r="X1520" i="12"/>
  <c r="X1508" i="12"/>
  <c r="X1496" i="12"/>
  <c r="X1484" i="12"/>
  <c r="X1472" i="12"/>
  <c r="X1460" i="12"/>
  <c r="X1424" i="12"/>
  <c r="X1412" i="12"/>
  <c r="X1400" i="12"/>
  <c r="X1388" i="12"/>
  <c r="X1376" i="12"/>
  <c r="X1364" i="12"/>
  <c r="X1352" i="12"/>
  <c r="X1340" i="12"/>
  <c r="X1328" i="12"/>
  <c r="X1316" i="12"/>
  <c r="X1304" i="12"/>
  <c r="X1292" i="12"/>
  <c r="X1280" i="12"/>
  <c r="X1268" i="12"/>
  <c r="X1256" i="12"/>
  <c r="X1244" i="12"/>
  <c r="X1232" i="12"/>
  <c r="X1220" i="12"/>
  <c r="X1208" i="12"/>
  <c r="X1196" i="12"/>
  <c r="X1184" i="12"/>
  <c r="X1172" i="12"/>
  <c r="X1160" i="12"/>
  <c r="X1148" i="12"/>
  <c r="X1136" i="12"/>
  <c r="X1124" i="12"/>
  <c r="X1112" i="12"/>
  <c r="X1100" i="12"/>
  <c r="X1088" i="12"/>
  <c r="X1076" i="12"/>
  <c r="X1064" i="12"/>
  <c r="X1052" i="12"/>
  <c r="X1040" i="12"/>
  <c r="X1028" i="12"/>
  <c r="X1016" i="12"/>
  <c r="X992" i="12"/>
  <c r="X980" i="12"/>
  <c r="X956" i="12"/>
  <c r="X944" i="12"/>
  <c r="X920" i="12"/>
  <c r="X908" i="12"/>
  <c r="X884" i="12"/>
  <c r="X872" i="12"/>
  <c r="X848" i="12"/>
  <c r="X836" i="12"/>
  <c r="X824" i="12"/>
  <c r="X800" i="12"/>
  <c r="X768" i="12"/>
  <c r="X744" i="12"/>
  <c r="X720" i="12"/>
  <c r="X684" i="12"/>
  <c r="X648" i="12"/>
  <c r="X612" i="12"/>
  <c r="X576" i="12"/>
  <c r="X540" i="12"/>
  <c r="X504" i="12"/>
  <c r="X468" i="12"/>
  <c r="X432" i="12"/>
  <c r="X396" i="12"/>
  <c r="X360" i="12"/>
  <c r="X324" i="12"/>
  <c r="X288" i="12"/>
  <c r="X252" i="12"/>
  <c r="X216" i="12"/>
  <c r="X180" i="12"/>
  <c r="X144" i="12"/>
  <c r="X108" i="12"/>
  <c r="X72" i="12"/>
  <c r="X36" i="12"/>
  <c r="X1676" i="12"/>
  <c r="X756" i="12"/>
  <c r="X732" i="12"/>
  <c r="X708" i="12"/>
  <c r="X672" i="12"/>
  <c r="X636" i="12"/>
  <c r="X600" i="12"/>
  <c r="X564" i="12"/>
  <c r="X528" i="12"/>
  <c r="X492" i="12"/>
  <c r="X456" i="12"/>
  <c r="X420" i="12"/>
  <c r="X384" i="12"/>
  <c r="X348" i="12"/>
  <c r="X300" i="12"/>
  <c r="X264" i="12"/>
  <c r="X240" i="12"/>
  <c r="X204" i="12"/>
  <c r="X168" i="12"/>
  <c r="X132" i="12"/>
  <c r="X96" i="12"/>
  <c r="X60" i="12"/>
  <c r="X24" i="12"/>
  <c r="X1688" i="12"/>
  <c r="X1652" i="12"/>
  <c r="S2" i="14"/>
  <c r="S3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S58" i="14"/>
  <c r="S59" i="14"/>
  <c r="S60" i="14"/>
  <c r="S61" i="14"/>
  <c r="S62" i="14"/>
  <c r="S63" i="14"/>
  <c r="S64" i="14"/>
  <c r="S65" i="14"/>
  <c r="S66" i="14"/>
  <c r="S67" i="14"/>
  <c r="S68" i="14"/>
  <c r="S69" i="14"/>
  <c r="S70" i="14"/>
  <c r="S71" i="14"/>
  <c r="S72" i="14"/>
  <c r="S73" i="14"/>
  <c r="S74" i="14"/>
  <c r="S75" i="14"/>
  <c r="S76" i="14"/>
  <c r="S77" i="14"/>
  <c r="S78" i="14"/>
  <c r="S79" i="14"/>
  <c r="S80" i="14"/>
  <c r="S81" i="14"/>
  <c r="S82" i="14"/>
  <c r="S83" i="14"/>
  <c r="S84" i="14"/>
  <c r="S85" i="14"/>
  <c r="S86" i="14"/>
  <c r="S87" i="14"/>
  <c r="S88" i="14"/>
  <c r="S89" i="14"/>
  <c r="S90" i="14"/>
  <c r="S91" i="14"/>
  <c r="S92" i="14"/>
  <c r="S93" i="14"/>
  <c r="S94" i="14"/>
  <c r="S95" i="14"/>
  <c r="S96" i="14"/>
  <c r="S97" i="14"/>
  <c r="S98" i="14"/>
  <c r="S99" i="14"/>
  <c r="S100" i="14"/>
  <c r="S101" i="14"/>
  <c r="S102" i="14"/>
  <c r="S103" i="14"/>
  <c r="S104" i="14"/>
  <c r="S105" i="14"/>
  <c r="S106" i="14"/>
  <c r="S107" i="14"/>
  <c r="S108" i="14"/>
  <c r="S109" i="14"/>
  <c r="S110" i="14"/>
  <c r="S111" i="14"/>
  <c r="S112" i="14"/>
  <c r="S113" i="14"/>
  <c r="S114" i="14"/>
  <c r="S115" i="14"/>
  <c r="S116" i="14"/>
  <c r="S117" i="14"/>
  <c r="S118" i="14"/>
  <c r="S119" i="14"/>
  <c r="S120" i="14"/>
  <c r="S121" i="14"/>
  <c r="S122" i="14"/>
  <c r="S123" i="14"/>
  <c r="S124" i="14"/>
  <c r="S125" i="14"/>
  <c r="S126" i="14"/>
  <c r="S127" i="14"/>
  <c r="S128" i="14"/>
  <c r="S129" i="14"/>
  <c r="S130" i="14"/>
  <c r="S131" i="14"/>
  <c r="S132" i="14"/>
  <c r="S133" i="14"/>
  <c r="S134" i="14"/>
  <c r="S135" i="14"/>
  <c r="S136" i="14"/>
  <c r="S137" i="14"/>
  <c r="S138" i="14"/>
  <c r="S139" i="14"/>
  <c r="S140" i="14"/>
  <c r="S141" i="14"/>
  <c r="S142" i="14"/>
  <c r="S143" i="14"/>
  <c r="S144" i="14"/>
  <c r="S145" i="14"/>
  <c r="S146" i="14"/>
  <c r="S147" i="14"/>
  <c r="S148" i="14"/>
  <c r="S149" i="14"/>
  <c r="S150" i="14"/>
  <c r="S151" i="14"/>
  <c r="S152" i="14"/>
  <c r="S153" i="14"/>
  <c r="S154" i="14"/>
  <c r="S155" i="14"/>
  <c r="S156" i="14"/>
  <c r="S157" i="14"/>
  <c r="S158" i="14"/>
  <c r="S159" i="14"/>
  <c r="S160" i="14"/>
  <c r="S161" i="14"/>
  <c r="S162" i="14"/>
  <c r="S163" i="14"/>
  <c r="S164" i="14"/>
  <c r="S165" i="14"/>
  <c r="S166" i="14"/>
  <c r="S167" i="14"/>
  <c r="S168" i="14"/>
  <c r="S169" i="14"/>
  <c r="S170" i="14"/>
  <c r="S171" i="14"/>
  <c r="S172" i="14"/>
  <c r="S173" i="14"/>
  <c r="S174" i="14"/>
  <c r="S175" i="14"/>
  <c r="S176" i="14"/>
  <c r="S177" i="14"/>
  <c r="S178" i="14"/>
  <c r="S179" i="14"/>
  <c r="S180" i="14"/>
  <c r="S181" i="14"/>
  <c r="S182" i="14"/>
  <c r="S183" i="14"/>
  <c r="S184" i="14"/>
  <c r="S185" i="14"/>
  <c r="S186" i="14"/>
  <c r="S187" i="14"/>
  <c r="S188" i="14"/>
  <c r="S189" i="14"/>
  <c r="S190" i="14"/>
  <c r="S191" i="14"/>
  <c r="S192" i="14"/>
  <c r="S193" i="14"/>
  <c r="S194" i="14"/>
  <c r="S195" i="14"/>
  <c r="S196" i="14"/>
  <c r="S197" i="14"/>
  <c r="S198" i="14"/>
  <c r="S199" i="14"/>
  <c r="S200" i="14"/>
  <c r="S201" i="14"/>
  <c r="S202" i="14"/>
  <c r="S203" i="14"/>
  <c r="S204" i="14"/>
  <c r="S205" i="14"/>
  <c r="S206" i="14"/>
  <c r="S207" i="14"/>
  <c r="S208" i="14"/>
  <c r="S209" i="14"/>
  <c r="S210" i="14"/>
  <c r="S211" i="14"/>
  <c r="S212" i="14"/>
  <c r="S213" i="14"/>
  <c r="S214" i="14"/>
  <c r="S215" i="14"/>
  <c r="S216" i="14"/>
  <c r="S217" i="14"/>
  <c r="S218" i="14"/>
  <c r="S219" i="14"/>
  <c r="S220" i="14"/>
  <c r="S221" i="14"/>
  <c r="S222" i="14"/>
  <c r="S223" i="14"/>
  <c r="S224" i="14"/>
  <c r="S225" i="14"/>
  <c r="S226" i="14"/>
  <c r="S227" i="14"/>
  <c r="S228" i="14"/>
  <c r="S229" i="14"/>
  <c r="S230" i="14"/>
  <c r="S231" i="14"/>
  <c r="S232" i="14"/>
  <c r="S233" i="14"/>
  <c r="S234" i="14"/>
  <c r="S235" i="14"/>
  <c r="S236" i="14"/>
  <c r="S237" i="14"/>
  <c r="S238" i="14"/>
  <c r="S239" i="14"/>
  <c r="S240" i="14"/>
  <c r="S241" i="14"/>
  <c r="S242" i="14"/>
  <c r="S243" i="14"/>
  <c r="S244" i="14"/>
  <c r="S245" i="14"/>
  <c r="S246" i="14"/>
  <c r="S247" i="14"/>
  <c r="S248" i="14"/>
  <c r="S249" i="14"/>
  <c r="S250" i="14"/>
  <c r="S251" i="14"/>
  <c r="S252" i="14"/>
  <c r="S253" i="14"/>
  <c r="S254" i="14"/>
  <c r="S255" i="14"/>
  <c r="S256" i="14"/>
  <c r="S257" i="14"/>
  <c r="S258" i="14"/>
  <c r="S259" i="14"/>
  <c r="S260" i="14"/>
  <c r="S261" i="14"/>
  <c r="S262" i="14"/>
  <c r="S263" i="14"/>
  <c r="S264" i="14"/>
  <c r="S265" i="14"/>
  <c r="S266" i="14"/>
  <c r="S267" i="14"/>
  <c r="S268" i="14"/>
  <c r="S269" i="14"/>
  <c r="S270" i="14"/>
  <c r="S271" i="14"/>
  <c r="S272" i="14"/>
  <c r="S273" i="14"/>
  <c r="S274" i="14"/>
  <c r="S275" i="14"/>
  <c r="S276" i="14"/>
  <c r="S277" i="14"/>
  <c r="S278" i="14"/>
  <c r="S279" i="14"/>
  <c r="S280" i="14"/>
  <c r="S281" i="14"/>
  <c r="S282" i="14"/>
  <c r="S283" i="14"/>
  <c r="S284" i="14"/>
  <c r="S285" i="14"/>
  <c r="S286" i="14"/>
  <c r="S287" i="14"/>
  <c r="S288" i="14"/>
  <c r="S289" i="14"/>
  <c r="S290" i="14"/>
  <c r="S291" i="14"/>
  <c r="S292" i="14"/>
  <c r="S293" i="14"/>
  <c r="S294" i="14"/>
  <c r="S295" i="14"/>
  <c r="S296" i="14"/>
  <c r="S297" i="14"/>
  <c r="S298" i="14"/>
  <c r="S299" i="14"/>
  <c r="S300" i="14"/>
  <c r="S301" i="14"/>
  <c r="S302" i="14"/>
  <c r="S303" i="14"/>
  <c r="S304" i="14"/>
  <c r="S305" i="14"/>
  <c r="S306" i="14"/>
  <c r="S307" i="14"/>
  <c r="S308" i="14"/>
  <c r="S309" i="14"/>
  <c r="S310" i="14"/>
  <c r="S311" i="14"/>
  <c r="S312" i="14"/>
  <c r="S313" i="14"/>
  <c r="S314" i="14"/>
  <c r="S315" i="14"/>
  <c r="S316" i="14"/>
  <c r="S317" i="14"/>
  <c r="S318" i="14"/>
  <c r="S319" i="14"/>
  <c r="S320" i="14"/>
  <c r="S321" i="14"/>
  <c r="S322" i="14"/>
  <c r="S323" i="14"/>
  <c r="S324" i="14"/>
  <c r="S325" i="14"/>
  <c r="S326" i="14"/>
  <c r="S327" i="14"/>
  <c r="S328" i="14"/>
  <c r="S329" i="14"/>
  <c r="S330" i="14"/>
  <c r="S331" i="14"/>
  <c r="S332" i="14"/>
  <c r="S333" i="14"/>
  <c r="S334" i="14"/>
  <c r="S335" i="14"/>
  <c r="S336" i="14"/>
  <c r="S337" i="14"/>
  <c r="S338" i="14"/>
  <c r="S339" i="14"/>
  <c r="S340" i="14"/>
  <c r="S341" i="14"/>
  <c r="S342" i="14"/>
  <c r="S343" i="14"/>
  <c r="S344" i="14"/>
  <c r="S345" i="14"/>
  <c r="S346" i="14"/>
  <c r="S347" i="14"/>
  <c r="S348" i="14"/>
  <c r="S349" i="14"/>
  <c r="S350" i="14"/>
  <c r="S351" i="14"/>
  <c r="S352" i="14"/>
  <c r="S353" i="14"/>
  <c r="S354" i="14"/>
  <c r="S355" i="14"/>
  <c r="S356" i="14"/>
  <c r="S357" i="14"/>
  <c r="S358" i="14"/>
  <c r="S359" i="14"/>
  <c r="S360" i="14"/>
  <c r="S361" i="14"/>
  <c r="S362" i="14"/>
  <c r="S363" i="14"/>
  <c r="S364" i="14"/>
  <c r="S365" i="14"/>
  <c r="S366" i="14"/>
  <c r="S367" i="14"/>
  <c r="S368" i="14"/>
  <c r="S369" i="14"/>
  <c r="S370" i="14"/>
  <c r="S371" i="14"/>
  <c r="S372" i="14"/>
  <c r="S373" i="14"/>
  <c r="S374" i="14"/>
  <c r="S375" i="14"/>
  <c r="S376" i="14"/>
  <c r="S377" i="14"/>
  <c r="S378" i="14"/>
  <c r="S379" i="14"/>
  <c r="S380" i="14"/>
  <c r="S381" i="14"/>
  <c r="S382" i="14"/>
  <c r="S383" i="14"/>
  <c r="S384" i="14"/>
  <c r="S385" i="14"/>
  <c r="S386" i="14"/>
  <c r="S387" i="14"/>
  <c r="S388" i="14"/>
  <c r="S389" i="14"/>
  <c r="S390" i="14"/>
  <c r="S391" i="14"/>
  <c r="S392" i="14"/>
  <c r="S393" i="14"/>
  <c r="S394" i="14"/>
  <c r="S395" i="14"/>
  <c r="S396" i="14"/>
  <c r="S397" i="14"/>
  <c r="S398" i="14"/>
  <c r="S399" i="14"/>
  <c r="S400" i="14"/>
  <c r="S401" i="14"/>
  <c r="S402" i="14"/>
  <c r="S403" i="14"/>
  <c r="S404" i="14"/>
  <c r="S405" i="14"/>
  <c r="S406" i="14"/>
  <c r="S407" i="14"/>
  <c r="S408" i="14"/>
  <c r="S409" i="14"/>
  <c r="S410" i="14"/>
  <c r="S411" i="14"/>
  <c r="S412" i="14"/>
  <c r="S413" i="14"/>
  <c r="S414" i="14"/>
  <c r="S415" i="14"/>
  <c r="S416" i="14"/>
  <c r="S417" i="14"/>
  <c r="S418" i="14"/>
  <c r="S419" i="14"/>
  <c r="S420" i="14"/>
  <c r="S421" i="14"/>
  <c r="S422" i="14"/>
  <c r="S423" i="14"/>
  <c r="S424" i="14"/>
  <c r="S425" i="14"/>
  <c r="S426" i="14"/>
  <c r="S427" i="14"/>
  <c r="S428" i="14"/>
  <c r="S429" i="14"/>
  <c r="S430" i="14"/>
  <c r="S431" i="14"/>
  <c r="S432" i="14"/>
  <c r="S433" i="14"/>
  <c r="S434" i="14"/>
  <c r="S435" i="14"/>
  <c r="S436" i="14"/>
  <c r="S437" i="14"/>
  <c r="S438" i="14"/>
  <c r="S439" i="14"/>
  <c r="S440" i="14"/>
  <c r="S441" i="14"/>
  <c r="S442" i="14"/>
  <c r="S443" i="14"/>
  <c r="S444" i="14"/>
  <c r="S445" i="14"/>
  <c r="S446" i="14"/>
  <c r="S447" i="14"/>
  <c r="S448" i="14"/>
  <c r="S449" i="14"/>
  <c r="S450" i="14"/>
  <c r="S451" i="14"/>
  <c r="S452" i="14"/>
  <c r="S453" i="14"/>
  <c r="S454" i="14"/>
  <c r="S455" i="14"/>
  <c r="S456" i="14"/>
  <c r="S457" i="14"/>
  <c r="S458" i="14"/>
  <c r="S459" i="14"/>
  <c r="S460" i="14"/>
  <c r="S461" i="14"/>
  <c r="S462" i="14"/>
  <c r="S463" i="14"/>
  <c r="S464" i="14"/>
  <c r="S465" i="14"/>
  <c r="S466" i="14"/>
  <c r="S467" i="14"/>
  <c r="S468" i="14"/>
  <c r="S469" i="14"/>
  <c r="S470" i="14"/>
  <c r="S471" i="14"/>
  <c r="S472" i="14"/>
  <c r="S473" i="14"/>
  <c r="S474" i="14"/>
  <c r="S475" i="14"/>
  <c r="S476" i="14"/>
  <c r="S477" i="14"/>
  <c r="S478" i="14"/>
  <c r="S479" i="14"/>
  <c r="S480" i="14"/>
  <c r="S481" i="14"/>
  <c r="S482" i="14"/>
  <c r="S483" i="14"/>
  <c r="S484" i="14"/>
  <c r="S485" i="14"/>
  <c r="S486" i="14"/>
  <c r="S487" i="14"/>
  <c r="S488" i="14"/>
  <c r="S489" i="14"/>
  <c r="S490" i="14"/>
  <c r="S491" i="14"/>
  <c r="S492" i="14"/>
  <c r="S493" i="14"/>
  <c r="S494" i="14"/>
  <c r="S495" i="14"/>
  <c r="S496" i="14"/>
  <c r="S497" i="14"/>
  <c r="S498" i="14"/>
  <c r="S499" i="14"/>
  <c r="S500" i="14"/>
  <c r="S501" i="14"/>
  <c r="S502" i="14"/>
  <c r="S503" i="14"/>
  <c r="S504" i="14"/>
  <c r="S505" i="14"/>
  <c r="S506" i="14"/>
  <c r="S507" i="14"/>
  <c r="S508" i="14"/>
  <c r="J3066" i="1" l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2876" i="1"/>
  <c r="I2877" i="1" l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2876" i="1"/>
  <c r="H243" i="3" l="1"/>
  <c r="I243" i="3" l="1"/>
  <c r="J243" i="3" s="1"/>
  <c r="H227" i="3"/>
  <c r="I227" i="3" s="1"/>
  <c r="H228" i="3"/>
  <c r="H229" i="3"/>
  <c r="H230" i="3"/>
  <c r="H231" i="3"/>
  <c r="H232" i="3"/>
  <c r="H233" i="3"/>
  <c r="H234" i="3"/>
  <c r="I234" i="3" s="1"/>
  <c r="H235" i="3"/>
  <c r="H236" i="3"/>
  <c r="I236" i="3" s="1"/>
  <c r="J236" i="3" s="1"/>
  <c r="H237" i="3"/>
  <c r="I237" i="3" s="1"/>
  <c r="J237" i="3" s="1"/>
  <c r="H238" i="3"/>
  <c r="I238" i="3" s="1"/>
  <c r="J238" i="3" s="1"/>
  <c r="H239" i="3"/>
  <c r="I239" i="3" s="1"/>
  <c r="J239" i="3" s="1"/>
  <c r="H240" i="3"/>
  <c r="H241" i="3"/>
  <c r="H242" i="3"/>
  <c r="I242" i="3" s="1"/>
  <c r="J242" i="3" s="1"/>
  <c r="I235" i="3" l="1"/>
  <c r="J235" i="3" s="1"/>
  <c r="J234" i="3"/>
  <c r="I233" i="3"/>
  <c r="J233" i="3" s="1"/>
  <c r="I232" i="3"/>
  <c r="J232" i="3" s="1"/>
  <c r="I231" i="3"/>
  <c r="J231" i="3" s="1"/>
  <c r="I230" i="3"/>
  <c r="J230" i="3" s="1"/>
  <c r="I241" i="3"/>
  <c r="J241" i="3" s="1"/>
  <c r="I229" i="3"/>
  <c r="J229" i="3" s="1"/>
  <c r="I240" i="3"/>
  <c r="J240" i="3" s="1"/>
  <c r="J227" i="3"/>
  <c r="I228" i="3"/>
  <c r="J228" i="3" s="1"/>
  <c r="C528" i="10"/>
  <c r="B528" i="10"/>
  <c r="C527" i="10"/>
  <c r="B527" i="10"/>
  <c r="C526" i="10"/>
  <c r="B526" i="10"/>
  <c r="C525" i="10"/>
  <c r="B525" i="10"/>
  <c r="C524" i="10"/>
  <c r="B524" i="10"/>
  <c r="C523" i="10"/>
  <c r="B523" i="10"/>
  <c r="C522" i="10"/>
  <c r="B522" i="10"/>
  <c r="C521" i="10"/>
  <c r="B521" i="10"/>
  <c r="C520" i="10"/>
  <c r="B520" i="10"/>
  <c r="C519" i="10"/>
  <c r="B519" i="10"/>
  <c r="C518" i="10"/>
  <c r="B518" i="10"/>
  <c r="C517" i="10"/>
  <c r="B517" i="10"/>
  <c r="C516" i="10"/>
  <c r="B516" i="10"/>
  <c r="C515" i="10"/>
  <c r="B515" i="10"/>
  <c r="C514" i="10"/>
  <c r="B514" i="10"/>
  <c r="C513" i="10"/>
  <c r="B513" i="10"/>
  <c r="C512" i="10"/>
  <c r="B512" i="10"/>
  <c r="C511" i="10"/>
  <c r="B511" i="10"/>
  <c r="C510" i="10"/>
  <c r="B510" i="10"/>
  <c r="C509" i="10"/>
  <c r="B509" i="10"/>
  <c r="C508" i="10"/>
  <c r="B508" i="10"/>
  <c r="C507" i="10"/>
  <c r="B507" i="10"/>
  <c r="C506" i="10"/>
  <c r="B506" i="10"/>
  <c r="C505" i="10"/>
  <c r="B505" i="10"/>
  <c r="C504" i="10"/>
  <c r="B504" i="10"/>
  <c r="C503" i="10"/>
  <c r="B503" i="10"/>
  <c r="C502" i="10"/>
  <c r="B502" i="10"/>
  <c r="C501" i="10"/>
  <c r="B501" i="10"/>
  <c r="C500" i="10"/>
  <c r="B500" i="10"/>
  <c r="C499" i="10"/>
  <c r="B499" i="10"/>
  <c r="C498" i="10"/>
  <c r="B498" i="10"/>
  <c r="C497" i="10"/>
  <c r="B497" i="10"/>
  <c r="C496" i="10"/>
  <c r="B496" i="10"/>
  <c r="C495" i="10"/>
  <c r="B495" i="10"/>
  <c r="C494" i="10"/>
  <c r="B494" i="10"/>
  <c r="C493" i="10"/>
  <c r="B493" i="10"/>
  <c r="C492" i="10"/>
  <c r="B492" i="10"/>
  <c r="C491" i="10"/>
  <c r="B491" i="10"/>
  <c r="C490" i="10"/>
  <c r="B490" i="10"/>
  <c r="C489" i="10"/>
  <c r="B489" i="10"/>
  <c r="C488" i="10"/>
  <c r="B488" i="10"/>
  <c r="C487" i="10"/>
  <c r="B487" i="10"/>
  <c r="C486" i="10"/>
  <c r="B486" i="10"/>
  <c r="C485" i="10"/>
  <c r="B485" i="10"/>
  <c r="C484" i="10"/>
  <c r="B484" i="10"/>
  <c r="C483" i="10"/>
  <c r="B483" i="10"/>
  <c r="C482" i="10"/>
  <c r="B482" i="10"/>
  <c r="C481" i="10"/>
  <c r="B481" i="10"/>
  <c r="C480" i="10"/>
  <c r="B480" i="10"/>
  <c r="C479" i="10"/>
  <c r="B479" i="10"/>
  <c r="C478" i="10"/>
  <c r="B478" i="10"/>
  <c r="C477" i="10"/>
  <c r="B477" i="10"/>
  <c r="C476" i="10"/>
  <c r="B476" i="10"/>
  <c r="C475" i="10"/>
  <c r="B475" i="10"/>
  <c r="C474" i="10"/>
  <c r="B474" i="10"/>
  <c r="C473" i="10"/>
  <c r="B473" i="10"/>
  <c r="C472" i="10"/>
  <c r="B472" i="10"/>
  <c r="C471" i="10"/>
  <c r="B471" i="10"/>
  <c r="C470" i="10"/>
  <c r="B470" i="10"/>
  <c r="C469" i="10"/>
  <c r="B469" i="10"/>
  <c r="C468" i="10"/>
  <c r="B468" i="10"/>
  <c r="C467" i="10"/>
  <c r="B467" i="10"/>
  <c r="C466" i="10"/>
  <c r="B466" i="10"/>
  <c r="C465" i="10"/>
  <c r="B465" i="10"/>
  <c r="C464" i="10"/>
  <c r="B464" i="10"/>
  <c r="C463" i="10"/>
  <c r="B463" i="10"/>
  <c r="C462" i="10"/>
  <c r="B462" i="10"/>
  <c r="C461" i="10"/>
  <c r="B461" i="10"/>
  <c r="C460" i="10"/>
  <c r="B460" i="10"/>
  <c r="C459" i="10"/>
  <c r="B459" i="10"/>
  <c r="C458" i="10"/>
  <c r="B458" i="10"/>
  <c r="C457" i="10"/>
  <c r="B457" i="10"/>
  <c r="C456" i="10"/>
  <c r="B456" i="10"/>
  <c r="C455" i="10"/>
  <c r="B455" i="10"/>
  <c r="C454" i="10"/>
  <c r="B454" i="10"/>
  <c r="C453" i="10"/>
  <c r="B453" i="10"/>
  <c r="C452" i="10"/>
  <c r="B452" i="10"/>
  <c r="C451" i="10"/>
  <c r="B451" i="10"/>
  <c r="C450" i="10"/>
  <c r="B450" i="10"/>
  <c r="C449" i="10"/>
  <c r="B449" i="10"/>
  <c r="C448" i="10"/>
  <c r="B448" i="10"/>
  <c r="C447" i="10"/>
  <c r="B447" i="10"/>
  <c r="C446" i="10"/>
  <c r="B446" i="10"/>
  <c r="C445" i="10"/>
  <c r="B445" i="10"/>
  <c r="C444" i="10"/>
  <c r="B444" i="10"/>
  <c r="C443" i="10"/>
  <c r="B443" i="10"/>
  <c r="C442" i="10"/>
  <c r="B442" i="10"/>
  <c r="C441" i="10"/>
  <c r="B441" i="10"/>
  <c r="C440" i="10"/>
  <c r="B440" i="10"/>
  <c r="C439" i="10"/>
  <c r="B439" i="10"/>
  <c r="C438" i="10"/>
  <c r="B438" i="10"/>
  <c r="C437" i="10"/>
  <c r="B437" i="10"/>
  <c r="C436" i="10"/>
  <c r="B436" i="10"/>
  <c r="C435" i="10"/>
  <c r="B435" i="10"/>
  <c r="C434" i="10"/>
  <c r="B434" i="10"/>
  <c r="C433" i="10"/>
  <c r="B433" i="10"/>
  <c r="C432" i="10"/>
  <c r="B432" i="10"/>
  <c r="C431" i="10"/>
  <c r="B431" i="10"/>
  <c r="C430" i="10"/>
  <c r="B430" i="10"/>
  <c r="C429" i="10"/>
  <c r="B429" i="10"/>
  <c r="C428" i="10"/>
  <c r="B428" i="10"/>
  <c r="C427" i="10"/>
  <c r="B427" i="10"/>
  <c r="C426" i="10"/>
  <c r="B426" i="10"/>
  <c r="C425" i="10"/>
  <c r="B425" i="10"/>
  <c r="C424" i="10"/>
  <c r="B424" i="10"/>
  <c r="C423" i="10"/>
  <c r="B423" i="10"/>
  <c r="C422" i="10"/>
  <c r="B422" i="10"/>
  <c r="C421" i="10"/>
  <c r="B421" i="10"/>
  <c r="C420" i="10"/>
  <c r="B420" i="10"/>
  <c r="C419" i="10"/>
  <c r="B419" i="10"/>
  <c r="C418" i="10"/>
  <c r="B418" i="10"/>
  <c r="C417" i="10"/>
  <c r="B417" i="10"/>
  <c r="C416" i="10"/>
  <c r="B416" i="10"/>
  <c r="C415" i="10"/>
  <c r="B415" i="10"/>
  <c r="C414" i="10"/>
  <c r="B414" i="10"/>
  <c r="C413" i="10"/>
  <c r="B413" i="10"/>
  <c r="C412" i="10"/>
  <c r="B412" i="10"/>
  <c r="C411" i="10"/>
  <c r="B411" i="10"/>
  <c r="C410" i="10"/>
  <c r="B410" i="10"/>
  <c r="C409" i="10"/>
  <c r="B409" i="10"/>
  <c r="C408" i="10"/>
  <c r="B408" i="10"/>
  <c r="C407" i="10"/>
  <c r="B407" i="10"/>
  <c r="C406" i="10"/>
  <c r="B406" i="10"/>
  <c r="C405" i="10"/>
  <c r="B405" i="10"/>
  <c r="C404" i="10"/>
  <c r="B404" i="10"/>
  <c r="C403" i="10"/>
  <c r="B403" i="10"/>
  <c r="C402" i="10"/>
  <c r="B402" i="10"/>
  <c r="C401" i="10"/>
  <c r="B401" i="10"/>
  <c r="C400" i="10"/>
  <c r="B400" i="10"/>
  <c r="C399" i="10"/>
  <c r="B399" i="10"/>
  <c r="C398" i="10"/>
  <c r="B398" i="10"/>
  <c r="C397" i="10"/>
  <c r="B397" i="10"/>
  <c r="C396" i="10"/>
  <c r="B396" i="10"/>
  <c r="C395" i="10"/>
  <c r="B395" i="10"/>
  <c r="C394" i="10"/>
  <c r="B394" i="10"/>
  <c r="C393" i="10"/>
  <c r="B393" i="10"/>
  <c r="C392" i="10"/>
  <c r="B392" i="10"/>
  <c r="C391" i="10"/>
  <c r="B391" i="10"/>
  <c r="C390" i="10"/>
  <c r="B390" i="10"/>
  <c r="C389" i="10"/>
  <c r="B389" i="10"/>
  <c r="C388" i="10"/>
  <c r="B388" i="10"/>
  <c r="C387" i="10"/>
  <c r="B387" i="10"/>
  <c r="C386" i="10"/>
  <c r="B386" i="10"/>
  <c r="C385" i="10"/>
  <c r="B385" i="10"/>
  <c r="C384" i="10"/>
  <c r="B384" i="10"/>
  <c r="C383" i="10"/>
  <c r="B383" i="10"/>
  <c r="C382" i="10"/>
  <c r="B382" i="10"/>
  <c r="C381" i="10"/>
  <c r="B381" i="10"/>
  <c r="C380" i="10"/>
  <c r="B380" i="10"/>
  <c r="C379" i="10"/>
  <c r="B379" i="10"/>
  <c r="C378" i="10"/>
  <c r="B378" i="10"/>
  <c r="C377" i="10"/>
  <c r="B377" i="10"/>
  <c r="C376" i="10"/>
  <c r="B376" i="10"/>
  <c r="C375" i="10"/>
  <c r="B375" i="10"/>
  <c r="C374" i="10"/>
  <c r="B374" i="10"/>
  <c r="C373" i="10"/>
  <c r="B373" i="10"/>
  <c r="C372" i="10"/>
  <c r="B372" i="10"/>
  <c r="C371" i="10"/>
  <c r="B371" i="10"/>
  <c r="C370" i="10"/>
  <c r="B370" i="10"/>
  <c r="C369" i="10"/>
  <c r="B369" i="10"/>
  <c r="C368" i="10"/>
  <c r="B368" i="10"/>
  <c r="C367" i="10"/>
  <c r="B367" i="10"/>
  <c r="C366" i="10"/>
  <c r="B366" i="10"/>
  <c r="C365" i="10"/>
  <c r="B365" i="10"/>
  <c r="C364" i="10"/>
  <c r="B364" i="10"/>
  <c r="C363" i="10"/>
  <c r="B363" i="10"/>
  <c r="C362" i="10"/>
  <c r="B362" i="10"/>
  <c r="C361" i="10"/>
  <c r="B361" i="10"/>
  <c r="C360" i="10"/>
  <c r="B360" i="10"/>
  <c r="C359" i="10"/>
  <c r="B359" i="10"/>
  <c r="C358" i="10"/>
  <c r="B358" i="10"/>
  <c r="C357" i="10"/>
  <c r="B357" i="10"/>
  <c r="C356" i="10"/>
  <c r="B356" i="10"/>
  <c r="C355" i="10"/>
  <c r="B355" i="10"/>
  <c r="C354" i="10"/>
  <c r="B354" i="10"/>
  <c r="C353" i="10"/>
  <c r="B353" i="10"/>
  <c r="C352" i="10"/>
  <c r="B352" i="10"/>
  <c r="C351" i="10"/>
  <c r="B351" i="10"/>
  <c r="C350" i="10"/>
  <c r="B350" i="10"/>
  <c r="C349" i="10"/>
  <c r="B349" i="10"/>
  <c r="C348" i="10"/>
  <c r="B348" i="10"/>
  <c r="C347" i="10"/>
  <c r="B347" i="10"/>
  <c r="C346" i="10"/>
  <c r="B346" i="10"/>
  <c r="C345" i="10"/>
  <c r="B345" i="10"/>
  <c r="C344" i="10"/>
  <c r="B344" i="10"/>
  <c r="C343" i="10"/>
  <c r="B343" i="10"/>
  <c r="C342" i="10"/>
  <c r="B342" i="10"/>
  <c r="C341" i="10"/>
  <c r="B341" i="10"/>
  <c r="C340" i="10"/>
  <c r="B340" i="10"/>
  <c r="C339" i="10"/>
  <c r="B339" i="10"/>
  <c r="C338" i="10"/>
  <c r="B338" i="10"/>
  <c r="C337" i="10"/>
  <c r="B337" i="10"/>
  <c r="C336" i="10"/>
  <c r="B336" i="10"/>
  <c r="C335" i="10"/>
  <c r="B335" i="10"/>
  <c r="C334" i="10"/>
  <c r="B334" i="10"/>
  <c r="C333" i="10"/>
  <c r="B333" i="10"/>
  <c r="C332" i="10"/>
  <c r="B332" i="10"/>
  <c r="C331" i="10"/>
  <c r="B331" i="10"/>
  <c r="C330" i="10"/>
  <c r="B330" i="10"/>
  <c r="C329" i="10"/>
  <c r="B329" i="10"/>
  <c r="C328" i="10"/>
  <c r="B328" i="10"/>
  <c r="C327" i="10"/>
  <c r="B327" i="10"/>
  <c r="C326" i="10"/>
  <c r="B326" i="10"/>
  <c r="C325" i="10"/>
  <c r="B325" i="10"/>
  <c r="C324" i="10"/>
  <c r="B324" i="10"/>
  <c r="C323" i="10"/>
  <c r="B323" i="10"/>
  <c r="C322" i="10"/>
  <c r="B322" i="10"/>
  <c r="C321" i="10"/>
  <c r="B321" i="10"/>
  <c r="C320" i="10"/>
  <c r="B320" i="10"/>
  <c r="C319" i="10"/>
  <c r="B319" i="10"/>
  <c r="C318" i="10"/>
  <c r="B318" i="10"/>
  <c r="C317" i="10"/>
  <c r="B317" i="10"/>
  <c r="C316" i="10"/>
  <c r="B316" i="10"/>
  <c r="C315" i="10"/>
  <c r="B315" i="10"/>
  <c r="C314" i="10"/>
  <c r="B314" i="10"/>
  <c r="C313" i="10"/>
  <c r="B313" i="10"/>
  <c r="C312" i="10"/>
  <c r="B312" i="10"/>
  <c r="C311" i="10"/>
  <c r="B311" i="10"/>
  <c r="C310" i="10"/>
  <c r="B310" i="10"/>
  <c r="C309" i="10"/>
  <c r="B309" i="10"/>
  <c r="C308" i="10"/>
  <c r="B308" i="10"/>
  <c r="C307" i="10"/>
  <c r="B307" i="10"/>
  <c r="C306" i="10"/>
  <c r="B306" i="10"/>
  <c r="C305" i="10"/>
  <c r="B305" i="10"/>
  <c r="C304" i="10"/>
  <c r="B304" i="10"/>
  <c r="C303" i="10"/>
  <c r="B303" i="10"/>
  <c r="C302" i="10"/>
  <c r="B302" i="10"/>
  <c r="C301" i="10"/>
  <c r="B301" i="10"/>
  <c r="C300" i="10"/>
  <c r="B300" i="10"/>
  <c r="C299" i="10"/>
  <c r="B299" i="10"/>
  <c r="C298" i="10"/>
  <c r="B298" i="10"/>
  <c r="C297" i="10"/>
  <c r="B297" i="10"/>
  <c r="C296" i="10"/>
  <c r="B296" i="10"/>
  <c r="C295" i="10"/>
  <c r="B295" i="10"/>
  <c r="C294" i="10"/>
  <c r="B294" i="10"/>
  <c r="C293" i="10"/>
  <c r="B293" i="10"/>
  <c r="C292" i="10"/>
  <c r="B292" i="10"/>
  <c r="C291" i="10"/>
  <c r="B291" i="10"/>
  <c r="C290" i="10"/>
  <c r="B290" i="10"/>
  <c r="C289" i="10"/>
  <c r="B289" i="10"/>
  <c r="C288" i="10"/>
  <c r="B288" i="10"/>
  <c r="C287" i="10"/>
  <c r="B287" i="10"/>
  <c r="C286" i="10"/>
  <c r="B286" i="10"/>
  <c r="C285" i="10"/>
  <c r="B285" i="10"/>
  <c r="C284" i="10"/>
  <c r="B284" i="10"/>
  <c r="C283" i="10"/>
  <c r="B283" i="10"/>
  <c r="C282" i="10"/>
  <c r="B282" i="10"/>
  <c r="C281" i="10"/>
  <c r="B281" i="10"/>
  <c r="C280" i="10"/>
  <c r="B280" i="10"/>
  <c r="C279" i="10"/>
  <c r="B279" i="10"/>
  <c r="C278" i="10"/>
  <c r="B278" i="10"/>
  <c r="C277" i="10"/>
  <c r="B277" i="10"/>
  <c r="C276" i="10"/>
  <c r="B276" i="10"/>
  <c r="C275" i="10"/>
  <c r="B275" i="10"/>
  <c r="C274" i="10"/>
  <c r="B274" i="10"/>
  <c r="C273" i="10"/>
  <c r="B273" i="10"/>
  <c r="C272" i="10"/>
  <c r="B272" i="10"/>
  <c r="C271" i="10"/>
  <c r="B271" i="10"/>
  <c r="C270" i="10"/>
  <c r="B270" i="10"/>
  <c r="C269" i="10"/>
  <c r="B269" i="10"/>
  <c r="C268" i="10"/>
  <c r="B268" i="10"/>
  <c r="C267" i="10"/>
  <c r="B267" i="10"/>
  <c r="C266" i="10"/>
  <c r="B266" i="10"/>
  <c r="C265" i="10"/>
  <c r="B265" i="10"/>
  <c r="C264" i="10"/>
  <c r="B264" i="10"/>
  <c r="C263" i="10"/>
  <c r="B263" i="10"/>
  <c r="C262" i="10"/>
  <c r="B262" i="10"/>
  <c r="C261" i="10"/>
  <c r="B261" i="10"/>
  <c r="C260" i="10"/>
  <c r="B260" i="10"/>
  <c r="C259" i="10"/>
  <c r="B259" i="10"/>
  <c r="C258" i="10"/>
  <c r="B258" i="10"/>
  <c r="C257" i="10"/>
  <c r="B257" i="10"/>
  <c r="C256" i="10"/>
  <c r="B256" i="10"/>
  <c r="C255" i="10"/>
  <c r="B255" i="10"/>
  <c r="C254" i="10"/>
  <c r="B254" i="10"/>
  <c r="C253" i="10"/>
  <c r="B253" i="10"/>
  <c r="C252" i="10"/>
  <c r="B252" i="10"/>
  <c r="C251" i="10"/>
  <c r="B251" i="10"/>
  <c r="C250" i="10"/>
  <c r="B250" i="10"/>
  <c r="C249" i="10"/>
  <c r="B249" i="10"/>
  <c r="C248" i="10"/>
  <c r="B248" i="10"/>
  <c r="C247" i="10"/>
  <c r="B247" i="10"/>
  <c r="C246" i="10"/>
  <c r="B246" i="10"/>
  <c r="C245" i="10"/>
  <c r="B245" i="10"/>
  <c r="C244" i="10"/>
  <c r="B244" i="10"/>
  <c r="C243" i="10"/>
  <c r="B243" i="10"/>
  <c r="C242" i="10"/>
  <c r="B242" i="10"/>
  <c r="C241" i="10"/>
  <c r="B241" i="10"/>
  <c r="C240" i="10"/>
  <c r="B240" i="10"/>
  <c r="C239" i="10"/>
  <c r="B239" i="10"/>
  <c r="C238" i="10"/>
  <c r="B238" i="10"/>
  <c r="C237" i="10"/>
  <c r="B237" i="10"/>
  <c r="C236" i="10"/>
  <c r="B236" i="10"/>
  <c r="C235" i="10"/>
  <c r="B235" i="10"/>
  <c r="C234" i="10"/>
  <c r="B234" i="10"/>
  <c r="C233" i="10"/>
  <c r="B233" i="10"/>
  <c r="C232" i="10"/>
  <c r="B232" i="10"/>
  <c r="C231" i="10"/>
  <c r="B231" i="10"/>
  <c r="C230" i="10"/>
  <c r="B230" i="10"/>
  <c r="C229" i="10"/>
  <c r="B229" i="10"/>
  <c r="C228" i="10"/>
  <c r="B228" i="10"/>
  <c r="C227" i="10"/>
  <c r="B227" i="10"/>
  <c r="C226" i="10"/>
  <c r="B226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C208" i="10"/>
  <c r="B208" i="10"/>
  <c r="C207" i="10"/>
  <c r="B207" i="10"/>
  <c r="C206" i="10"/>
  <c r="B206" i="10"/>
  <c r="C205" i="10"/>
  <c r="B205" i="10"/>
  <c r="C204" i="10"/>
  <c r="B204" i="10"/>
  <c r="C203" i="10"/>
  <c r="B203" i="10"/>
  <c r="C202" i="10"/>
  <c r="B202" i="10"/>
  <c r="C201" i="10"/>
  <c r="B201" i="10"/>
  <c r="C200" i="10"/>
  <c r="B200" i="10"/>
  <c r="C199" i="10"/>
  <c r="B199" i="10"/>
  <c r="C198" i="10"/>
  <c r="B198" i="10"/>
  <c r="C197" i="10"/>
  <c r="B197" i="10"/>
  <c r="C196" i="10"/>
  <c r="B196" i="10"/>
  <c r="C195" i="10"/>
  <c r="B195" i="10"/>
  <c r="C194" i="10"/>
  <c r="B194" i="10"/>
  <c r="C193" i="10"/>
  <c r="B193" i="10"/>
  <c r="C192" i="10"/>
  <c r="B192" i="10"/>
  <c r="C191" i="10"/>
  <c r="B191" i="10"/>
  <c r="C190" i="10"/>
  <c r="B190" i="10"/>
  <c r="C189" i="10"/>
  <c r="B189" i="10"/>
  <c r="C188" i="10"/>
  <c r="B188" i="10"/>
  <c r="C187" i="10"/>
  <c r="B187" i="10"/>
  <c r="C186" i="10"/>
  <c r="B186" i="10"/>
  <c r="C185" i="10"/>
  <c r="B185" i="10"/>
  <c r="C184" i="10"/>
  <c r="B184" i="10"/>
  <c r="C183" i="10"/>
  <c r="B183" i="10"/>
  <c r="C182" i="10"/>
  <c r="B182" i="10"/>
  <c r="C181" i="10"/>
  <c r="B181" i="10"/>
  <c r="C180" i="10"/>
  <c r="B180" i="10"/>
  <c r="C179" i="10"/>
  <c r="B179" i="10"/>
  <c r="C178" i="10"/>
  <c r="B178" i="10"/>
  <c r="C177" i="10"/>
  <c r="B177" i="10"/>
  <c r="C176" i="10"/>
  <c r="B176" i="10"/>
  <c r="C175" i="10"/>
  <c r="B175" i="10"/>
  <c r="C174" i="10"/>
  <c r="B174" i="10"/>
  <c r="C173" i="10"/>
  <c r="B173" i="10"/>
  <c r="C172" i="10"/>
  <c r="B172" i="10"/>
  <c r="C171" i="10"/>
  <c r="B171" i="10"/>
  <c r="C170" i="10"/>
  <c r="B170" i="10"/>
  <c r="C169" i="10"/>
  <c r="B169" i="10"/>
  <c r="C168" i="10"/>
  <c r="B168" i="10"/>
  <c r="C167" i="10"/>
  <c r="B167" i="10"/>
  <c r="C166" i="10"/>
  <c r="B166" i="10"/>
  <c r="C165" i="10"/>
  <c r="B165" i="10"/>
  <c r="C164" i="10"/>
  <c r="B164" i="10"/>
  <c r="C163" i="10"/>
  <c r="B163" i="10"/>
  <c r="C162" i="10"/>
  <c r="B162" i="10"/>
  <c r="C161" i="10"/>
  <c r="B161" i="10"/>
  <c r="C160" i="10"/>
  <c r="B160" i="10"/>
  <c r="C159" i="10"/>
  <c r="B159" i="10"/>
  <c r="C158" i="10"/>
  <c r="B158" i="10"/>
  <c r="C157" i="10"/>
  <c r="B157" i="10"/>
  <c r="C156" i="10"/>
  <c r="B156" i="10"/>
  <c r="C155" i="10"/>
  <c r="B155" i="10"/>
  <c r="C154" i="10"/>
  <c r="B154" i="10"/>
  <c r="C153" i="10"/>
  <c r="B153" i="10"/>
  <c r="C152" i="10"/>
  <c r="B152" i="10"/>
  <c r="C151" i="10"/>
  <c r="B151" i="10"/>
  <c r="C150" i="10"/>
  <c r="B150" i="10"/>
  <c r="C149" i="10"/>
  <c r="B149" i="10"/>
  <c r="C148" i="10"/>
  <c r="B148" i="10"/>
  <c r="C147" i="10"/>
  <c r="B147" i="10"/>
  <c r="C146" i="10"/>
  <c r="B146" i="10"/>
  <c r="C145" i="10"/>
  <c r="B145" i="10"/>
  <c r="C144" i="10"/>
  <c r="B144" i="10"/>
  <c r="C143" i="10"/>
  <c r="B143" i="10"/>
  <c r="C142" i="10"/>
  <c r="B142" i="10"/>
  <c r="C141" i="10"/>
  <c r="B141" i="10"/>
  <c r="C140" i="10"/>
  <c r="B140" i="10"/>
  <c r="C139" i="10"/>
  <c r="B139" i="10"/>
  <c r="C138" i="10"/>
  <c r="B138" i="10"/>
  <c r="C137" i="10"/>
  <c r="B137" i="10"/>
  <c r="C136" i="10"/>
  <c r="B136" i="10"/>
  <c r="C135" i="10"/>
  <c r="B135" i="10"/>
  <c r="C134" i="10"/>
  <c r="B134" i="10"/>
  <c r="C133" i="10"/>
  <c r="B133" i="10"/>
  <c r="C132" i="10"/>
  <c r="B132" i="10"/>
  <c r="C131" i="10"/>
  <c r="B131" i="10"/>
  <c r="C130" i="10"/>
  <c r="B130" i="10"/>
  <c r="C129" i="10"/>
  <c r="B129" i="10"/>
  <c r="C128" i="10"/>
  <c r="B128" i="10"/>
  <c r="C127" i="10"/>
  <c r="B127" i="10"/>
  <c r="C126" i="10"/>
  <c r="B126" i="10"/>
  <c r="C125" i="10"/>
  <c r="B125" i="10"/>
  <c r="C124" i="10"/>
  <c r="B124" i="10"/>
  <c r="C123" i="10"/>
  <c r="B123" i="10"/>
  <c r="C122" i="10"/>
  <c r="B122" i="10"/>
  <c r="C121" i="10"/>
  <c r="B121" i="10"/>
  <c r="C120" i="10"/>
  <c r="B120" i="10"/>
  <c r="C119" i="10"/>
  <c r="B119" i="10"/>
  <c r="C118" i="10"/>
  <c r="B118" i="10"/>
  <c r="C117" i="10"/>
  <c r="B117" i="10"/>
  <c r="C116" i="10"/>
  <c r="B116" i="10"/>
  <c r="C115" i="10"/>
  <c r="B115" i="10"/>
  <c r="C114" i="10"/>
  <c r="B114" i="10"/>
  <c r="C113" i="10"/>
  <c r="B113" i="10"/>
  <c r="C112" i="10"/>
  <c r="B112" i="10"/>
  <c r="C111" i="10"/>
  <c r="B111" i="10"/>
  <c r="C110" i="10"/>
  <c r="B110" i="10"/>
  <c r="C109" i="10"/>
  <c r="B109" i="10"/>
  <c r="C108" i="10"/>
  <c r="B108" i="10"/>
  <c r="C107" i="10"/>
  <c r="B107" i="10"/>
  <c r="C106" i="10"/>
  <c r="B106" i="10"/>
  <c r="C105" i="10"/>
  <c r="B105" i="10"/>
  <c r="C104" i="10"/>
  <c r="B104" i="10"/>
  <c r="C103" i="10"/>
  <c r="B103" i="10"/>
  <c r="C102" i="10"/>
  <c r="B102" i="10"/>
  <c r="C101" i="10"/>
  <c r="B101" i="10"/>
  <c r="C100" i="10"/>
  <c r="B100" i="10"/>
  <c r="C99" i="10"/>
  <c r="B99" i="10"/>
  <c r="C98" i="10"/>
  <c r="B98" i="10"/>
  <c r="C97" i="10"/>
  <c r="B97" i="10"/>
  <c r="C96" i="10"/>
  <c r="B96" i="10"/>
  <c r="C95" i="10"/>
  <c r="B95" i="10"/>
  <c r="C94" i="10"/>
  <c r="B94" i="10"/>
  <c r="C93" i="10"/>
  <c r="B93" i="10"/>
  <c r="C92" i="10"/>
  <c r="B92" i="10"/>
  <c r="C91" i="10"/>
  <c r="B91" i="10"/>
  <c r="C90" i="10"/>
  <c r="B90" i="10"/>
  <c r="C89" i="10"/>
  <c r="B89" i="10"/>
  <c r="C88" i="10"/>
  <c r="B88" i="10"/>
  <c r="C87" i="10"/>
  <c r="B87" i="10"/>
  <c r="C86" i="10"/>
  <c r="B86" i="10"/>
  <c r="C85" i="10"/>
  <c r="B85" i="10"/>
  <c r="C84" i="10"/>
  <c r="B84" i="10"/>
  <c r="C83" i="10"/>
  <c r="B83" i="10"/>
  <c r="C82" i="10"/>
  <c r="B82" i="10"/>
  <c r="C81" i="10"/>
  <c r="B81" i="10"/>
  <c r="C80" i="10"/>
  <c r="B80" i="10"/>
  <c r="C79" i="10"/>
  <c r="B79" i="10"/>
  <c r="C78" i="10"/>
  <c r="B78" i="10"/>
  <c r="C77" i="10"/>
  <c r="B77" i="10"/>
  <c r="C76" i="10"/>
  <c r="B76" i="10"/>
  <c r="C75" i="10"/>
  <c r="B75" i="10"/>
  <c r="C74" i="10"/>
  <c r="B74" i="10"/>
  <c r="C73" i="10"/>
  <c r="B73" i="10"/>
  <c r="C72" i="10"/>
  <c r="B72" i="10"/>
  <c r="C71" i="10"/>
  <c r="B71" i="10"/>
  <c r="C70" i="10"/>
  <c r="B70" i="10"/>
  <c r="C69" i="10"/>
  <c r="B69" i="10"/>
  <c r="C68" i="10"/>
  <c r="B68" i="10"/>
  <c r="C67" i="10"/>
  <c r="B67" i="10"/>
  <c r="C66" i="10"/>
  <c r="B66" i="10"/>
  <c r="C65" i="10"/>
  <c r="B65" i="10"/>
  <c r="C64" i="10"/>
  <c r="B64" i="10"/>
  <c r="C63" i="10"/>
  <c r="B63" i="10"/>
  <c r="C62" i="10"/>
  <c r="B62" i="10"/>
  <c r="C61" i="10"/>
  <c r="B61" i="10"/>
  <c r="C60" i="10"/>
  <c r="B60" i="10"/>
  <c r="C59" i="10"/>
  <c r="B59" i="10"/>
  <c r="C58" i="10"/>
  <c r="B58" i="10"/>
  <c r="C57" i="10"/>
  <c r="B57" i="10"/>
  <c r="C56" i="10"/>
  <c r="B56" i="10"/>
  <c r="C55" i="10"/>
  <c r="B55" i="10"/>
  <c r="C54" i="10"/>
  <c r="B54" i="10"/>
  <c r="C53" i="10"/>
  <c r="B53" i="10"/>
  <c r="C52" i="10"/>
  <c r="B52" i="10"/>
  <c r="C51" i="10"/>
  <c r="B51" i="10"/>
  <c r="C50" i="10"/>
  <c r="B50" i="10"/>
  <c r="C49" i="10"/>
  <c r="B49" i="10"/>
  <c r="C48" i="10"/>
  <c r="B48" i="10"/>
  <c r="C47" i="10"/>
  <c r="B47" i="10"/>
  <c r="C46" i="10"/>
  <c r="B46" i="10"/>
  <c r="C45" i="10"/>
  <c r="B45" i="10"/>
  <c r="C44" i="10"/>
  <c r="B44" i="10"/>
  <c r="C43" i="10"/>
  <c r="B43" i="10"/>
  <c r="C42" i="10"/>
  <c r="B42" i="10"/>
  <c r="C41" i="10"/>
  <c r="B41" i="10"/>
  <c r="C40" i="10"/>
  <c r="B40" i="10"/>
  <c r="C39" i="10"/>
  <c r="B39" i="10"/>
  <c r="C38" i="10"/>
  <c r="B38" i="10"/>
  <c r="C37" i="10"/>
  <c r="B37" i="10"/>
  <c r="C36" i="10"/>
  <c r="B36" i="10"/>
  <c r="C35" i="10"/>
  <c r="B35" i="10"/>
  <c r="C34" i="10"/>
  <c r="B34" i="10"/>
  <c r="C33" i="10"/>
  <c r="B33" i="10"/>
  <c r="C32" i="10"/>
  <c r="B32" i="10"/>
  <c r="C31" i="10"/>
  <c r="B31" i="10"/>
  <c r="C30" i="10"/>
  <c r="B30" i="10"/>
  <c r="C29" i="10"/>
  <c r="B29" i="10"/>
  <c r="C28" i="10"/>
  <c r="B28" i="10"/>
  <c r="C27" i="10"/>
  <c r="B27" i="10"/>
  <c r="C26" i="10"/>
  <c r="B26" i="10"/>
  <c r="C25" i="10"/>
  <c r="B25" i="10"/>
  <c r="C24" i="10"/>
  <c r="B24" i="10"/>
  <c r="C23" i="10"/>
  <c r="B23" i="10"/>
  <c r="C22" i="10"/>
  <c r="B22" i="10"/>
  <c r="C21" i="10"/>
  <c r="B21" i="10"/>
  <c r="C20" i="10"/>
  <c r="B20" i="10"/>
  <c r="C19" i="10"/>
  <c r="B19" i="10"/>
  <c r="C18" i="10"/>
  <c r="B18" i="10"/>
  <c r="C17" i="10"/>
  <c r="B17" i="10"/>
  <c r="C16" i="10"/>
  <c r="B16" i="10"/>
  <c r="C15" i="10"/>
  <c r="B15" i="10"/>
  <c r="C14" i="10"/>
  <c r="B14" i="10"/>
  <c r="C13" i="10"/>
  <c r="B13" i="10"/>
  <c r="C12" i="10"/>
  <c r="B12" i="10"/>
  <c r="C11" i="10"/>
  <c r="B11" i="10"/>
  <c r="C10" i="10"/>
  <c r="B10" i="10"/>
  <c r="C9" i="10"/>
  <c r="B9" i="10"/>
  <c r="C8" i="10"/>
  <c r="B8" i="10"/>
  <c r="C7" i="10"/>
  <c r="B7" i="10"/>
  <c r="C6" i="10"/>
  <c r="B6" i="10"/>
  <c r="C5" i="10"/>
  <c r="B5" i="10"/>
  <c r="C4" i="10"/>
  <c r="B4" i="10"/>
  <c r="C3" i="10"/>
  <c r="B3" i="10"/>
  <c r="C2" i="10"/>
  <c r="B2" i="10"/>
  <c r="H226" i="3" l="1"/>
  <c r="H225" i="3"/>
  <c r="I225" i="3" s="1"/>
  <c r="J225" i="3" s="1"/>
  <c r="H224" i="3"/>
  <c r="H223" i="3"/>
  <c r="H222" i="3"/>
  <c r="H221" i="3"/>
  <c r="I221" i="3" s="1"/>
  <c r="J221" i="3" s="1"/>
  <c r="H220" i="3"/>
  <c r="H219" i="3"/>
  <c r="H218" i="3"/>
  <c r="H217" i="3"/>
  <c r="I217" i="3" s="1"/>
  <c r="J217" i="3" s="1"/>
  <c r="H216" i="3"/>
  <c r="H215" i="3"/>
  <c r="H214" i="3"/>
  <c r="H213" i="3"/>
  <c r="I213" i="3" s="1"/>
  <c r="J213" i="3" s="1"/>
  <c r="H212" i="3"/>
  <c r="H211" i="3"/>
  <c r="H210" i="3"/>
  <c r="I209" i="3"/>
  <c r="J209" i="3" s="1"/>
  <c r="I208" i="3"/>
  <c r="J208" i="3" s="1"/>
  <c r="I207" i="3"/>
  <c r="J207" i="3" s="1"/>
  <c r="I206" i="3"/>
  <c r="J206" i="3" s="1"/>
  <c r="I205" i="3"/>
  <c r="J205" i="3" s="1"/>
  <c r="I204" i="3"/>
  <c r="J204" i="3" s="1"/>
  <c r="I203" i="3"/>
  <c r="J203" i="3" s="1"/>
  <c r="I202" i="3"/>
  <c r="J202" i="3" s="1"/>
  <c r="I201" i="3"/>
  <c r="J201" i="3" s="1"/>
  <c r="I200" i="3"/>
  <c r="J200" i="3" s="1"/>
  <c r="I199" i="3"/>
  <c r="J199" i="3" s="1"/>
  <c r="I198" i="3"/>
  <c r="J198" i="3" s="1"/>
  <c r="I197" i="3"/>
  <c r="J197" i="3" s="1"/>
  <c r="I196" i="3"/>
  <c r="J196" i="3" s="1"/>
  <c r="I195" i="3"/>
  <c r="J195" i="3" s="1"/>
  <c r="I194" i="3"/>
  <c r="J194" i="3" s="1"/>
  <c r="I193" i="3"/>
  <c r="J193" i="3" s="1"/>
  <c r="I192" i="3"/>
  <c r="J192" i="3" s="1"/>
  <c r="I191" i="3"/>
  <c r="J191" i="3" s="1"/>
  <c r="I190" i="3"/>
  <c r="J190" i="3" s="1"/>
  <c r="I189" i="3"/>
  <c r="J189" i="3" s="1"/>
  <c r="I188" i="3"/>
  <c r="J188" i="3" s="1"/>
  <c r="I187" i="3"/>
  <c r="J187" i="3" s="1"/>
  <c r="I186" i="3"/>
  <c r="J186" i="3" s="1"/>
  <c r="I185" i="3"/>
  <c r="J185" i="3" s="1"/>
  <c r="I184" i="3"/>
  <c r="J184" i="3" s="1"/>
  <c r="I183" i="3"/>
  <c r="J183" i="3" s="1"/>
  <c r="I182" i="3"/>
  <c r="J182" i="3" s="1"/>
  <c r="I181" i="3"/>
  <c r="J181" i="3" s="1"/>
  <c r="I180" i="3"/>
  <c r="J180" i="3" s="1"/>
  <c r="I179" i="3"/>
  <c r="J179" i="3" s="1"/>
  <c r="I178" i="3"/>
  <c r="J178" i="3" s="1"/>
  <c r="I177" i="3"/>
  <c r="J177" i="3" s="1"/>
  <c r="I176" i="3"/>
  <c r="J176" i="3" s="1"/>
  <c r="I175" i="3"/>
  <c r="J175" i="3" s="1"/>
  <c r="I174" i="3"/>
  <c r="J174" i="3" s="1"/>
  <c r="I173" i="3"/>
  <c r="J173" i="3" s="1"/>
  <c r="I172" i="3"/>
  <c r="J172" i="3" s="1"/>
  <c r="I171" i="3"/>
  <c r="J171" i="3" s="1"/>
  <c r="I170" i="3"/>
  <c r="J170" i="3" s="1"/>
  <c r="I169" i="3"/>
  <c r="J169" i="3" s="1"/>
  <c r="I168" i="3"/>
  <c r="J168" i="3" s="1"/>
  <c r="I167" i="3"/>
  <c r="J167" i="3" s="1"/>
  <c r="I166" i="3"/>
  <c r="J166" i="3" s="1"/>
  <c r="I165" i="3"/>
  <c r="J165" i="3" s="1"/>
  <c r="I164" i="3"/>
  <c r="J164" i="3" s="1"/>
  <c r="I163" i="3"/>
  <c r="J163" i="3" s="1"/>
  <c r="I162" i="3"/>
  <c r="J162" i="3" s="1"/>
  <c r="I161" i="3"/>
  <c r="J161" i="3" s="1"/>
  <c r="I160" i="3"/>
  <c r="J160" i="3" s="1"/>
  <c r="I159" i="3"/>
  <c r="J159" i="3" s="1"/>
  <c r="I158" i="3"/>
  <c r="J158" i="3" s="1"/>
  <c r="I157" i="3"/>
  <c r="J157" i="3" s="1"/>
  <c r="I156" i="3"/>
  <c r="J156" i="3" s="1"/>
  <c r="I155" i="3"/>
  <c r="J155" i="3" s="1"/>
  <c r="I154" i="3"/>
  <c r="J154" i="3" s="1"/>
  <c r="I153" i="3"/>
  <c r="J153" i="3" s="1"/>
  <c r="I152" i="3"/>
  <c r="J152" i="3" s="1"/>
  <c r="I151" i="3"/>
  <c r="J151" i="3" s="1"/>
  <c r="I150" i="3"/>
  <c r="J150" i="3" s="1"/>
  <c r="I149" i="3"/>
  <c r="J149" i="3" s="1"/>
  <c r="I148" i="3"/>
  <c r="J148" i="3" s="1"/>
  <c r="I147" i="3"/>
  <c r="J147" i="3" s="1"/>
  <c r="I146" i="3"/>
  <c r="J146" i="3" s="1"/>
  <c r="I145" i="3"/>
  <c r="J145" i="3" s="1"/>
  <c r="I144" i="3"/>
  <c r="J144" i="3" s="1"/>
  <c r="I143" i="3"/>
  <c r="J143" i="3" s="1"/>
  <c r="I142" i="3"/>
  <c r="J142" i="3" s="1"/>
  <c r="I141" i="3"/>
  <c r="J141" i="3" s="1"/>
  <c r="I140" i="3"/>
  <c r="J140" i="3" s="1"/>
  <c r="I139" i="3"/>
  <c r="J139" i="3" s="1"/>
  <c r="I138" i="3"/>
  <c r="J138" i="3" s="1"/>
  <c r="I137" i="3"/>
  <c r="J137" i="3" s="1"/>
  <c r="I136" i="3"/>
  <c r="J136" i="3" s="1"/>
  <c r="I135" i="3"/>
  <c r="J135" i="3" s="1"/>
  <c r="I134" i="3"/>
  <c r="J134" i="3" s="1"/>
  <c r="I133" i="3"/>
  <c r="J133" i="3" s="1"/>
  <c r="I132" i="3"/>
  <c r="J132" i="3" s="1"/>
  <c r="I131" i="3"/>
  <c r="J131" i="3" s="1"/>
  <c r="I130" i="3"/>
  <c r="J130" i="3" s="1"/>
  <c r="I129" i="3"/>
  <c r="J129" i="3" s="1"/>
  <c r="I128" i="3"/>
  <c r="J128" i="3" s="1"/>
  <c r="I127" i="3"/>
  <c r="J127" i="3" s="1"/>
  <c r="I126" i="3"/>
  <c r="J126" i="3" s="1"/>
  <c r="I125" i="3"/>
  <c r="J125" i="3" s="1"/>
  <c r="I124" i="3"/>
  <c r="J124" i="3" s="1"/>
  <c r="I123" i="3"/>
  <c r="J123" i="3" s="1"/>
  <c r="I122" i="3"/>
  <c r="J122" i="3" s="1"/>
  <c r="I121" i="3"/>
  <c r="J121" i="3" s="1"/>
  <c r="I120" i="3"/>
  <c r="J120" i="3" s="1"/>
  <c r="I119" i="3"/>
  <c r="J119" i="3" s="1"/>
  <c r="I118" i="3"/>
  <c r="J118" i="3" s="1"/>
  <c r="I117" i="3"/>
  <c r="J117" i="3" s="1"/>
  <c r="I116" i="3"/>
  <c r="J116" i="3" s="1"/>
  <c r="I115" i="3"/>
  <c r="J115" i="3" s="1"/>
  <c r="I114" i="3"/>
  <c r="J114" i="3" s="1"/>
  <c r="I113" i="3"/>
  <c r="J113" i="3" s="1"/>
  <c r="I112" i="3"/>
  <c r="J112" i="3" s="1"/>
  <c r="I111" i="3"/>
  <c r="J111" i="3" s="1"/>
  <c r="I110" i="3"/>
  <c r="J110" i="3" s="1"/>
  <c r="I109" i="3"/>
  <c r="J109" i="3" s="1"/>
  <c r="I108" i="3"/>
  <c r="J108" i="3" s="1"/>
  <c r="I107" i="3"/>
  <c r="J107" i="3" s="1"/>
  <c r="I106" i="3"/>
  <c r="J106" i="3" s="1"/>
  <c r="I105" i="3"/>
  <c r="J105" i="3" s="1"/>
  <c r="I104" i="3"/>
  <c r="J104" i="3" s="1"/>
  <c r="I103" i="3"/>
  <c r="J103" i="3" s="1"/>
  <c r="I102" i="3"/>
  <c r="J102" i="3" s="1"/>
  <c r="I101" i="3"/>
  <c r="J101" i="3" s="1"/>
  <c r="I100" i="3"/>
  <c r="J100" i="3" s="1"/>
  <c r="I99" i="3"/>
  <c r="J99" i="3" s="1"/>
  <c r="I98" i="3"/>
  <c r="J98" i="3" s="1"/>
  <c r="I97" i="3"/>
  <c r="J97" i="3" s="1"/>
  <c r="I96" i="3"/>
  <c r="J96" i="3" s="1"/>
  <c r="I95" i="3"/>
  <c r="J95" i="3" s="1"/>
  <c r="I94" i="3"/>
  <c r="J94" i="3" s="1"/>
  <c r="I93" i="3"/>
  <c r="J93" i="3" s="1"/>
  <c r="I92" i="3"/>
  <c r="J92" i="3" s="1"/>
  <c r="I91" i="3"/>
  <c r="J91" i="3" s="1"/>
  <c r="I90" i="3"/>
  <c r="J90" i="3" s="1"/>
  <c r="I89" i="3"/>
  <c r="J89" i="3" s="1"/>
  <c r="I88" i="3"/>
  <c r="J88" i="3" s="1"/>
  <c r="I87" i="3"/>
  <c r="J87" i="3" s="1"/>
  <c r="I86" i="3"/>
  <c r="J86" i="3" s="1"/>
  <c r="I85" i="3"/>
  <c r="J85" i="3" s="1"/>
  <c r="I84" i="3"/>
  <c r="J84" i="3" s="1"/>
  <c r="I83" i="3"/>
  <c r="J83" i="3" s="1"/>
  <c r="I82" i="3"/>
  <c r="J82" i="3" s="1"/>
  <c r="I81" i="3"/>
  <c r="J81" i="3" s="1"/>
  <c r="I80" i="3"/>
  <c r="J80" i="3" s="1"/>
  <c r="I79" i="3"/>
  <c r="J79" i="3" s="1"/>
  <c r="I78" i="3"/>
  <c r="J78" i="3" s="1"/>
  <c r="I77" i="3"/>
  <c r="J77" i="3" s="1"/>
  <c r="I76" i="3"/>
  <c r="J76" i="3" s="1"/>
  <c r="I75" i="3"/>
  <c r="J75" i="3" s="1"/>
  <c r="I74" i="3"/>
  <c r="J74" i="3" s="1"/>
  <c r="I73" i="3"/>
  <c r="J73" i="3" s="1"/>
  <c r="I72" i="3"/>
  <c r="J72" i="3" s="1"/>
  <c r="I71" i="3"/>
  <c r="J71" i="3" s="1"/>
  <c r="I70" i="3"/>
  <c r="J70" i="3" s="1"/>
  <c r="I69" i="3"/>
  <c r="J69" i="3" s="1"/>
  <c r="I68" i="3"/>
  <c r="J68" i="3" s="1"/>
  <c r="I67" i="3"/>
  <c r="J67" i="3" s="1"/>
  <c r="I66" i="3"/>
  <c r="J66" i="3" s="1"/>
  <c r="I65" i="3"/>
  <c r="J65" i="3" s="1"/>
  <c r="I64" i="3"/>
  <c r="J64" i="3" s="1"/>
  <c r="I63" i="3"/>
  <c r="J63" i="3" s="1"/>
  <c r="I62" i="3"/>
  <c r="J62" i="3" s="1"/>
  <c r="I61" i="3"/>
  <c r="J61" i="3" s="1"/>
  <c r="I60" i="3"/>
  <c r="J60" i="3" s="1"/>
  <c r="I59" i="3"/>
  <c r="J59" i="3" s="1"/>
  <c r="I58" i="3"/>
  <c r="J58" i="3" s="1"/>
  <c r="I57" i="3"/>
  <c r="J57" i="3" s="1"/>
  <c r="I56" i="3"/>
  <c r="J56" i="3" s="1"/>
  <c r="I55" i="3"/>
  <c r="J55" i="3" s="1"/>
  <c r="I54" i="3"/>
  <c r="J54" i="3" s="1"/>
  <c r="I53" i="3"/>
  <c r="J53" i="3" s="1"/>
  <c r="I52" i="3"/>
  <c r="J52" i="3" s="1"/>
  <c r="I51" i="3"/>
  <c r="J51" i="3" s="1"/>
  <c r="I50" i="3"/>
  <c r="J50" i="3" s="1"/>
  <c r="I49" i="3"/>
  <c r="J49" i="3" s="1"/>
  <c r="I48" i="3"/>
  <c r="J48" i="3" s="1"/>
  <c r="I47" i="3"/>
  <c r="J47" i="3" s="1"/>
  <c r="I46" i="3"/>
  <c r="J46" i="3" s="1"/>
  <c r="I45" i="3"/>
  <c r="J45" i="3" s="1"/>
  <c r="I44" i="3"/>
  <c r="J44" i="3" s="1"/>
  <c r="I43" i="3"/>
  <c r="J43" i="3" s="1"/>
  <c r="I42" i="3"/>
  <c r="J42" i="3" s="1"/>
  <c r="I41" i="3"/>
  <c r="J41" i="3" s="1"/>
  <c r="I40" i="3"/>
  <c r="J40" i="3" s="1"/>
  <c r="I39" i="3"/>
  <c r="J39" i="3" s="1"/>
  <c r="I38" i="3"/>
  <c r="J38" i="3" s="1"/>
  <c r="I37" i="3"/>
  <c r="J37" i="3" s="1"/>
  <c r="I36" i="3"/>
  <c r="J36" i="3" s="1"/>
  <c r="I35" i="3"/>
  <c r="J35" i="3" s="1"/>
  <c r="I34" i="3"/>
  <c r="J34" i="3" s="1"/>
  <c r="I33" i="3"/>
  <c r="J33" i="3" s="1"/>
  <c r="I32" i="3"/>
  <c r="J32" i="3" s="1"/>
  <c r="I31" i="3"/>
  <c r="J31" i="3" s="1"/>
  <c r="I30" i="3"/>
  <c r="J30" i="3" s="1"/>
  <c r="I29" i="3"/>
  <c r="J29" i="3" s="1"/>
  <c r="I28" i="3"/>
  <c r="J28" i="3" s="1"/>
  <c r="I27" i="3"/>
  <c r="J27" i="3" s="1"/>
  <c r="I26" i="3"/>
  <c r="J26" i="3" s="1"/>
  <c r="I25" i="3"/>
  <c r="J25" i="3" s="1"/>
  <c r="I24" i="3"/>
  <c r="J24" i="3" s="1"/>
  <c r="I23" i="3"/>
  <c r="J23" i="3" s="1"/>
  <c r="I22" i="3"/>
  <c r="J22" i="3" s="1"/>
  <c r="I21" i="3"/>
  <c r="J21" i="3" s="1"/>
  <c r="I20" i="3"/>
  <c r="J20" i="3" s="1"/>
  <c r="I19" i="3"/>
  <c r="J19" i="3" s="1"/>
  <c r="I18" i="3"/>
  <c r="J18" i="3" s="1"/>
  <c r="I17" i="3"/>
  <c r="J17" i="3" s="1"/>
  <c r="I16" i="3"/>
  <c r="J16" i="3" s="1"/>
  <c r="I15" i="3"/>
  <c r="J15" i="3" s="1"/>
  <c r="I14" i="3"/>
  <c r="J14" i="3" s="1"/>
  <c r="I13" i="3"/>
  <c r="J13" i="3" s="1"/>
  <c r="I12" i="3"/>
  <c r="J12" i="3" s="1"/>
  <c r="I11" i="3"/>
  <c r="J11" i="3" s="1"/>
  <c r="I10" i="3"/>
  <c r="J10" i="3" s="1"/>
  <c r="I9" i="3"/>
  <c r="J9" i="3" s="1"/>
  <c r="I8" i="3"/>
  <c r="J8" i="3" s="1"/>
  <c r="I7" i="3"/>
  <c r="J7" i="3" s="1"/>
  <c r="I6" i="3"/>
  <c r="J6" i="3" s="1"/>
  <c r="I5" i="3"/>
  <c r="J5" i="3" s="1"/>
  <c r="I4" i="3"/>
  <c r="J4" i="3" s="1"/>
  <c r="I3" i="3"/>
  <c r="J3" i="3" s="1"/>
  <c r="I2" i="3"/>
  <c r="J2" i="3" s="1"/>
  <c r="I2873" i="1"/>
  <c r="J2872" i="1"/>
  <c r="I2872" i="1"/>
  <c r="J2871" i="1"/>
  <c r="I2871" i="1"/>
  <c r="J2870" i="1"/>
  <c r="I2870" i="1"/>
  <c r="J2869" i="1"/>
  <c r="I2869" i="1"/>
  <c r="J2868" i="1"/>
  <c r="I2868" i="1"/>
  <c r="J2867" i="1"/>
  <c r="I2867" i="1"/>
  <c r="J2866" i="1"/>
  <c r="I2866" i="1"/>
  <c r="J2865" i="1"/>
  <c r="I2865" i="1"/>
  <c r="I2864" i="1"/>
  <c r="J2863" i="1"/>
  <c r="I2863" i="1"/>
  <c r="J2862" i="1"/>
  <c r="I2862" i="1"/>
  <c r="J2861" i="1"/>
  <c r="I2861" i="1"/>
  <c r="J2860" i="1"/>
  <c r="I2860" i="1"/>
  <c r="J2859" i="1"/>
  <c r="I2859" i="1"/>
  <c r="J2858" i="1"/>
  <c r="I2858" i="1"/>
  <c r="I2857" i="1"/>
  <c r="I2856" i="1"/>
  <c r="I2855" i="1"/>
  <c r="I2854" i="1"/>
  <c r="I2853" i="1"/>
  <c r="J2852" i="1"/>
  <c r="I2852" i="1"/>
  <c r="J2851" i="1"/>
  <c r="I2851" i="1"/>
  <c r="J2850" i="1"/>
  <c r="I2850" i="1"/>
  <c r="J2849" i="1"/>
  <c r="I2849" i="1"/>
  <c r="I2848" i="1"/>
  <c r="I2847" i="1"/>
  <c r="I2846" i="1"/>
  <c r="I2845" i="1"/>
  <c r="I2844" i="1"/>
  <c r="I2843" i="1"/>
  <c r="I2842" i="1"/>
  <c r="I2841" i="1"/>
  <c r="I2840" i="1"/>
  <c r="I2839" i="1"/>
  <c r="I2838" i="1"/>
  <c r="I2837" i="1"/>
  <c r="I2836" i="1"/>
  <c r="I2835" i="1"/>
  <c r="J2834" i="1"/>
  <c r="I2834" i="1"/>
  <c r="J2833" i="1"/>
  <c r="I2833" i="1"/>
  <c r="I2832" i="1"/>
  <c r="I2831" i="1"/>
  <c r="I2830" i="1"/>
  <c r="I2829" i="1"/>
  <c r="I2828" i="1"/>
  <c r="I2827" i="1"/>
  <c r="I2826" i="1"/>
  <c r="I2825" i="1"/>
  <c r="I2824" i="1"/>
  <c r="I2823" i="1"/>
  <c r="I2822" i="1"/>
  <c r="I2821" i="1"/>
  <c r="I2820" i="1"/>
  <c r="I2819" i="1"/>
  <c r="J2818" i="1"/>
  <c r="I2818" i="1"/>
  <c r="J2817" i="1"/>
  <c r="I2817" i="1"/>
  <c r="I2816" i="1"/>
  <c r="I2815" i="1"/>
  <c r="J2814" i="1"/>
  <c r="I2814" i="1"/>
  <c r="J2813" i="1"/>
  <c r="I2813" i="1"/>
  <c r="J2812" i="1"/>
  <c r="I2812" i="1"/>
  <c r="J2811" i="1"/>
  <c r="I2811" i="1"/>
  <c r="I2810" i="1"/>
  <c r="I2809" i="1"/>
  <c r="I2808" i="1"/>
  <c r="I2807" i="1"/>
  <c r="I2806" i="1"/>
  <c r="I2805" i="1"/>
  <c r="J2804" i="1"/>
  <c r="I2804" i="1"/>
  <c r="J2803" i="1"/>
  <c r="I2803" i="1"/>
  <c r="I2802" i="1"/>
  <c r="I2801" i="1"/>
  <c r="I2800" i="1"/>
  <c r="I2799" i="1"/>
  <c r="I2798" i="1"/>
  <c r="J2797" i="1"/>
  <c r="I2797" i="1"/>
  <c r="I2796" i="1"/>
  <c r="I2795" i="1"/>
  <c r="I2794" i="1"/>
  <c r="I2793" i="1"/>
  <c r="I2792" i="1"/>
  <c r="I2791" i="1"/>
  <c r="I2790" i="1"/>
  <c r="I2789" i="1"/>
  <c r="I2788" i="1"/>
  <c r="I2787" i="1"/>
  <c r="I2786" i="1"/>
  <c r="I2785" i="1"/>
  <c r="I2784" i="1"/>
  <c r="J2783" i="1"/>
  <c r="I2783" i="1"/>
  <c r="J2782" i="1"/>
  <c r="I2782" i="1"/>
  <c r="J2781" i="1"/>
  <c r="I2781" i="1"/>
  <c r="J2780" i="1"/>
  <c r="I2780" i="1"/>
  <c r="J2779" i="1"/>
  <c r="I2779" i="1"/>
  <c r="I2778" i="1"/>
  <c r="I2777" i="1"/>
  <c r="I2776" i="1"/>
  <c r="I2775" i="1"/>
  <c r="I2774" i="1"/>
  <c r="J2773" i="1"/>
  <c r="I2773" i="1"/>
  <c r="J2772" i="1"/>
  <c r="I2772" i="1"/>
  <c r="J2771" i="1"/>
  <c r="I2771" i="1"/>
  <c r="I2770" i="1"/>
  <c r="I2769" i="1"/>
  <c r="I2768" i="1"/>
  <c r="I2767" i="1"/>
  <c r="I2766" i="1"/>
  <c r="I2765" i="1"/>
  <c r="I2764" i="1"/>
  <c r="I2763" i="1"/>
  <c r="I2762" i="1"/>
  <c r="I2761" i="1"/>
  <c r="I2760" i="1"/>
  <c r="I2759" i="1"/>
  <c r="I2758" i="1"/>
  <c r="I2757" i="1"/>
  <c r="I2756" i="1"/>
  <c r="J2755" i="1"/>
  <c r="I2755" i="1"/>
  <c r="J2754" i="1"/>
  <c r="I2754" i="1"/>
  <c r="J2753" i="1"/>
  <c r="I2753" i="1"/>
  <c r="J2752" i="1"/>
  <c r="I2752" i="1"/>
  <c r="I2751" i="1"/>
  <c r="I2750" i="1"/>
  <c r="I2749" i="1"/>
  <c r="I2748" i="1"/>
  <c r="J2747" i="1"/>
  <c r="I2747" i="1"/>
  <c r="I2746" i="1"/>
  <c r="J2745" i="1"/>
  <c r="I2745" i="1"/>
  <c r="I2744" i="1"/>
  <c r="I2743" i="1"/>
  <c r="J2742" i="1"/>
  <c r="I2742" i="1"/>
  <c r="J2741" i="1"/>
  <c r="I2741" i="1"/>
  <c r="I2740" i="1"/>
  <c r="J2739" i="1"/>
  <c r="I2739" i="1"/>
  <c r="I2738" i="1"/>
  <c r="I2737" i="1"/>
  <c r="I2736" i="1"/>
  <c r="I2735" i="1"/>
  <c r="I2734" i="1"/>
  <c r="I2733" i="1"/>
  <c r="I2732" i="1"/>
  <c r="I2731" i="1"/>
  <c r="I2730" i="1"/>
  <c r="I2729" i="1"/>
  <c r="I2728" i="1"/>
  <c r="I2727" i="1"/>
  <c r="I2726" i="1"/>
  <c r="I2725" i="1"/>
  <c r="I2724" i="1"/>
  <c r="I2723" i="1"/>
  <c r="I2722" i="1"/>
  <c r="I2721" i="1"/>
  <c r="I2720" i="1"/>
  <c r="I2719" i="1"/>
  <c r="I2718" i="1"/>
  <c r="I2717" i="1"/>
  <c r="I2716" i="1"/>
  <c r="I2715" i="1"/>
  <c r="I2714" i="1"/>
  <c r="I2713" i="1"/>
  <c r="I2712" i="1"/>
  <c r="I2711" i="1"/>
  <c r="I2710" i="1"/>
  <c r="I2709" i="1"/>
  <c r="J2708" i="1"/>
  <c r="I2708" i="1"/>
  <c r="J2707" i="1"/>
  <c r="I2707" i="1"/>
  <c r="J2706" i="1"/>
  <c r="I2706" i="1"/>
  <c r="J2705" i="1"/>
  <c r="I2705" i="1"/>
  <c r="I2704" i="1"/>
  <c r="I2703" i="1"/>
  <c r="I2702" i="1"/>
  <c r="I2701" i="1"/>
  <c r="I2700" i="1"/>
  <c r="I2699" i="1"/>
  <c r="I2698" i="1"/>
  <c r="I2697" i="1"/>
  <c r="J2696" i="1"/>
  <c r="I2696" i="1"/>
  <c r="I2695" i="1"/>
  <c r="I2694" i="1"/>
  <c r="J2693" i="1"/>
  <c r="I2693" i="1"/>
  <c r="J2692" i="1"/>
  <c r="I2692" i="1"/>
  <c r="J2691" i="1"/>
  <c r="I2691" i="1"/>
  <c r="I2690" i="1"/>
  <c r="I2689" i="1"/>
  <c r="J2688" i="1"/>
  <c r="I2688" i="1"/>
  <c r="J2687" i="1"/>
  <c r="I2687" i="1"/>
  <c r="I2686" i="1"/>
  <c r="J2685" i="1"/>
  <c r="I2685" i="1"/>
  <c r="J2684" i="1"/>
  <c r="I2684" i="1"/>
  <c r="J2683" i="1"/>
  <c r="I2683" i="1"/>
  <c r="J2682" i="1"/>
  <c r="I2682" i="1"/>
  <c r="J2681" i="1"/>
  <c r="I2681" i="1"/>
  <c r="J2680" i="1"/>
  <c r="I2680" i="1"/>
  <c r="J2679" i="1"/>
  <c r="I2679" i="1"/>
  <c r="J2678" i="1"/>
  <c r="I2678" i="1"/>
  <c r="J2677" i="1"/>
  <c r="I2677" i="1"/>
  <c r="J2676" i="1"/>
  <c r="I2676" i="1"/>
  <c r="J2675" i="1"/>
  <c r="I2675" i="1"/>
  <c r="J2674" i="1"/>
  <c r="I2674" i="1"/>
  <c r="J2673" i="1"/>
  <c r="I2673" i="1"/>
  <c r="J2672" i="1"/>
  <c r="I2672" i="1"/>
  <c r="J2671" i="1"/>
  <c r="I2671" i="1"/>
  <c r="J2670" i="1"/>
  <c r="I2670" i="1"/>
  <c r="J2669" i="1"/>
  <c r="I2669" i="1"/>
  <c r="J2668" i="1"/>
  <c r="I2668" i="1"/>
  <c r="J2667" i="1"/>
  <c r="I2667" i="1"/>
  <c r="J2666" i="1"/>
  <c r="I2666" i="1"/>
  <c r="J2665" i="1"/>
  <c r="I2665" i="1"/>
  <c r="J2664" i="1"/>
  <c r="I2664" i="1"/>
  <c r="J2663" i="1"/>
  <c r="I2663" i="1"/>
  <c r="J2662" i="1"/>
  <c r="I2662" i="1"/>
  <c r="J2661" i="1"/>
  <c r="I2661" i="1"/>
  <c r="J2660" i="1"/>
  <c r="I2660" i="1"/>
  <c r="J2659" i="1"/>
  <c r="I2659" i="1"/>
  <c r="J2658" i="1"/>
  <c r="I2658" i="1"/>
  <c r="J2657" i="1"/>
  <c r="I2657" i="1"/>
  <c r="J2656" i="1"/>
  <c r="I2656" i="1"/>
  <c r="J2655" i="1"/>
  <c r="I2655" i="1"/>
  <c r="J2654" i="1"/>
  <c r="I2654" i="1"/>
  <c r="J2653" i="1"/>
  <c r="I2653" i="1"/>
  <c r="J2652" i="1"/>
  <c r="I2652" i="1"/>
  <c r="J2651" i="1"/>
  <c r="I2651" i="1"/>
  <c r="J2650" i="1"/>
  <c r="I2650" i="1"/>
  <c r="J2649" i="1"/>
  <c r="I2649" i="1"/>
  <c r="J2648" i="1"/>
  <c r="I2648" i="1"/>
  <c r="J2647" i="1"/>
  <c r="I2647" i="1"/>
  <c r="J2646" i="1"/>
  <c r="I2646" i="1"/>
  <c r="J2645" i="1"/>
  <c r="I2645" i="1"/>
  <c r="J2644" i="1"/>
  <c r="I2644" i="1"/>
  <c r="J2643" i="1"/>
  <c r="I2643" i="1"/>
  <c r="J2642" i="1"/>
  <c r="I2642" i="1"/>
  <c r="J2641" i="1"/>
  <c r="I2641" i="1"/>
  <c r="J2640" i="1"/>
  <c r="I2640" i="1"/>
  <c r="J2639" i="1"/>
  <c r="I2639" i="1"/>
  <c r="J2638" i="1"/>
  <c r="I2638" i="1"/>
  <c r="J2637" i="1"/>
  <c r="I2637" i="1"/>
  <c r="J2636" i="1"/>
  <c r="I2636" i="1"/>
  <c r="J2635" i="1"/>
  <c r="I2635" i="1"/>
  <c r="J2634" i="1"/>
  <c r="I2634" i="1"/>
  <c r="J2633" i="1"/>
  <c r="I2633" i="1"/>
  <c r="I2632" i="1"/>
  <c r="J2631" i="1"/>
  <c r="I2631" i="1"/>
  <c r="J2630" i="1"/>
  <c r="I2630" i="1"/>
  <c r="J2629" i="1"/>
  <c r="I2629" i="1"/>
  <c r="J2628" i="1"/>
  <c r="I2628" i="1"/>
  <c r="J2627" i="1"/>
  <c r="I2627" i="1"/>
  <c r="J2626" i="1"/>
  <c r="I2626" i="1"/>
  <c r="J2625" i="1"/>
  <c r="I2625" i="1"/>
  <c r="J2624" i="1"/>
  <c r="I2624" i="1"/>
  <c r="J2623" i="1"/>
  <c r="I2623" i="1"/>
  <c r="J2622" i="1"/>
  <c r="I2622" i="1"/>
  <c r="J2621" i="1"/>
  <c r="I2621" i="1"/>
  <c r="J2620" i="1"/>
  <c r="I2620" i="1"/>
  <c r="J2619" i="1"/>
  <c r="I2619" i="1"/>
  <c r="J2618" i="1"/>
  <c r="I2618" i="1"/>
  <c r="J2617" i="1"/>
  <c r="I2617" i="1"/>
  <c r="J2616" i="1"/>
  <c r="I2616" i="1"/>
  <c r="J2615" i="1"/>
  <c r="I2615" i="1"/>
  <c r="I2614" i="1"/>
  <c r="I2613" i="1"/>
  <c r="J2612" i="1"/>
  <c r="I2612" i="1"/>
  <c r="I2611" i="1"/>
  <c r="J2610" i="1"/>
  <c r="I2610" i="1"/>
  <c r="J2609" i="1"/>
  <c r="I2609" i="1"/>
  <c r="J2608" i="1"/>
  <c r="I2608" i="1"/>
  <c r="J2607" i="1"/>
  <c r="I2607" i="1"/>
  <c r="I2606" i="1"/>
  <c r="I2605" i="1"/>
  <c r="I2604" i="1"/>
  <c r="I2603" i="1"/>
  <c r="I2602" i="1"/>
  <c r="J2601" i="1"/>
  <c r="I2601" i="1"/>
  <c r="J2600" i="1"/>
  <c r="I2600" i="1"/>
  <c r="J2599" i="1"/>
  <c r="I2599" i="1"/>
  <c r="J2598" i="1"/>
  <c r="I2598" i="1"/>
  <c r="I2597" i="1"/>
  <c r="I2596" i="1"/>
  <c r="I2595" i="1"/>
  <c r="I2594" i="1"/>
  <c r="I2593" i="1"/>
  <c r="I2592" i="1"/>
  <c r="I2591" i="1"/>
  <c r="I2590" i="1"/>
  <c r="I2589" i="1"/>
  <c r="I2588" i="1"/>
  <c r="I2587" i="1"/>
  <c r="I2586" i="1"/>
  <c r="I2585" i="1"/>
  <c r="J2584" i="1"/>
  <c r="I2584" i="1"/>
  <c r="I2583" i="1"/>
  <c r="I2582" i="1"/>
  <c r="I2581" i="1"/>
  <c r="I2580" i="1"/>
  <c r="I2579" i="1"/>
  <c r="I2578" i="1"/>
  <c r="I2577" i="1"/>
  <c r="I2576" i="1"/>
  <c r="I2575" i="1"/>
  <c r="I2574" i="1"/>
  <c r="I2573" i="1"/>
  <c r="I2572" i="1"/>
  <c r="I2571" i="1"/>
  <c r="I2570" i="1"/>
  <c r="J2569" i="1"/>
  <c r="I2569" i="1"/>
  <c r="J2568" i="1"/>
  <c r="I2568" i="1"/>
  <c r="I2567" i="1"/>
  <c r="I2566" i="1"/>
  <c r="I2565" i="1"/>
  <c r="I2564" i="1"/>
  <c r="I2563" i="1"/>
  <c r="I2562" i="1"/>
  <c r="I2561" i="1"/>
  <c r="I2560" i="1"/>
  <c r="I2559" i="1"/>
  <c r="I2558" i="1"/>
  <c r="I2557" i="1"/>
  <c r="I2556" i="1"/>
  <c r="I2555" i="1"/>
  <c r="J2554" i="1"/>
  <c r="I2554" i="1"/>
  <c r="I2553" i="1"/>
  <c r="J2552" i="1"/>
  <c r="I2552" i="1"/>
  <c r="J2551" i="1"/>
  <c r="I2551" i="1"/>
  <c r="I2550" i="1"/>
  <c r="I2549" i="1"/>
  <c r="J2548" i="1"/>
  <c r="I2548" i="1"/>
  <c r="J2547" i="1"/>
  <c r="I2547" i="1"/>
  <c r="I2546" i="1"/>
  <c r="I2545" i="1"/>
  <c r="I2544" i="1"/>
  <c r="I2543" i="1"/>
  <c r="I2542" i="1"/>
  <c r="J2541" i="1"/>
  <c r="I2541" i="1"/>
  <c r="J2540" i="1"/>
  <c r="I2540" i="1"/>
  <c r="I2539" i="1"/>
  <c r="I2538" i="1"/>
  <c r="I2537" i="1"/>
  <c r="I2536" i="1"/>
  <c r="I2535" i="1"/>
  <c r="J2534" i="1"/>
  <c r="I2534" i="1"/>
  <c r="I2533" i="1"/>
  <c r="I2532" i="1"/>
  <c r="I2531" i="1"/>
  <c r="I2530" i="1"/>
  <c r="I2529" i="1"/>
  <c r="I2528" i="1"/>
  <c r="J2527" i="1"/>
  <c r="I2527" i="1"/>
  <c r="I2526" i="1"/>
  <c r="I2525" i="1"/>
  <c r="I2524" i="1"/>
  <c r="I2523" i="1"/>
  <c r="I2522" i="1"/>
  <c r="I2521" i="1"/>
  <c r="J2520" i="1"/>
  <c r="I2520" i="1"/>
  <c r="J2519" i="1"/>
  <c r="I2519" i="1"/>
  <c r="J2518" i="1"/>
  <c r="I2518" i="1"/>
  <c r="J2517" i="1"/>
  <c r="I2517" i="1"/>
  <c r="I2516" i="1"/>
  <c r="I2515" i="1"/>
  <c r="I2514" i="1"/>
  <c r="I2513" i="1"/>
  <c r="I2512" i="1"/>
  <c r="I2511" i="1"/>
  <c r="I2510" i="1"/>
  <c r="I2509" i="1"/>
  <c r="I2508" i="1"/>
  <c r="J2507" i="1"/>
  <c r="I2507" i="1"/>
  <c r="I2506" i="1"/>
  <c r="J2505" i="1"/>
  <c r="I2505" i="1"/>
  <c r="I2504" i="1"/>
  <c r="I2503" i="1"/>
  <c r="I2502" i="1"/>
  <c r="I2501" i="1"/>
  <c r="I2500" i="1"/>
  <c r="I2499" i="1"/>
  <c r="I2498" i="1"/>
  <c r="I2497" i="1"/>
  <c r="I2496" i="1"/>
  <c r="I2495" i="1"/>
  <c r="I2494" i="1"/>
  <c r="I2493" i="1"/>
  <c r="I2492" i="1"/>
  <c r="I2491" i="1"/>
  <c r="I2490" i="1"/>
  <c r="I2489" i="1"/>
  <c r="I2488" i="1"/>
  <c r="I2487" i="1"/>
  <c r="I2486" i="1"/>
  <c r="I2485" i="1"/>
  <c r="I2484" i="1"/>
  <c r="I2483" i="1"/>
  <c r="I2482" i="1"/>
  <c r="I2481" i="1"/>
  <c r="I2480" i="1"/>
  <c r="I2479" i="1"/>
  <c r="I2478" i="1"/>
  <c r="I2477" i="1"/>
  <c r="I2476" i="1"/>
  <c r="I2475" i="1"/>
  <c r="I2474" i="1"/>
  <c r="I2473" i="1"/>
  <c r="I2472" i="1"/>
  <c r="I2471" i="1"/>
  <c r="I2470" i="1"/>
  <c r="I2469" i="1"/>
  <c r="I2468" i="1"/>
  <c r="J2467" i="1"/>
  <c r="I2467" i="1"/>
  <c r="I2466" i="1"/>
  <c r="J2465" i="1"/>
  <c r="I2465" i="1"/>
  <c r="J2464" i="1"/>
  <c r="I2464" i="1"/>
  <c r="I2463" i="1"/>
  <c r="J2462" i="1"/>
  <c r="I2462" i="1"/>
  <c r="I2461" i="1"/>
  <c r="J2460" i="1"/>
  <c r="I2460" i="1"/>
  <c r="I2459" i="1"/>
  <c r="J2458" i="1"/>
  <c r="I2458" i="1"/>
  <c r="I2457" i="1"/>
  <c r="J2456" i="1"/>
  <c r="I2456" i="1"/>
  <c r="J2455" i="1"/>
  <c r="I2455" i="1"/>
  <c r="J2454" i="1"/>
  <c r="I2454" i="1"/>
  <c r="J2453" i="1"/>
  <c r="I2453" i="1"/>
  <c r="I2452" i="1"/>
  <c r="I2451" i="1"/>
  <c r="I2450" i="1"/>
  <c r="I2449" i="1"/>
  <c r="I2448" i="1"/>
  <c r="J2447" i="1"/>
  <c r="I2447" i="1"/>
  <c r="J2446" i="1"/>
  <c r="I2446" i="1"/>
  <c r="J2445" i="1"/>
  <c r="I2445" i="1"/>
  <c r="J2444" i="1"/>
  <c r="I2444" i="1"/>
  <c r="I2443" i="1"/>
  <c r="I2442" i="1"/>
  <c r="I2441" i="1"/>
  <c r="I2440" i="1"/>
  <c r="I2439" i="1"/>
  <c r="I2438" i="1"/>
  <c r="I2437" i="1"/>
  <c r="I2436" i="1"/>
  <c r="I2435" i="1"/>
  <c r="I2434" i="1"/>
  <c r="I2433" i="1"/>
  <c r="I2432" i="1"/>
  <c r="I2431" i="1"/>
  <c r="I2430" i="1"/>
  <c r="I2429" i="1"/>
  <c r="J2428" i="1"/>
  <c r="I2428" i="1"/>
  <c r="J2427" i="1"/>
  <c r="I2427" i="1"/>
  <c r="J2426" i="1"/>
  <c r="I2426" i="1"/>
  <c r="J2425" i="1"/>
  <c r="I2425" i="1"/>
  <c r="J2424" i="1"/>
  <c r="I2424" i="1"/>
  <c r="J2423" i="1"/>
  <c r="I2423" i="1"/>
  <c r="J2422" i="1"/>
  <c r="I2422" i="1"/>
  <c r="J2421" i="1"/>
  <c r="I2421" i="1"/>
  <c r="J2420" i="1"/>
  <c r="I2420" i="1"/>
  <c r="I2419" i="1"/>
  <c r="I2418" i="1"/>
  <c r="I2417" i="1"/>
  <c r="I2416" i="1"/>
  <c r="I2415" i="1"/>
  <c r="I2414" i="1"/>
  <c r="J2413" i="1"/>
  <c r="I2413" i="1"/>
  <c r="J2412" i="1"/>
  <c r="I2412" i="1"/>
  <c r="J2411" i="1"/>
  <c r="I2411" i="1"/>
  <c r="J2410" i="1"/>
  <c r="I2410" i="1"/>
  <c r="J2409" i="1"/>
  <c r="I2409" i="1"/>
  <c r="J2408" i="1"/>
  <c r="I2408" i="1"/>
  <c r="J2407" i="1"/>
  <c r="I2407" i="1"/>
  <c r="J2406" i="1"/>
  <c r="I2406" i="1"/>
  <c r="J2405" i="1"/>
  <c r="I2405" i="1"/>
  <c r="J2404" i="1"/>
  <c r="I2404" i="1"/>
  <c r="J2403" i="1"/>
  <c r="I2403" i="1"/>
  <c r="J2402" i="1"/>
  <c r="I2402" i="1"/>
  <c r="J2401" i="1"/>
  <c r="I2401" i="1"/>
  <c r="J2400" i="1"/>
  <c r="I2400" i="1"/>
  <c r="J2399" i="1"/>
  <c r="I2399" i="1"/>
  <c r="J2398" i="1"/>
  <c r="I2398" i="1"/>
  <c r="I2397" i="1"/>
  <c r="I2396" i="1"/>
  <c r="I2395" i="1"/>
  <c r="I2394" i="1"/>
  <c r="I2393" i="1"/>
  <c r="I2392" i="1"/>
  <c r="I2391" i="1"/>
  <c r="J2390" i="1"/>
  <c r="I2390" i="1"/>
  <c r="I2389" i="1"/>
  <c r="I2388" i="1"/>
  <c r="I2387" i="1"/>
  <c r="I2386" i="1"/>
  <c r="I2385" i="1"/>
  <c r="I2384" i="1"/>
  <c r="I2383" i="1"/>
  <c r="I2382" i="1"/>
  <c r="I2381" i="1"/>
  <c r="I2380" i="1"/>
  <c r="I2379" i="1"/>
  <c r="I2378" i="1"/>
  <c r="I2377" i="1"/>
  <c r="I2376" i="1"/>
  <c r="I2375" i="1"/>
  <c r="I2374" i="1"/>
  <c r="I2373" i="1"/>
  <c r="I2372" i="1"/>
  <c r="I2371" i="1"/>
  <c r="I2370" i="1"/>
  <c r="I2369" i="1"/>
  <c r="J2368" i="1"/>
  <c r="I2368" i="1"/>
  <c r="J2367" i="1"/>
  <c r="I2367" i="1"/>
  <c r="J2366" i="1"/>
  <c r="I2366" i="1"/>
  <c r="J2365" i="1"/>
  <c r="I2365" i="1"/>
  <c r="I2364" i="1"/>
  <c r="J2363" i="1"/>
  <c r="I2363" i="1"/>
  <c r="J2362" i="1"/>
  <c r="I2362" i="1"/>
  <c r="J2361" i="1"/>
  <c r="I2361" i="1"/>
  <c r="I2360" i="1"/>
  <c r="I2359" i="1"/>
  <c r="I2358" i="1"/>
  <c r="J2357" i="1"/>
  <c r="I2357" i="1"/>
  <c r="J2356" i="1"/>
  <c r="I2356" i="1"/>
  <c r="J2355" i="1"/>
  <c r="I2355" i="1"/>
  <c r="I2354" i="1"/>
  <c r="I2353" i="1"/>
  <c r="I2352" i="1"/>
  <c r="I2351" i="1"/>
  <c r="I2350" i="1"/>
  <c r="I2349" i="1"/>
  <c r="I2348" i="1"/>
  <c r="I2347" i="1"/>
  <c r="I2346" i="1"/>
  <c r="J2345" i="1"/>
  <c r="I2345" i="1"/>
  <c r="I2344" i="1"/>
  <c r="I2343" i="1"/>
  <c r="I2342" i="1"/>
  <c r="J2341" i="1"/>
  <c r="I2341" i="1"/>
  <c r="I2340" i="1"/>
  <c r="I2339" i="1"/>
  <c r="I2338" i="1"/>
  <c r="I2337" i="1"/>
  <c r="I2336" i="1"/>
  <c r="I2335" i="1"/>
  <c r="I2334" i="1"/>
  <c r="I2333" i="1"/>
  <c r="I2332" i="1"/>
  <c r="I2331" i="1"/>
  <c r="I2330" i="1"/>
  <c r="I2329" i="1"/>
  <c r="I2328" i="1"/>
  <c r="I2327" i="1"/>
  <c r="I2326" i="1"/>
  <c r="I2325" i="1"/>
  <c r="I2324" i="1"/>
  <c r="I2323" i="1"/>
  <c r="I2322" i="1"/>
  <c r="I2321" i="1"/>
  <c r="I2320" i="1"/>
  <c r="J2319" i="1"/>
  <c r="I2319" i="1"/>
  <c r="I2318" i="1"/>
  <c r="J2317" i="1"/>
  <c r="I2317" i="1"/>
  <c r="J2316" i="1"/>
  <c r="I2316" i="1"/>
  <c r="J2315" i="1"/>
  <c r="I2315" i="1"/>
  <c r="I2314" i="1"/>
  <c r="I2313" i="1"/>
  <c r="I2312" i="1"/>
  <c r="I2311" i="1"/>
  <c r="I2310" i="1"/>
  <c r="J2309" i="1"/>
  <c r="I2309" i="1"/>
  <c r="J2308" i="1"/>
  <c r="I2308" i="1"/>
  <c r="J2307" i="1"/>
  <c r="I2307" i="1"/>
  <c r="J2306" i="1"/>
  <c r="I2306" i="1"/>
  <c r="J2305" i="1"/>
  <c r="I2305" i="1"/>
  <c r="I2304" i="1"/>
  <c r="I2303" i="1"/>
  <c r="J2302" i="1"/>
  <c r="I2302" i="1"/>
  <c r="J2301" i="1"/>
  <c r="I2301" i="1"/>
  <c r="I2300" i="1"/>
  <c r="I2299" i="1"/>
  <c r="I2298" i="1"/>
  <c r="I2297" i="1"/>
  <c r="I2296" i="1"/>
  <c r="I2295" i="1"/>
  <c r="I2294" i="1"/>
  <c r="I2293" i="1"/>
  <c r="I2292" i="1"/>
  <c r="I2291" i="1"/>
  <c r="J2290" i="1"/>
  <c r="I2290" i="1"/>
  <c r="J2289" i="1"/>
  <c r="I2289" i="1"/>
  <c r="I2288" i="1"/>
  <c r="J2287" i="1"/>
  <c r="I2287" i="1"/>
  <c r="J2286" i="1"/>
  <c r="I2286" i="1"/>
  <c r="I2285" i="1"/>
  <c r="I2284" i="1"/>
  <c r="J2283" i="1"/>
  <c r="I2283" i="1"/>
  <c r="I2282" i="1"/>
  <c r="J2281" i="1"/>
  <c r="I2281" i="1"/>
  <c r="J2280" i="1"/>
  <c r="I2280" i="1"/>
  <c r="J2279" i="1"/>
  <c r="I2279" i="1"/>
  <c r="J2278" i="1"/>
  <c r="I2278" i="1"/>
  <c r="I2277" i="1"/>
  <c r="I2276" i="1"/>
  <c r="I2275" i="1"/>
  <c r="I2274" i="1"/>
  <c r="I2273" i="1"/>
  <c r="J2272" i="1"/>
  <c r="I2272" i="1"/>
  <c r="J2271" i="1"/>
  <c r="I2271" i="1"/>
  <c r="J2270" i="1"/>
  <c r="I2270" i="1"/>
  <c r="J2269" i="1"/>
  <c r="I2269" i="1"/>
  <c r="I2268" i="1"/>
  <c r="I2267" i="1"/>
  <c r="I2266" i="1"/>
  <c r="I2265" i="1"/>
  <c r="I2264" i="1"/>
  <c r="I2263" i="1"/>
  <c r="I2262" i="1"/>
  <c r="I2261" i="1"/>
  <c r="I2260" i="1"/>
  <c r="I2259" i="1"/>
  <c r="I2258" i="1"/>
  <c r="I2257" i="1"/>
  <c r="I2256" i="1"/>
  <c r="J2255" i="1"/>
  <c r="I2255" i="1"/>
  <c r="J2254" i="1"/>
  <c r="I2254" i="1"/>
  <c r="I2253" i="1"/>
  <c r="I2252" i="1"/>
  <c r="I2251" i="1"/>
  <c r="I2250" i="1"/>
  <c r="I2249" i="1"/>
  <c r="J2248" i="1"/>
  <c r="I2248" i="1"/>
  <c r="J2247" i="1"/>
  <c r="I2247" i="1"/>
  <c r="I2246" i="1"/>
  <c r="I2245" i="1"/>
  <c r="I2244" i="1"/>
  <c r="I2243" i="1"/>
  <c r="I2242" i="1"/>
  <c r="I2241" i="1"/>
  <c r="J2240" i="1"/>
  <c r="I2240" i="1"/>
  <c r="J2239" i="1"/>
  <c r="I2239" i="1"/>
  <c r="J2238" i="1"/>
  <c r="I2238" i="1"/>
  <c r="J2237" i="1"/>
  <c r="I2237" i="1"/>
  <c r="J2236" i="1"/>
  <c r="I2236" i="1"/>
  <c r="I2235" i="1"/>
  <c r="I2234" i="1"/>
  <c r="I2233" i="1"/>
  <c r="I2232" i="1"/>
  <c r="I2231" i="1"/>
  <c r="I2230" i="1"/>
  <c r="I2229" i="1"/>
  <c r="I2228" i="1"/>
  <c r="I2227" i="1"/>
  <c r="I2226" i="1"/>
  <c r="I2225" i="1"/>
  <c r="I2224" i="1"/>
  <c r="J2223" i="1"/>
  <c r="I2223" i="1"/>
  <c r="I2222" i="1"/>
  <c r="I2221" i="1"/>
  <c r="I2220" i="1"/>
  <c r="I2219" i="1"/>
  <c r="I2218" i="1"/>
  <c r="I2217" i="1"/>
  <c r="I2216" i="1"/>
  <c r="I2215" i="1"/>
  <c r="I2214" i="1"/>
  <c r="J2213" i="1"/>
  <c r="I2213" i="1"/>
  <c r="J2212" i="1"/>
  <c r="I2212" i="1"/>
  <c r="I2211" i="1"/>
  <c r="J2210" i="1"/>
  <c r="I2210" i="1"/>
  <c r="J2209" i="1"/>
  <c r="I2209" i="1"/>
  <c r="I2208" i="1"/>
  <c r="I2207" i="1"/>
  <c r="J2206" i="1"/>
  <c r="I2206" i="1"/>
  <c r="J2205" i="1"/>
  <c r="I2205" i="1"/>
  <c r="J2204" i="1"/>
  <c r="I2204" i="1"/>
  <c r="J2203" i="1"/>
  <c r="I2203" i="1"/>
  <c r="J2202" i="1"/>
  <c r="I2202" i="1"/>
  <c r="J2201" i="1"/>
  <c r="I2201" i="1"/>
  <c r="I2200" i="1"/>
  <c r="J2199" i="1"/>
  <c r="I2199" i="1"/>
  <c r="J2198" i="1"/>
  <c r="I2198" i="1"/>
  <c r="J2197" i="1"/>
  <c r="I2197" i="1"/>
  <c r="J2196" i="1"/>
  <c r="I2196" i="1"/>
  <c r="I2195" i="1"/>
  <c r="I2194" i="1"/>
  <c r="I2193" i="1"/>
  <c r="I2192" i="1"/>
  <c r="I2191" i="1"/>
  <c r="I2190" i="1"/>
  <c r="J2189" i="1"/>
  <c r="I2189" i="1"/>
  <c r="J2188" i="1"/>
  <c r="I2188" i="1"/>
  <c r="J2187" i="1"/>
  <c r="I2187" i="1"/>
  <c r="I2186" i="1"/>
  <c r="I2185" i="1"/>
  <c r="I2184" i="1"/>
  <c r="I2183" i="1"/>
  <c r="I2182" i="1"/>
  <c r="I2181" i="1"/>
  <c r="I2180" i="1"/>
  <c r="I2179" i="1"/>
  <c r="I2178" i="1"/>
  <c r="I2177" i="1"/>
  <c r="I2176" i="1"/>
  <c r="I2175" i="1"/>
  <c r="I2174" i="1"/>
  <c r="I2173" i="1"/>
  <c r="I2172" i="1"/>
  <c r="J2171" i="1"/>
  <c r="I2171" i="1"/>
  <c r="J2170" i="1"/>
  <c r="I2170" i="1"/>
  <c r="J2169" i="1"/>
  <c r="I2169" i="1"/>
  <c r="J2168" i="1"/>
  <c r="I2168" i="1"/>
  <c r="J2167" i="1"/>
  <c r="I2167" i="1"/>
  <c r="J2166" i="1"/>
  <c r="I2166" i="1"/>
  <c r="J2165" i="1"/>
  <c r="I2165" i="1"/>
  <c r="I2164" i="1"/>
  <c r="I2163" i="1"/>
  <c r="I2162" i="1"/>
  <c r="I2161" i="1"/>
  <c r="I2160" i="1"/>
  <c r="I2159" i="1"/>
  <c r="I2158" i="1"/>
  <c r="I2157" i="1"/>
  <c r="I2156" i="1"/>
  <c r="I2155" i="1"/>
  <c r="I2154" i="1"/>
  <c r="I2153" i="1"/>
  <c r="J2152" i="1"/>
  <c r="I2152" i="1"/>
  <c r="I2151" i="1"/>
  <c r="I2150" i="1"/>
  <c r="I2149" i="1"/>
  <c r="I2148" i="1"/>
  <c r="I2147" i="1"/>
  <c r="J2146" i="1"/>
  <c r="I2146" i="1"/>
  <c r="I2145" i="1"/>
  <c r="J2144" i="1"/>
  <c r="I2144" i="1"/>
  <c r="I2143" i="1"/>
  <c r="I2142" i="1"/>
  <c r="I2141" i="1"/>
  <c r="I2140" i="1"/>
  <c r="I2139" i="1"/>
  <c r="I2138" i="1"/>
  <c r="I2137" i="1"/>
  <c r="I2136" i="1"/>
  <c r="I2135" i="1"/>
  <c r="I2134" i="1"/>
  <c r="I2133" i="1"/>
  <c r="I2132" i="1"/>
  <c r="I2131" i="1"/>
  <c r="I2130" i="1"/>
  <c r="I2129" i="1"/>
  <c r="I2128" i="1"/>
  <c r="I2127" i="1"/>
  <c r="I2126" i="1"/>
  <c r="I2125" i="1"/>
  <c r="I2124" i="1"/>
  <c r="I2123" i="1"/>
  <c r="I2122" i="1"/>
  <c r="I2121" i="1"/>
  <c r="I2120" i="1"/>
  <c r="I2119" i="1"/>
  <c r="J2118" i="1"/>
  <c r="I2118" i="1"/>
  <c r="I2117" i="1"/>
  <c r="J2116" i="1"/>
  <c r="I2116" i="1"/>
  <c r="I2115" i="1"/>
  <c r="J2114" i="1"/>
  <c r="I2114" i="1"/>
  <c r="J2113" i="1"/>
  <c r="I2113" i="1"/>
  <c r="J2112" i="1"/>
  <c r="I2112" i="1"/>
  <c r="I2111" i="1"/>
  <c r="I2110" i="1"/>
  <c r="I2109" i="1"/>
  <c r="J2108" i="1"/>
  <c r="I2108" i="1"/>
  <c r="I2107" i="1"/>
  <c r="I2106" i="1"/>
  <c r="I2105" i="1"/>
  <c r="I2104" i="1"/>
  <c r="I2103" i="1"/>
  <c r="I2102" i="1"/>
  <c r="I2101" i="1"/>
  <c r="I2100" i="1"/>
  <c r="I2099" i="1"/>
  <c r="I2098" i="1"/>
  <c r="I2097" i="1"/>
  <c r="I2096" i="1"/>
  <c r="I2095" i="1"/>
  <c r="I2094" i="1"/>
  <c r="I2093" i="1"/>
  <c r="J2092" i="1"/>
  <c r="I2092" i="1"/>
  <c r="I2091" i="1"/>
  <c r="I2090" i="1"/>
  <c r="I2089" i="1"/>
  <c r="I2088" i="1"/>
  <c r="I2087" i="1"/>
  <c r="I2086" i="1"/>
  <c r="I2085" i="1"/>
  <c r="I2084" i="1"/>
  <c r="I2083" i="1"/>
  <c r="I2082" i="1"/>
  <c r="I2081" i="1"/>
  <c r="I2080" i="1"/>
  <c r="I2079" i="1"/>
  <c r="J2078" i="1"/>
  <c r="I2078" i="1"/>
  <c r="J2077" i="1"/>
  <c r="I2077" i="1"/>
  <c r="J2076" i="1"/>
  <c r="I2076" i="1"/>
  <c r="J2075" i="1"/>
  <c r="I2075" i="1"/>
  <c r="J2074" i="1"/>
  <c r="I2074" i="1"/>
  <c r="J2073" i="1"/>
  <c r="I2073" i="1"/>
  <c r="J2072" i="1"/>
  <c r="I2072" i="1"/>
  <c r="J2071" i="1"/>
  <c r="I2071" i="1"/>
  <c r="J2070" i="1"/>
  <c r="I2070" i="1"/>
  <c r="J2069" i="1"/>
  <c r="I2069" i="1"/>
  <c r="J2068" i="1"/>
  <c r="I2068" i="1"/>
  <c r="J2067" i="1"/>
  <c r="I2067" i="1"/>
  <c r="J2066" i="1"/>
  <c r="I2066" i="1"/>
  <c r="J2065" i="1"/>
  <c r="I2065" i="1"/>
  <c r="I2064" i="1"/>
  <c r="I2063" i="1"/>
  <c r="I2062" i="1"/>
  <c r="J2061" i="1"/>
  <c r="I2061" i="1"/>
  <c r="I2060" i="1"/>
  <c r="I2059" i="1"/>
  <c r="I2058" i="1"/>
  <c r="J2057" i="1"/>
  <c r="I2057" i="1"/>
  <c r="J2056" i="1"/>
  <c r="I2056" i="1"/>
  <c r="J2055" i="1"/>
  <c r="I2055" i="1"/>
  <c r="J2054" i="1"/>
  <c r="I2054" i="1"/>
  <c r="I2053" i="1"/>
  <c r="I2052" i="1"/>
  <c r="I2051" i="1"/>
  <c r="I2050" i="1"/>
  <c r="I2049" i="1"/>
  <c r="J2048" i="1"/>
  <c r="I2048" i="1"/>
  <c r="J2047" i="1"/>
  <c r="I2047" i="1"/>
  <c r="J2046" i="1"/>
  <c r="I2046" i="1"/>
  <c r="J2045" i="1"/>
  <c r="I2045" i="1"/>
  <c r="J2044" i="1"/>
  <c r="I2044" i="1"/>
  <c r="J2043" i="1"/>
  <c r="I2043" i="1"/>
  <c r="I2042" i="1"/>
  <c r="I2041" i="1"/>
  <c r="I2040" i="1"/>
  <c r="I2039" i="1"/>
  <c r="I2038" i="1"/>
  <c r="I2037" i="1"/>
  <c r="I2036" i="1"/>
  <c r="I2035" i="1"/>
  <c r="I2034" i="1"/>
  <c r="I2033" i="1"/>
  <c r="I2032" i="1"/>
  <c r="I2031" i="1"/>
  <c r="I2030" i="1"/>
  <c r="J2029" i="1"/>
  <c r="I2029" i="1"/>
  <c r="J2028" i="1"/>
  <c r="I2028" i="1"/>
  <c r="J2027" i="1"/>
  <c r="I2027" i="1"/>
  <c r="I2026" i="1"/>
  <c r="I2025" i="1"/>
  <c r="I2024" i="1"/>
  <c r="I2023" i="1"/>
  <c r="I2022" i="1"/>
  <c r="J2021" i="1"/>
  <c r="I2021" i="1"/>
  <c r="J2020" i="1"/>
  <c r="I2020" i="1"/>
  <c r="I2019" i="1"/>
  <c r="I2018" i="1"/>
  <c r="I2017" i="1"/>
  <c r="I2016" i="1"/>
  <c r="I2015" i="1"/>
  <c r="I2014" i="1"/>
  <c r="I2013" i="1"/>
  <c r="I2012" i="1"/>
  <c r="I2011" i="1"/>
  <c r="I2010" i="1"/>
  <c r="I2009" i="1"/>
  <c r="I2008" i="1"/>
  <c r="I2007" i="1"/>
  <c r="I2006" i="1"/>
  <c r="J2005" i="1"/>
  <c r="I2005" i="1"/>
  <c r="I2004" i="1"/>
  <c r="I2003" i="1"/>
  <c r="I2002" i="1"/>
  <c r="I2001" i="1"/>
  <c r="I2000" i="1"/>
  <c r="I1999" i="1"/>
  <c r="I1998" i="1"/>
  <c r="I1997" i="1"/>
  <c r="I1996" i="1"/>
  <c r="I1995" i="1"/>
  <c r="I1994" i="1"/>
  <c r="I1993" i="1"/>
  <c r="I1992" i="1"/>
  <c r="I1991" i="1"/>
  <c r="I1990" i="1"/>
  <c r="I1989" i="1"/>
  <c r="I1988" i="1"/>
  <c r="I1987" i="1"/>
  <c r="I1986" i="1"/>
  <c r="I1985" i="1"/>
  <c r="I1984" i="1"/>
  <c r="I1983" i="1"/>
  <c r="I1982" i="1"/>
  <c r="I1981" i="1"/>
  <c r="I1980" i="1"/>
  <c r="I1979" i="1"/>
  <c r="I1978" i="1"/>
  <c r="I1977" i="1"/>
  <c r="I1976" i="1"/>
  <c r="I1975" i="1"/>
  <c r="I1974" i="1"/>
  <c r="I1973" i="1"/>
  <c r="I1972" i="1"/>
  <c r="I1971" i="1"/>
  <c r="I1970" i="1"/>
  <c r="I1969" i="1"/>
  <c r="I1968" i="1"/>
  <c r="I1967" i="1"/>
  <c r="I1966" i="1"/>
  <c r="J1965" i="1"/>
  <c r="I1965" i="1"/>
  <c r="I1964" i="1"/>
  <c r="I1963" i="1"/>
  <c r="I1962" i="1"/>
  <c r="I1961" i="1"/>
  <c r="I1960" i="1"/>
  <c r="I1959" i="1"/>
  <c r="I1958" i="1"/>
  <c r="J1957" i="1"/>
  <c r="I1957" i="1"/>
  <c r="I1956" i="1"/>
  <c r="I1955" i="1"/>
  <c r="I1954" i="1"/>
  <c r="J1953" i="1"/>
  <c r="I1953" i="1"/>
  <c r="J1952" i="1"/>
  <c r="I1952" i="1"/>
  <c r="I1951" i="1"/>
  <c r="I1950" i="1"/>
  <c r="I1949" i="1"/>
  <c r="I1948" i="1"/>
  <c r="I1947" i="1"/>
  <c r="I1946" i="1"/>
  <c r="I1945" i="1"/>
  <c r="I1944" i="1"/>
  <c r="I1943" i="1"/>
  <c r="I1942" i="1"/>
  <c r="I1941" i="1"/>
  <c r="I1940" i="1"/>
  <c r="I1939" i="1"/>
  <c r="I1938" i="1"/>
  <c r="I1937" i="1"/>
  <c r="I1936" i="1"/>
  <c r="I1935" i="1"/>
  <c r="I1934" i="1"/>
  <c r="I1933" i="1"/>
  <c r="I1932" i="1"/>
  <c r="J1931" i="1"/>
  <c r="I1931" i="1"/>
  <c r="J1930" i="1"/>
  <c r="I1930" i="1"/>
  <c r="J1929" i="1"/>
  <c r="I1929" i="1"/>
  <c r="I1928" i="1"/>
  <c r="J1927" i="1"/>
  <c r="I1927" i="1"/>
  <c r="J1926" i="1"/>
  <c r="I1926" i="1"/>
  <c r="J1925" i="1"/>
  <c r="I1925" i="1"/>
  <c r="J1924" i="1"/>
  <c r="I1924" i="1"/>
  <c r="J1923" i="1"/>
  <c r="I1923" i="1"/>
  <c r="J1922" i="1"/>
  <c r="I1922" i="1"/>
  <c r="J1921" i="1"/>
  <c r="I1921" i="1"/>
  <c r="J1920" i="1"/>
  <c r="I1920" i="1"/>
  <c r="J1919" i="1"/>
  <c r="I1919" i="1"/>
  <c r="I1918" i="1"/>
  <c r="I1917" i="1"/>
  <c r="I1916" i="1"/>
  <c r="I1915" i="1"/>
  <c r="I1914" i="1"/>
  <c r="I1913" i="1"/>
  <c r="I1912" i="1"/>
  <c r="I1911" i="1"/>
  <c r="J1910" i="1"/>
  <c r="I1910" i="1"/>
  <c r="I1909" i="1"/>
  <c r="I1908" i="1"/>
  <c r="I1907" i="1"/>
  <c r="I1906" i="1"/>
  <c r="I1905" i="1"/>
  <c r="I1904" i="1"/>
  <c r="I1903" i="1"/>
  <c r="I1902" i="1"/>
  <c r="I1901" i="1"/>
  <c r="I1900" i="1"/>
  <c r="I1899" i="1"/>
  <c r="I1898" i="1"/>
  <c r="I1897" i="1"/>
  <c r="I1896" i="1"/>
  <c r="I1895" i="1"/>
  <c r="I1894" i="1"/>
  <c r="I1893" i="1"/>
  <c r="I1892" i="1"/>
  <c r="I1891" i="1"/>
  <c r="I1890" i="1"/>
  <c r="I1889" i="1"/>
  <c r="I1888" i="1"/>
  <c r="J1887" i="1"/>
  <c r="I1887" i="1"/>
  <c r="J1886" i="1"/>
  <c r="I1886" i="1"/>
  <c r="I1884" i="1"/>
  <c r="I1883" i="1"/>
  <c r="I1882" i="1"/>
  <c r="I1881" i="1"/>
  <c r="I1880" i="1"/>
  <c r="J1879" i="1"/>
  <c r="I1879" i="1"/>
  <c r="J1878" i="1"/>
  <c r="I1878" i="1"/>
  <c r="J1877" i="1"/>
  <c r="I1877" i="1"/>
  <c r="J1876" i="1"/>
  <c r="I1876" i="1"/>
  <c r="J1875" i="1"/>
  <c r="I1875" i="1"/>
  <c r="I1874" i="1"/>
  <c r="I1873" i="1"/>
  <c r="I1872" i="1"/>
  <c r="I1871" i="1"/>
  <c r="I1870" i="1"/>
  <c r="I1869" i="1"/>
  <c r="I1868" i="1"/>
  <c r="I1867" i="1"/>
  <c r="I1866" i="1"/>
  <c r="I1865" i="1"/>
  <c r="I1864" i="1"/>
  <c r="I1863" i="1"/>
  <c r="I1862" i="1"/>
  <c r="I1861" i="1"/>
  <c r="J1860" i="1"/>
  <c r="I1860" i="1"/>
  <c r="J1859" i="1"/>
  <c r="I1859" i="1"/>
  <c r="J1858" i="1"/>
  <c r="I1858" i="1"/>
  <c r="J1857" i="1"/>
  <c r="I1857" i="1"/>
  <c r="I1856" i="1"/>
  <c r="I1855" i="1"/>
  <c r="I1854" i="1"/>
  <c r="I1853" i="1"/>
  <c r="I1852" i="1"/>
  <c r="I1851" i="1"/>
  <c r="I1850" i="1"/>
  <c r="I1849" i="1"/>
  <c r="I1848" i="1"/>
  <c r="I1847" i="1"/>
  <c r="I1846" i="1"/>
  <c r="I1845" i="1"/>
  <c r="I1844" i="1"/>
  <c r="I1843" i="1"/>
  <c r="I1842" i="1"/>
  <c r="I1841" i="1"/>
  <c r="I1840" i="1"/>
  <c r="I1839" i="1"/>
  <c r="I1838" i="1"/>
  <c r="I1837" i="1"/>
  <c r="I1836" i="1"/>
  <c r="I1835" i="1"/>
  <c r="I1834" i="1"/>
  <c r="J1833" i="1"/>
  <c r="I1833" i="1"/>
  <c r="I1832" i="1"/>
  <c r="J1831" i="1"/>
  <c r="I1831" i="1"/>
  <c r="J1830" i="1"/>
  <c r="I1830" i="1"/>
  <c r="J1829" i="1"/>
  <c r="I1829" i="1"/>
  <c r="J1828" i="1"/>
  <c r="I1828" i="1"/>
  <c r="J1827" i="1"/>
  <c r="I1827" i="1"/>
  <c r="J1826" i="1"/>
  <c r="I1826" i="1"/>
  <c r="J1825" i="1"/>
  <c r="I1825" i="1"/>
  <c r="J1824" i="1"/>
  <c r="I1824" i="1"/>
  <c r="I1823" i="1"/>
  <c r="J1822" i="1"/>
  <c r="I1822" i="1"/>
  <c r="J1821" i="1"/>
  <c r="I1821" i="1"/>
  <c r="J1820" i="1"/>
  <c r="I1820" i="1"/>
  <c r="I1819" i="1"/>
  <c r="J1818" i="1"/>
  <c r="I1818" i="1"/>
  <c r="I1817" i="1"/>
  <c r="I1816" i="1"/>
  <c r="I1815" i="1"/>
  <c r="J1814" i="1"/>
  <c r="I1814" i="1"/>
  <c r="J1813" i="1"/>
  <c r="I1813" i="1"/>
  <c r="J1812" i="1"/>
  <c r="I1812" i="1"/>
  <c r="J1811" i="1"/>
  <c r="I1811" i="1"/>
  <c r="I1810" i="1"/>
  <c r="I1809" i="1"/>
  <c r="I1808" i="1"/>
  <c r="I1807" i="1"/>
  <c r="I1806" i="1"/>
  <c r="J1805" i="1"/>
  <c r="I1805" i="1"/>
  <c r="J1804" i="1"/>
  <c r="I1804" i="1"/>
  <c r="J1803" i="1"/>
  <c r="I1803" i="1"/>
  <c r="J1802" i="1"/>
  <c r="I1802" i="1"/>
  <c r="J1801" i="1"/>
  <c r="I1801" i="1"/>
  <c r="J1800" i="1"/>
  <c r="I1800" i="1"/>
  <c r="I1799" i="1"/>
  <c r="I1798" i="1"/>
  <c r="I1797" i="1"/>
  <c r="I1796" i="1"/>
  <c r="I1795" i="1"/>
  <c r="I1794" i="1"/>
  <c r="I1793" i="1"/>
  <c r="I1792" i="1"/>
  <c r="I1791" i="1"/>
  <c r="I1790" i="1"/>
  <c r="I1789" i="1"/>
  <c r="I1788" i="1"/>
  <c r="I1787" i="1"/>
  <c r="J1786" i="1"/>
  <c r="I1786" i="1"/>
  <c r="I1785" i="1"/>
  <c r="I1784" i="1"/>
  <c r="I1783" i="1"/>
  <c r="I1782" i="1"/>
  <c r="I1781" i="1"/>
  <c r="I1780" i="1"/>
  <c r="I1779" i="1"/>
  <c r="I1778" i="1"/>
  <c r="I1777" i="1"/>
  <c r="I1776" i="1"/>
  <c r="I1775" i="1"/>
  <c r="I1774" i="1"/>
  <c r="I1773" i="1"/>
  <c r="I1772" i="1"/>
  <c r="I1771" i="1"/>
  <c r="I1770" i="1"/>
  <c r="I1769" i="1"/>
  <c r="I1768" i="1"/>
  <c r="I1767" i="1"/>
  <c r="I1766" i="1"/>
  <c r="I1765" i="1"/>
  <c r="I1764" i="1"/>
  <c r="I1763" i="1"/>
  <c r="I1762" i="1"/>
  <c r="I1761" i="1"/>
  <c r="I1760" i="1"/>
  <c r="I1759" i="1"/>
  <c r="I1758" i="1"/>
  <c r="I1757" i="1"/>
  <c r="I1756" i="1"/>
  <c r="I1755" i="1"/>
  <c r="I1754" i="1"/>
  <c r="J1753" i="1"/>
  <c r="I1753" i="1"/>
  <c r="J1752" i="1"/>
  <c r="I1752" i="1"/>
  <c r="I1751" i="1"/>
  <c r="J1750" i="1"/>
  <c r="I1750" i="1"/>
  <c r="I1749" i="1"/>
  <c r="I1748" i="1"/>
  <c r="J1747" i="1"/>
  <c r="I1747" i="1"/>
  <c r="J1746" i="1"/>
  <c r="I1746" i="1"/>
  <c r="J1745" i="1"/>
  <c r="I1745" i="1"/>
  <c r="J1744" i="1"/>
  <c r="I1744" i="1"/>
  <c r="J1743" i="1"/>
  <c r="I1743" i="1"/>
  <c r="J1742" i="1"/>
  <c r="I1742" i="1"/>
  <c r="I1741" i="1"/>
  <c r="I1740" i="1"/>
  <c r="I1739" i="1"/>
  <c r="I1738" i="1"/>
  <c r="I1737" i="1"/>
  <c r="I1736" i="1"/>
  <c r="I1735" i="1"/>
  <c r="I1734" i="1"/>
  <c r="I1733" i="1"/>
  <c r="I1732" i="1"/>
  <c r="I1731" i="1"/>
  <c r="I1730" i="1"/>
  <c r="I1729" i="1"/>
  <c r="I1728" i="1"/>
  <c r="I1727" i="1"/>
  <c r="I1726" i="1"/>
  <c r="I1725" i="1"/>
  <c r="I1724" i="1"/>
  <c r="I1723" i="1"/>
  <c r="I1722" i="1"/>
  <c r="I1721" i="1"/>
  <c r="I1720" i="1"/>
  <c r="I1719" i="1"/>
  <c r="I1718" i="1"/>
  <c r="I1717" i="1"/>
  <c r="I1716" i="1"/>
  <c r="J1715" i="1"/>
  <c r="I1715" i="1"/>
  <c r="J1714" i="1"/>
  <c r="I1714" i="1"/>
  <c r="I1713" i="1"/>
  <c r="I1712" i="1"/>
  <c r="I1711" i="1"/>
  <c r="I1710" i="1"/>
  <c r="I1709" i="1"/>
  <c r="I1708" i="1"/>
  <c r="I1707" i="1"/>
  <c r="J1706" i="1"/>
  <c r="I1706" i="1"/>
  <c r="J1705" i="1"/>
  <c r="I1705" i="1"/>
  <c r="J1704" i="1"/>
  <c r="I1704" i="1"/>
  <c r="J1703" i="1"/>
  <c r="I1703" i="1"/>
  <c r="J1702" i="1"/>
  <c r="I1702" i="1"/>
  <c r="J1701" i="1"/>
  <c r="I1701" i="1"/>
  <c r="J1700" i="1"/>
  <c r="I1700" i="1"/>
  <c r="J1699" i="1"/>
  <c r="I1699" i="1"/>
  <c r="I1698" i="1"/>
  <c r="J1697" i="1"/>
  <c r="I1697" i="1"/>
  <c r="I1696" i="1"/>
  <c r="I1695" i="1"/>
  <c r="J1694" i="1"/>
  <c r="I1694" i="1"/>
  <c r="J1693" i="1"/>
  <c r="I1693" i="1"/>
  <c r="J1692" i="1"/>
  <c r="I1692" i="1"/>
  <c r="J1691" i="1"/>
  <c r="I1691" i="1"/>
  <c r="J1690" i="1"/>
  <c r="I1690" i="1"/>
  <c r="J1689" i="1"/>
  <c r="I1689" i="1"/>
  <c r="J1688" i="1"/>
  <c r="I1688" i="1"/>
  <c r="J1687" i="1"/>
  <c r="I1687" i="1"/>
  <c r="J1686" i="1"/>
  <c r="I1686" i="1"/>
  <c r="I1685" i="1"/>
  <c r="I1684" i="1"/>
  <c r="I1683" i="1"/>
  <c r="I1682" i="1"/>
  <c r="I1681" i="1"/>
  <c r="I1680" i="1"/>
  <c r="I1679" i="1"/>
  <c r="I1678" i="1"/>
  <c r="I1677" i="1"/>
  <c r="I1676" i="1"/>
  <c r="I1675" i="1"/>
  <c r="I1674" i="1"/>
  <c r="I1673" i="1"/>
  <c r="I1672" i="1"/>
  <c r="I1671" i="1"/>
  <c r="I1670" i="1"/>
  <c r="I1669" i="1"/>
  <c r="I1668" i="1"/>
  <c r="I1667" i="1"/>
  <c r="I1666" i="1"/>
  <c r="I1665" i="1"/>
  <c r="I1664" i="1"/>
  <c r="J1663" i="1"/>
  <c r="I1663" i="1"/>
  <c r="J1662" i="1"/>
  <c r="I1662" i="1"/>
  <c r="J1661" i="1"/>
  <c r="I1661" i="1"/>
  <c r="I1660" i="1"/>
  <c r="J1659" i="1"/>
  <c r="I1659" i="1"/>
  <c r="I1658" i="1"/>
  <c r="I1657" i="1"/>
  <c r="I1656" i="1"/>
  <c r="I1655" i="1"/>
  <c r="I1654" i="1"/>
  <c r="I1653" i="1"/>
  <c r="I1652" i="1"/>
  <c r="I1651" i="1"/>
  <c r="I1650" i="1"/>
  <c r="I1649" i="1"/>
  <c r="I1648" i="1"/>
  <c r="I1647" i="1"/>
  <c r="I1646" i="1"/>
  <c r="I1645" i="1"/>
  <c r="I1644" i="1"/>
  <c r="I1643" i="1"/>
  <c r="I1642" i="1"/>
  <c r="I1641" i="1"/>
  <c r="I1640" i="1"/>
  <c r="I1639" i="1"/>
  <c r="J1638" i="1"/>
  <c r="I1638" i="1"/>
  <c r="J1637" i="1"/>
  <c r="I1637" i="1"/>
  <c r="J1636" i="1"/>
  <c r="I1636" i="1"/>
  <c r="J1635" i="1"/>
  <c r="I1635" i="1"/>
  <c r="I1634" i="1"/>
  <c r="I1633" i="1"/>
  <c r="I1632" i="1"/>
  <c r="I1631" i="1"/>
  <c r="I1630" i="1"/>
  <c r="I1629" i="1"/>
  <c r="I1628" i="1"/>
  <c r="I1627" i="1"/>
  <c r="I1626" i="1"/>
  <c r="I1625" i="1"/>
  <c r="J1624" i="1"/>
  <c r="I1624" i="1"/>
  <c r="I1623" i="1"/>
  <c r="J1622" i="1"/>
  <c r="I1622" i="1"/>
  <c r="J1621" i="1"/>
  <c r="I1621" i="1"/>
  <c r="J1620" i="1"/>
  <c r="I1620" i="1"/>
  <c r="J1619" i="1"/>
  <c r="I1619" i="1"/>
  <c r="J1618" i="1"/>
  <c r="I1618" i="1"/>
  <c r="J1617" i="1"/>
  <c r="I1617" i="1"/>
  <c r="J1616" i="1"/>
  <c r="I1616" i="1"/>
  <c r="J1615" i="1"/>
  <c r="I1615" i="1"/>
  <c r="J1614" i="1"/>
  <c r="I1614" i="1"/>
  <c r="J1613" i="1"/>
  <c r="I1613" i="1"/>
  <c r="J1612" i="1"/>
  <c r="I1612" i="1"/>
  <c r="J1611" i="1"/>
  <c r="I1611" i="1"/>
  <c r="I1610" i="1"/>
  <c r="I1609" i="1"/>
  <c r="I1608" i="1"/>
  <c r="J1607" i="1"/>
  <c r="I1607" i="1"/>
  <c r="J1606" i="1"/>
  <c r="I1606" i="1"/>
  <c r="I1605" i="1"/>
  <c r="I1604" i="1"/>
  <c r="I1603" i="1"/>
  <c r="I1602" i="1"/>
  <c r="J1601" i="1"/>
  <c r="I1601" i="1"/>
  <c r="J1600" i="1"/>
  <c r="I1600" i="1"/>
  <c r="J1599" i="1"/>
  <c r="I1599" i="1"/>
  <c r="J1598" i="1"/>
  <c r="I1598" i="1"/>
  <c r="I1597" i="1"/>
  <c r="I1596" i="1"/>
  <c r="I1595" i="1"/>
  <c r="I1594" i="1"/>
  <c r="I1593" i="1"/>
  <c r="J1592" i="1"/>
  <c r="I1592" i="1"/>
  <c r="J1591" i="1"/>
  <c r="I1591" i="1"/>
  <c r="J1590" i="1"/>
  <c r="I1590" i="1"/>
  <c r="J1589" i="1"/>
  <c r="I1589" i="1"/>
  <c r="J1588" i="1"/>
  <c r="I1588" i="1"/>
  <c r="J1587" i="1"/>
  <c r="I1587" i="1"/>
  <c r="I1586" i="1"/>
  <c r="I1585" i="1"/>
  <c r="I1584" i="1"/>
  <c r="I1583" i="1"/>
  <c r="I1582" i="1"/>
  <c r="I1581" i="1"/>
  <c r="I1580" i="1"/>
  <c r="I1579" i="1"/>
  <c r="I1578" i="1"/>
  <c r="I1577" i="1"/>
  <c r="I1576" i="1"/>
  <c r="I1575" i="1"/>
  <c r="I1574" i="1"/>
  <c r="I1573" i="1"/>
  <c r="I1572" i="1"/>
  <c r="I1571" i="1"/>
  <c r="I1570" i="1"/>
  <c r="I1569" i="1"/>
  <c r="I1568" i="1"/>
  <c r="I1567" i="1"/>
  <c r="I1566" i="1"/>
  <c r="I1565" i="1"/>
  <c r="I1564" i="1"/>
  <c r="I1563" i="1"/>
  <c r="I1562" i="1"/>
  <c r="I1561" i="1"/>
  <c r="I1560" i="1"/>
  <c r="I1559" i="1"/>
  <c r="I1558" i="1"/>
  <c r="I1557" i="1"/>
  <c r="I1556" i="1"/>
  <c r="J1555" i="1"/>
  <c r="I1555" i="1"/>
  <c r="J1554" i="1"/>
  <c r="I1554" i="1"/>
  <c r="J1553" i="1"/>
  <c r="I1553" i="1"/>
  <c r="J1552" i="1"/>
  <c r="I1552" i="1"/>
  <c r="J1551" i="1"/>
  <c r="I1551" i="1"/>
  <c r="J1550" i="1"/>
  <c r="I1550" i="1"/>
  <c r="I1549" i="1"/>
  <c r="I1548" i="1"/>
  <c r="J1547" i="1"/>
  <c r="I1547" i="1"/>
  <c r="I1546" i="1"/>
  <c r="I1545" i="1"/>
  <c r="I1544" i="1"/>
  <c r="I1543" i="1"/>
  <c r="I1542" i="1"/>
  <c r="I1541" i="1"/>
  <c r="I1540" i="1"/>
  <c r="I1539" i="1"/>
  <c r="I1538" i="1"/>
  <c r="I1537" i="1"/>
  <c r="I1536" i="1"/>
  <c r="I1535" i="1"/>
  <c r="I1534" i="1"/>
  <c r="I1533" i="1"/>
  <c r="I1532" i="1"/>
  <c r="I1531" i="1"/>
  <c r="I1530" i="1"/>
  <c r="I1529" i="1"/>
  <c r="J1528" i="1"/>
  <c r="I1528" i="1"/>
  <c r="I1527" i="1"/>
  <c r="I1526" i="1"/>
  <c r="I1525" i="1"/>
  <c r="I1524" i="1"/>
  <c r="I1523" i="1"/>
  <c r="I1522" i="1"/>
  <c r="I1521" i="1"/>
  <c r="I1520" i="1"/>
  <c r="I1519" i="1"/>
  <c r="I1518" i="1"/>
  <c r="I1517" i="1"/>
  <c r="J1516" i="1"/>
  <c r="I1516" i="1"/>
  <c r="J1515" i="1"/>
  <c r="I1515" i="1"/>
  <c r="I1514" i="1"/>
  <c r="I1513" i="1"/>
  <c r="I1512" i="1"/>
  <c r="I1511" i="1"/>
  <c r="I1510" i="1"/>
  <c r="I1509" i="1"/>
  <c r="J1508" i="1"/>
  <c r="I1508" i="1"/>
  <c r="J1507" i="1"/>
  <c r="I1507" i="1"/>
  <c r="J1506" i="1"/>
  <c r="I1506" i="1"/>
  <c r="I1505" i="1"/>
  <c r="I1504" i="1"/>
  <c r="I1503" i="1"/>
  <c r="I1502" i="1"/>
  <c r="I1501" i="1"/>
  <c r="I1500" i="1"/>
  <c r="I1499" i="1"/>
  <c r="I1498" i="1"/>
  <c r="I1497" i="1"/>
  <c r="J1496" i="1"/>
  <c r="I1496" i="1"/>
  <c r="I1495" i="1"/>
  <c r="I1494" i="1"/>
  <c r="I1493" i="1"/>
  <c r="I1492" i="1"/>
  <c r="I1491" i="1"/>
  <c r="I1490" i="1"/>
  <c r="I1489" i="1"/>
  <c r="I1488" i="1"/>
  <c r="I1487" i="1"/>
  <c r="I1486" i="1"/>
  <c r="I1485" i="1"/>
  <c r="I1484" i="1"/>
  <c r="I1483" i="1"/>
  <c r="I1482" i="1"/>
  <c r="I1481" i="1"/>
  <c r="I1480" i="1"/>
  <c r="I1479" i="1"/>
  <c r="I1478" i="1"/>
  <c r="I1477" i="1"/>
  <c r="I1476" i="1"/>
  <c r="I1475" i="1"/>
  <c r="I1474" i="1"/>
  <c r="J1473" i="1"/>
  <c r="I1473" i="1"/>
  <c r="J1472" i="1"/>
  <c r="I1472" i="1"/>
  <c r="I1471" i="1"/>
  <c r="I1470" i="1"/>
  <c r="I1469" i="1"/>
  <c r="J1468" i="1"/>
  <c r="I1468" i="1"/>
  <c r="J1467" i="1"/>
  <c r="I1467" i="1"/>
  <c r="J1466" i="1"/>
  <c r="I1466" i="1"/>
  <c r="J1465" i="1"/>
  <c r="I1465" i="1"/>
  <c r="I1464" i="1"/>
  <c r="I1463" i="1"/>
  <c r="I1462" i="1"/>
  <c r="I1461" i="1"/>
  <c r="J1460" i="1"/>
  <c r="I1460" i="1"/>
  <c r="I1459" i="1"/>
  <c r="I1458" i="1"/>
  <c r="I1457" i="1"/>
  <c r="I1456" i="1"/>
  <c r="I1455" i="1"/>
  <c r="I1454" i="1"/>
  <c r="I1453" i="1"/>
  <c r="I1452" i="1"/>
  <c r="I1451" i="1"/>
  <c r="I1450" i="1"/>
  <c r="I1449" i="1"/>
  <c r="I1448" i="1"/>
  <c r="J1447" i="1"/>
  <c r="I1447" i="1"/>
  <c r="I1446" i="1"/>
  <c r="I1445" i="1"/>
  <c r="I1444" i="1"/>
  <c r="I1443" i="1"/>
  <c r="I1442" i="1"/>
  <c r="I1441" i="1"/>
  <c r="I1440" i="1"/>
  <c r="I1439" i="1"/>
  <c r="I1438" i="1"/>
  <c r="I1437" i="1"/>
  <c r="I1436" i="1"/>
  <c r="I1435" i="1"/>
  <c r="I1434" i="1"/>
  <c r="J1433" i="1"/>
  <c r="I1433" i="1"/>
  <c r="J1432" i="1"/>
  <c r="I1432" i="1"/>
  <c r="I1431" i="1"/>
  <c r="I1430" i="1"/>
  <c r="I1429" i="1"/>
  <c r="I1428" i="1"/>
  <c r="I1427" i="1"/>
  <c r="I1426" i="1"/>
  <c r="I1425" i="1"/>
  <c r="I1424" i="1"/>
  <c r="I1423" i="1"/>
  <c r="I1422" i="1"/>
  <c r="I1421" i="1"/>
  <c r="I1420" i="1"/>
  <c r="I1419" i="1"/>
  <c r="I1418" i="1"/>
  <c r="I1417" i="1"/>
  <c r="I1416" i="1"/>
  <c r="J1415" i="1"/>
  <c r="I1415" i="1"/>
  <c r="J1414" i="1"/>
  <c r="I1414" i="1"/>
  <c r="J1413" i="1"/>
  <c r="I1413" i="1"/>
  <c r="I1412" i="1"/>
  <c r="J1411" i="1"/>
  <c r="I1411" i="1"/>
  <c r="J1410" i="1"/>
  <c r="I1410" i="1"/>
  <c r="I1409" i="1"/>
  <c r="I1408" i="1"/>
  <c r="I1407" i="1"/>
  <c r="I1406" i="1"/>
  <c r="I1405" i="1"/>
  <c r="I1404" i="1"/>
  <c r="I1403" i="1"/>
  <c r="I1402" i="1"/>
  <c r="I1401" i="1"/>
  <c r="I1400" i="1"/>
  <c r="I1399" i="1"/>
  <c r="I1398" i="1"/>
  <c r="I1397" i="1"/>
  <c r="I1396" i="1"/>
  <c r="I1395" i="1"/>
  <c r="I1394" i="1"/>
  <c r="I1393" i="1"/>
  <c r="I1392" i="1"/>
  <c r="I1391" i="1"/>
  <c r="I1390" i="1"/>
  <c r="I1389" i="1"/>
  <c r="I1388" i="1"/>
  <c r="I1387" i="1"/>
  <c r="J1386" i="1"/>
  <c r="I1386" i="1"/>
  <c r="I1385" i="1"/>
  <c r="J1384" i="1"/>
  <c r="I1384" i="1"/>
  <c r="I1383" i="1"/>
  <c r="I1382" i="1"/>
  <c r="I1381" i="1"/>
  <c r="I1380" i="1"/>
  <c r="I1379" i="1"/>
  <c r="I1378" i="1"/>
  <c r="I1377" i="1"/>
  <c r="I1376" i="1"/>
  <c r="I1375" i="1"/>
  <c r="I1374" i="1"/>
  <c r="I1373" i="1"/>
  <c r="I1372" i="1"/>
  <c r="I1371" i="1"/>
  <c r="J1370" i="1"/>
  <c r="I1370" i="1"/>
  <c r="J1369" i="1"/>
  <c r="I1369" i="1"/>
  <c r="I1368" i="1"/>
  <c r="I1367" i="1"/>
  <c r="I1366" i="1"/>
  <c r="I1365" i="1"/>
  <c r="I1364" i="1"/>
  <c r="I1363" i="1"/>
  <c r="I1362" i="1"/>
  <c r="J1361" i="1"/>
  <c r="I1361" i="1"/>
  <c r="J1360" i="1"/>
  <c r="I1360" i="1"/>
  <c r="J1359" i="1"/>
  <c r="I1359" i="1"/>
  <c r="J1358" i="1"/>
  <c r="I1358" i="1"/>
  <c r="J1357" i="1"/>
  <c r="I1357" i="1"/>
  <c r="J1356" i="1"/>
  <c r="I1356" i="1"/>
  <c r="J1355" i="1"/>
  <c r="I1355" i="1"/>
  <c r="I1354" i="1"/>
  <c r="I1353" i="1"/>
  <c r="J1352" i="1"/>
  <c r="I1352" i="1"/>
  <c r="J1351" i="1"/>
  <c r="I1351" i="1"/>
  <c r="J1350" i="1"/>
  <c r="I1350" i="1"/>
  <c r="I1349" i="1"/>
  <c r="I1348" i="1"/>
  <c r="I1347" i="1"/>
  <c r="I1346" i="1"/>
  <c r="J1345" i="1"/>
  <c r="I1345" i="1"/>
  <c r="J1344" i="1"/>
  <c r="I1344" i="1"/>
  <c r="J1343" i="1"/>
  <c r="I1343" i="1"/>
  <c r="J1342" i="1"/>
  <c r="I1342" i="1"/>
  <c r="I1341" i="1"/>
  <c r="I1340" i="1"/>
  <c r="I1339" i="1"/>
  <c r="I1338" i="1"/>
  <c r="I1337" i="1"/>
  <c r="J1336" i="1"/>
  <c r="I1336" i="1"/>
  <c r="J1335" i="1"/>
  <c r="I1335" i="1"/>
  <c r="J1334" i="1"/>
  <c r="I1334" i="1"/>
  <c r="J1333" i="1"/>
  <c r="I1333" i="1"/>
  <c r="J1332" i="1"/>
  <c r="I1332" i="1"/>
  <c r="I1331" i="1"/>
  <c r="I1330" i="1"/>
  <c r="I1329" i="1"/>
  <c r="I1328" i="1"/>
  <c r="I1327" i="1"/>
  <c r="I1326" i="1"/>
  <c r="I1325" i="1"/>
  <c r="I1324" i="1"/>
  <c r="I1323" i="1"/>
  <c r="I1322" i="1"/>
  <c r="I1321" i="1"/>
  <c r="I1320" i="1"/>
  <c r="I1319" i="1"/>
  <c r="J1318" i="1"/>
  <c r="I1318" i="1"/>
  <c r="I1317" i="1"/>
  <c r="I1316" i="1"/>
  <c r="I1315" i="1"/>
  <c r="I1314" i="1"/>
  <c r="I1313" i="1"/>
  <c r="I1312" i="1"/>
  <c r="I1311" i="1"/>
  <c r="I1310" i="1"/>
  <c r="I1309" i="1"/>
  <c r="I1308" i="1"/>
  <c r="I1307" i="1"/>
  <c r="J1306" i="1"/>
  <c r="I1306" i="1"/>
  <c r="J1305" i="1"/>
  <c r="I1305" i="1"/>
  <c r="J1304" i="1"/>
  <c r="I1304" i="1"/>
  <c r="J1303" i="1"/>
  <c r="I1303" i="1"/>
  <c r="J1302" i="1"/>
  <c r="I1302" i="1"/>
  <c r="J1301" i="1"/>
  <c r="I1301" i="1"/>
  <c r="I1300" i="1"/>
  <c r="I1299" i="1"/>
  <c r="I1298" i="1"/>
  <c r="I1297" i="1"/>
  <c r="I1296" i="1"/>
  <c r="I1295" i="1"/>
  <c r="I1294" i="1"/>
  <c r="I1293" i="1"/>
  <c r="I1292" i="1"/>
  <c r="I1291" i="1"/>
  <c r="I1290" i="1"/>
  <c r="I1289" i="1"/>
  <c r="I1288" i="1"/>
  <c r="I1287" i="1"/>
  <c r="I1286" i="1"/>
  <c r="I1285" i="1"/>
  <c r="I1284" i="1"/>
  <c r="I1283" i="1"/>
  <c r="J1282" i="1"/>
  <c r="I1282" i="1"/>
  <c r="J1281" i="1"/>
  <c r="I1281" i="1"/>
  <c r="J1280" i="1"/>
  <c r="I1280" i="1"/>
  <c r="I1279" i="1"/>
  <c r="I1278" i="1"/>
  <c r="I1277" i="1"/>
  <c r="I1276" i="1"/>
  <c r="I1275" i="1"/>
  <c r="I1274" i="1"/>
  <c r="I1273" i="1"/>
  <c r="I1272" i="1"/>
  <c r="I1271" i="1"/>
  <c r="I1270" i="1"/>
  <c r="J1269" i="1"/>
  <c r="I1269" i="1"/>
  <c r="J1268" i="1"/>
  <c r="I1268" i="1"/>
  <c r="I1267" i="1"/>
  <c r="J1266" i="1"/>
  <c r="I1266" i="1"/>
  <c r="I1265" i="1"/>
  <c r="I1264" i="1"/>
  <c r="I1263" i="1"/>
  <c r="I1262" i="1"/>
  <c r="I1261" i="1"/>
  <c r="I1260" i="1"/>
  <c r="I1259" i="1"/>
  <c r="I1258" i="1"/>
  <c r="I1257" i="1"/>
  <c r="I1256" i="1"/>
  <c r="I1255" i="1"/>
  <c r="I1254" i="1"/>
  <c r="I1253" i="1"/>
  <c r="I1252" i="1"/>
  <c r="I1251" i="1"/>
  <c r="I1250" i="1"/>
  <c r="I1249" i="1"/>
  <c r="I1248" i="1"/>
  <c r="J1247" i="1"/>
  <c r="I1247" i="1"/>
  <c r="J1246" i="1"/>
  <c r="I1246" i="1"/>
  <c r="I1245" i="1"/>
  <c r="I1244" i="1"/>
  <c r="I1243" i="1"/>
  <c r="I1242" i="1"/>
  <c r="I1241" i="1"/>
  <c r="I1240" i="1"/>
  <c r="I1239" i="1"/>
  <c r="I1238" i="1"/>
  <c r="I1237" i="1"/>
  <c r="I1236" i="1"/>
  <c r="I1235" i="1"/>
  <c r="I1234" i="1"/>
  <c r="J1233" i="1"/>
  <c r="I1233" i="1"/>
  <c r="I1232" i="1"/>
  <c r="J1231" i="1"/>
  <c r="I1231" i="1"/>
  <c r="J1230" i="1"/>
  <c r="I1230" i="1"/>
  <c r="J1229" i="1"/>
  <c r="I1229" i="1"/>
  <c r="J1228" i="1"/>
  <c r="I1228" i="1"/>
  <c r="J1227" i="1"/>
  <c r="I1227" i="1"/>
  <c r="J1226" i="1"/>
  <c r="I1226" i="1"/>
  <c r="J1225" i="1"/>
  <c r="I1225" i="1"/>
  <c r="J1224" i="1"/>
  <c r="I1224" i="1"/>
  <c r="J1223" i="1"/>
  <c r="I1223" i="1"/>
  <c r="J1222" i="1"/>
  <c r="I1222" i="1"/>
  <c r="I1221" i="1"/>
  <c r="I1220" i="1"/>
  <c r="I1219" i="1"/>
  <c r="J1218" i="1"/>
  <c r="I1218" i="1"/>
  <c r="I1217" i="1"/>
  <c r="I1216" i="1"/>
  <c r="I1215" i="1"/>
  <c r="I1214" i="1"/>
  <c r="I1213" i="1"/>
  <c r="I1212" i="1"/>
  <c r="I1211" i="1"/>
  <c r="I1210" i="1"/>
  <c r="I1209" i="1"/>
  <c r="I1208" i="1"/>
  <c r="J1207" i="1"/>
  <c r="I1207" i="1"/>
  <c r="I1206" i="1"/>
  <c r="I1205" i="1"/>
  <c r="I1204" i="1"/>
  <c r="I1203" i="1"/>
  <c r="I1202" i="1"/>
  <c r="I1201" i="1"/>
  <c r="I1200" i="1"/>
  <c r="I1199" i="1"/>
  <c r="I1198" i="1"/>
  <c r="I1197" i="1"/>
  <c r="I1196" i="1"/>
  <c r="I1195" i="1"/>
  <c r="I1194" i="1"/>
  <c r="J1193" i="1"/>
  <c r="I1193" i="1"/>
  <c r="I1192" i="1"/>
  <c r="J1191" i="1"/>
  <c r="I1191" i="1"/>
  <c r="I1190" i="1"/>
  <c r="I1189" i="1"/>
  <c r="I1188" i="1"/>
  <c r="J1187" i="1"/>
  <c r="I1187" i="1"/>
  <c r="I1186" i="1"/>
  <c r="I1185" i="1"/>
  <c r="I1184" i="1"/>
  <c r="I1183" i="1"/>
  <c r="I1182" i="1"/>
  <c r="I1181" i="1"/>
  <c r="I1180" i="1"/>
  <c r="I1179" i="1"/>
  <c r="I1178" i="1"/>
  <c r="I1177" i="1"/>
  <c r="I1176" i="1"/>
  <c r="I1175" i="1"/>
  <c r="I1174" i="1"/>
  <c r="I1173" i="1"/>
  <c r="I1172" i="1"/>
  <c r="J1171" i="1"/>
  <c r="I1171" i="1"/>
  <c r="J1170" i="1"/>
  <c r="I1170" i="1"/>
  <c r="J1169" i="1"/>
  <c r="I1169" i="1"/>
  <c r="J1168" i="1"/>
  <c r="I1168" i="1"/>
  <c r="J1167" i="1"/>
  <c r="I1167" i="1"/>
  <c r="J1166" i="1"/>
  <c r="I1166" i="1"/>
  <c r="J1165" i="1"/>
  <c r="I1165" i="1"/>
  <c r="J1164" i="1"/>
  <c r="I1164" i="1"/>
  <c r="I1163" i="1"/>
  <c r="I1162" i="1"/>
  <c r="I1161" i="1"/>
  <c r="I1160" i="1"/>
  <c r="I1159" i="1"/>
  <c r="I1158" i="1"/>
  <c r="J1157" i="1"/>
  <c r="I1157" i="1"/>
  <c r="J1156" i="1"/>
  <c r="I1156" i="1"/>
  <c r="J1155" i="1"/>
  <c r="I1155" i="1"/>
  <c r="J1154" i="1"/>
  <c r="I1154" i="1"/>
  <c r="J1153" i="1"/>
  <c r="I1153" i="1"/>
  <c r="J1152" i="1"/>
  <c r="I1152" i="1"/>
  <c r="J1151" i="1"/>
  <c r="I1151" i="1"/>
  <c r="J1150" i="1"/>
  <c r="I1150" i="1"/>
  <c r="J1149" i="1"/>
  <c r="I1149" i="1"/>
  <c r="I1148" i="1"/>
  <c r="J1147" i="1"/>
  <c r="I1147" i="1"/>
  <c r="J1146" i="1"/>
  <c r="I1146" i="1"/>
  <c r="J1145" i="1"/>
  <c r="I1145" i="1"/>
  <c r="J1144" i="1"/>
  <c r="I1144" i="1"/>
  <c r="J1143" i="1"/>
  <c r="I1143" i="1"/>
  <c r="J1142" i="1"/>
  <c r="I1142" i="1"/>
  <c r="J1141" i="1"/>
  <c r="I1141" i="1"/>
  <c r="J1140" i="1"/>
  <c r="I1140" i="1"/>
  <c r="J1139" i="1"/>
  <c r="I1139" i="1"/>
  <c r="J1138" i="1"/>
  <c r="I1138" i="1"/>
  <c r="I1137" i="1"/>
  <c r="J1136" i="1"/>
  <c r="I1136" i="1"/>
  <c r="I1135" i="1"/>
  <c r="I1134" i="1"/>
  <c r="I1133" i="1"/>
  <c r="I1132" i="1"/>
  <c r="I1131" i="1"/>
  <c r="I1130" i="1"/>
  <c r="I1129" i="1"/>
  <c r="J1128" i="1"/>
  <c r="I1128" i="1"/>
  <c r="J1127" i="1"/>
  <c r="I1127" i="1"/>
  <c r="J1126" i="1"/>
  <c r="I1126" i="1"/>
  <c r="J1125" i="1"/>
  <c r="I1125" i="1"/>
  <c r="I1124" i="1"/>
  <c r="I1123" i="1"/>
  <c r="I1122" i="1"/>
  <c r="I1121" i="1"/>
  <c r="I1120" i="1"/>
  <c r="J1119" i="1"/>
  <c r="I1119" i="1"/>
  <c r="J1118" i="1"/>
  <c r="I1118" i="1"/>
  <c r="J1117" i="1"/>
  <c r="I1117" i="1"/>
  <c r="J1116" i="1"/>
  <c r="I1116" i="1"/>
  <c r="J1115" i="1"/>
  <c r="I1115" i="1"/>
  <c r="J1114" i="1"/>
  <c r="I1114" i="1"/>
  <c r="J1113" i="1"/>
  <c r="I1113" i="1"/>
  <c r="I1112" i="1"/>
  <c r="I1111" i="1"/>
  <c r="I1110" i="1"/>
  <c r="I1109" i="1"/>
  <c r="I1108" i="1"/>
  <c r="J1107" i="1"/>
  <c r="I1107" i="1"/>
  <c r="I1106" i="1"/>
  <c r="I1105" i="1"/>
  <c r="I1104" i="1"/>
  <c r="I1103" i="1"/>
  <c r="I1102" i="1"/>
  <c r="I1101" i="1"/>
  <c r="I1100" i="1"/>
  <c r="J1099" i="1"/>
  <c r="I1099" i="1"/>
  <c r="I1098" i="1"/>
  <c r="I1097" i="1"/>
  <c r="I1096" i="1"/>
  <c r="I1095" i="1"/>
  <c r="I1094" i="1"/>
  <c r="I1093" i="1"/>
  <c r="I1092" i="1"/>
  <c r="I1091" i="1"/>
  <c r="I1090" i="1"/>
  <c r="I1089" i="1"/>
  <c r="I1088" i="1"/>
  <c r="I1087" i="1"/>
  <c r="I1086" i="1"/>
  <c r="I1085" i="1"/>
  <c r="I1084" i="1"/>
  <c r="I1083" i="1"/>
  <c r="J1082" i="1"/>
  <c r="I1082" i="1"/>
  <c r="J1081" i="1"/>
  <c r="I1081" i="1"/>
  <c r="J1080" i="1"/>
  <c r="I1080" i="1"/>
  <c r="I1079" i="1"/>
  <c r="I1078" i="1"/>
  <c r="I1077" i="1"/>
  <c r="I1076" i="1"/>
  <c r="J1075" i="1"/>
  <c r="I1075" i="1"/>
  <c r="J1074" i="1"/>
  <c r="I1074" i="1"/>
  <c r="J1073" i="1"/>
  <c r="I1073" i="1"/>
  <c r="J1072" i="1"/>
  <c r="I1072" i="1"/>
  <c r="J1071" i="1"/>
  <c r="I1071" i="1"/>
  <c r="J1070" i="1"/>
  <c r="I1070" i="1"/>
  <c r="J1069" i="1"/>
  <c r="I1069" i="1"/>
  <c r="J1068" i="1"/>
  <c r="I1068" i="1"/>
  <c r="I1067" i="1"/>
  <c r="J1066" i="1"/>
  <c r="I1066" i="1"/>
  <c r="I1065" i="1"/>
  <c r="I1064" i="1"/>
  <c r="I1063" i="1"/>
  <c r="I1062" i="1"/>
  <c r="I1061" i="1"/>
  <c r="I1060" i="1"/>
  <c r="I1059" i="1"/>
  <c r="I1058" i="1"/>
  <c r="I1057" i="1"/>
  <c r="I1056" i="1"/>
  <c r="I1055" i="1"/>
  <c r="I1054" i="1"/>
  <c r="I1053" i="1"/>
  <c r="I1052" i="1"/>
  <c r="I1051" i="1"/>
  <c r="I1050" i="1"/>
  <c r="I1049" i="1"/>
  <c r="I1048" i="1"/>
  <c r="I1047" i="1"/>
  <c r="J1046" i="1"/>
  <c r="I1046" i="1"/>
  <c r="J1045" i="1"/>
  <c r="I1045" i="1"/>
  <c r="J1044" i="1"/>
  <c r="I1044" i="1"/>
  <c r="J1043" i="1"/>
  <c r="I1043" i="1"/>
  <c r="J1042" i="1"/>
  <c r="I1042" i="1"/>
  <c r="J1041" i="1"/>
  <c r="I1041" i="1"/>
  <c r="J1040" i="1"/>
  <c r="I1040" i="1"/>
  <c r="J1039" i="1"/>
  <c r="I1039" i="1"/>
  <c r="I1038" i="1"/>
  <c r="I1037" i="1"/>
  <c r="I1036" i="1"/>
  <c r="I1035" i="1"/>
  <c r="I1034" i="1"/>
  <c r="I1033" i="1"/>
  <c r="I1032" i="1"/>
  <c r="I1031" i="1"/>
  <c r="I1030" i="1"/>
  <c r="I1029" i="1"/>
  <c r="I1028" i="1"/>
  <c r="J1027" i="1"/>
  <c r="I1027" i="1"/>
  <c r="I1026" i="1"/>
  <c r="J1025" i="1"/>
  <c r="I1025" i="1"/>
  <c r="J1024" i="1"/>
  <c r="I1024" i="1"/>
  <c r="J1023" i="1"/>
  <c r="I1023" i="1"/>
  <c r="I1022" i="1"/>
  <c r="I1021" i="1"/>
  <c r="I1020" i="1"/>
  <c r="I1019" i="1"/>
  <c r="I1018" i="1"/>
  <c r="I1017" i="1"/>
  <c r="J1016" i="1"/>
  <c r="I1016" i="1"/>
  <c r="J1015" i="1"/>
  <c r="I1015" i="1"/>
  <c r="J1014" i="1"/>
  <c r="I1014" i="1"/>
  <c r="J1013" i="1"/>
  <c r="I1013" i="1"/>
  <c r="I1012" i="1"/>
  <c r="I1011" i="1"/>
  <c r="I1010" i="1"/>
  <c r="I1009" i="1"/>
  <c r="I1008" i="1"/>
  <c r="I1007" i="1"/>
  <c r="I1006" i="1"/>
  <c r="I1005" i="1"/>
  <c r="I1004" i="1"/>
  <c r="I1003" i="1"/>
  <c r="I1002" i="1"/>
  <c r="I1001" i="1"/>
  <c r="I1000" i="1"/>
  <c r="I999" i="1"/>
  <c r="J998" i="1"/>
  <c r="I998" i="1"/>
  <c r="I997" i="1"/>
  <c r="J996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J982" i="1"/>
  <c r="I982" i="1"/>
  <c r="J981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J945" i="1"/>
  <c r="I945" i="1"/>
  <c r="I944" i="1"/>
  <c r="J943" i="1"/>
  <c r="I943" i="1"/>
  <c r="J942" i="1"/>
  <c r="I942" i="1"/>
  <c r="I941" i="1"/>
  <c r="J940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J917" i="1"/>
  <c r="I917" i="1"/>
  <c r="J916" i="1"/>
  <c r="I916" i="1"/>
  <c r="I915" i="1"/>
  <c r="J914" i="1"/>
  <c r="I914" i="1"/>
  <c r="J913" i="1"/>
  <c r="I913" i="1"/>
  <c r="J912" i="1"/>
  <c r="I912" i="1"/>
  <c r="J911" i="1"/>
  <c r="I911" i="1"/>
  <c r="J910" i="1"/>
  <c r="I910" i="1"/>
  <c r="J909" i="1"/>
  <c r="I909" i="1"/>
  <c r="I908" i="1"/>
  <c r="J907" i="1"/>
  <c r="I907" i="1"/>
  <c r="J906" i="1"/>
  <c r="I906" i="1"/>
  <c r="J905" i="1"/>
  <c r="I905" i="1"/>
  <c r="J904" i="1"/>
  <c r="I904" i="1"/>
  <c r="J903" i="1"/>
  <c r="I903" i="1"/>
  <c r="J902" i="1"/>
  <c r="I902" i="1"/>
  <c r="J901" i="1"/>
  <c r="I901" i="1"/>
  <c r="J900" i="1"/>
  <c r="I900" i="1"/>
  <c r="J899" i="1"/>
  <c r="I899" i="1"/>
  <c r="J898" i="1"/>
  <c r="I898" i="1"/>
  <c r="I897" i="1"/>
  <c r="I896" i="1"/>
  <c r="I895" i="1"/>
  <c r="I894" i="1"/>
  <c r="J893" i="1"/>
  <c r="I893" i="1"/>
  <c r="J892" i="1"/>
  <c r="I892" i="1"/>
  <c r="I891" i="1"/>
  <c r="J890" i="1"/>
  <c r="I890" i="1"/>
  <c r="J889" i="1"/>
  <c r="I889" i="1"/>
  <c r="J888" i="1"/>
  <c r="I888" i="1"/>
  <c r="J887" i="1"/>
  <c r="I887" i="1"/>
  <c r="I886" i="1"/>
  <c r="I885" i="1"/>
  <c r="I884" i="1"/>
  <c r="I883" i="1"/>
  <c r="J882" i="1"/>
  <c r="I882" i="1"/>
  <c r="J881" i="1"/>
  <c r="I881" i="1"/>
  <c r="J880" i="1"/>
  <c r="I880" i="1"/>
  <c r="J879" i="1"/>
  <c r="I879" i="1"/>
  <c r="J878" i="1"/>
  <c r="I878" i="1"/>
  <c r="J877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J843" i="1"/>
  <c r="I843" i="1"/>
  <c r="I842" i="1"/>
  <c r="I841" i="1"/>
  <c r="I840" i="1"/>
  <c r="I839" i="1"/>
  <c r="J838" i="1"/>
  <c r="I838" i="1"/>
  <c r="J837" i="1"/>
  <c r="I837" i="1"/>
  <c r="I836" i="1"/>
  <c r="I835" i="1"/>
  <c r="J834" i="1"/>
  <c r="I834" i="1"/>
  <c r="J833" i="1"/>
  <c r="I833" i="1"/>
  <c r="J832" i="1"/>
  <c r="I832" i="1"/>
  <c r="J831" i="1"/>
  <c r="I831" i="1"/>
  <c r="J830" i="1"/>
  <c r="I830" i="1"/>
  <c r="J829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J816" i="1"/>
  <c r="I816" i="1"/>
  <c r="I815" i="1"/>
  <c r="J814" i="1"/>
  <c r="I814" i="1"/>
  <c r="I813" i="1"/>
  <c r="I812" i="1"/>
  <c r="I811" i="1"/>
  <c r="I810" i="1"/>
  <c r="I809" i="1"/>
  <c r="I808" i="1"/>
  <c r="I807" i="1"/>
  <c r="I806" i="1"/>
  <c r="I805" i="1"/>
  <c r="I804" i="1"/>
  <c r="J803" i="1"/>
  <c r="I803" i="1"/>
  <c r="I802" i="1"/>
  <c r="I801" i="1"/>
  <c r="I800" i="1"/>
  <c r="J799" i="1"/>
  <c r="I799" i="1"/>
  <c r="I798" i="1"/>
  <c r="I797" i="1"/>
  <c r="I796" i="1"/>
  <c r="I795" i="1"/>
  <c r="I794" i="1"/>
  <c r="I793" i="1"/>
  <c r="I792" i="1"/>
  <c r="I791" i="1"/>
  <c r="J790" i="1"/>
  <c r="I790" i="1"/>
  <c r="J789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J776" i="1"/>
  <c r="I776" i="1"/>
  <c r="J775" i="1"/>
  <c r="I775" i="1"/>
  <c r="J774" i="1"/>
  <c r="I774" i="1"/>
  <c r="I773" i="1"/>
  <c r="I772" i="1"/>
  <c r="I771" i="1"/>
  <c r="J770" i="1"/>
  <c r="I770" i="1"/>
  <c r="J769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J747" i="1"/>
  <c r="I747" i="1"/>
  <c r="J746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J729" i="1"/>
  <c r="I729" i="1"/>
  <c r="I728" i="1"/>
  <c r="I727" i="1"/>
  <c r="I726" i="1"/>
  <c r="I725" i="1"/>
  <c r="I724" i="1"/>
  <c r="J723" i="1"/>
  <c r="I723" i="1"/>
  <c r="J722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J701" i="1"/>
  <c r="I701" i="1"/>
  <c r="J700" i="1"/>
  <c r="I700" i="1"/>
  <c r="J699" i="1"/>
  <c r="I699" i="1"/>
  <c r="I698" i="1"/>
  <c r="I697" i="1"/>
  <c r="J696" i="1"/>
  <c r="I696" i="1"/>
  <c r="J695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J681" i="1"/>
  <c r="I681" i="1"/>
  <c r="J680" i="1"/>
  <c r="I680" i="1"/>
  <c r="I679" i="1"/>
  <c r="I678" i="1"/>
  <c r="J677" i="1"/>
  <c r="I677" i="1"/>
  <c r="J676" i="1"/>
  <c r="I676" i="1"/>
  <c r="J675" i="1"/>
  <c r="I675" i="1"/>
  <c r="I674" i="1"/>
  <c r="J673" i="1"/>
  <c r="I673" i="1"/>
  <c r="I672" i="1"/>
  <c r="J671" i="1"/>
  <c r="I671" i="1"/>
  <c r="J670" i="1"/>
  <c r="I670" i="1"/>
  <c r="J669" i="1"/>
  <c r="I669" i="1"/>
  <c r="J668" i="1"/>
  <c r="I668" i="1"/>
  <c r="I667" i="1"/>
  <c r="I666" i="1"/>
  <c r="I665" i="1"/>
  <c r="I664" i="1"/>
  <c r="I663" i="1"/>
  <c r="J662" i="1"/>
  <c r="I662" i="1"/>
  <c r="J661" i="1"/>
  <c r="I661" i="1"/>
  <c r="J660" i="1"/>
  <c r="I660" i="1"/>
  <c r="J659" i="1"/>
  <c r="I659" i="1"/>
  <c r="J658" i="1"/>
  <c r="I658" i="1"/>
  <c r="J657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J628" i="1"/>
  <c r="I628" i="1"/>
  <c r="J627" i="1"/>
  <c r="I627" i="1"/>
  <c r="J626" i="1"/>
  <c r="I626" i="1"/>
  <c r="J625" i="1"/>
  <c r="I625" i="1"/>
  <c r="J624" i="1"/>
  <c r="I624" i="1"/>
  <c r="J623" i="1"/>
  <c r="I623" i="1"/>
  <c r="J622" i="1"/>
  <c r="I622" i="1"/>
  <c r="I621" i="1"/>
  <c r="I620" i="1"/>
  <c r="J619" i="1"/>
  <c r="I619" i="1"/>
  <c r="I618" i="1"/>
  <c r="I617" i="1"/>
  <c r="J616" i="1"/>
  <c r="I616" i="1"/>
  <c r="J615" i="1"/>
  <c r="I615" i="1"/>
  <c r="J614" i="1"/>
  <c r="I614" i="1"/>
  <c r="J613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J585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J567" i="1"/>
  <c r="I567" i="1"/>
  <c r="J566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J543" i="1"/>
  <c r="I543" i="1"/>
  <c r="J542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J519" i="1"/>
  <c r="I519" i="1"/>
  <c r="I518" i="1"/>
  <c r="I517" i="1"/>
  <c r="I516" i="1"/>
  <c r="I515" i="1"/>
  <c r="J514" i="1"/>
  <c r="I514" i="1"/>
  <c r="J513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J499" i="1"/>
  <c r="I499" i="1"/>
  <c r="J498" i="1"/>
  <c r="I498" i="1"/>
  <c r="J497" i="1"/>
  <c r="I497" i="1"/>
  <c r="J496" i="1"/>
  <c r="I496" i="1"/>
  <c r="J495" i="1"/>
  <c r="I495" i="1"/>
  <c r="I494" i="1"/>
  <c r="J493" i="1"/>
  <c r="I493" i="1"/>
  <c r="I492" i="1"/>
  <c r="J491" i="1"/>
  <c r="I491" i="1"/>
  <c r="I490" i="1"/>
  <c r="I489" i="1"/>
  <c r="J488" i="1"/>
  <c r="I488" i="1"/>
  <c r="J487" i="1"/>
  <c r="I487" i="1"/>
  <c r="J486" i="1"/>
  <c r="I486" i="1"/>
  <c r="J485" i="1"/>
  <c r="I485" i="1"/>
  <c r="I484" i="1"/>
  <c r="J483" i="1"/>
  <c r="I483" i="1"/>
  <c r="J482" i="1"/>
  <c r="I482" i="1"/>
  <c r="J481" i="1"/>
  <c r="I481" i="1"/>
  <c r="J480" i="1"/>
  <c r="I480" i="1"/>
  <c r="I479" i="1"/>
  <c r="I478" i="1"/>
  <c r="I477" i="1"/>
  <c r="I476" i="1"/>
  <c r="J475" i="1"/>
  <c r="I475" i="1"/>
  <c r="J474" i="1"/>
  <c r="I474" i="1"/>
  <c r="J473" i="1"/>
  <c r="I473" i="1"/>
  <c r="J472" i="1"/>
  <c r="I472" i="1"/>
  <c r="J471" i="1"/>
  <c r="I471" i="1"/>
  <c r="J470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J451" i="1"/>
  <c r="I451" i="1"/>
  <c r="J450" i="1"/>
  <c r="I450" i="1"/>
  <c r="J449" i="1"/>
  <c r="I449" i="1"/>
  <c r="J448" i="1"/>
  <c r="I448" i="1"/>
  <c r="I447" i="1"/>
  <c r="I446" i="1"/>
  <c r="I445" i="1"/>
  <c r="J444" i="1"/>
  <c r="I444" i="1"/>
  <c r="J443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J416" i="1"/>
  <c r="I416" i="1"/>
  <c r="J415" i="1"/>
  <c r="I415" i="1"/>
  <c r="J414" i="1"/>
  <c r="I414" i="1"/>
  <c r="J413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J396" i="1"/>
  <c r="I396" i="1"/>
  <c r="I395" i="1"/>
  <c r="I394" i="1"/>
  <c r="I393" i="1"/>
  <c r="J392" i="1"/>
  <c r="I392" i="1"/>
  <c r="J391" i="1"/>
  <c r="I391" i="1"/>
  <c r="J390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J376" i="1"/>
  <c r="I376" i="1"/>
  <c r="I375" i="1"/>
  <c r="I374" i="1"/>
  <c r="I373" i="1"/>
  <c r="I372" i="1"/>
  <c r="I371" i="1"/>
  <c r="I370" i="1"/>
  <c r="J369" i="1"/>
  <c r="I369" i="1"/>
  <c r="I368" i="1"/>
  <c r="I367" i="1"/>
  <c r="I366" i="1"/>
  <c r="I365" i="1"/>
  <c r="I364" i="1"/>
  <c r="I363" i="1"/>
  <c r="J362" i="1"/>
  <c r="I362" i="1"/>
  <c r="J361" i="1"/>
  <c r="I361" i="1"/>
  <c r="I360" i="1"/>
  <c r="I359" i="1"/>
  <c r="J358" i="1"/>
  <c r="I358" i="1"/>
  <c r="J357" i="1"/>
  <c r="I357" i="1"/>
  <c r="J356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J331" i="1"/>
  <c r="I331" i="1"/>
  <c r="I330" i="1"/>
  <c r="J329" i="1"/>
  <c r="I329" i="1"/>
  <c r="I328" i="1"/>
  <c r="I327" i="1"/>
  <c r="I326" i="1"/>
  <c r="J325" i="1"/>
  <c r="I325" i="1"/>
  <c r="I324" i="1"/>
  <c r="I323" i="1"/>
  <c r="J322" i="1"/>
  <c r="I322" i="1"/>
  <c r="J321" i="1"/>
  <c r="I321" i="1"/>
  <c r="J320" i="1"/>
  <c r="I320" i="1"/>
  <c r="I319" i="1"/>
  <c r="J318" i="1"/>
  <c r="I318" i="1"/>
  <c r="J317" i="1"/>
  <c r="I317" i="1"/>
  <c r="J316" i="1"/>
  <c r="I316" i="1"/>
  <c r="J315" i="1"/>
  <c r="I315" i="1"/>
  <c r="I314" i="1"/>
  <c r="I313" i="1"/>
  <c r="I312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J284" i="1"/>
  <c r="I284" i="1"/>
  <c r="J283" i="1"/>
  <c r="I283" i="1"/>
  <c r="J282" i="1"/>
  <c r="I282" i="1"/>
  <c r="J281" i="1"/>
  <c r="I281" i="1"/>
  <c r="I280" i="1"/>
  <c r="I279" i="1"/>
  <c r="I278" i="1"/>
  <c r="I277" i="1"/>
  <c r="I276" i="1"/>
  <c r="I275" i="1"/>
  <c r="I274" i="1"/>
  <c r="I273" i="1"/>
  <c r="J272" i="1"/>
  <c r="I272" i="1"/>
  <c r="I271" i="1"/>
  <c r="J270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J257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J238" i="1"/>
  <c r="I238" i="1"/>
  <c r="J237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J192" i="1"/>
  <c r="I192" i="1"/>
  <c r="I191" i="1"/>
  <c r="I190" i="1"/>
  <c r="J189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J165" i="1"/>
  <c r="I165" i="1"/>
  <c r="J164" i="1"/>
  <c r="I164" i="1"/>
  <c r="J163" i="1"/>
  <c r="I163" i="1"/>
  <c r="I162" i="1"/>
  <c r="J161" i="1"/>
  <c r="I161" i="1"/>
  <c r="J160" i="1"/>
  <c r="I160" i="1"/>
  <c r="I159" i="1"/>
  <c r="J158" i="1"/>
  <c r="I158" i="1"/>
  <c r="J157" i="1"/>
  <c r="I157" i="1"/>
  <c r="J156" i="1"/>
  <c r="I156" i="1"/>
  <c r="J155" i="1"/>
  <c r="I155" i="1"/>
  <c r="I154" i="1"/>
  <c r="I153" i="1"/>
  <c r="I152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J129" i="1"/>
  <c r="I129" i="1"/>
  <c r="I128" i="1"/>
  <c r="J127" i="1"/>
  <c r="I127" i="1"/>
  <c r="J126" i="1"/>
  <c r="I126" i="1"/>
  <c r="J125" i="1"/>
  <c r="I125" i="1"/>
  <c r="I124" i="1"/>
  <c r="I123" i="1"/>
  <c r="I122" i="1"/>
  <c r="I121" i="1"/>
  <c r="I120" i="1"/>
  <c r="I119" i="1"/>
  <c r="I118" i="1"/>
  <c r="I117" i="1"/>
  <c r="J116" i="1"/>
  <c r="I116" i="1"/>
  <c r="J115" i="1"/>
  <c r="I115" i="1"/>
  <c r="I114" i="1"/>
  <c r="I113" i="1"/>
  <c r="I112" i="1"/>
  <c r="I111" i="1"/>
  <c r="I110" i="1"/>
  <c r="I109" i="1"/>
  <c r="I108" i="1"/>
  <c r="J107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J87" i="1"/>
  <c r="I87" i="1"/>
  <c r="J86" i="1"/>
  <c r="I86" i="1"/>
  <c r="I85" i="1"/>
  <c r="J84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J51" i="1"/>
  <c r="I51" i="1"/>
  <c r="J50" i="1"/>
  <c r="I50" i="1"/>
  <c r="J49" i="1"/>
  <c r="I49" i="1"/>
  <c r="J48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J29" i="1"/>
  <c r="I29" i="1"/>
  <c r="J28" i="1"/>
  <c r="I28" i="1"/>
  <c r="I27" i="1"/>
  <c r="J26" i="1"/>
  <c r="I26" i="1"/>
  <c r="J25" i="1"/>
  <c r="I25" i="1"/>
  <c r="I24" i="1"/>
  <c r="I23" i="1"/>
  <c r="I22" i="1"/>
  <c r="I21" i="1"/>
  <c r="I20" i="1"/>
  <c r="I19" i="1"/>
  <c r="I18" i="1"/>
  <c r="I17" i="1"/>
  <c r="I16" i="1"/>
  <c r="J15" i="1"/>
  <c r="I15" i="1"/>
  <c r="I14" i="1"/>
  <c r="I13" i="1"/>
  <c r="I12" i="1"/>
  <c r="I11" i="1"/>
  <c r="I10" i="1"/>
  <c r="I9" i="1"/>
  <c r="I8" i="1"/>
  <c r="I7" i="1"/>
  <c r="I6" i="1"/>
  <c r="I5" i="1"/>
  <c r="I4" i="1"/>
  <c r="J3" i="1"/>
  <c r="I3" i="1"/>
  <c r="J2" i="1"/>
  <c r="I2" i="1"/>
  <c r="I210" i="3" l="1"/>
  <c r="J210" i="3" s="1"/>
  <c r="I214" i="3"/>
  <c r="J214" i="3" s="1"/>
  <c r="I218" i="3"/>
  <c r="J218" i="3" s="1"/>
  <c r="I222" i="3"/>
  <c r="J222" i="3" s="1"/>
  <c r="I226" i="3"/>
  <c r="J226" i="3" s="1"/>
  <c r="I211" i="3"/>
  <c r="J211" i="3" s="1"/>
  <c r="I215" i="3"/>
  <c r="J215" i="3" s="1"/>
  <c r="I219" i="3"/>
  <c r="J219" i="3" s="1"/>
  <c r="I223" i="3"/>
  <c r="J223" i="3" s="1"/>
  <c r="I212" i="3"/>
  <c r="J212" i="3" s="1"/>
  <c r="I216" i="3"/>
  <c r="J216" i="3" s="1"/>
  <c r="I220" i="3"/>
  <c r="J220" i="3" s="1"/>
  <c r="I224" i="3"/>
  <c r="J224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6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ID#AAABKDGFzAA
Eze    (2024-03-21 16:29:22)
% DE CADA AREA CORRESPONDIENTE</t>
        </r>
      </text>
    </comment>
    <comment ref="C50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ID#AAABKDGFzAE
Eze    (2024-03-21 16:29:22)
% DE CADA AREA CORRESPONDIENTE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C0IH75obUnupA2+kfnt6tQLZrAw=="/>
    </ext>
  </extL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03162E-C149-455E-B1DD-16ADDD2F0785}" keepAlive="1" name="Consulta - Errores en HOJA DE RUTA" description="Conexión a la consulta 'Errores en HOJA DE RUTA' en el libro." type="5" refreshedVersion="0" background="1">
    <dbPr connection="Provider=Microsoft.Mashup.OleDb.1;Data Source=$Workbook$;Location=&quot;Errores en HOJA DE RUTA&quot;;Extended Properties=&quot;&quot;" command="SELECT * FROM [Errores en HOJA DE RUTA]"/>
  </connection>
  <connection id="2" xr16:uid="{DEC2D414-3210-46C2-A748-83320828CB22}" keepAlive="1" name="Consulta - HOJA DE RUTA" description="Conexión a la consulta 'HOJA DE RUTA' en el libro." type="5" refreshedVersion="7" background="1" saveData="1">
    <dbPr connection="Provider=Microsoft.Mashup.OleDb.1;Data Source=$Workbook$;Location=&quot;HOJA DE RUTA&quot;;Extended Properties=&quot;&quot;" command="SELECT * FROM [HOJA DE RUTA]"/>
  </connection>
  <connection id="3" xr16:uid="{BE75FE27-5F94-44CF-A5EF-3FA2A7DE5B64}" keepAlive="1" name="Consulta - HOJA DE RUTA (2)" description="Conexión a la consulta 'HOJA DE RUTA (2)' en el libro." type="5" refreshedVersion="7" background="1" saveData="1">
    <dbPr connection="Provider=Microsoft.Mashup.OleDb.1;Data Source=$Workbook$;Location=&quot;HOJA DE RUTA (2)&quot;;Extended Properties=&quot;&quot;" command="SELECT * FROM [HOJA DE RUTA (2)]"/>
  </connection>
  <connection id="4" xr16:uid="{F11C0B3A-32AD-4CDF-98B0-1888AFA71A91}" keepAlive="1" name="Consulta - HOJA DE RUTA (3)" description="Conexión a la consulta 'HOJA DE RUTA (3)' en el libro." type="5" refreshedVersion="7" background="1" saveData="1">
    <dbPr connection="Provider=Microsoft.Mashup.OleDb.1;Data Source=$Workbook$;Location=&quot;HOJA DE RUTA (3)&quot;;Extended Properties=&quot;&quot;" command="SELECT * FROM [HOJA DE RUTA (3)]"/>
  </connection>
  <connection id="5" xr16:uid="{BA9CCBDC-912E-4400-9D4A-F061AAA2F2FE}" keepAlive="1" interval="1" name="Consulta - Hoja1" description="Conexión a la consulta 'Hoja1' en el libro." type="5" refreshedVersion="7" background="1" refreshOnLoa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<sst xmlns="http://schemas.openxmlformats.org/spreadsheetml/2006/main" count="34378" uniqueCount="8414">
  <si>
    <t>FECHA</t>
  </si>
  <si>
    <t>COMPROBANTE</t>
  </si>
  <si>
    <t>CLIENTE_NOMBRE</t>
  </si>
  <si>
    <t>CUIT</t>
  </si>
  <si>
    <t>NO GRAV</t>
  </si>
  <si>
    <t>NETO GRAVADO</t>
  </si>
  <si>
    <t>IVA</t>
  </si>
  <si>
    <t>TOTAL</t>
  </si>
  <si>
    <t>CATEGORIA</t>
  </si>
  <si>
    <t>AREA CORRESPONDIENTE</t>
  </si>
  <si>
    <t>A 00028968</t>
  </si>
  <si>
    <t>VIGILIA SEGURIDAD</t>
  </si>
  <si>
    <t>30-71164054-8</t>
  </si>
  <si>
    <t>A 00001283</t>
  </si>
  <si>
    <t>MUSURIT SRL</t>
  </si>
  <si>
    <t>30-70979088-5</t>
  </si>
  <si>
    <t>A 00002790</t>
  </si>
  <si>
    <t>MAYORINI Y COMPAÑIA SRL</t>
  </si>
  <si>
    <t>33-71638633-9</t>
  </si>
  <si>
    <t>LOGISTICA</t>
  </si>
  <si>
    <t>A 00004473</t>
  </si>
  <si>
    <t>FENIX CARGO S.R.L.</t>
  </si>
  <si>
    <t>30-71640932-1</t>
  </si>
  <si>
    <t>A 00004474</t>
  </si>
  <si>
    <t>A 00004475</t>
  </si>
  <si>
    <t>A 00004476</t>
  </si>
  <si>
    <t>A 00004477</t>
  </si>
  <si>
    <t>A 00004478</t>
  </si>
  <si>
    <t>A 00004479</t>
  </si>
  <si>
    <t>A 00004480</t>
  </si>
  <si>
    <t>A 00004481</t>
  </si>
  <si>
    <t>A 00004482</t>
  </si>
  <si>
    <t>A 00010709</t>
  </si>
  <si>
    <t>RD PRINTER SERVICE SRL</t>
  </si>
  <si>
    <t>30-71630419-8</t>
  </si>
  <si>
    <t>A 00027709</t>
  </si>
  <si>
    <t>TRANSPORTE SOUTO S.H</t>
  </si>
  <si>
    <t>30-57085421-2</t>
  </si>
  <si>
    <t>A 00027710</t>
  </si>
  <si>
    <t>A 00027711</t>
  </si>
  <si>
    <t>A 00027712</t>
  </si>
  <si>
    <t>A 00027713</t>
  </si>
  <si>
    <t>A 00027714</t>
  </si>
  <si>
    <t>A 00027715</t>
  </si>
  <si>
    <t>A 00027716</t>
  </si>
  <si>
    <t>A 00000031</t>
  </si>
  <si>
    <t>KSIGMA</t>
  </si>
  <si>
    <t>30-71042811-1</t>
  </si>
  <si>
    <t>A 00000681</t>
  </si>
  <si>
    <t>PRODTECH SA</t>
  </si>
  <si>
    <t>30-71171619-6</t>
  </si>
  <si>
    <t>A 00003093</t>
  </si>
  <si>
    <t>EMBALAJES ITALIA SRL</t>
  </si>
  <si>
    <t>30-71675815-6</t>
  </si>
  <si>
    <t>A 00004497</t>
  </si>
  <si>
    <t>A 00035043</t>
  </si>
  <si>
    <t>LOPEZ HERMANOS</t>
  </si>
  <si>
    <t>30-61728873-3</t>
  </si>
  <si>
    <t>A 00003486</t>
  </si>
  <si>
    <t>SERVICE IN HOUSE SRL</t>
  </si>
  <si>
    <t>30-71574022-9</t>
  </si>
  <si>
    <t>A 00027729</t>
  </si>
  <si>
    <t>A 00027730</t>
  </si>
  <si>
    <t>A 00027731</t>
  </si>
  <si>
    <t>A 00027732</t>
  </si>
  <si>
    <t>A 00027733</t>
  </si>
  <si>
    <t>A 00027734</t>
  </si>
  <si>
    <t>A 00027735</t>
  </si>
  <si>
    <t>A 00027736</t>
  </si>
  <si>
    <t>A 00027737</t>
  </si>
  <si>
    <t>A 00027738</t>
  </si>
  <si>
    <t>A 00027739</t>
  </si>
  <si>
    <t>A 00027740</t>
  </si>
  <si>
    <t>A 00027741</t>
  </si>
  <si>
    <t>A 00027742</t>
  </si>
  <si>
    <t>A 00027743</t>
  </si>
  <si>
    <t>A 00027744</t>
  </si>
  <si>
    <t>A 00027745</t>
  </si>
  <si>
    <t>A 00027746</t>
  </si>
  <si>
    <t>A 00078366</t>
  </si>
  <si>
    <t>CEVIARA</t>
  </si>
  <si>
    <t>30-66105813-3</t>
  </si>
  <si>
    <t>NO CONTIENE</t>
  </si>
  <si>
    <t>A 00001277</t>
  </si>
  <si>
    <t>AXION ENERGY</t>
  </si>
  <si>
    <t>33-69509063-9</t>
  </si>
  <si>
    <t>A 00004115</t>
  </si>
  <si>
    <t>MEGAH SRL</t>
  </si>
  <si>
    <t>30-70931992-9</t>
  </si>
  <si>
    <t>A 00027799</t>
  </si>
  <si>
    <t>A 00027800</t>
  </si>
  <si>
    <t>A 00027801</t>
  </si>
  <si>
    <t>A 00027802</t>
  </si>
  <si>
    <t>A 00027803</t>
  </si>
  <si>
    <t>A 00027804</t>
  </si>
  <si>
    <t>A 00027805</t>
  </si>
  <si>
    <t>A 00027806</t>
  </si>
  <si>
    <t>A 00027807</t>
  </si>
  <si>
    <t>A 00027808</t>
  </si>
  <si>
    <t>A 00004554</t>
  </si>
  <si>
    <t>A 00000114</t>
  </si>
  <si>
    <t>KETAN ARGENTINA SA</t>
  </si>
  <si>
    <t>30-70845550-0</t>
  </si>
  <si>
    <t>DEPOSITO</t>
  </si>
  <si>
    <t>A 00002821</t>
  </si>
  <si>
    <t>A 00002822</t>
  </si>
  <si>
    <t>A 00002823</t>
  </si>
  <si>
    <t>A 00027821</t>
  </si>
  <si>
    <t>A 00027822</t>
  </si>
  <si>
    <t>A 00027823</t>
  </si>
  <si>
    <t>A 00027824</t>
  </si>
  <si>
    <t>A 00027825</t>
  </si>
  <si>
    <t>A 00027826</t>
  </si>
  <si>
    <t>A 00027827</t>
  </si>
  <si>
    <t>A 00027828</t>
  </si>
  <si>
    <t>A 00027829</t>
  </si>
  <si>
    <t>A 00027830</t>
  </si>
  <si>
    <t>A 00027831</t>
  </si>
  <si>
    <t>A 00027832</t>
  </si>
  <si>
    <t>A 00027833</t>
  </si>
  <si>
    <t>A 00027834</t>
  </si>
  <si>
    <t>A 00027835</t>
  </si>
  <si>
    <t>A 00027836</t>
  </si>
  <si>
    <t>A 00027853</t>
  </si>
  <si>
    <t>A 00005827</t>
  </si>
  <si>
    <t>LUBRIGOM</t>
  </si>
  <si>
    <t>30-60922955-8</t>
  </si>
  <si>
    <t>A 00027855</t>
  </si>
  <si>
    <t>A 00005578</t>
  </si>
  <si>
    <t>HIDROMOR DE MORO WALTER O</t>
  </si>
  <si>
    <t>20-23192223-8</t>
  </si>
  <si>
    <t>A 00006030</t>
  </si>
  <si>
    <t>FRUTOS MIRIAN ELIZABETH</t>
  </si>
  <si>
    <t>27-23045638-6</t>
  </si>
  <si>
    <t>A 00027861</t>
  </si>
  <si>
    <t>A 00027862</t>
  </si>
  <si>
    <t>A 00027863</t>
  </si>
  <si>
    <t>A 00027864</t>
  </si>
  <si>
    <t>A 00027865</t>
  </si>
  <si>
    <t>A 00027866</t>
  </si>
  <si>
    <t>A 00027867</t>
  </si>
  <si>
    <t>A 00027868</t>
  </si>
  <si>
    <t>A 00027869</t>
  </si>
  <si>
    <t>F</t>
  </si>
  <si>
    <t>A 00027872</t>
  </si>
  <si>
    <t>A 00027873</t>
  </si>
  <si>
    <t>A 00004555</t>
  </si>
  <si>
    <t>A 00004556</t>
  </si>
  <si>
    <t>A 00004557</t>
  </si>
  <si>
    <t>A 00004558</t>
  </si>
  <si>
    <t>A 00004559</t>
  </si>
  <si>
    <t>A 00004560</t>
  </si>
  <si>
    <t>A 00007874</t>
  </si>
  <si>
    <t>ECOTERRA RECICLA</t>
  </si>
  <si>
    <t>30-69968750-9</t>
  </si>
  <si>
    <t>A 00027905</t>
  </si>
  <si>
    <t>A 00027906</t>
  </si>
  <si>
    <t>A 00027907</t>
  </si>
  <si>
    <t>A 00027908</t>
  </si>
  <si>
    <t>A 00027909</t>
  </si>
  <si>
    <t>A 00027910</t>
  </si>
  <si>
    <t>A 00027911</t>
  </si>
  <si>
    <t>A 00000396</t>
  </si>
  <si>
    <t>BUSTAMANTE GABRIEL ALEJA</t>
  </si>
  <si>
    <t>23-23403239-9</t>
  </si>
  <si>
    <t>C 00000049</t>
  </si>
  <si>
    <t>MURUA GLADYS ESTHER</t>
  </si>
  <si>
    <t>27-20598175-1</t>
  </si>
  <si>
    <t>A 00004609</t>
  </si>
  <si>
    <t>A 00004610</t>
  </si>
  <si>
    <t>A 00004611</t>
  </si>
  <si>
    <t>A 00027932</t>
  </si>
  <si>
    <t>A 00003059</t>
  </si>
  <si>
    <t>TRANSPORTE VILLANUEVA MAR</t>
  </si>
  <si>
    <t>20-23767769-3</t>
  </si>
  <si>
    <t>A 00003060</t>
  </si>
  <si>
    <t>A 00027967</t>
  </si>
  <si>
    <t>A 00001309</t>
  </si>
  <si>
    <t>A 00001310</t>
  </si>
  <si>
    <t>A 00003215</t>
  </si>
  <si>
    <t>A 00004638</t>
  </si>
  <si>
    <t>A 00017022</t>
  </si>
  <si>
    <t>REPUESTOS RAN DE ANGEL RAI</t>
  </si>
  <si>
    <t>20-21561193-1</t>
  </si>
  <si>
    <t>A 00027982</t>
  </si>
  <si>
    <t>A 00027983</t>
  </si>
  <si>
    <t>A 00027997</t>
  </si>
  <si>
    <t>A 00027998</t>
  </si>
  <si>
    <t>SUELDOS DEPOSITO RECIBO</t>
  </si>
  <si>
    <t>SUELDOS DEPOSITO NEGRO</t>
  </si>
  <si>
    <t>SUELDOS YAD RECIBO</t>
  </si>
  <si>
    <t>SUELDOS YAD NEGRO</t>
  </si>
  <si>
    <t>BONO DEPOSITO</t>
  </si>
  <si>
    <t>BONO LOGISTICA</t>
  </si>
  <si>
    <t>KETAN ARGENTINA SA - NEGRO</t>
  </si>
  <si>
    <t>CONDOMINIO DE PORRAS - NEGRO</t>
  </si>
  <si>
    <t>EXPENSAS(CONDOMINIO BRUNO BASILE + KETAN)</t>
  </si>
  <si>
    <t>EDENOR(GALPON+POLO1+POLO2)</t>
  </si>
  <si>
    <t>GALPON</t>
  </si>
  <si>
    <t>PROOVEDORES B DEPOSITO(LIBRERIAS/JARDINERIA/VARIOS)</t>
  </si>
  <si>
    <t>PROOVEDORES B LOGISTICA(HERRAMIENTAS/VIAJES)</t>
  </si>
  <si>
    <t>CAJA</t>
  </si>
  <si>
    <t>TARJETA</t>
  </si>
  <si>
    <t>PATENTES</t>
  </si>
  <si>
    <t>SEGURO PATRONAL</t>
  </si>
  <si>
    <t xml:space="preserve">SSUS MAONE </t>
  </si>
  <si>
    <t>SSUS YAD LOGISTICA SRL(50%)</t>
  </si>
  <si>
    <t>CONVENIO YAD LOGISTICA</t>
  </si>
  <si>
    <t>GANANCIAS</t>
  </si>
  <si>
    <t>SINDICATO MAONE</t>
  </si>
  <si>
    <t>SINDICATO LOGISTICA</t>
  </si>
  <si>
    <t>FEDERACION MAONE</t>
  </si>
  <si>
    <t>FEDERACION LOGSITICA</t>
  </si>
  <si>
    <t>AUTONOMOS</t>
  </si>
  <si>
    <t>ANDREA CONTADORA</t>
  </si>
  <si>
    <t>A 00001385</t>
  </si>
  <si>
    <t>A 00002849</t>
  </si>
  <si>
    <t>A 00029431</t>
  </si>
  <si>
    <t>TELPOP S.A.</t>
  </si>
  <si>
    <t>30-71561923-3</t>
  </si>
  <si>
    <t>A 00000698</t>
  </si>
  <si>
    <t>A 00001054</t>
  </si>
  <si>
    <t>ALEJANDRO GUIZZI</t>
  </si>
  <si>
    <t>20-21107696-9</t>
  </si>
  <si>
    <t>A 00004649</t>
  </si>
  <si>
    <t>A 00028001</t>
  </si>
  <si>
    <t>A 00028003</t>
  </si>
  <si>
    <t>A 00028004</t>
  </si>
  <si>
    <t>A 00028005</t>
  </si>
  <si>
    <t>A 00028006</t>
  </si>
  <si>
    <t>A 00028007</t>
  </si>
  <si>
    <t>A 00028008</t>
  </si>
  <si>
    <t>A 00028009</t>
  </si>
  <si>
    <t>A 00028010</t>
  </si>
  <si>
    <t>A 00028023</t>
  </si>
  <si>
    <t>A 00028024</t>
  </si>
  <si>
    <t>A 00028025</t>
  </si>
  <si>
    <t>A 00028026</t>
  </si>
  <si>
    <t>A 00028027</t>
  </si>
  <si>
    <t>A 00028028</t>
  </si>
  <si>
    <t>A 00028029</t>
  </si>
  <si>
    <t>A 00028030</t>
  </si>
  <si>
    <t>A 00028031</t>
  </si>
  <si>
    <t>A 00028032</t>
  </si>
  <si>
    <t>A 00028033</t>
  </si>
  <si>
    <t>A 00028034</t>
  </si>
  <si>
    <t>A 00000116</t>
  </si>
  <si>
    <t>A 00000205</t>
  </si>
  <si>
    <t>GRIPPO JAVIER MARTIN</t>
  </si>
  <si>
    <t>23-26034345-9</t>
  </si>
  <si>
    <t>A 00004659</t>
  </si>
  <si>
    <t>A 00004660</t>
  </si>
  <si>
    <t>A 00035474</t>
  </si>
  <si>
    <t xml:space="preserve">LOPEZ HERMANOS                          </t>
  </si>
  <si>
    <t>A 00002863</t>
  </si>
  <si>
    <t>A 00002864</t>
  </si>
  <si>
    <t>A 00028049</t>
  </si>
  <si>
    <t>A 00028050</t>
  </si>
  <si>
    <t>A 00028051</t>
  </si>
  <si>
    <t>A 00028052</t>
  </si>
  <si>
    <t>A 00028053</t>
  </si>
  <si>
    <t>A 00028054</t>
  </si>
  <si>
    <t>A 00028055</t>
  </si>
  <si>
    <t>A 00028056</t>
  </si>
  <si>
    <t>A 00028057</t>
  </si>
  <si>
    <t>A 00028058</t>
  </si>
  <si>
    <t>A 00028059</t>
  </si>
  <si>
    <t>A 00028060</t>
  </si>
  <si>
    <t>A 00028061</t>
  </si>
  <si>
    <t>A 00028062</t>
  </si>
  <si>
    <t>A 00028063</t>
  </si>
  <si>
    <t>A 00028064</t>
  </si>
  <si>
    <t>A 00028065</t>
  </si>
  <si>
    <t>A 00028066</t>
  </si>
  <si>
    <t>A 00028067</t>
  </si>
  <si>
    <t>A 00028068</t>
  </si>
  <si>
    <t>A 00028069</t>
  </si>
  <si>
    <t>A 00028070</t>
  </si>
  <si>
    <t>A 00028071</t>
  </si>
  <si>
    <t>A 00028072</t>
  </si>
  <si>
    <t>A 00028073</t>
  </si>
  <si>
    <t>A 00028074</t>
  </si>
  <si>
    <t>A 00028093</t>
  </si>
  <si>
    <t>A 00028096</t>
  </si>
  <si>
    <t>A 00028097</t>
  </si>
  <si>
    <t>A 00028098</t>
  </si>
  <si>
    <t>A 00028099</t>
  </si>
  <si>
    <t>A 00028100</t>
  </si>
  <si>
    <t>A 00028101</t>
  </si>
  <si>
    <t>A 00028102</t>
  </si>
  <si>
    <t>A 00028103</t>
  </si>
  <si>
    <t>A 00028104</t>
  </si>
  <si>
    <t>A 00028105</t>
  </si>
  <si>
    <t>A 00028106</t>
  </si>
  <si>
    <t>A 00004666</t>
  </si>
  <si>
    <t>A 00004681</t>
  </si>
  <si>
    <t>A 00004682</t>
  </si>
  <si>
    <t>A 00004688</t>
  </si>
  <si>
    <t>A 00001350</t>
  </si>
  <si>
    <t>C 00000122</t>
  </si>
  <si>
    <t>CIPOLLA PABLO HERNAN</t>
  </si>
  <si>
    <t>20-23628123-0</t>
  </si>
  <si>
    <t>A 00028147</t>
  </si>
  <si>
    <t>A 00028148</t>
  </si>
  <si>
    <t>A 00028149</t>
  </si>
  <si>
    <t>A 00028150</t>
  </si>
  <si>
    <t>A 00028151</t>
  </si>
  <si>
    <t>A 00004714</t>
  </si>
  <si>
    <t>A 00004715</t>
  </si>
  <si>
    <t>A 00004716</t>
  </si>
  <si>
    <t>A 00028168</t>
  </si>
  <si>
    <t>A 00028169</t>
  </si>
  <si>
    <t>A 00028170</t>
  </si>
  <si>
    <t>A 00028183</t>
  </si>
  <si>
    <t>A 00028184</t>
  </si>
  <si>
    <t>A 00028185</t>
  </si>
  <si>
    <t>A 00028186</t>
  </si>
  <si>
    <t>A 00028187</t>
  </si>
  <si>
    <t>A 00028188</t>
  </si>
  <si>
    <t>A 00028189</t>
  </si>
  <si>
    <t>A 00004323</t>
  </si>
  <si>
    <t>A 00004719</t>
  </si>
  <si>
    <t>A 00000089</t>
  </si>
  <si>
    <t>A 00028221</t>
  </si>
  <si>
    <t>A 00028222</t>
  </si>
  <si>
    <t>A 00028223</t>
  </si>
  <si>
    <t>A 00028224</t>
  </si>
  <si>
    <t>A 00028225</t>
  </si>
  <si>
    <t>A 00028226</t>
  </si>
  <si>
    <t>A 00028227</t>
  </si>
  <si>
    <t>A 00028228</t>
  </si>
  <si>
    <t>A 00028231</t>
  </si>
  <si>
    <t>A 00002889</t>
  </si>
  <si>
    <t>A 00001210</t>
  </si>
  <si>
    <t>MARIA CECILIA HERRERO DE PRATESI</t>
  </si>
  <si>
    <t>27-14611185-3</t>
  </si>
  <si>
    <t>A 00003103</t>
  </si>
  <si>
    <t>TRANSPORTE VILLANUEVA MARCELO JAVIER</t>
  </si>
  <si>
    <t>A 00013469</t>
  </si>
  <si>
    <t>CASA JORGE</t>
  </si>
  <si>
    <t>20-08505870-4</t>
  </si>
  <si>
    <t>A 00028242</t>
  </si>
  <si>
    <t>A 00028243</t>
  </si>
  <si>
    <t>A 00028244</t>
  </si>
  <si>
    <t>A 00028245</t>
  </si>
  <si>
    <t>A 00028246</t>
  </si>
  <si>
    <t>A 00028247</t>
  </si>
  <si>
    <t>A 00028249</t>
  </si>
  <si>
    <t>A 00002892</t>
  </si>
  <si>
    <t>LILIANA SERRANO</t>
  </si>
  <si>
    <t>27-16515743-0</t>
  </si>
  <si>
    <t>SERRANO LILIANA</t>
  </si>
  <si>
    <t>A 00001380</t>
  </si>
  <si>
    <t>A 00001381</t>
  </si>
  <si>
    <t>A 00004734</t>
  </si>
  <si>
    <t>A 00004735</t>
  </si>
  <si>
    <t>A 00004736</t>
  </si>
  <si>
    <t>A 00004745</t>
  </si>
  <si>
    <t>A 00005589</t>
  </si>
  <si>
    <t>A 00028266</t>
  </si>
  <si>
    <t>A 00028267</t>
  </si>
  <si>
    <t>A 00028268</t>
  </si>
  <si>
    <t>A 00028269</t>
  </si>
  <si>
    <t>ARBA</t>
  </si>
  <si>
    <t>A 00000999</t>
  </si>
  <si>
    <t>SANDRI E HIJOS SEGURIDAD INDUSTRIAL SRL</t>
  </si>
  <si>
    <t>30-71723543-2</t>
  </si>
  <si>
    <t>A 00001446</t>
  </si>
  <si>
    <t>A 00002899</t>
  </si>
  <si>
    <t>A 00002900</t>
  </si>
  <si>
    <t>A 00029894</t>
  </si>
  <si>
    <t>A 00004756</t>
  </si>
  <si>
    <t>A 00004757</t>
  </si>
  <si>
    <t>A 00004765</t>
  </si>
  <si>
    <t>A 02982925</t>
  </si>
  <si>
    <t>AUTOPISTAS BUENOS AIRES SA</t>
  </si>
  <si>
    <t>30-71411283-6</t>
  </si>
  <si>
    <t>A 00000118</t>
  </si>
  <si>
    <t>A 00000710</t>
  </si>
  <si>
    <t>A 00028291</t>
  </si>
  <si>
    <t>A 00028292</t>
  </si>
  <si>
    <t>A 00028293</t>
  </si>
  <si>
    <t>A 00028294</t>
  </si>
  <si>
    <t>A 00028295</t>
  </si>
  <si>
    <t>A 00028296</t>
  </si>
  <si>
    <t>A 00028297</t>
  </si>
  <si>
    <t>A 00028298</t>
  </si>
  <si>
    <t>A 00028299</t>
  </si>
  <si>
    <t>A 00028300</t>
  </si>
  <si>
    <t>A 00028301</t>
  </si>
  <si>
    <t>A 00028302</t>
  </si>
  <si>
    <t>A 00028303</t>
  </si>
  <si>
    <t>A 00028304</t>
  </si>
  <si>
    <t>A 00028305</t>
  </si>
  <si>
    <t>A 00028306</t>
  </si>
  <si>
    <t>A 00028307</t>
  </si>
  <si>
    <t>A 00028308</t>
  </si>
  <si>
    <t>A 00028309</t>
  </si>
  <si>
    <t>A 00028310</t>
  </si>
  <si>
    <t>A 00028311</t>
  </si>
  <si>
    <t>A 00028312</t>
  </si>
  <si>
    <t>A 00028313</t>
  </si>
  <si>
    <t>A 00002919</t>
  </si>
  <si>
    <t>A 00003570</t>
  </si>
  <si>
    <t>A 00035899</t>
  </si>
  <si>
    <t>A 00001020</t>
  </si>
  <si>
    <t>A 00004776</t>
  </si>
  <si>
    <t>A 00004785</t>
  </si>
  <si>
    <t>A 00063367</t>
  </si>
  <si>
    <t xml:space="preserve">NEUMEN                                  </t>
  </si>
  <si>
    <t>30-64007937-8</t>
  </si>
  <si>
    <t>A 00005937</t>
  </si>
  <si>
    <t>A 00028356</t>
  </si>
  <si>
    <t>A 00028357</t>
  </si>
  <si>
    <t>A 00028372</t>
  </si>
  <si>
    <t>A 00028373</t>
  </si>
  <si>
    <t>A 00028374</t>
  </si>
  <si>
    <t>A 00002923</t>
  </si>
  <si>
    <t>A 00003579</t>
  </si>
  <si>
    <t>A 00004843</t>
  </si>
  <si>
    <t>A 00028377</t>
  </si>
  <si>
    <t>A 00028379</t>
  </si>
  <si>
    <t>A 00028383</t>
  </si>
  <si>
    <t>A 00028384</t>
  </si>
  <si>
    <t>A 00028385</t>
  </si>
  <si>
    <t>A 00074586</t>
  </si>
  <si>
    <t>MARMAQ SA</t>
  </si>
  <si>
    <t>30-67776876-9</t>
  </si>
  <si>
    <t>A 00004801</t>
  </si>
  <si>
    <t>A 00004802</t>
  </si>
  <si>
    <t>A 00004803</t>
  </si>
  <si>
    <t>A 00028388</t>
  </si>
  <si>
    <t>A 00028389</t>
  </si>
  <si>
    <t>A 00028391</t>
  </si>
  <si>
    <t>A 00028392</t>
  </si>
  <si>
    <t>A 00028393</t>
  </si>
  <si>
    <t>A 00028394</t>
  </si>
  <si>
    <t>A 00028395</t>
  </si>
  <si>
    <t>A 00028396</t>
  </si>
  <si>
    <t>A 00002932</t>
  </si>
  <si>
    <t>A 00000001</t>
  </si>
  <si>
    <t>CONDOMINIO DE PORRAS JUAN M BASILE BRUNO A</t>
  </si>
  <si>
    <t>30-71793969-3</t>
  </si>
  <si>
    <t>A 00001423</t>
  </si>
  <si>
    <t>A 00003583</t>
  </si>
  <si>
    <t>A 00003584</t>
  </si>
  <si>
    <t>A 00004818</t>
  </si>
  <si>
    <t>A 00004819</t>
  </si>
  <si>
    <t>A 00002936</t>
  </si>
  <si>
    <t>A 00001183</t>
  </si>
  <si>
    <t>ADECOM</t>
  </si>
  <si>
    <t>33-70797296-9</t>
  </si>
  <si>
    <t>A 00028436</t>
  </si>
  <si>
    <t>A 00028437</t>
  </si>
  <si>
    <t>A 00028438</t>
  </si>
  <si>
    <t>A 00028439</t>
  </si>
  <si>
    <t>A 00028440</t>
  </si>
  <si>
    <t>A 00028441</t>
  </si>
  <si>
    <t>A 00028442</t>
  </si>
  <si>
    <t>A 00028443</t>
  </si>
  <si>
    <t>A 00028444</t>
  </si>
  <si>
    <t>A 00028445</t>
  </si>
  <si>
    <t>A 00028447</t>
  </si>
  <si>
    <t>A 00028448</t>
  </si>
  <si>
    <t>A 00028449</t>
  </si>
  <si>
    <t>A 00028450</t>
  </si>
  <si>
    <t>A 00028451</t>
  </si>
  <si>
    <t>A 00028452</t>
  </si>
  <si>
    <t>A 00001049</t>
  </si>
  <si>
    <t>A 00001051</t>
  </si>
  <si>
    <t>A 00001053</t>
  </si>
  <si>
    <t>27-22545871-0</t>
  </si>
  <si>
    <t>A 00004832</t>
  </si>
  <si>
    <t>A 00004842</t>
  </si>
  <si>
    <t>A 00004844</t>
  </si>
  <si>
    <t>A 00004845</t>
  </si>
  <si>
    <t>A 00004846</t>
  </si>
  <si>
    <t>A 00004847</t>
  </si>
  <si>
    <t>A 00028485</t>
  </si>
  <si>
    <t>A 00028486</t>
  </si>
  <si>
    <t>A 00028487</t>
  </si>
  <si>
    <t>A 00028488</t>
  </si>
  <si>
    <t>A 00028489</t>
  </si>
  <si>
    <t>A 00028490</t>
  </si>
  <si>
    <t>A 00028491</t>
  </si>
  <si>
    <t>A 00028492</t>
  </si>
  <si>
    <t>A 00028522</t>
  </si>
  <si>
    <t>A 00028529</t>
  </si>
  <si>
    <t>A 00028530</t>
  </si>
  <si>
    <t>A 00028531</t>
  </si>
  <si>
    <t>A 00028532</t>
  </si>
  <si>
    <t>A 00028533</t>
  </si>
  <si>
    <t>A 00028534</t>
  </si>
  <si>
    <t>A 00028535</t>
  </si>
  <si>
    <t>A 00028536</t>
  </si>
  <si>
    <t>A 00028537</t>
  </si>
  <si>
    <t>A 00028538</t>
  </si>
  <si>
    <t>A 00028580</t>
  </si>
  <si>
    <t>A 00003452</t>
  </si>
  <si>
    <t>A 00013654</t>
  </si>
  <si>
    <t>A 00028596</t>
  </si>
  <si>
    <t>A 00028597</t>
  </si>
  <si>
    <t>A 00028599</t>
  </si>
  <si>
    <t>A 00075180</t>
  </si>
  <si>
    <t>A 00000860</t>
  </si>
  <si>
    <t>BULONERA MARRA DE SANCHEZ CLAUDIA</t>
  </si>
  <si>
    <t>27-18625946-2</t>
  </si>
  <si>
    <t>A 00001457</t>
  </si>
  <si>
    <t>A 00001458</t>
  </si>
  <si>
    <t>A 00028625</t>
  </si>
  <si>
    <t>A 00028630</t>
  </si>
  <si>
    <t>A 00028631</t>
  </si>
  <si>
    <t>A 00028632</t>
  </si>
  <si>
    <t>A 00028633</t>
  </si>
  <si>
    <t>A 00028634</t>
  </si>
  <si>
    <t>A 00028635</t>
  </si>
  <si>
    <t>A 00012439</t>
  </si>
  <si>
    <t>PRESMAR SA</t>
  </si>
  <si>
    <t>30-53288077-3</t>
  </si>
  <si>
    <t>A 00008041</t>
  </si>
  <si>
    <t>A 00003351</t>
  </si>
  <si>
    <t>A 00002984</t>
  </si>
  <si>
    <t>A 00002985</t>
  </si>
  <si>
    <t>A 00030130</t>
  </si>
  <si>
    <t>A 00000002</t>
  </si>
  <si>
    <t>A 00001533</t>
  </si>
  <si>
    <t>A 00028663</t>
  </si>
  <si>
    <t>A 00003628</t>
  </si>
  <si>
    <t>A 00149001</t>
  </si>
  <si>
    <t>IVECAM SA</t>
  </si>
  <si>
    <t>30-56227129-1</t>
  </si>
  <si>
    <t>A 00149002</t>
  </si>
  <si>
    <t>A 00036353</t>
  </si>
  <si>
    <t>A 00149071</t>
  </si>
  <si>
    <t>A 00000125</t>
  </si>
  <si>
    <t>A 00004936</t>
  </si>
  <si>
    <t>A 00028691</t>
  </si>
  <si>
    <t>A 00028692</t>
  </si>
  <si>
    <t>A 00028693</t>
  </si>
  <si>
    <t>A 00028694</t>
  </si>
  <si>
    <t>A 00028695</t>
  </si>
  <si>
    <t>A 00028696</t>
  </si>
  <si>
    <t>A 00028697</t>
  </si>
  <si>
    <t>A 00028700</t>
  </si>
  <si>
    <t>A 00028701</t>
  </si>
  <si>
    <t>A 00028702</t>
  </si>
  <si>
    <t>A 00000046</t>
  </si>
  <si>
    <t>A 00000732</t>
  </si>
  <si>
    <t>A 00000733</t>
  </si>
  <si>
    <t>A 00002999</t>
  </si>
  <si>
    <t>A 00003000</t>
  </si>
  <si>
    <t>A 00003003</t>
  </si>
  <si>
    <t>A 00004950</t>
  </si>
  <si>
    <t>A 00075567</t>
  </si>
  <si>
    <t>A 00003013</t>
  </si>
  <si>
    <t>A 00003014</t>
  </si>
  <si>
    <t>A 00003015</t>
  </si>
  <si>
    <t>A 00003016</t>
  </si>
  <si>
    <t>A 00004949</t>
  </si>
  <si>
    <t>A 00004951</t>
  </si>
  <si>
    <t>A 00028735</t>
  </si>
  <si>
    <t>A 00028736</t>
  </si>
  <si>
    <t>A 00028737</t>
  </si>
  <si>
    <t>A 00028738</t>
  </si>
  <si>
    <t>A 00028739</t>
  </si>
  <si>
    <t>A 00028740</t>
  </si>
  <si>
    <t>A 00028741</t>
  </si>
  <si>
    <t>A 00028742</t>
  </si>
  <si>
    <t>A 00028743</t>
  </si>
  <si>
    <t>A 00028744</t>
  </si>
  <si>
    <t>A 00028745</t>
  </si>
  <si>
    <t>A 00028746</t>
  </si>
  <si>
    <t>A 00028747</t>
  </si>
  <si>
    <t>A 00028748</t>
  </si>
  <si>
    <t>A 00028749</t>
  </si>
  <si>
    <t>A 00028750</t>
  </si>
  <si>
    <t>A 00075606</t>
  </si>
  <si>
    <t>A 00001497</t>
  </si>
  <si>
    <t>A 00003195</t>
  </si>
  <si>
    <t>A 00003196</t>
  </si>
  <si>
    <t>A 00028770</t>
  </si>
  <si>
    <t>A 00028782</t>
  </si>
  <si>
    <t>A 00028783</t>
  </si>
  <si>
    <t>A 00028784</t>
  </si>
  <si>
    <t>A 00028785</t>
  </si>
  <si>
    <t>A 00028786</t>
  </si>
  <si>
    <t>A 00028787</t>
  </si>
  <si>
    <t>A 00028788</t>
  </si>
  <si>
    <t>A 00028789</t>
  </si>
  <si>
    <t>A 00028790</t>
  </si>
  <si>
    <t>A 00028791</t>
  </si>
  <si>
    <t>A 00028792</t>
  </si>
  <si>
    <t>A 00028793</t>
  </si>
  <si>
    <t>A 00028794</t>
  </si>
  <si>
    <t>A 00028795</t>
  </si>
  <si>
    <t>A 00028796</t>
  </si>
  <si>
    <t>A 00028797</t>
  </si>
  <si>
    <t>A 00028798</t>
  </si>
  <si>
    <t>A 00028799</t>
  </si>
  <si>
    <t>A 00028800</t>
  </si>
  <si>
    <t>A 00186021</t>
  </si>
  <si>
    <t>AURELIA SACIF</t>
  </si>
  <si>
    <t>30-51681359-4</t>
  </si>
  <si>
    <t>A 00003574</t>
  </si>
  <si>
    <t>A 00028834</t>
  </si>
  <si>
    <t>A 00028839</t>
  </si>
  <si>
    <t>A 00028840</t>
  </si>
  <si>
    <t>A 00028841</t>
  </si>
  <si>
    <t>A 00028842</t>
  </si>
  <si>
    <t>A 00028843</t>
  </si>
  <si>
    <t>A 00028844</t>
  </si>
  <si>
    <t>A 00028845</t>
  </si>
  <si>
    <t>A 00028846</t>
  </si>
  <si>
    <t>A 00028847</t>
  </si>
  <si>
    <t>A 00028848</t>
  </si>
  <si>
    <t>A 00028849</t>
  </si>
  <si>
    <t>A 00028850</t>
  </si>
  <si>
    <t>A 00028851</t>
  </si>
  <si>
    <t>A 00028852</t>
  </si>
  <si>
    <t>A 00028853</t>
  </si>
  <si>
    <t>A 00028854</t>
  </si>
  <si>
    <t>A 00003653</t>
  </si>
  <si>
    <t>A 00005007</t>
  </si>
  <si>
    <t>A 00005008</t>
  </si>
  <si>
    <t>A 00005009</t>
  </si>
  <si>
    <t>A 00005010</t>
  </si>
  <si>
    <t>A 00005011</t>
  </si>
  <si>
    <t>A 00028879</t>
  </si>
  <si>
    <t>A 00028889</t>
  </si>
  <si>
    <t>A 00028890</t>
  </si>
  <si>
    <t>A 00028891</t>
  </si>
  <si>
    <t>A 00028892</t>
  </si>
  <si>
    <t>A 00028893</t>
  </si>
  <si>
    <t>A 00028894</t>
  </si>
  <si>
    <t>A 00028895</t>
  </si>
  <si>
    <t>A 00028896</t>
  </si>
  <si>
    <t>A 00028897</t>
  </si>
  <si>
    <t>A 00028898</t>
  </si>
  <si>
    <t>A 00028899</t>
  </si>
  <si>
    <t>A 00028900</t>
  </si>
  <si>
    <t>A 00028901</t>
  </si>
  <si>
    <t>A 00028902</t>
  </si>
  <si>
    <t>A 00028903</t>
  </si>
  <si>
    <t>A 00028904</t>
  </si>
  <si>
    <t>A 00028905</t>
  </si>
  <si>
    <t>A 00028906</t>
  </si>
  <si>
    <t>A 00028907</t>
  </si>
  <si>
    <t>A 00028908</t>
  </si>
  <si>
    <t>A 00028909</t>
  </si>
  <si>
    <t>A 00005677</t>
  </si>
  <si>
    <t>HIDROMOR DE MORO WALTER OMAR</t>
  </si>
  <si>
    <t>A 00008427</t>
  </si>
  <si>
    <t>A 00017600</t>
  </si>
  <si>
    <t xml:space="preserve">REPUESTOS RAN DE ANGEL RAINONE          </t>
  </si>
  <si>
    <t>A 00149714</t>
  </si>
  <si>
    <t>A 00005046</t>
  </si>
  <si>
    <t>A 00005047</t>
  </si>
  <si>
    <t>A 00016904</t>
  </si>
  <si>
    <t>TRANSPORTE MONTALVAN SA</t>
  </si>
  <si>
    <t>30-69475825-4</t>
  </si>
  <si>
    <t>A 00028931</t>
  </si>
  <si>
    <t>A 00028932</t>
  </si>
  <si>
    <t>A 00001539</t>
  </si>
  <si>
    <t>A 00001540</t>
  </si>
  <si>
    <t>A 00002466</t>
  </si>
  <si>
    <t xml:space="preserve">PINTURERIA RUBEN TEODOMIRO GIMENEZ      </t>
  </si>
  <si>
    <t>23-11634560-9</t>
  </si>
  <si>
    <t>A 00003981</t>
  </si>
  <si>
    <t>A 00003982</t>
  </si>
  <si>
    <t>A 00006276</t>
  </si>
  <si>
    <t>CALZETTA NEUMATICOS SOCIEDAD ANONIMA</t>
  </si>
  <si>
    <t>30-58535765-7</t>
  </si>
  <si>
    <t>A 00076076</t>
  </si>
  <si>
    <t>A 00028997</t>
  </si>
  <si>
    <t>A 00028998</t>
  </si>
  <si>
    <t>A 00028999</t>
  </si>
  <si>
    <t>A 00029000</t>
  </si>
  <si>
    <t>A 00029001</t>
  </si>
  <si>
    <t>A 00029002</t>
  </si>
  <si>
    <t>A 00029003</t>
  </si>
  <si>
    <t>A 00029004</t>
  </si>
  <si>
    <t>A 00029005</t>
  </si>
  <si>
    <t>A 00029006</t>
  </si>
  <si>
    <t>A 00029007</t>
  </si>
  <si>
    <t>A 00029008</t>
  </si>
  <si>
    <t>A 00029009</t>
  </si>
  <si>
    <t>A 00029010</t>
  </si>
  <si>
    <t>A 00029011</t>
  </si>
  <si>
    <t>A 00029012</t>
  </si>
  <si>
    <t>A 00029013</t>
  </si>
  <si>
    <t>SSUS YAD DEPOSITO (50%)</t>
  </si>
  <si>
    <t>A 00030584</t>
  </si>
  <si>
    <t>A 00000003</t>
  </si>
  <si>
    <t>A 00000747</t>
  </si>
  <si>
    <t>A 00000748</t>
  </si>
  <si>
    <t>A 00001634</t>
  </si>
  <si>
    <t>A 00003061</t>
  </si>
  <si>
    <t>A 00003062</t>
  </si>
  <si>
    <t>A 00000513</t>
  </si>
  <si>
    <t>A 00000273</t>
  </si>
  <si>
    <t>A 00000328</t>
  </si>
  <si>
    <t>A 00000129</t>
  </si>
  <si>
    <t>A 00029019</t>
  </si>
  <si>
    <t>A 00029020</t>
  </si>
  <si>
    <t>A 00029021</t>
  </si>
  <si>
    <t>A 00029022</t>
  </si>
  <si>
    <t>A 00029023</t>
  </si>
  <si>
    <t>A 00029024</t>
  </si>
  <si>
    <t>A 00029025</t>
  </si>
  <si>
    <t>A 00029026</t>
  </si>
  <si>
    <t>A 00029027</t>
  </si>
  <si>
    <t>A 00029033</t>
  </si>
  <si>
    <t>A 00029037</t>
  </si>
  <si>
    <t>A 00000727</t>
  </si>
  <si>
    <t>COOPERATIVA DE TRABAJO LOMAX LIMITADA</t>
  </si>
  <si>
    <t>30-71654441-5</t>
  </si>
  <si>
    <t>A 00000728</t>
  </si>
  <si>
    <t>A 00003070</t>
  </si>
  <si>
    <t>A 00003071</t>
  </si>
  <si>
    <t>A 00036832</t>
  </si>
  <si>
    <t>A 00004673</t>
  </si>
  <si>
    <t>CASTELNUOVO CLAUDIO DAMIAN</t>
  </si>
  <si>
    <t>23-27704992-9</t>
  </si>
  <si>
    <t>A 00005689</t>
  </si>
  <si>
    <t>A 00029051</t>
  </si>
  <si>
    <t>A 00029052</t>
  </si>
  <si>
    <t>A 00029053</t>
  </si>
  <si>
    <t>A 00029054</t>
  </si>
  <si>
    <t>A 00029055</t>
  </si>
  <si>
    <t>A 00029056</t>
  </si>
  <si>
    <t>A 00029057</t>
  </si>
  <si>
    <t>A 00029058</t>
  </si>
  <si>
    <t>A 00029059</t>
  </si>
  <si>
    <t>A 00029060</t>
  </si>
  <si>
    <t>A 00029061</t>
  </si>
  <si>
    <t>A 00029062</t>
  </si>
  <si>
    <t>A 00029063</t>
  </si>
  <si>
    <t>A 00029064</t>
  </si>
  <si>
    <t>A 00029065</t>
  </si>
  <si>
    <t>A 00029066</t>
  </si>
  <si>
    <t>A 00029067</t>
  </si>
  <si>
    <t>A 00029068</t>
  </si>
  <si>
    <t>A 00029069</t>
  </si>
  <si>
    <t>A 00029070</t>
  </si>
  <si>
    <t>A 00076291</t>
  </si>
  <si>
    <t>A 00001745</t>
  </si>
  <si>
    <t>VALVERDE ARNALDO ANDRES</t>
  </si>
  <si>
    <t>20-23488691-7</t>
  </si>
  <si>
    <t>A 00005776</t>
  </si>
  <si>
    <t>A 00005083</t>
  </si>
  <si>
    <t>A 00005084</t>
  </si>
  <si>
    <t>A 00005085</t>
  </si>
  <si>
    <t>A 00005086</t>
  </si>
  <si>
    <t>A 00009388</t>
  </si>
  <si>
    <t>ELEMENTOS DE PROTECCION PERSONAL SERVICIOS</t>
  </si>
  <si>
    <t>30-71692664-4</t>
  </si>
  <si>
    <t>A 00005098</t>
  </si>
  <si>
    <t>A 00005099</t>
  </si>
  <si>
    <t>A 00005100</t>
  </si>
  <si>
    <t>A 00029103</t>
  </si>
  <si>
    <t>A 00029104</t>
  </si>
  <si>
    <t>A 00029105</t>
  </si>
  <si>
    <t>A 00029106</t>
  </si>
  <si>
    <t>A 00029108</t>
  </si>
  <si>
    <t>A 00029109</t>
  </si>
  <si>
    <t>A 00029110</t>
  </si>
  <si>
    <t>A 00029111</t>
  </si>
  <si>
    <t>A 00029112</t>
  </si>
  <si>
    <t>A 00029113</t>
  </si>
  <si>
    <t>A 00029114</t>
  </si>
  <si>
    <t>A 00029115</t>
  </si>
  <si>
    <t>A 00029116</t>
  </si>
  <si>
    <t>A 00076525</t>
  </si>
  <si>
    <t>A 00005101</t>
  </si>
  <si>
    <t>A 00005102</t>
  </si>
  <si>
    <t>A 00029130</t>
  </si>
  <si>
    <t>A 00029131</t>
  </si>
  <si>
    <t>A 00029132</t>
  </si>
  <si>
    <t>A 00029133</t>
  </si>
  <si>
    <t>A 00029134</t>
  </si>
  <si>
    <t>A 00029135</t>
  </si>
  <si>
    <t>A 00029136</t>
  </si>
  <si>
    <t>A 00029137</t>
  </si>
  <si>
    <t>A 00029138</t>
  </si>
  <si>
    <t>A 00029139</t>
  </si>
  <si>
    <t>A 00029140</t>
  </si>
  <si>
    <t>A 00029141</t>
  </si>
  <si>
    <t>A 00029142</t>
  </si>
  <si>
    <t>A 00029143</t>
  </si>
  <si>
    <t>A 00029144</t>
  </si>
  <si>
    <t>A 00029145</t>
  </si>
  <si>
    <t>A 00029146</t>
  </si>
  <si>
    <t>A 00029147</t>
  </si>
  <si>
    <t>A 00029148</t>
  </si>
  <si>
    <t>A 00064195</t>
  </si>
  <si>
    <t>A 00001583</t>
  </si>
  <si>
    <t>A 00005110</t>
  </si>
  <si>
    <t>A 00005111</t>
  </si>
  <si>
    <t>A 00005120</t>
  </si>
  <si>
    <t>A 00003713</t>
  </si>
  <si>
    <t>A 00425110</t>
  </si>
  <si>
    <t xml:space="preserve">AUTOPISTAS URBANAS SA                   </t>
  </si>
  <si>
    <t>30-57487647-4</t>
  </si>
  <si>
    <t>A 04312302</t>
  </si>
  <si>
    <t xml:space="preserve">AUTOPISTA DEL SOL S.A.                  </t>
  </si>
  <si>
    <t>30-67723711-9</t>
  </si>
  <si>
    <t>A 00029184</t>
  </si>
  <si>
    <t>A 00029185</t>
  </si>
  <si>
    <t>A 00029186</t>
  </si>
  <si>
    <t>A 00029187</t>
  </si>
  <si>
    <t>A 00029188</t>
  </si>
  <si>
    <t>A 00029189</t>
  </si>
  <si>
    <t>A 00029190</t>
  </si>
  <si>
    <t>A 00029191</t>
  </si>
  <si>
    <t>A 00029192</t>
  </si>
  <si>
    <t>A 00029193</t>
  </si>
  <si>
    <t>A 00029194</t>
  </si>
  <si>
    <t>A 00029195</t>
  </si>
  <si>
    <t>A 00037076</t>
  </si>
  <si>
    <t>A 00000744</t>
  </si>
  <si>
    <t>A 00005130</t>
  </si>
  <si>
    <t>A 00005131</t>
  </si>
  <si>
    <t>A 00029208</t>
  </si>
  <si>
    <t>A 00029209</t>
  </si>
  <si>
    <t>A 00029210</t>
  </si>
  <si>
    <t>A 00029211</t>
  </si>
  <si>
    <t>A 00029212</t>
  </si>
  <si>
    <t>A 00029213</t>
  </si>
  <si>
    <t>A 00076694</t>
  </si>
  <si>
    <t>A 00000231</t>
  </si>
  <si>
    <t>A 00005144</t>
  </si>
  <si>
    <t>A 00005804</t>
  </si>
  <si>
    <t>A 00006618</t>
  </si>
  <si>
    <t>A 00029222</t>
  </si>
  <si>
    <t>A 00029223</t>
  </si>
  <si>
    <t>A 00029224</t>
  </si>
  <si>
    <t>A 00029225</t>
  </si>
  <si>
    <t>A 00029226</t>
  </si>
  <si>
    <t>A 00029227</t>
  </si>
  <si>
    <t>A 00029228</t>
  </si>
  <si>
    <t>A 00029229</t>
  </si>
  <si>
    <t>A 00029230</t>
  </si>
  <si>
    <t>A 00029231</t>
  </si>
  <si>
    <t>A 00000462</t>
  </si>
  <si>
    <t>RODRIGUEZ SERGIO ALEJANDRO</t>
  </si>
  <si>
    <t>20-14468680-3</t>
  </si>
  <si>
    <t>A 00003111</t>
  </si>
  <si>
    <t>A 00008591</t>
  </si>
  <si>
    <t>A 00003253</t>
  </si>
  <si>
    <t>A 00029283</t>
  </si>
  <si>
    <t>A 00029284</t>
  </si>
  <si>
    <t>A 00029285</t>
  </si>
  <si>
    <t>A 00029286</t>
  </si>
  <si>
    <t>A 00029287</t>
  </si>
  <si>
    <t>A 00029288</t>
  </si>
  <si>
    <t>A 00029289</t>
  </si>
  <si>
    <t>A 00029290</t>
  </si>
  <si>
    <t>A 00029291</t>
  </si>
  <si>
    <t>A 00029292</t>
  </si>
  <si>
    <t>A 00029293</t>
  </si>
  <si>
    <t>A 00017200</t>
  </si>
  <si>
    <t>A 00017201</t>
  </si>
  <si>
    <t>A 00017202</t>
  </si>
  <si>
    <t>A 00017203</t>
  </si>
  <si>
    <t>A 00017204</t>
  </si>
  <si>
    <t>A 00062418</t>
  </si>
  <si>
    <t xml:space="preserve">LA VERIFICACION NORTE S.R.L.               </t>
  </si>
  <si>
    <t>30-71201732-1</t>
  </si>
  <si>
    <t>A 00005169</t>
  </si>
  <si>
    <t>A 00005170</t>
  </si>
  <si>
    <t>A 00001623</t>
  </si>
  <si>
    <t>A 00001624</t>
  </si>
  <si>
    <t>A 00005171</t>
  </si>
  <si>
    <t>A 00005172</t>
  </si>
  <si>
    <t>A 00005190</t>
  </si>
  <si>
    <t>A 00005193</t>
  </si>
  <si>
    <t>A 00013985</t>
  </si>
  <si>
    <t>A 00029337</t>
  </si>
  <si>
    <t>A 00029338</t>
  </si>
  <si>
    <t>A 00029339</t>
  </si>
  <si>
    <t>A 00029340</t>
  </si>
  <si>
    <t>A 00029341</t>
  </si>
  <si>
    <t>A 00029342</t>
  </si>
  <si>
    <t>A 00029343</t>
  </si>
  <si>
    <t>A 00029344</t>
  </si>
  <si>
    <t>A 00029346</t>
  </si>
  <si>
    <t>A 00029347</t>
  </si>
  <si>
    <t>A 00029348</t>
  </si>
  <si>
    <t>A 00029354</t>
  </si>
  <si>
    <t>A 00029355</t>
  </si>
  <si>
    <t>A 00029356</t>
  </si>
  <si>
    <t>A 00029357</t>
  </si>
  <si>
    <t>A 00029358</t>
  </si>
  <si>
    <t>A 00029359</t>
  </si>
  <si>
    <t>A 00029360</t>
  </si>
  <si>
    <t>A 00029361</t>
  </si>
  <si>
    <t>A 00029362</t>
  </si>
  <si>
    <t>A 00029363</t>
  </si>
  <si>
    <t>A 00029364</t>
  </si>
  <si>
    <t>A 00001725</t>
  </si>
  <si>
    <t>A 00003126</t>
  </si>
  <si>
    <t>A 00003127</t>
  </si>
  <si>
    <t>A 00003128</t>
  </si>
  <si>
    <t>A 00003129</t>
  </si>
  <si>
    <t>A 00017205</t>
  </si>
  <si>
    <t>A 00017206</t>
  </si>
  <si>
    <t>A 00017207</t>
  </si>
  <si>
    <t>A 00017208</t>
  </si>
  <si>
    <t>A 00017209</t>
  </si>
  <si>
    <t>A 00017210</t>
  </si>
  <si>
    <t>A 00017211</t>
  </si>
  <si>
    <t>A 00017212</t>
  </si>
  <si>
    <t>A 00017213</t>
  </si>
  <si>
    <t>A 00031251</t>
  </si>
  <si>
    <t>A 00000004</t>
  </si>
  <si>
    <t>A 00429299</t>
  </si>
  <si>
    <t>A 00488311</t>
  </si>
  <si>
    <t>A 04217701</t>
  </si>
  <si>
    <t xml:space="preserve">GRUPO CONCESIONARIO DEL OESTE SA        </t>
  </si>
  <si>
    <t>30-66349851-3</t>
  </si>
  <si>
    <t>A 04242235</t>
  </si>
  <si>
    <t>A 04370269</t>
  </si>
  <si>
    <t>A 04370270</t>
  </si>
  <si>
    <t>A 00000135</t>
  </si>
  <si>
    <t>A 00000754</t>
  </si>
  <si>
    <t>A 00000755</t>
  </si>
  <si>
    <t>A 00029399</t>
  </si>
  <si>
    <t>A 00029400</t>
  </si>
  <si>
    <t>A 00029401</t>
  </si>
  <si>
    <t>A 00029402</t>
  </si>
  <si>
    <t>A 00029403</t>
  </si>
  <si>
    <t>A 00029404</t>
  </si>
  <si>
    <t>A 00029405</t>
  </si>
  <si>
    <t>A 00029406</t>
  </si>
  <si>
    <t>A 00029407</t>
  </si>
  <si>
    <t>A 00029408</t>
  </si>
  <si>
    <t>A 00029409</t>
  </si>
  <si>
    <t>A 00029410</t>
  </si>
  <si>
    <t>A 00029411</t>
  </si>
  <si>
    <t>A 00029412</t>
  </si>
  <si>
    <t>A 00029413</t>
  </si>
  <si>
    <t>A 00029414</t>
  </si>
  <si>
    <t>A 00029415</t>
  </si>
  <si>
    <t>A 00029416</t>
  </si>
  <si>
    <t>A 00029417</t>
  </si>
  <si>
    <t>A 00029418</t>
  </si>
  <si>
    <t>A 00029419</t>
  </si>
  <si>
    <t>A 00029420</t>
  </si>
  <si>
    <t>A 00037393</t>
  </si>
  <si>
    <t>A 00000047</t>
  </si>
  <si>
    <t>A 00000756</t>
  </si>
  <si>
    <t>A 00001712</t>
  </si>
  <si>
    <t>LUBRICANTES MUNRO</t>
  </si>
  <si>
    <t>20-20340203-2</t>
  </si>
  <si>
    <t>A 00005834</t>
  </si>
  <si>
    <t>A 00077220</t>
  </si>
  <si>
    <t>A 00005224</t>
  </si>
  <si>
    <t>A 00029452</t>
  </si>
  <si>
    <t>A 00029453</t>
  </si>
  <si>
    <t>A 00029454</t>
  </si>
  <si>
    <t>A 00029455</t>
  </si>
  <si>
    <t>A 00029456</t>
  </si>
  <si>
    <t>A 00029457</t>
  </si>
  <si>
    <t>A 00029458</t>
  </si>
  <si>
    <t>A 00029459</t>
  </si>
  <si>
    <t>A 00029460</t>
  </si>
  <si>
    <t>A 00029461</t>
  </si>
  <si>
    <t>A 00029462</t>
  </si>
  <si>
    <t>A 00029463</t>
  </si>
  <si>
    <t>A 00029464</t>
  </si>
  <si>
    <t>A 00029465</t>
  </si>
  <si>
    <t>A 00029466</t>
  </si>
  <si>
    <t>A 00029467</t>
  </si>
  <si>
    <t>A 00029468</t>
  </si>
  <si>
    <t>A 00029469</t>
  </si>
  <si>
    <t>A 00003150</t>
  </si>
  <si>
    <t>A 00005231</t>
  </si>
  <si>
    <t>A 00029504</t>
  </si>
  <si>
    <t>A 00029505</t>
  </si>
  <si>
    <t>A 00029506</t>
  </si>
  <si>
    <t>A 00029507</t>
  </si>
  <si>
    <t>A 00029508</t>
  </si>
  <si>
    <t>A 00029509</t>
  </si>
  <si>
    <t>A 00029510</t>
  </si>
  <si>
    <t>A 00029511</t>
  </si>
  <si>
    <t>A 00029512</t>
  </si>
  <si>
    <t>A 00029513</t>
  </si>
  <si>
    <t>A 00029514</t>
  </si>
  <si>
    <t>A 00005259</t>
  </si>
  <si>
    <t>A 00005260</t>
  </si>
  <si>
    <t>A 00005270</t>
  </si>
  <si>
    <t>A 00001569</t>
  </si>
  <si>
    <t>A 00003851</t>
  </si>
  <si>
    <t>A 00029567</t>
  </si>
  <si>
    <t>A 00029568</t>
  </si>
  <si>
    <t>A 00029569</t>
  </si>
  <si>
    <t>A 00029570</t>
  </si>
  <si>
    <t>A 00029571</t>
  </si>
  <si>
    <t>A 00029572</t>
  </si>
  <si>
    <t>A 00029573</t>
  </si>
  <si>
    <t>A 00029574</t>
  </si>
  <si>
    <t>A 00029575</t>
  </si>
  <si>
    <t>A 00029576</t>
  </si>
  <si>
    <t>A 00029577</t>
  </si>
  <si>
    <t>A 00029578</t>
  </si>
  <si>
    <t>A 00029579</t>
  </si>
  <si>
    <t>A 00077467</t>
  </si>
  <si>
    <t>A 00000240</t>
  </si>
  <si>
    <t>A 00001671</t>
  </si>
  <si>
    <t>A 00003160</t>
  </si>
  <si>
    <t>A 00003161</t>
  </si>
  <si>
    <t>A 00005288</t>
  </si>
  <si>
    <t>A 00005289</t>
  </si>
  <si>
    <t>A 00005290</t>
  </si>
  <si>
    <t>A 00005291</t>
  </si>
  <si>
    <t>A 00005292</t>
  </si>
  <si>
    <t>A 00005293</t>
  </si>
  <si>
    <t>A 00005294</t>
  </si>
  <si>
    <t>A 00005295</t>
  </si>
  <si>
    <t>A 00005296</t>
  </si>
  <si>
    <t>A 00005297</t>
  </si>
  <si>
    <t>A 00005298</t>
  </si>
  <si>
    <t>A 00005857</t>
  </si>
  <si>
    <t>A 00017434</t>
  </si>
  <si>
    <t>A 04256317</t>
  </si>
  <si>
    <t>A 04256318</t>
  </si>
  <si>
    <t>A 04426469</t>
  </si>
  <si>
    <t>A 00029587</t>
  </si>
  <si>
    <t>A 00029588</t>
  </si>
  <si>
    <t>A 00029589</t>
  </si>
  <si>
    <t>A 00029590</t>
  </si>
  <si>
    <t>A 00029591</t>
  </si>
  <si>
    <t>A 00029592</t>
  </si>
  <si>
    <t>A 00439471</t>
  </si>
  <si>
    <t>A 00488844</t>
  </si>
  <si>
    <t>A 00003740</t>
  </si>
  <si>
    <t>A 00000244</t>
  </si>
  <si>
    <t>A 00000767</t>
  </si>
  <si>
    <t>A 00005300</t>
  </si>
  <si>
    <t>A 00029641</t>
  </si>
  <si>
    <t>A 00029642</t>
  </si>
  <si>
    <t>A 00029643</t>
  </si>
  <si>
    <t>A 00029644</t>
  </si>
  <si>
    <t>A 00029645</t>
  </si>
  <si>
    <t>A 00029646</t>
  </si>
  <si>
    <t>A 00029647</t>
  </si>
  <si>
    <t>A 00029648</t>
  </si>
  <si>
    <t>A 00029649</t>
  </si>
  <si>
    <t>A 00029650</t>
  </si>
  <si>
    <t>A 03221621</t>
  </si>
  <si>
    <t xml:space="preserve">CEAMSE                                  </t>
  </si>
  <si>
    <t>30-57720719-0</t>
  </si>
  <si>
    <t>A 00003745</t>
  </si>
  <si>
    <t>A 00003746</t>
  </si>
  <si>
    <t>A 00003747</t>
  </si>
  <si>
    <t>A 00003748</t>
  </si>
  <si>
    <t>A 00000322</t>
  </si>
  <si>
    <t>PARABRISAS FLORIDA</t>
  </si>
  <si>
    <t>30-62890483-5</t>
  </si>
  <si>
    <t>A 00077657</t>
  </si>
  <si>
    <t>A 00003756</t>
  </si>
  <si>
    <t>A 00005313</t>
  </si>
  <si>
    <t>A 00005314</t>
  </si>
  <si>
    <t>A 00005315</t>
  </si>
  <si>
    <t>A 00005316</t>
  </si>
  <si>
    <t>A 00005317</t>
  </si>
  <si>
    <t>A 00005318</t>
  </si>
  <si>
    <t>A 00005319</t>
  </si>
  <si>
    <t>A 00005320</t>
  </si>
  <si>
    <t>A 00005321</t>
  </si>
  <si>
    <t>A 00005335</t>
  </si>
  <si>
    <t>A 00005336</t>
  </si>
  <si>
    <t>A 00029673</t>
  </si>
  <si>
    <t>A 00029674</t>
  </si>
  <si>
    <t>A 00029675</t>
  </si>
  <si>
    <t>A 00029676</t>
  </si>
  <si>
    <t>A 00029677</t>
  </si>
  <si>
    <t>A 00029678</t>
  </si>
  <si>
    <t>A 00029679</t>
  </si>
  <si>
    <t>A 00029680</t>
  </si>
  <si>
    <t>A 00064673</t>
  </si>
  <si>
    <t>A 00003317</t>
  </si>
  <si>
    <t>A 00077765</t>
  </si>
  <si>
    <t>A 00003759</t>
  </si>
  <si>
    <t>A 00003760</t>
  </si>
  <si>
    <t>A 00003761</t>
  </si>
  <si>
    <t>A 00008791</t>
  </si>
  <si>
    <t>A 00077822</t>
  </si>
  <si>
    <t>A 00003914</t>
  </si>
  <si>
    <t>A 00004063</t>
  </si>
  <si>
    <t>A 00029711</t>
  </si>
  <si>
    <t>A 00029715</t>
  </si>
  <si>
    <t>A 00029716</t>
  </si>
  <si>
    <t>A 00000248</t>
  </si>
  <si>
    <t>A 00000779</t>
  </si>
  <si>
    <t>A 00001707</t>
  </si>
  <si>
    <t>A 00001708</t>
  </si>
  <si>
    <t>A 00005371</t>
  </si>
  <si>
    <t>A 00005372</t>
  </si>
  <si>
    <t>A 00005373</t>
  </si>
  <si>
    <t>A 00005374</t>
  </si>
  <si>
    <t>A 00005375</t>
  </si>
  <si>
    <t>A 00005376</t>
  </si>
  <si>
    <t>A 00005377</t>
  </si>
  <si>
    <t>A 00005378</t>
  </si>
  <si>
    <t>A 00005379</t>
  </si>
  <si>
    <t>A 00005397</t>
  </si>
  <si>
    <t>A 00005398</t>
  </si>
  <si>
    <t>A 00005404</t>
  </si>
  <si>
    <t>A 00029747</t>
  </si>
  <si>
    <t>A 00029748</t>
  </si>
  <si>
    <t>A 00029749</t>
  </si>
  <si>
    <t>A 00029750</t>
  </si>
  <si>
    <t>A 03151877</t>
  </si>
  <si>
    <t>AGUINALDOS DEPOSITO</t>
  </si>
  <si>
    <t>AGUINALDOS LOGISTICA</t>
  </si>
  <si>
    <t>PEAJES</t>
  </si>
  <si>
    <t>AGIP</t>
  </si>
  <si>
    <t>BIENES PERSONALES YAD LOGISTICA SRL</t>
  </si>
  <si>
    <t>MORATORIA MAYO2023(2/12)</t>
  </si>
  <si>
    <t>A 00005241</t>
  </si>
  <si>
    <t>A 00000247</t>
  </si>
  <si>
    <t>A 00003187</t>
  </si>
  <si>
    <t>A 00003188</t>
  </si>
  <si>
    <t>A 00031697</t>
  </si>
  <si>
    <t>A 00000005</t>
  </si>
  <si>
    <t>A 00001781</t>
  </si>
  <si>
    <t>A 00017355</t>
  </si>
  <si>
    <t>PINTURERIAS MAFER SA</t>
  </si>
  <si>
    <t>30-55354794-2</t>
  </si>
  <si>
    <t>A 00445060</t>
  </si>
  <si>
    <t>A 00495199</t>
  </si>
  <si>
    <t>A 00003766</t>
  </si>
  <si>
    <t>A 00003767</t>
  </si>
  <si>
    <t>A 04297324</t>
  </si>
  <si>
    <t>A 04297325</t>
  </si>
  <si>
    <t>A 04484792</t>
  </si>
  <si>
    <t>A 04484793</t>
  </si>
  <si>
    <t>A 00000140</t>
  </si>
  <si>
    <t>A 00001056</t>
  </si>
  <si>
    <t>ROITZ S.A.</t>
  </si>
  <si>
    <t>30-71469151-8</t>
  </si>
  <si>
    <t>A 00001057</t>
  </si>
  <si>
    <t>SIH S.R.L.</t>
  </si>
  <si>
    <t>30-71795276-2</t>
  </si>
  <si>
    <t>A 00022986</t>
  </si>
  <si>
    <t>A 00037956</t>
  </si>
  <si>
    <t>C 00000497</t>
  </si>
  <si>
    <t>C 00000498</t>
  </si>
  <si>
    <t>A 00000333</t>
  </si>
  <si>
    <t>A 00029772</t>
  </si>
  <si>
    <t>A 00029773</t>
  </si>
  <si>
    <t>A 00029774</t>
  </si>
  <si>
    <t>A 00029775</t>
  </si>
  <si>
    <t>A 00029776</t>
  </si>
  <si>
    <t>A 00029777</t>
  </si>
  <si>
    <t>A 00084454</t>
  </si>
  <si>
    <t>A 00002376</t>
  </si>
  <si>
    <t>ESPOSITO GASTON LEONARDO</t>
  </si>
  <si>
    <t>23-22247821-9</t>
  </si>
  <si>
    <t>A 00000025</t>
  </si>
  <si>
    <t>A 00000735</t>
  </si>
  <si>
    <t>A 00000778</t>
  </si>
  <si>
    <t>A 00000780</t>
  </si>
  <si>
    <t>A 00005176</t>
  </si>
  <si>
    <t>A 00005442</t>
  </si>
  <si>
    <t>A 00029813</t>
  </si>
  <si>
    <t>A 00029814</t>
  </si>
  <si>
    <t>A 00029815</t>
  </si>
  <si>
    <t>A 00029816</t>
  </si>
  <si>
    <t>A 00029817</t>
  </si>
  <si>
    <t>A 00029818</t>
  </si>
  <si>
    <t>A 00029819</t>
  </si>
  <si>
    <t>A 00029820</t>
  </si>
  <si>
    <t>A 00029821</t>
  </si>
  <si>
    <t>A 00029822</t>
  </si>
  <si>
    <t>A 00029823</t>
  </si>
  <si>
    <t>A 00029824</t>
  </si>
  <si>
    <t>A 00029825</t>
  </si>
  <si>
    <t>A 00029826</t>
  </si>
  <si>
    <t>A 00003777</t>
  </si>
  <si>
    <t>A 00005443</t>
  </si>
  <si>
    <t>A 00005444</t>
  </si>
  <si>
    <t>A 00005445</t>
  </si>
  <si>
    <t>A 00001815</t>
  </si>
  <si>
    <t>REPUESTOS PRIMERA JUNTA DE LA SECCION IV ARTICULOS</t>
  </si>
  <si>
    <t>30-71588112-4</t>
  </si>
  <si>
    <t>A 00003209</t>
  </si>
  <si>
    <t>A 00003998</t>
  </si>
  <si>
    <t>A 00029873</t>
  </si>
  <si>
    <t>A 00029874</t>
  </si>
  <si>
    <t>A 00029875</t>
  </si>
  <si>
    <t>A 00000254</t>
  </si>
  <si>
    <t>A 00005457</t>
  </si>
  <si>
    <t>A 00005461</t>
  </si>
  <si>
    <t>A 00005463</t>
  </si>
  <si>
    <t>A 00005464</t>
  </si>
  <si>
    <t>A 00005465</t>
  </si>
  <si>
    <t>A 00029896</t>
  </si>
  <si>
    <t>A 00029897</t>
  </si>
  <si>
    <t>A 00029898</t>
  </si>
  <si>
    <t>A 00029899</t>
  </si>
  <si>
    <t>A 00001749</t>
  </si>
  <si>
    <t>A 00029924</t>
  </si>
  <si>
    <t>A 00029925</t>
  </si>
  <si>
    <t>A 00029926</t>
  </si>
  <si>
    <t>A 00029927</t>
  </si>
  <si>
    <t>A 00029943</t>
  </si>
  <si>
    <t>A 00029944</t>
  </si>
  <si>
    <t>A 00029954</t>
  </si>
  <si>
    <t>A 00029955</t>
  </si>
  <si>
    <t>A 00029956</t>
  </si>
  <si>
    <t>A 00029961</t>
  </si>
  <si>
    <t>A 00000798</t>
  </si>
  <si>
    <t>A 00005487</t>
  </si>
  <si>
    <t>A 00005488</t>
  </si>
  <si>
    <t>A 00005489</t>
  </si>
  <si>
    <t>A 04335945</t>
  </si>
  <si>
    <t>A 04361284</t>
  </si>
  <si>
    <t>A 04540864</t>
  </si>
  <si>
    <t>A 04540865</t>
  </si>
  <si>
    <t>A 00005248</t>
  </si>
  <si>
    <t>A 00038205</t>
  </si>
  <si>
    <t>A 00455099</t>
  </si>
  <si>
    <t>A 00500689</t>
  </si>
  <si>
    <t>A 03255531</t>
  </si>
  <si>
    <t>A 00002525</t>
  </si>
  <si>
    <t>ALLEKOTTE ROBERTO</t>
  </si>
  <si>
    <t>20-21654174-0</t>
  </si>
  <si>
    <t>A 00003238</t>
  </si>
  <si>
    <t>A 00016840</t>
  </si>
  <si>
    <t>LABORO SEGURIDAD INDUSTRIAL DE MARIA CECILIA PUGLI</t>
  </si>
  <si>
    <t>27-27733628-1</t>
  </si>
  <si>
    <t>A 00029981</t>
  </si>
  <si>
    <t>A 00029982</t>
  </si>
  <si>
    <t>A 00029989</t>
  </si>
  <si>
    <t>A 00029990</t>
  </si>
  <si>
    <t>A 00029991</t>
  </si>
  <si>
    <t>A 00029992</t>
  </si>
  <si>
    <t>A 00029993</t>
  </si>
  <si>
    <t>A 00029994</t>
  </si>
  <si>
    <t>A 00029995</t>
  </si>
  <si>
    <t>A 00029996</t>
  </si>
  <si>
    <t>A 00029997</t>
  </si>
  <si>
    <t>A 00029998</t>
  </si>
  <si>
    <t>A 00000009</t>
  </si>
  <si>
    <t>A 00000010</t>
  </si>
  <si>
    <t>A 00030022</t>
  </si>
  <si>
    <t>A 00030023</t>
  </si>
  <si>
    <t>A 00030024</t>
  </si>
  <si>
    <t>A 00030025</t>
  </si>
  <si>
    <t>A 00030026</t>
  </si>
  <si>
    <t>A 00030027</t>
  </si>
  <si>
    <t>A 00030028</t>
  </si>
  <si>
    <t>A 00030029</t>
  </si>
  <si>
    <t>A 00030030</t>
  </si>
  <si>
    <t>A 00030031</t>
  </si>
  <si>
    <t>A 00030032</t>
  </si>
  <si>
    <t>A 00030033</t>
  </si>
  <si>
    <t>A 00030034</t>
  </si>
  <si>
    <t>A 00030035</t>
  </si>
  <si>
    <t>A 00030040</t>
  </si>
  <si>
    <t>A 00030041</t>
  </si>
  <si>
    <t>A 00000335</t>
  </si>
  <si>
    <t>A 00000336</t>
  </si>
  <si>
    <t>A 00000011</t>
  </si>
  <si>
    <t>A 00003369</t>
  </si>
  <si>
    <t>A 00012577</t>
  </si>
  <si>
    <t>A 00001975</t>
  </si>
  <si>
    <t>A 00005535</t>
  </si>
  <si>
    <t>A 00005536</t>
  </si>
  <si>
    <t>A 00005537</t>
  </si>
  <si>
    <t>A 00005538</t>
  </si>
  <si>
    <t>A 00030081</t>
  </si>
  <si>
    <t>A 00030082</t>
  </si>
  <si>
    <t>A 00030083</t>
  </si>
  <si>
    <t>A 00030084</t>
  </si>
  <si>
    <t>A 00030085</t>
  </si>
  <si>
    <t>A 00030086</t>
  </si>
  <si>
    <t>A 00001088</t>
  </si>
  <si>
    <t>SONARA SA</t>
  </si>
  <si>
    <t>30-71187661-4</t>
  </si>
  <si>
    <t>A 00001980</t>
  </si>
  <si>
    <t>A 00009005</t>
  </si>
  <si>
    <t>A 00005558</t>
  </si>
  <si>
    <t>A 00005559</t>
  </si>
  <si>
    <t>A 00005560</t>
  </si>
  <si>
    <t>A 00005561</t>
  </si>
  <si>
    <t>A 00005562</t>
  </si>
  <si>
    <t>A 00005563</t>
  </si>
  <si>
    <t>A 00005564</t>
  </si>
  <si>
    <t>A 00030094</t>
  </si>
  <si>
    <t>A 00030095</t>
  </si>
  <si>
    <t>A 00030096</t>
  </si>
  <si>
    <t>A 00030097</t>
  </si>
  <si>
    <t>A 00030098</t>
  </si>
  <si>
    <t>A 00030099</t>
  </si>
  <si>
    <t>A 00030100</t>
  </si>
  <si>
    <t>A 00030144</t>
  </si>
  <si>
    <t>A 00030145</t>
  </si>
  <si>
    <t>A 00030146</t>
  </si>
  <si>
    <t>A 00030147</t>
  </si>
  <si>
    <t>A 00000812</t>
  </si>
  <si>
    <t>A 00001792</t>
  </si>
  <si>
    <t>A 00001793</t>
  </si>
  <si>
    <t>A 00002716</t>
  </si>
  <si>
    <t>A 00005323</t>
  </si>
  <si>
    <t>A 00008181</t>
  </si>
  <si>
    <t>PIRAGINE HNOS SRL</t>
  </si>
  <si>
    <t>30-71423934-8</t>
  </si>
  <si>
    <t>A 00030158</t>
  </si>
  <si>
    <t>A 00030159</t>
  </si>
  <si>
    <t>A 00030160</t>
  </si>
  <si>
    <t>A 00030161</t>
  </si>
  <si>
    <t>A 00030162</t>
  </si>
  <si>
    <t>A 00030163</t>
  </si>
  <si>
    <t>A 00030164</t>
  </si>
  <si>
    <t>A 00030165</t>
  </si>
  <si>
    <t>A 00030166</t>
  </si>
  <si>
    <t>A 00030167</t>
  </si>
  <si>
    <t>A 00030168</t>
  </si>
  <si>
    <t>C 00000505</t>
  </si>
  <si>
    <t>A 00000006</t>
  </si>
  <si>
    <t>A 00000785</t>
  </si>
  <si>
    <t>A 00000786</t>
  </si>
  <si>
    <t>A 00001868</t>
  </si>
  <si>
    <t>A 00003257</t>
  </si>
  <si>
    <t>A 00003258</t>
  </si>
  <si>
    <t>A 00014015</t>
  </si>
  <si>
    <t>A 00032135</t>
  </si>
  <si>
    <t>A 00000013</t>
  </si>
  <si>
    <t>A 00014017</t>
  </si>
  <si>
    <t>A 00001241</t>
  </si>
  <si>
    <t>CENTRAL MAYORISTA S R L</t>
  </si>
  <si>
    <t>30-71568344-6</t>
  </si>
  <si>
    <t>A 00018295</t>
  </si>
  <si>
    <t>A 00153036</t>
  </si>
  <si>
    <t>A 00000148</t>
  </si>
  <si>
    <t>A 00005608</t>
  </si>
  <si>
    <t>A 00005609</t>
  </si>
  <si>
    <t>A 00005610</t>
  </si>
  <si>
    <t>A 00005611</t>
  </si>
  <si>
    <t>A 00005612</t>
  </si>
  <si>
    <t>A 00005613</t>
  </si>
  <si>
    <t>A 00038526</t>
  </si>
  <si>
    <t>C 00000026</t>
  </si>
  <si>
    <t>SANTANDER CARLOS ARIEL</t>
  </si>
  <si>
    <t>20-31964205-7</t>
  </si>
  <si>
    <t>A 00030203</t>
  </si>
  <si>
    <t>A 00030204</t>
  </si>
  <si>
    <t>A 00030205</t>
  </si>
  <si>
    <t>A 00030206</t>
  </si>
  <si>
    <t>A 00030207</t>
  </si>
  <si>
    <t>A 00030208</t>
  </si>
  <si>
    <t>A 00030209</t>
  </si>
  <si>
    <t>A 00030210</t>
  </si>
  <si>
    <t>A 00030211</t>
  </si>
  <si>
    <t>A 00030212</t>
  </si>
  <si>
    <t>A 00030213</t>
  </si>
  <si>
    <t>A 00030214</t>
  </si>
  <si>
    <t>A 00000092</t>
  </si>
  <si>
    <t>A 00001243</t>
  </si>
  <si>
    <t>INDUSTRIAS CECCONI SRL</t>
  </si>
  <si>
    <t>30-70950584-6</t>
  </si>
  <si>
    <t>A 00005617</t>
  </si>
  <si>
    <t>A 00007624</t>
  </si>
  <si>
    <t>REFRIGERACION FRI-MAR SRL</t>
  </si>
  <si>
    <t>30-71612491-2</t>
  </si>
  <si>
    <t>A 00030223</t>
  </si>
  <si>
    <t>A 00030224</t>
  </si>
  <si>
    <t>A 00030225</t>
  </si>
  <si>
    <t>A 00030226</t>
  </si>
  <si>
    <t>A 00030227</t>
  </si>
  <si>
    <t>A 00030228</t>
  </si>
  <si>
    <t>A 00030229</t>
  </si>
  <si>
    <t>A 00030230</t>
  </si>
  <si>
    <t>A 00030231</t>
  </si>
  <si>
    <t>A 00030232</t>
  </si>
  <si>
    <t>A 00030233</t>
  </si>
  <si>
    <t>A 00030234</t>
  </si>
  <si>
    <t>A 00030235</t>
  </si>
  <si>
    <t>A 00030236</t>
  </si>
  <si>
    <t>A 00030237</t>
  </si>
  <si>
    <t>A 00030238</t>
  </si>
  <si>
    <t>A 00030239</t>
  </si>
  <si>
    <t>A 00030240</t>
  </si>
  <si>
    <t>A 00030241</t>
  </si>
  <si>
    <t>A 00030242</t>
  </si>
  <si>
    <t>A 00030243</t>
  </si>
  <si>
    <t>A 00030244</t>
  </si>
  <si>
    <t>A 00030249</t>
  </si>
  <si>
    <t>A 00004144</t>
  </si>
  <si>
    <t>A 00006664</t>
  </si>
  <si>
    <t>A 00005638</t>
  </si>
  <si>
    <t>A 00017967</t>
  </si>
  <si>
    <t>A 00017973</t>
  </si>
  <si>
    <t>A 00017975</t>
  </si>
  <si>
    <t>A 00030273</t>
  </si>
  <si>
    <t>A 00030274</t>
  </si>
  <si>
    <t>A 00005642</t>
  </si>
  <si>
    <t>A 00005643</t>
  </si>
  <si>
    <t>A 00005644</t>
  </si>
  <si>
    <t>A 00005647</t>
  </si>
  <si>
    <t>A 00030275</t>
  </si>
  <si>
    <t>A 00030276</t>
  </si>
  <si>
    <t>A 00030277</t>
  </si>
  <si>
    <t>A 00030278</t>
  </si>
  <si>
    <t>A 00030279</t>
  </si>
  <si>
    <t>A 00030280</t>
  </si>
  <si>
    <t>A 00030281</t>
  </si>
  <si>
    <t>A 00030282</t>
  </si>
  <si>
    <t>A 00030283</t>
  </si>
  <si>
    <t>A 00030284</t>
  </si>
  <si>
    <t>A 00000017</t>
  </si>
  <si>
    <t>A 00001037</t>
  </si>
  <si>
    <t>TODOMAQ SRL</t>
  </si>
  <si>
    <t>33-71250429-9</t>
  </si>
  <si>
    <t>A 00005652</t>
  </si>
  <si>
    <t>A 00005653</t>
  </si>
  <si>
    <t>A 00005654</t>
  </si>
  <si>
    <t>A 00005655</t>
  </si>
  <si>
    <t>A 00005656</t>
  </si>
  <si>
    <t>A 00005657</t>
  </si>
  <si>
    <t>A 00030324</t>
  </si>
  <si>
    <t>A 00030325</t>
  </si>
  <si>
    <t>A 00030326</t>
  </si>
  <si>
    <t>A 00030327</t>
  </si>
  <si>
    <t>A 00030328</t>
  </si>
  <si>
    <t>A 00030329</t>
  </si>
  <si>
    <t>A 00030330</t>
  </si>
  <si>
    <t>A 00005418</t>
  </si>
  <si>
    <t>A 00030331</t>
  </si>
  <si>
    <t>A 00030332</t>
  </si>
  <si>
    <t>A 00030333</t>
  </si>
  <si>
    <t>A 00030334</t>
  </si>
  <si>
    <t>A 00030335</t>
  </si>
  <si>
    <t>A 00030336</t>
  </si>
  <si>
    <t>A 00030337</t>
  </si>
  <si>
    <t>A 00030338</t>
  </si>
  <si>
    <t>A 00030339</t>
  </si>
  <si>
    <t>A 00030340</t>
  </si>
  <si>
    <t>A 00030341</t>
  </si>
  <si>
    <t>A 00000093</t>
  </si>
  <si>
    <t>A 00001848</t>
  </si>
  <si>
    <t>A 00003285</t>
  </si>
  <si>
    <t>A 00003286</t>
  </si>
  <si>
    <t>A 00005665</t>
  </si>
  <si>
    <t>A 00005666</t>
  </si>
  <si>
    <t>A 00079490</t>
  </si>
  <si>
    <t>C 00000095</t>
  </si>
  <si>
    <t>KUXHAUS CARLOS WALTER</t>
  </si>
  <si>
    <t>20-17874511-6</t>
  </si>
  <si>
    <t>A 00004196</t>
  </si>
  <si>
    <t>A 00000823</t>
  </si>
  <si>
    <t>A 00005683</t>
  </si>
  <si>
    <t>A 00005684</t>
  </si>
  <si>
    <t>A 00005685</t>
  </si>
  <si>
    <t>A 00018054</t>
  </si>
  <si>
    <t>A 00018070</t>
  </si>
  <si>
    <t>A 00003298</t>
  </si>
  <si>
    <t>A 00030367</t>
  </si>
  <si>
    <t>A 00030368</t>
  </si>
  <si>
    <t>A 00030369</t>
  </si>
  <si>
    <t>A 00030370</t>
  </si>
  <si>
    <t>A 00030371</t>
  </si>
  <si>
    <t>A 00030372</t>
  </si>
  <si>
    <t>A 00030373</t>
  </si>
  <si>
    <t>A 00030374</t>
  </si>
  <si>
    <t>A 00030402</t>
  </si>
  <si>
    <t>A 00030403</t>
  </si>
  <si>
    <t>A 00030404</t>
  </si>
  <si>
    <t>A 00030405</t>
  </si>
  <si>
    <t>A 00030406</t>
  </si>
  <si>
    <t>A 00030407</t>
  </si>
  <si>
    <t>A 00030408</t>
  </si>
  <si>
    <t>A 00030409</t>
  </si>
  <si>
    <t>A 00030410</t>
  </si>
  <si>
    <t>A 00005695</t>
  </si>
  <si>
    <t>A 00005696</t>
  </si>
  <si>
    <t>A 00005697</t>
  </si>
  <si>
    <t>A 00030445</t>
  </si>
  <si>
    <t>A 00079682</t>
  </si>
  <si>
    <t>A 00005706</t>
  </si>
  <si>
    <t>A 00005707</t>
  </si>
  <si>
    <t>A 00005708</t>
  </si>
  <si>
    <t>A 00005709</t>
  </si>
  <si>
    <t>A 00005710</t>
  </si>
  <si>
    <t>A 00005711</t>
  </si>
  <si>
    <t>A 00005712</t>
  </si>
  <si>
    <t>A 00005724</t>
  </si>
  <si>
    <t>A 00005731</t>
  </si>
  <si>
    <t>A 00018114</t>
  </si>
  <si>
    <t>A 00018116</t>
  </si>
  <si>
    <t>A 00018119</t>
  </si>
  <si>
    <t>A 00030465</t>
  </si>
  <si>
    <t>A 00030466</t>
  </si>
  <si>
    <t>A 00030467</t>
  </si>
  <si>
    <t>A 00030468</t>
  </si>
  <si>
    <t>A 00030469</t>
  </si>
  <si>
    <t>A 00030470</t>
  </si>
  <si>
    <t>A 01080038</t>
  </si>
  <si>
    <t>CORREDORES VIALES SOCIEDAD ANONIMA</t>
  </si>
  <si>
    <t>30-71580481-2</t>
  </si>
  <si>
    <t>A 01099728</t>
  </si>
  <si>
    <t>A 00003440</t>
  </si>
  <si>
    <t>A 00005736</t>
  </si>
  <si>
    <t>A 00005737</t>
  </si>
  <si>
    <t>A 00005738</t>
  </si>
  <si>
    <t>A 00005739</t>
  </si>
  <si>
    <t>A 00005742</t>
  </si>
  <si>
    <t>A 00005743</t>
  </si>
  <si>
    <t>A 00005744</t>
  </si>
  <si>
    <t>A 00005745</t>
  </si>
  <si>
    <t>A 00005746</t>
  </si>
  <si>
    <t>A 00005747</t>
  </si>
  <si>
    <t>A 00014464</t>
  </si>
  <si>
    <t>A 00030474</t>
  </si>
  <si>
    <t>A 00030475</t>
  </si>
  <si>
    <t>A 00030476</t>
  </si>
  <si>
    <t>A 00030477</t>
  </si>
  <si>
    <t>A 00030478</t>
  </si>
  <si>
    <t>A 00030479</t>
  </si>
  <si>
    <t>A 00030480</t>
  </si>
  <si>
    <t>A 00030481</t>
  </si>
  <si>
    <t>A 00030482</t>
  </si>
  <si>
    <t>A 00030483</t>
  </si>
  <si>
    <t>A 00030484</t>
  </si>
  <si>
    <t>A 00030485</t>
  </si>
  <si>
    <t>A 00030486</t>
  </si>
  <si>
    <t>A 00005764</t>
  </si>
  <si>
    <t>A 00005765</t>
  </si>
  <si>
    <t>A 00005766</t>
  </si>
  <si>
    <t>A 00005767</t>
  </si>
  <si>
    <t>A 00005770</t>
  </si>
  <si>
    <t>A 00009195</t>
  </si>
  <si>
    <t>A 00005783</t>
  </si>
  <si>
    <t>A 00005784</t>
  </si>
  <si>
    <t>A 00018158</t>
  </si>
  <si>
    <t>A 00018160</t>
  </si>
  <si>
    <t>A 00008811</t>
  </si>
  <si>
    <t>A 00001894</t>
  </si>
  <si>
    <t>A 00001895</t>
  </si>
  <si>
    <t>A 00005794</t>
  </si>
  <si>
    <t>A 00005795</t>
  </si>
  <si>
    <t>A 00005800</t>
  </si>
  <si>
    <t>A 00005807</t>
  </si>
  <si>
    <t>A 00005808</t>
  </si>
  <si>
    <t>A 00005809</t>
  </si>
  <si>
    <t>A 00030530</t>
  </si>
  <si>
    <t>A 00030531</t>
  </si>
  <si>
    <t>A 00030532</t>
  </si>
  <si>
    <t>A 00030533</t>
  </si>
  <si>
    <t>A 00030534</t>
  </si>
  <si>
    <t>A 00030597</t>
  </si>
  <si>
    <t>A 00030598</t>
  </si>
  <si>
    <t>A 00030599</t>
  </si>
  <si>
    <t>A 00030600</t>
  </si>
  <si>
    <t>A 00030601</t>
  </si>
  <si>
    <t>A 00030602</t>
  </si>
  <si>
    <t>A 00030603</t>
  </si>
  <si>
    <t>A 00000007</t>
  </si>
  <si>
    <t>A 00001962</t>
  </si>
  <si>
    <t>A 00002164</t>
  </si>
  <si>
    <t>A 00003322</t>
  </si>
  <si>
    <t>A 00003323</t>
  </si>
  <si>
    <t>A 00003324</t>
  </si>
  <si>
    <t>A 00032466</t>
  </si>
  <si>
    <t>C 00000027</t>
  </si>
  <si>
    <t>A 04457763</t>
  </si>
  <si>
    <t>A 04457764</t>
  </si>
  <si>
    <t>A 04714906</t>
  </si>
  <si>
    <t>A 04714907</t>
  </si>
  <si>
    <t>A 00000805</t>
  </si>
  <si>
    <t>A 00000806</t>
  </si>
  <si>
    <t>A 00000841</t>
  </si>
  <si>
    <t>A 00039170</t>
  </si>
  <si>
    <t>A 00477800</t>
  </si>
  <si>
    <t>A 00518541</t>
  </si>
  <si>
    <t>A 00000153</t>
  </si>
  <si>
    <t>A 00004305</t>
  </si>
  <si>
    <t>A 00000338</t>
  </si>
  <si>
    <t>A 00005824</t>
  </si>
  <si>
    <t>A 00005825</t>
  </si>
  <si>
    <t>A 00005826</t>
  </si>
  <si>
    <t>A 00030623</t>
  </si>
  <si>
    <t>A 00030624</t>
  </si>
  <si>
    <t>A 00030625</t>
  </si>
  <si>
    <t>A 00030626</t>
  </si>
  <si>
    <t>A 00030627</t>
  </si>
  <si>
    <t>A 01123974</t>
  </si>
  <si>
    <t>A 01138710</t>
  </si>
  <si>
    <t>A 00000028</t>
  </si>
  <si>
    <t>A 00003342</t>
  </si>
  <si>
    <t>A 00005850</t>
  </si>
  <si>
    <t>A 00005851</t>
  </si>
  <si>
    <t>A 00005852</t>
  </si>
  <si>
    <t>A 00005864</t>
  </si>
  <si>
    <t>A 00005865</t>
  </si>
  <si>
    <t>A 00030631</t>
  </si>
  <si>
    <t>A 00030632</t>
  </si>
  <si>
    <t>A 00030633</t>
  </si>
  <si>
    <t>A 00030634</t>
  </si>
  <si>
    <t>A 00030635</t>
  </si>
  <si>
    <t>A 00030636</t>
  </si>
  <si>
    <t>A 00030637</t>
  </si>
  <si>
    <t>A 00030638</t>
  </si>
  <si>
    <t>A 00030639</t>
  </si>
  <si>
    <t>A 00030640</t>
  </si>
  <si>
    <t>A 00030641</t>
  </si>
  <si>
    <t>A 00030642</t>
  </si>
  <si>
    <t>A 00030643</t>
  </si>
  <si>
    <t>A 00030644</t>
  </si>
  <si>
    <t>A 00002289</t>
  </si>
  <si>
    <t>LA CASA DEL MOTOR DE ANGEL COPPOLA</t>
  </si>
  <si>
    <t>20-93569571-7</t>
  </si>
  <si>
    <t>A 00030702</t>
  </si>
  <si>
    <t>C 00000028</t>
  </si>
  <si>
    <t>A 00000044</t>
  </si>
  <si>
    <t>A 00001934</t>
  </si>
  <si>
    <t>A 00005892</t>
  </si>
  <si>
    <t>A 00005893</t>
  </si>
  <si>
    <t>A 00005896</t>
  </si>
  <si>
    <t>A 00005897</t>
  </si>
  <si>
    <t>A 00005898</t>
  </si>
  <si>
    <t>A 00005899</t>
  </si>
  <si>
    <t>A 00005900</t>
  </si>
  <si>
    <t>A 00030729</t>
  </si>
  <si>
    <t>A 00030730</t>
  </si>
  <si>
    <t>A 00030731</t>
  </si>
  <si>
    <t>A 00030732</t>
  </si>
  <si>
    <t>A 00005921</t>
  </si>
  <si>
    <t>A 00030735</t>
  </si>
  <si>
    <t>A 00030736</t>
  </si>
  <si>
    <t>A 00030737</t>
  </si>
  <si>
    <t>A 00030738</t>
  </si>
  <si>
    <t>A 00030739</t>
  </si>
  <si>
    <t>A 00030740</t>
  </si>
  <si>
    <t>A 00030741</t>
  </si>
  <si>
    <t>A 00030742</t>
  </si>
  <si>
    <t>A 00030743</t>
  </si>
  <si>
    <t>A 00030744</t>
  </si>
  <si>
    <t>A 00491304</t>
  </si>
  <si>
    <t>A 00524411</t>
  </si>
  <si>
    <t>A 04497304</t>
  </si>
  <si>
    <t>A 04497305</t>
  </si>
  <si>
    <t>A 04772054</t>
  </si>
  <si>
    <t>A 04772055</t>
  </si>
  <si>
    <t>A 00000048</t>
  </si>
  <si>
    <t>A 00001925</t>
  </si>
  <si>
    <t>A 00001926</t>
  </si>
  <si>
    <t>A 00003494</t>
  </si>
  <si>
    <t>A 00003495</t>
  </si>
  <si>
    <t>A 00005813</t>
  </si>
  <si>
    <t>A 00005925</t>
  </si>
  <si>
    <t>A 00039460</t>
  </si>
  <si>
    <t>A 03324064</t>
  </si>
  <si>
    <t>A 03953049</t>
  </si>
  <si>
    <t>C 00000513</t>
  </si>
  <si>
    <t>A 00023817</t>
  </si>
  <si>
    <t>MULTIGOMA  BOSSETO OSVALDO JORGE</t>
  </si>
  <si>
    <t>20-12114084-6</t>
  </si>
  <si>
    <t>A 00004406</t>
  </si>
  <si>
    <t>A 00001036</t>
  </si>
  <si>
    <t>A 00002880</t>
  </si>
  <si>
    <t>PARAGLIOLA RAFAELA FLORA</t>
  </si>
  <si>
    <t>27-11847947-0</t>
  </si>
  <si>
    <t>A 00005933</t>
  </si>
  <si>
    <t>A 00005940</t>
  </si>
  <si>
    <t>A 00005941</t>
  </si>
  <si>
    <t>A 00030785</t>
  </si>
  <si>
    <t>A 00030786</t>
  </si>
  <si>
    <t>A 00030787</t>
  </si>
  <si>
    <t>A 00005947</t>
  </si>
  <si>
    <t>A 00009359</t>
  </si>
  <si>
    <t>A 00080880</t>
  </si>
  <si>
    <t>A 00005963</t>
  </si>
  <si>
    <t>A 00005964</t>
  </si>
  <si>
    <t>A 00005966</t>
  </si>
  <si>
    <t>A 00030807</t>
  </si>
  <si>
    <t>A 00030808</t>
  </si>
  <si>
    <t>A 00030809</t>
  </si>
  <si>
    <t>A 00030810</t>
  </si>
  <si>
    <t>A 00030811</t>
  </si>
  <si>
    <t>A 00030812</t>
  </si>
  <si>
    <t>A 00030813</t>
  </si>
  <si>
    <t>A 00030814</t>
  </si>
  <si>
    <t>A 00030815</t>
  </si>
  <si>
    <t>A 00030816</t>
  </si>
  <si>
    <t>A 00030817</t>
  </si>
  <si>
    <t>A 00030818</t>
  </si>
  <si>
    <t>A 00030819</t>
  </si>
  <si>
    <t>A 00030820</t>
  </si>
  <si>
    <t>A 00030821</t>
  </si>
  <si>
    <t>A 00030822</t>
  </si>
  <si>
    <t>A 00030823</t>
  </si>
  <si>
    <t>A 00030824</t>
  </si>
  <si>
    <t>A 00030825</t>
  </si>
  <si>
    <t>A 00030826</t>
  </si>
  <si>
    <t>A 00030827</t>
  </si>
  <si>
    <t>A 00030828</t>
  </si>
  <si>
    <t>A 00030829</t>
  </si>
  <si>
    <t>A 00080943</t>
  </si>
  <si>
    <t>C 00000029</t>
  </si>
  <si>
    <t>A 00066498</t>
  </si>
  <si>
    <t>A 00004200</t>
  </si>
  <si>
    <t>A 00023951</t>
  </si>
  <si>
    <t>A 00002885</t>
  </si>
  <si>
    <t>A 00005967</t>
  </si>
  <si>
    <t>A 00005971</t>
  </si>
  <si>
    <t>A 00065418</t>
  </si>
  <si>
    <t>A 00000285</t>
  </si>
  <si>
    <t>A 00001976</t>
  </si>
  <si>
    <t>A 00005979</t>
  </si>
  <si>
    <t>A 00005998</t>
  </si>
  <si>
    <t>A 00005999</t>
  </si>
  <si>
    <t>A 00006000</t>
  </si>
  <si>
    <t>A 00006001</t>
  </si>
  <si>
    <t>A 00006002</t>
  </si>
  <si>
    <t>A 00030868</t>
  </si>
  <si>
    <t>A 00030869</t>
  </si>
  <si>
    <t>A 00030870</t>
  </si>
  <si>
    <t>A 00030871</t>
  </si>
  <si>
    <t>A 00030872</t>
  </si>
  <si>
    <t>A 00030873</t>
  </si>
  <si>
    <t>A 00030874</t>
  </si>
  <si>
    <t>A 00030875</t>
  </si>
  <si>
    <t>A 00030876</t>
  </si>
  <si>
    <t>A 00030877</t>
  </si>
  <si>
    <t>A 00030878</t>
  </si>
  <si>
    <t>A 00030879</t>
  </si>
  <si>
    <t>A 00030905</t>
  </si>
  <si>
    <t>A 00030906</t>
  </si>
  <si>
    <t>A 00030907</t>
  </si>
  <si>
    <t>A 00030908</t>
  </si>
  <si>
    <t>A 00030909</t>
  </si>
  <si>
    <t>A 00030910</t>
  </si>
  <si>
    <t>A 00030911</t>
  </si>
  <si>
    <t>A 00030912</t>
  </si>
  <si>
    <t>A 00030913</t>
  </si>
  <si>
    <t>A 00030914</t>
  </si>
  <si>
    <t>A 00030915</t>
  </si>
  <si>
    <t>A 00030916</t>
  </si>
  <si>
    <t>A 00030917</t>
  </si>
  <si>
    <t>A 00030918</t>
  </si>
  <si>
    <t>A 03271705</t>
  </si>
  <si>
    <t>A 00033019</t>
  </si>
  <si>
    <t>A 00000008</t>
  </si>
  <si>
    <t>A 00000813</t>
  </si>
  <si>
    <t>A 00000814</t>
  </si>
  <si>
    <t>A 00002047</t>
  </si>
  <si>
    <t>A 00003383</t>
  </si>
  <si>
    <t>A 00081147</t>
  </si>
  <si>
    <t>A 00039738</t>
  </si>
  <si>
    <t>A 00498181</t>
  </si>
  <si>
    <t>A 00530040</t>
  </si>
  <si>
    <t>A 04538211</t>
  </si>
  <si>
    <t>A 04538213</t>
  </si>
  <si>
    <t>A 04830369</t>
  </si>
  <si>
    <t>A 04830370</t>
  </si>
  <si>
    <t>A 00000158</t>
  </si>
  <si>
    <t>A 00015420</t>
  </si>
  <si>
    <t>MAYREA DIGITAL</t>
  </si>
  <si>
    <t>30-71185222-7</t>
  </si>
  <si>
    <t>A 00030949</t>
  </si>
  <si>
    <t>A 00030950</t>
  </si>
  <si>
    <t>A 00030951</t>
  </si>
  <si>
    <t>A 00030952</t>
  </si>
  <si>
    <t>A 00030953</t>
  </si>
  <si>
    <t>A 00030954</t>
  </si>
  <si>
    <t>A 00030955</t>
  </si>
  <si>
    <t>A 00030956</t>
  </si>
  <si>
    <t>A 00030957</t>
  </si>
  <si>
    <t>A 00030958</t>
  </si>
  <si>
    <t>A 00030959</t>
  </si>
  <si>
    <t>A 00030960</t>
  </si>
  <si>
    <t>A 00030961</t>
  </si>
  <si>
    <t>A 00030962</t>
  </si>
  <si>
    <t>A 00030963</t>
  </si>
  <si>
    <t>A 00030964</t>
  </si>
  <si>
    <t>A 00030965</t>
  </si>
  <si>
    <t>A 00030966</t>
  </si>
  <si>
    <t>A 00030967</t>
  </si>
  <si>
    <t>A 00030968</t>
  </si>
  <si>
    <t>A 00030969</t>
  </si>
  <si>
    <t>A 00030970</t>
  </si>
  <si>
    <t>A 00045206</t>
  </si>
  <si>
    <t>A 00000286</t>
  </si>
  <si>
    <t>A 00000066</t>
  </si>
  <si>
    <t>A 00004522</t>
  </si>
  <si>
    <t>A 00006049</t>
  </si>
  <si>
    <t>A 00006050</t>
  </si>
  <si>
    <t>A 00006051</t>
  </si>
  <si>
    <t>A 00006052</t>
  </si>
  <si>
    <t>A 00006053</t>
  </si>
  <si>
    <t>A 00006054</t>
  </si>
  <si>
    <t>A 00006055</t>
  </si>
  <si>
    <t>A 00006056</t>
  </si>
  <si>
    <t>A 00006057</t>
  </si>
  <si>
    <t>A 00031000</t>
  </si>
  <si>
    <t>A 00031001</t>
  </si>
  <si>
    <t>A 00031002</t>
  </si>
  <si>
    <t>A 00031003</t>
  </si>
  <si>
    <t>A 00031025</t>
  </si>
  <si>
    <t>A 01190355</t>
  </si>
  <si>
    <t>A 01205539</t>
  </si>
  <si>
    <t>A 00000068</t>
  </si>
  <si>
    <t>A 00000071</t>
  </si>
  <si>
    <t>A 00004552</t>
  </si>
  <si>
    <t>A 00006073</t>
  </si>
  <si>
    <t>A 00006074</t>
  </si>
  <si>
    <t>A 00006075</t>
  </si>
  <si>
    <t>A 00006076</t>
  </si>
  <si>
    <t>A 00006077</t>
  </si>
  <si>
    <t>A 00006490</t>
  </si>
  <si>
    <t>NAVITRANS DE ARGENTINA SA( INICIO )</t>
  </si>
  <si>
    <t>30-71132766-1</t>
  </si>
  <si>
    <t>PROOVEDORES</t>
  </si>
  <si>
    <t>A 00006491</t>
  </si>
  <si>
    <t>NAVITRANS DE ARGENTINA SA</t>
  </si>
  <si>
    <t>A 00002015</t>
  </si>
  <si>
    <t>A 00031059</t>
  </si>
  <si>
    <t>A 00031060</t>
  </si>
  <si>
    <t>A 00031061</t>
  </si>
  <si>
    <t>A 00031062</t>
  </si>
  <si>
    <t>A 00031063</t>
  </si>
  <si>
    <t>A 00031064</t>
  </si>
  <si>
    <t>A 00031065</t>
  </si>
  <si>
    <t>A 00031066</t>
  </si>
  <si>
    <t>A 00031067</t>
  </si>
  <si>
    <t>A 00031068</t>
  </si>
  <si>
    <t>A 00031069</t>
  </si>
  <si>
    <t>A 00031070</t>
  </si>
  <si>
    <t>A 00031071</t>
  </si>
  <si>
    <t>A 00031072</t>
  </si>
  <si>
    <t>A 00031073</t>
  </si>
  <si>
    <t>A 00031074</t>
  </si>
  <si>
    <t>A 00031075</t>
  </si>
  <si>
    <t>A 00031076</t>
  </si>
  <si>
    <t>A 00031077</t>
  </si>
  <si>
    <t>A 00031078</t>
  </si>
  <si>
    <t>A 00031098</t>
  </si>
  <si>
    <t>A 00031099</t>
  </si>
  <si>
    <t>A 00000077</t>
  </si>
  <si>
    <t>A 00003424</t>
  </si>
  <si>
    <t>A 00003425</t>
  </si>
  <si>
    <t>A 00003426</t>
  </si>
  <si>
    <t>A 00003427</t>
  </si>
  <si>
    <t>A 00003523</t>
  </si>
  <si>
    <t>A 00003524</t>
  </si>
  <si>
    <t>A 00003525</t>
  </si>
  <si>
    <t>A 00006096</t>
  </si>
  <si>
    <t>A 04577845</t>
  </si>
  <si>
    <t>A 04604024</t>
  </si>
  <si>
    <t>A 04887632</t>
  </si>
  <si>
    <t>A 04887633</t>
  </si>
  <si>
    <t>A 00000871</t>
  </si>
  <si>
    <t>A 00040006</t>
  </si>
  <si>
    <t>A 00507183</t>
  </si>
  <si>
    <t>A 00535761</t>
  </si>
  <si>
    <t>C 00000517</t>
  </si>
  <si>
    <t>A 00006104</t>
  </si>
  <si>
    <t>A 00036507</t>
  </si>
  <si>
    <t>GC COMERCIAL SRL</t>
  </si>
  <si>
    <t>30-71518867-4</t>
  </si>
  <si>
    <t>A 03358287</t>
  </si>
  <si>
    <t>A 00002942</t>
  </si>
  <si>
    <t>A 00003433</t>
  </si>
  <si>
    <t>A 00006116</t>
  </si>
  <si>
    <t>A 00006117</t>
  </si>
  <si>
    <t>A 00006118</t>
  </si>
  <si>
    <t>A 00006119</t>
  </si>
  <si>
    <t>A 00006120</t>
  </si>
  <si>
    <t>A 00006121</t>
  </si>
  <si>
    <t>A 00006122</t>
  </si>
  <si>
    <t>A 00006123</t>
  </si>
  <si>
    <t>A 00006124</t>
  </si>
  <si>
    <t>A 00003526</t>
  </si>
  <si>
    <t>A 00006128</t>
  </si>
  <si>
    <t>A 00006129</t>
  </si>
  <si>
    <t>A 00006130</t>
  </si>
  <si>
    <t>A 00006131</t>
  </si>
  <si>
    <t>A 00031119</t>
  </si>
  <si>
    <t>A 00031137</t>
  </si>
  <si>
    <t>A 00031138</t>
  </si>
  <si>
    <t>A 00031139</t>
  </si>
  <si>
    <t>A 00031140</t>
  </si>
  <si>
    <t>A 01223099</t>
  </si>
  <si>
    <t>A 01238155</t>
  </si>
  <si>
    <t>A 00006141</t>
  </si>
  <si>
    <t>A 00006142</t>
  </si>
  <si>
    <t>A 00006143</t>
  </si>
  <si>
    <t>A 00009556</t>
  </si>
  <si>
    <t>A 00006144</t>
  </si>
  <si>
    <t>A 00006145</t>
  </si>
  <si>
    <t>A 00006146</t>
  </si>
  <si>
    <t>A 00006153</t>
  </si>
  <si>
    <t>A 00006154</t>
  </si>
  <si>
    <t>A 00006155</t>
  </si>
  <si>
    <t>A 00006157</t>
  </si>
  <si>
    <t>A 00002049</t>
  </si>
  <si>
    <t>A 00006162</t>
  </si>
  <si>
    <t>A 00006163</t>
  </si>
  <si>
    <t>A 00006164</t>
  </si>
  <si>
    <t>A 00006165</t>
  </si>
  <si>
    <t>A 00006166</t>
  </si>
  <si>
    <t>A 00006167</t>
  </si>
  <si>
    <t>A 00006168</t>
  </si>
  <si>
    <t>A 00006169</t>
  </si>
  <si>
    <t>A 00031194</t>
  </si>
  <si>
    <t>A 00031195</t>
  </si>
  <si>
    <t>A 00031196</t>
  </si>
  <si>
    <t>A 00031197</t>
  </si>
  <si>
    <t>A 00031198</t>
  </si>
  <si>
    <t>A 00031199</t>
  </si>
  <si>
    <t>A 00031200</t>
  </si>
  <si>
    <t>A 00031201</t>
  </si>
  <si>
    <t>A 00031202</t>
  </si>
  <si>
    <t>A 00031203</t>
  </si>
  <si>
    <t>A 00031204</t>
  </si>
  <si>
    <t>A 00031205</t>
  </si>
  <si>
    <t>A 00031206</t>
  </si>
  <si>
    <t>A 00031207</t>
  </si>
  <si>
    <t>A 00031208</t>
  </si>
  <si>
    <t>A 00031209</t>
  </si>
  <si>
    <t>A 00031210</t>
  </si>
  <si>
    <t>A 00031211</t>
  </si>
  <si>
    <t>A 00031212</t>
  </si>
  <si>
    <t>A 00031213</t>
  </si>
  <si>
    <t>A 00031214</t>
  </si>
  <si>
    <t>A 00031215</t>
  </si>
  <si>
    <t>A 00031216</t>
  </si>
  <si>
    <t>A 00031217</t>
  </si>
  <si>
    <t>A 00031218</t>
  </si>
  <si>
    <t>A 00031219</t>
  </si>
  <si>
    <t>A 00031220</t>
  </si>
  <si>
    <t>A 00031221</t>
  </si>
  <si>
    <t>A 00031222</t>
  </si>
  <si>
    <t>A 00031223</t>
  </si>
  <si>
    <t>A 00031224</t>
  </si>
  <si>
    <t>A 00002665</t>
  </si>
  <si>
    <t>A 00031225</t>
  </si>
  <si>
    <t>A 00031226</t>
  </si>
  <si>
    <t>A 00031227</t>
  </si>
  <si>
    <t>A 00031228</t>
  </si>
  <si>
    <t>A 00031229</t>
  </si>
  <si>
    <t>A 00031230</t>
  </si>
  <si>
    <t>A 00031231</t>
  </si>
  <si>
    <t>A 00031232</t>
  </si>
  <si>
    <t>A 00031233</t>
  </si>
  <si>
    <t>A 00031234</t>
  </si>
  <si>
    <t>A 00031235</t>
  </si>
  <si>
    <t>A 00031236</t>
  </si>
  <si>
    <t>A 00031237</t>
  </si>
  <si>
    <t>A 00000293</t>
  </si>
  <si>
    <t>A 00002060</t>
  </si>
  <si>
    <t>A 00003021</t>
  </si>
  <si>
    <t>A 00006183</t>
  </si>
  <si>
    <t>A 00006184</t>
  </si>
  <si>
    <t>A 00006185</t>
  </si>
  <si>
    <t>A 00006193</t>
  </si>
  <si>
    <t>A 00031270</t>
  </si>
  <si>
    <t>A 03312414</t>
  </si>
  <si>
    <t>A 03312416</t>
  </si>
  <si>
    <t>C 00000173</t>
  </si>
  <si>
    <t>BOCCADORO CARLA AGOSTINA</t>
  </si>
  <si>
    <t>27-38679615-2</t>
  </si>
  <si>
    <t>MORATORIA MAYO2023(7/12)</t>
  </si>
  <si>
    <t>A 00002138</t>
  </si>
  <si>
    <t>A 00003459</t>
  </si>
  <si>
    <t>A 00003460</t>
  </si>
  <si>
    <t>A 00003461</t>
  </si>
  <si>
    <t>A 00003945</t>
  </si>
  <si>
    <t>A 00003946</t>
  </si>
  <si>
    <t>A 00004679</t>
  </si>
  <si>
    <t>A 00033432</t>
  </si>
  <si>
    <t>A 00040330</t>
  </si>
  <si>
    <t>A 00000833</t>
  </si>
  <si>
    <t>A 00000834</t>
  </si>
  <si>
    <t>A 00000881</t>
  </si>
  <si>
    <t>A 00515154</t>
  </si>
  <si>
    <t>A 00541294</t>
  </si>
  <si>
    <t>A 04619828</t>
  </si>
  <si>
    <t>A 04645268</t>
  </si>
  <si>
    <t>A 04948079</t>
  </si>
  <si>
    <t>A 04948080</t>
  </si>
  <si>
    <t>A 00031273</t>
  </si>
  <si>
    <t>A 00031274</t>
  </si>
  <si>
    <t>A 00031275</t>
  </si>
  <si>
    <t>A 00031276</t>
  </si>
  <si>
    <t>A 00031277</t>
  </si>
  <si>
    <t>A 00031278</t>
  </si>
  <si>
    <t>A 00031279</t>
  </si>
  <si>
    <t>A 00031280</t>
  </si>
  <si>
    <t>A 00031281</t>
  </si>
  <si>
    <t>A 00031282</t>
  </si>
  <si>
    <t>A 00031283</t>
  </si>
  <si>
    <t>A 00031284</t>
  </si>
  <si>
    <t>A 00000162</t>
  </si>
  <si>
    <t>A 00002085</t>
  </si>
  <si>
    <t>A 00031292</t>
  </si>
  <si>
    <t>A 00031293</t>
  </si>
  <si>
    <t>A 00031294</t>
  </si>
  <si>
    <t>A 00031295</t>
  </si>
  <si>
    <t>A 00031296</t>
  </si>
  <si>
    <t>A 00031297</t>
  </si>
  <si>
    <t>A 00001147</t>
  </si>
  <si>
    <t>SUCESION DE PANUCCIO LUIS</t>
  </si>
  <si>
    <t>20-93696369-3</t>
  </si>
  <si>
    <t>A 00006220</t>
  </si>
  <si>
    <t>A 00006221</t>
  </si>
  <si>
    <t>A 00006222</t>
  </si>
  <si>
    <t>A 00006228</t>
  </si>
  <si>
    <t>A 00006229</t>
  </si>
  <si>
    <t>A 00006233</t>
  </si>
  <si>
    <t>A 00006234</t>
  </si>
  <si>
    <t>A 00006235</t>
  </si>
  <si>
    <t>A 00000768</t>
  </si>
  <si>
    <t>METALURGICA LA ROTONDA</t>
  </si>
  <si>
    <t>23-14642472-4</t>
  </si>
  <si>
    <t>A 00006236</t>
  </si>
  <si>
    <t>A 00006237</t>
  </si>
  <si>
    <t>A 00006238</t>
  </si>
  <si>
    <t>A 01256606</t>
  </si>
  <si>
    <t>A 01271723</t>
  </si>
  <si>
    <t>A 00002146</t>
  </si>
  <si>
    <t>VIALFLOREZ S.A.S.</t>
  </si>
  <si>
    <t>30-71707520-6</t>
  </si>
  <si>
    <t>A 00006260</t>
  </si>
  <si>
    <t>A 00009782</t>
  </si>
  <si>
    <t>A 00031341</t>
  </si>
  <si>
    <t>A 00082309</t>
  </si>
  <si>
    <t>A 00006270</t>
  </si>
  <si>
    <t>A 00006271</t>
  </si>
  <si>
    <t>A 00006272</t>
  </si>
  <si>
    <t>A 00006273</t>
  </si>
  <si>
    <t>A 00006274</t>
  </si>
  <si>
    <t>A 00006275</t>
  </si>
  <si>
    <t>A 00031342</t>
  </si>
  <si>
    <t>A 00031343</t>
  </si>
  <si>
    <t>A 00031344</t>
  </si>
  <si>
    <t>A 00031345</t>
  </si>
  <si>
    <t>A 00031346</t>
  </si>
  <si>
    <t>A 00031347</t>
  </si>
  <si>
    <t>A 00031348</t>
  </si>
  <si>
    <t>A 00031349</t>
  </si>
  <si>
    <t>A 00031350</t>
  </si>
  <si>
    <t>A 00031351</t>
  </si>
  <si>
    <t>A 00031352</t>
  </si>
  <si>
    <t>A 00031353</t>
  </si>
  <si>
    <t>A 00031354</t>
  </si>
  <si>
    <t>A 00031355</t>
  </si>
  <si>
    <t>A 00031356</t>
  </si>
  <si>
    <t>A 00031357</t>
  </si>
  <si>
    <t>A 00031358</t>
  </si>
  <si>
    <t>A 00031359</t>
  </si>
  <si>
    <t>A 00031360</t>
  </si>
  <si>
    <t>C 00012115</t>
  </si>
  <si>
    <t xml:space="preserve">CATAMP </t>
  </si>
  <si>
    <t>30-66317876-4</t>
  </si>
  <si>
    <t>A 00000345</t>
  </si>
  <si>
    <t>A 00002097</t>
  </si>
  <si>
    <t>A 00006291</t>
  </si>
  <si>
    <t>A 00006292</t>
  </si>
  <si>
    <t>A 00006293</t>
  </si>
  <si>
    <t>A 00006294</t>
  </si>
  <si>
    <t>A 00003498</t>
  </si>
  <si>
    <t>A 00000899</t>
  </si>
  <si>
    <t>A 00006315</t>
  </si>
  <si>
    <t>A 00031418</t>
  </si>
  <si>
    <t>A 00031419</t>
  </si>
  <si>
    <t>A 00031420</t>
  </si>
  <si>
    <t>A 00031421</t>
  </si>
  <si>
    <t>A 00031422</t>
  </si>
  <si>
    <t>A 00031423</t>
  </si>
  <si>
    <t>A 00031424</t>
  </si>
  <si>
    <t>A 00031425</t>
  </si>
  <si>
    <t>A 00031426</t>
  </si>
  <si>
    <t>A 00031427</t>
  </si>
  <si>
    <t>A 00031428</t>
  </si>
  <si>
    <t>A 00156617</t>
  </si>
  <si>
    <t>A 00522977</t>
  </si>
  <si>
    <t>A 00546941</t>
  </si>
  <si>
    <t>A 04659379</t>
  </si>
  <si>
    <t>A 04684781</t>
  </si>
  <si>
    <t>A 05006085</t>
  </si>
  <si>
    <t>A 05006086</t>
  </si>
  <si>
    <t>A 00031460</t>
  </si>
  <si>
    <t>A 00031461</t>
  </si>
  <si>
    <t>A 00031462</t>
  </si>
  <si>
    <t>A 00031463</t>
  </si>
  <si>
    <t>A 00031464</t>
  </si>
  <si>
    <t>A 00031465</t>
  </si>
  <si>
    <t>A 00031466</t>
  </si>
  <si>
    <t>A 00031467</t>
  </si>
  <si>
    <t>A 00031468</t>
  </si>
  <si>
    <t>A 00031469</t>
  </si>
  <si>
    <t>A 00031470</t>
  </si>
  <si>
    <t>A 00031471</t>
  </si>
  <si>
    <t>A 00031472</t>
  </si>
  <si>
    <t>A 00031473</t>
  </si>
  <si>
    <t>A 00031474</t>
  </si>
  <si>
    <t>A 03392932</t>
  </si>
  <si>
    <t>SOCREM  S.R.L.</t>
  </si>
  <si>
    <t>30-71794952-4</t>
  </si>
  <si>
    <t>A 00003711</t>
  </si>
  <si>
    <t>NEW IRONS SRL</t>
  </si>
  <si>
    <t>30-70799786-5</t>
  </si>
  <si>
    <t>A 00006320</t>
  </si>
  <si>
    <t>A 00006321</t>
  </si>
  <si>
    <t>A 00031475</t>
  </si>
  <si>
    <t>A 00031476</t>
  </si>
  <si>
    <t>A 00031477</t>
  </si>
  <si>
    <t>A 00031478</t>
  </si>
  <si>
    <t>A 00001228</t>
  </si>
  <si>
    <t>A 00002189</t>
  </si>
  <si>
    <t>A 00006112</t>
  </si>
  <si>
    <t>A 00006339</t>
  </si>
  <si>
    <t>A 00014818</t>
  </si>
  <si>
    <t>A 00082598</t>
  </si>
  <si>
    <t>A 01288798</t>
  </si>
  <si>
    <t>A 00001082</t>
  </si>
  <si>
    <t>ELECTRO ADELINA SRL</t>
  </si>
  <si>
    <t>30-70773228-4</t>
  </si>
  <si>
    <t>A 00009750</t>
  </si>
  <si>
    <t>A 00013601</t>
  </si>
  <si>
    <t>A 00031502</t>
  </si>
  <si>
    <t>A 00031503</t>
  </si>
  <si>
    <t>A 00017515</t>
  </si>
  <si>
    <t>A 00082660</t>
  </si>
  <si>
    <t>A 00000303</t>
  </si>
  <si>
    <t>A 00000107</t>
  </si>
  <si>
    <t>A 00003718</t>
  </si>
  <si>
    <t>A 00006356</t>
  </si>
  <si>
    <t>A 00006357</t>
  </si>
  <si>
    <t>A 00006358</t>
  </si>
  <si>
    <t>A 00006359</t>
  </si>
  <si>
    <t>A 00006360</t>
  </si>
  <si>
    <t>A 00006361</t>
  </si>
  <si>
    <t>A 00006368</t>
  </si>
  <si>
    <t>A 00006375</t>
  </si>
  <si>
    <t>A 00006378</t>
  </si>
  <si>
    <t>A 00014938</t>
  </si>
  <si>
    <t>A 00031506</t>
  </si>
  <si>
    <t>A 00031507</t>
  </si>
  <si>
    <t>A 00031508</t>
  </si>
  <si>
    <t>A 00031509</t>
  </si>
  <si>
    <t>A 00031510</t>
  </si>
  <si>
    <t>A 00031511</t>
  </si>
  <si>
    <t>A 00031512</t>
  </si>
  <si>
    <t>A 00031513</t>
  </si>
  <si>
    <t>A 00031514</t>
  </si>
  <si>
    <t>A 00031515</t>
  </si>
  <si>
    <t>A 00031516</t>
  </si>
  <si>
    <t>A 00031517</t>
  </si>
  <si>
    <t>A 00000112</t>
  </si>
  <si>
    <t>A 00000909</t>
  </si>
  <si>
    <t>A 00000113</t>
  </si>
  <si>
    <t>A 00002127</t>
  </si>
  <si>
    <t>A 00002134</t>
  </si>
  <si>
    <t>A 00003613</t>
  </si>
  <si>
    <t>A 00003614</t>
  </si>
  <si>
    <t>A 00003615</t>
  </si>
  <si>
    <t>A 00031543</t>
  </si>
  <si>
    <t>A 00031551</t>
  </si>
  <si>
    <t>A 00031552</t>
  </si>
  <si>
    <t>A 00001254</t>
  </si>
  <si>
    <t>A 00003114</t>
  </si>
  <si>
    <t>A 00006390</t>
  </si>
  <si>
    <t>A 00006392</t>
  </si>
  <si>
    <t>A 00006393</t>
  </si>
  <si>
    <t>A 00006405</t>
  </si>
  <si>
    <t>A 00031571</t>
  </si>
  <si>
    <t>A 03354995</t>
  </si>
  <si>
    <t>C 00000030</t>
  </si>
  <si>
    <t>FEDERACION LOGISTICA</t>
  </si>
  <si>
    <t>IVECO CAMION  (1/48)</t>
  </si>
  <si>
    <t>A 00002139</t>
  </si>
  <si>
    <t>A 00002224</t>
  </si>
  <si>
    <t>A 00003536</t>
  </si>
  <si>
    <t>A 00033864</t>
  </si>
  <si>
    <t>A 00002173</t>
  </si>
  <si>
    <t>A 00031580</t>
  </si>
  <si>
    <t>A 00031581</t>
  </si>
  <si>
    <t>A 00031582</t>
  </si>
  <si>
    <t>A 00031583</t>
  </si>
  <si>
    <t>A 00031584</t>
  </si>
  <si>
    <t>A 00031585</t>
  </si>
  <si>
    <t>A 00031586</t>
  </si>
  <si>
    <t>A 00031587</t>
  </si>
  <si>
    <t>A 00000349</t>
  </si>
  <si>
    <t>A 00000165</t>
  </si>
  <si>
    <t>A 00000852</t>
  </si>
  <si>
    <t>A 00000853</t>
  </si>
  <si>
    <t>A 00003540</t>
  </si>
  <si>
    <t>A 00031610</t>
  </si>
  <si>
    <t>A 00040939</t>
  </si>
  <si>
    <t>A 00000777</t>
  </si>
  <si>
    <t>A 00002242</t>
  </si>
  <si>
    <t>A 00004892</t>
  </si>
  <si>
    <t>A 00004894</t>
  </si>
  <si>
    <t>A 00006415</t>
  </si>
  <si>
    <t>A 00006420</t>
  </si>
  <si>
    <t>A 00006421</t>
  </si>
  <si>
    <t>A 00006422</t>
  </si>
  <si>
    <t>A 00006423</t>
  </si>
  <si>
    <t>A 00082972</t>
  </si>
  <si>
    <t>A 00082975</t>
  </si>
  <si>
    <t>C 00000526</t>
  </si>
  <si>
    <t>A 00003638</t>
  </si>
  <si>
    <t>A 00003680</t>
  </si>
  <si>
    <t xml:space="preserve">QUIMICA VIH                             </t>
  </si>
  <si>
    <t>20-14375039-7</t>
  </si>
  <si>
    <t>A 00006430</t>
  </si>
  <si>
    <t>A 00031649</t>
  </si>
  <si>
    <t>A 00031650</t>
  </si>
  <si>
    <t>A 00031651</t>
  </si>
  <si>
    <t>A 00031652</t>
  </si>
  <si>
    <t>A 00031653</t>
  </si>
  <si>
    <t>A 00031654</t>
  </si>
  <si>
    <t>A 00031655</t>
  </si>
  <si>
    <t>A 00031656</t>
  </si>
  <si>
    <t>A 00031657</t>
  </si>
  <si>
    <t>A 00031658</t>
  </si>
  <si>
    <t>A 00031659</t>
  </si>
  <si>
    <t>A 00031660</t>
  </si>
  <si>
    <t>A 00031661</t>
  </si>
  <si>
    <t>A 00031662</t>
  </si>
  <si>
    <t>A 00031663</t>
  </si>
  <si>
    <t>A 00031664</t>
  </si>
  <si>
    <t>A 00031665</t>
  </si>
  <si>
    <t>A 00031666</t>
  </si>
  <si>
    <t>A 00031667</t>
  </si>
  <si>
    <t>A 00031668</t>
  </si>
  <si>
    <t>A 00006433</t>
  </si>
  <si>
    <t>A 00000351</t>
  </si>
  <si>
    <t>A 00000094</t>
  </si>
  <si>
    <t>MADERERA BALLESTER DE LEVITS SA</t>
  </si>
  <si>
    <t>33-68062798-9</t>
  </si>
  <si>
    <t>A 00006435</t>
  </si>
  <si>
    <t>A 00006437</t>
  </si>
  <si>
    <t>A 00006445</t>
  </si>
  <si>
    <t>A 00031670</t>
  </si>
  <si>
    <t>A 00261960</t>
  </si>
  <si>
    <t>A 00006448</t>
  </si>
  <si>
    <t>A 00006449</t>
  </si>
  <si>
    <t>A 00006434</t>
  </si>
  <si>
    <t>A 00006436</t>
  </si>
  <si>
    <t>C 00000022</t>
  </si>
  <si>
    <t>RAMOGNINO ALFREDO RAUL</t>
  </si>
  <si>
    <t>20-33307495-9</t>
  </si>
  <si>
    <t>C 00000192</t>
  </si>
  <si>
    <t>PENNISI LORENZO MATIAS JOSE</t>
  </si>
  <si>
    <t>20-25376669-8</t>
  </si>
  <si>
    <t>A 00000935</t>
  </si>
  <si>
    <t>A 00006459</t>
  </si>
  <si>
    <t>A 00006463</t>
  </si>
  <si>
    <t>A 00006464</t>
  </si>
  <si>
    <t>A 00041168</t>
  </si>
  <si>
    <t>A 00009384</t>
  </si>
  <si>
    <t>A 00006043</t>
  </si>
  <si>
    <t>A 00006469</t>
  </si>
  <si>
    <t>A 03427679</t>
  </si>
  <si>
    <t>A 00000128</t>
  </si>
  <si>
    <t>A 00002573</t>
  </si>
  <si>
    <t>FERRARI MARINA IDA</t>
  </si>
  <si>
    <t>27-17247281-3</t>
  </si>
  <si>
    <t>A 00031685</t>
  </si>
  <si>
    <t>A 00031719</t>
  </si>
  <si>
    <t>A 00031720</t>
  </si>
  <si>
    <t>A 00031721</t>
  </si>
  <si>
    <t>A 00031722</t>
  </si>
  <si>
    <t>A 00031723</t>
  </si>
  <si>
    <t>A 00031724</t>
  </si>
  <si>
    <t>A 00031725</t>
  </si>
  <si>
    <t>A 00031726</t>
  </si>
  <si>
    <t>A 00031727</t>
  </si>
  <si>
    <t>A 00031728</t>
  </si>
  <si>
    <t>A 00031729</t>
  </si>
  <si>
    <t>A 00031730</t>
  </si>
  <si>
    <t>A 00031731</t>
  </si>
  <si>
    <t>A 00031732</t>
  </si>
  <si>
    <t>A 00031733</t>
  </si>
  <si>
    <t>A 00031734</t>
  </si>
  <si>
    <t>A 00031735</t>
  </si>
  <si>
    <t>A 00031736</t>
  </si>
  <si>
    <t>A 00031737</t>
  </si>
  <si>
    <t>A 00031738</t>
  </si>
  <si>
    <t>A 00019269</t>
  </si>
  <si>
    <t>A 00003649</t>
  </si>
  <si>
    <t>A 00003650</t>
  </si>
  <si>
    <t>A 00000353</t>
  </si>
  <si>
    <t>A 00006483</t>
  </si>
  <si>
    <t>A 00006484</t>
  </si>
  <si>
    <t>A 00006485</t>
  </si>
  <si>
    <t>A 00006486</t>
  </si>
  <si>
    <t>A 00019270</t>
  </si>
  <si>
    <t>A 00019271</t>
  </si>
  <si>
    <t>A 00019272</t>
  </si>
  <si>
    <t>A 00019273</t>
  </si>
  <si>
    <t>A 00019274</t>
  </si>
  <si>
    <t>A 00019275</t>
  </si>
  <si>
    <t>A 00019276</t>
  </si>
  <si>
    <t>A 00019277</t>
  </si>
  <si>
    <t>A 00019278</t>
  </si>
  <si>
    <t>A 00019279</t>
  </si>
  <si>
    <t>A 00019280</t>
  </si>
  <si>
    <t>A 00019281</t>
  </si>
  <si>
    <t>A 00019282</t>
  </si>
  <si>
    <t>A 00019283</t>
  </si>
  <si>
    <t>A 00019284</t>
  </si>
  <si>
    <t>A 00019285</t>
  </si>
  <si>
    <t>A 00031748</t>
  </si>
  <si>
    <t>A 00031749</t>
  </si>
  <si>
    <t>A 00031750</t>
  </si>
  <si>
    <t>A 00031751</t>
  </si>
  <si>
    <t>A 00031752</t>
  </si>
  <si>
    <t>A 00031753</t>
  </si>
  <si>
    <t>A 00000945</t>
  </si>
  <si>
    <t>A 00009933</t>
  </si>
  <si>
    <t>A 00157825</t>
  </si>
  <si>
    <t>A 00003167</t>
  </si>
  <si>
    <t>A 00004317</t>
  </si>
  <si>
    <t>A 00002207</t>
  </si>
  <si>
    <t>A 00005015</t>
  </si>
  <si>
    <t>A 00004863</t>
  </si>
  <si>
    <t>FRAVEGA S A C I E I</t>
  </si>
  <si>
    <t>30-52687424-9</t>
  </si>
  <si>
    <t>A 00006523</t>
  </si>
  <si>
    <t>A 00006524</t>
  </si>
  <si>
    <t>IVECO CAMION  (2/48)</t>
  </si>
  <si>
    <t>A 00034298</t>
  </si>
  <si>
    <t>A 00002309</t>
  </si>
  <si>
    <t>A 00000861</t>
  </si>
  <si>
    <t>A 00000862</t>
  </si>
  <si>
    <t>A 00003668</t>
  </si>
  <si>
    <t>A 00000141</t>
  </si>
  <si>
    <t>A 00006530</t>
  </si>
  <si>
    <t>A 00006531</t>
  </si>
  <si>
    <t>A 00031861</t>
  </si>
  <si>
    <t>A 00031862</t>
  </si>
  <si>
    <t>A 00031863</t>
  </si>
  <si>
    <t>A 00031864</t>
  </si>
  <si>
    <t>A 00031865</t>
  </si>
  <si>
    <t>A 00031866</t>
  </si>
  <si>
    <t>A 00031867</t>
  </si>
  <si>
    <t>A 00031868</t>
  </si>
  <si>
    <t>A 00031869</t>
  </si>
  <si>
    <t>A 00031870</t>
  </si>
  <si>
    <t>A 00031871</t>
  </si>
  <si>
    <t>A 00031872</t>
  </si>
  <si>
    <t>A 00031873</t>
  </si>
  <si>
    <t>A 00031874</t>
  </si>
  <si>
    <t>A 00031875</t>
  </si>
  <si>
    <t>A 00031876</t>
  </si>
  <si>
    <t>A 00031877</t>
  </si>
  <si>
    <t>A 00031878</t>
  </si>
  <si>
    <t>A 00006545</t>
  </si>
  <si>
    <t>A 00006548</t>
  </si>
  <si>
    <t>A 00000168</t>
  </si>
  <si>
    <t>A 00006556</t>
  </si>
  <si>
    <t>A 00006557</t>
  </si>
  <si>
    <t>A 00006558</t>
  </si>
  <si>
    <t>A 00006560</t>
  </si>
  <si>
    <t>A 00006561</t>
  </si>
  <si>
    <t>A 00006562</t>
  </si>
  <si>
    <t>A 00006563</t>
  </si>
  <si>
    <t>A 00003595</t>
  </si>
  <si>
    <t>A 00003596</t>
  </si>
  <si>
    <t>A 00003597</t>
  </si>
  <si>
    <t>A 00003598</t>
  </si>
  <si>
    <t>A 00031892</t>
  </si>
  <si>
    <t>A 00031893</t>
  </si>
  <si>
    <t>A 00031894</t>
  </si>
  <si>
    <t>A 00083618</t>
  </si>
  <si>
    <t>A 00000354</t>
  </si>
  <si>
    <t>A 00002257</t>
  </si>
  <si>
    <t>A 00031935</t>
  </si>
  <si>
    <t>A 00031936</t>
  </si>
  <si>
    <t>A 00031937</t>
  </si>
  <si>
    <t>A 00031938</t>
  </si>
  <si>
    <t>A 00031939</t>
  </si>
  <si>
    <t>A 00031940</t>
  </si>
  <si>
    <t>A 00031946</t>
  </si>
  <si>
    <t>A 00031949</t>
  </si>
  <si>
    <t>A 00031950</t>
  </si>
  <si>
    <t>A 00041658</t>
  </si>
  <si>
    <t>C 00000268</t>
  </si>
  <si>
    <t xml:space="preserve">ELECTRICIDAD TONY                       </t>
  </si>
  <si>
    <t>20-16204999-3</t>
  </si>
  <si>
    <t>A 00003288</t>
  </si>
  <si>
    <t>A 00003289</t>
  </si>
  <si>
    <t>A 00006598</t>
  </si>
  <si>
    <t>A 00006599</t>
  </si>
  <si>
    <t>A 00006600</t>
  </si>
  <si>
    <t>A 00006601</t>
  </si>
  <si>
    <t>A 00031972</t>
  </si>
  <si>
    <t>A 00031973</t>
  </si>
  <si>
    <t>A 00003616</t>
  </si>
  <si>
    <t>A 00006615</t>
  </si>
  <si>
    <t>A 00006616</t>
  </si>
  <si>
    <t>A 00006617</t>
  </si>
  <si>
    <t>A 00032013</t>
  </si>
  <si>
    <t>A 00006412</t>
  </si>
  <si>
    <t>MANUEL GONZALEZ ARIAS E HIJOS SOCIEDAD DE HECHO</t>
  </si>
  <si>
    <t>30-71248035-8</t>
  </si>
  <si>
    <t>A 00006625</t>
  </si>
  <si>
    <t>A 00006626</t>
  </si>
  <si>
    <t>A 00006627</t>
  </si>
  <si>
    <t>A 00006628</t>
  </si>
  <si>
    <t>A 00006633</t>
  </si>
  <si>
    <t>A 00025748</t>
  </si>
  <si>
    <t>A 00006639</t>
  </si>
  <si>
    <t>A 00006642</t>
  </si>
  <si>
    <t>A 00032030</t>
  </si>
  <si>
    <t>A 00032031</t>
  </si>
  <si>
    <t>A 00032040</t>
  </si>
  <si>
    <t>A 00069067</t>
  </si>
  <si>
    <t>A 00004336</t>
  </si>
  <si>
    <t>A 00006492</t>
  </si>
  <si>
    <t>A 00006644</t>
  </si>
  <si>
    <t>A 00010171</t>
  </si>
  <si>
    <t>COMERCIAL MEDANOS S.A.</t>
  </si>
  <si>
    <t>30-71156150-8</t>
  </si>
  <si>
    <t>A 00000657</t>
  </si>
  <si>
    <t>A 00006655</t>
  </si>
  <si>
    <t>A 00011768</t>
  </si>
  <si>
    <t xml:space="preserve">RUSSO E HIJAS SERVICIOS DE LOGISTICA Y TRANSPORTE </t>
  </si>
  <si>
    <t>30-71495856-5</t>
  </si>
  <si>
    <t>A 00006629</t>
  </si>
  <si>
    <t>A 00006663</t>
  </si>
  <si>
    <t>A 00006665</t>
  </si>
  <si>
    <t>A 00006666</t>
  </si>
  <si>
    <t>A 00006667</t>
  </si>
  <si>
    <t>A 00006670</t>
  </si>
  <si>
    <t>A 00006671</t>
  </si>
  <si>
    <t>A 00032059</t>
  </si>
  <si>
    <t>A 00032060</t>
  </si>
  <si>
    <t>A 00032061</t>
  </si>
  <si>
    <t>A 00003697</t>
  </si>
  <si>
    <t>A 00000357</t>
  </si>
  <si>
    <t>A 00002305</t>
  </si>
  <si>
    <t>A 00003242</t>
  </si>
  <si>
    <t>A 00003635</t>
  </si>
  <si>
    <t>A 00003636</t>
  </si>
  <si>
    <t>A 00006676</t>
  </si>
  <si>
    <t>A 00006677</t>
  </si>
  <si>
    <t>A 00006678</t>
  </si>
  <si>
    <t>A 00006679</t>
  </si>
  <si>
    <t>A 00006680</t>
  </si>
  <si>
    <t>A 00032071</t>
  </si>
  <si>
    <t>A 00032072</t>
  </si>
  <si>
    <t>A 00032073</t>
  </si>
  <si>
    <t>A 00032074</t>
  </si>
  <si>
    <t>A 00032084</t>
  </si>
  <si>
    <t>A 00032108</t>
  </si>
  <si>
    <t>A 00032109</t>
  </si>
  <si>
    <t>A 00041853</t>
  </si>
  <si>
    <t>IVECO CAMION  (3/48)</t>
  </si>
  <si>
    <t>A 04782552</t>
  </si>
  <si>
    <t xml:space="preserve">AUTOPISTAS DEL OESTE </t>
  </si>
  <si>
    <t>30-66359851-3</t>
  </si>
  <si>
    <t>A 04808098</t>
  </si>
  <si>
    <t>A 03445164</t>
  </si>
  <si>
    <t>AUBASA</t>
  </si>
  <si>
    <t>A 03445162</t>
  </si>
  <si>
    <t>A 01388671</t>
  </si>
  <si>
    <t xml:space="preserve">CORREDORES VIALES </t>
  </si>
  <si>
    <t>A 01403521</t>
  </si>
  <si>
    <t>A 01421917</t>
  </si>
  <si>
    <t>A 01436477</t>
  </si>
  <si>
    <t>N/C  00001351</t>
  </si>
  <si>
    <t>A 00563854</t>
  </si>
  <si>
    <t>AUSA</t>
  </si>
  <si>
    <t>A 00549556</t>
  </si>
  <si>
    <t>A 00557348</t>
  </si>
  <si>
    <t>A 05174465</t>
  </si>
  <si>
    <t>AUTOPISTAS DEL SOL</t>
  </si>
  <si>
    <t>A 05241493</t>
  </si>
  <si>
    <t>A 05184464</t>
  </si>
  <si>
    <t>A100001301</t>
  </si>
  <si>
    <t>LOGISTICA EL PEREGRINO S.R.L.</t>
  </si>
  <si>
    <t>30-71541459-3</t>
  </si>
  <si>
    <t>A 00000012</t>
  </si>
  <si>
    <t>PEONES</t>
  </si>
  <si>
    <t>AGUA</t>
  </si>
  <si>
    <t>LIMPIEZA</t>
  </si>
  <si>
    <t>PALLETS</t>
  </si>
  <si>
    <t>A 00002435</t>
  </si>
  <si>
    <t>A 00003639</t>
  </si>
  <si>
    <t>A 00034561</t>
  </si>
  <si>
    <t>A 00001481</t>
  </si>
  <si>
    <t>A 00006689</t>
  </si>
  <si>
    <t>A 00006690</t>
  </si>
  <si>
    <t>A 00574904</t>
  </si>
  <si>
    <t>A 04859172</t>
  </si>
  <si>
    <t>A 04859173</t>
  </si>
  <si>
    <t>A 00000171</t>
  </si>
  <si>
    <t>A 00000179</t>
  </si>
  <si>
    <t>A 00006696</t>
  </si>
  <si>
    <t>A 00032129</t>
  </si>
  <si>
    <t>A 00032130</t>
  </si>
  <si>
    <t>A 00032131</t>
  </si>
  <si>
    <t>A 00032132</t>
  </si>
  <si>
    <t>A 00032133</t>
  </si>
  <si>
    <t>A 00006701</t>
  </si>
  <si>
    <t>A 00006702</t>
  </si>
  <si>
    <t>A 00041955</t>
  </si>
  <si>
    <t>A 00091369</t>
  </si>
  <si>
    <t>A 00011774</t>
  </si>
  <si>
    <t>MARTINEZ NORBERTO RUBEN</t>
  </si>
  <si>
    <t>20-11090230-2</t>
  </si>
  <si>
    <t>A 01453217</t>
  </si>
  <si>
    <t>A 00006707</t>
  </si>
  <si>
    <t>A 00006708</t>
  </si>
  <si>
    <t>A 00006709</t>
  </si>
  <si>
    <t>A 00006710</t>
  </si>
  <si>
    <t>A 00006711</t>
  </si>
  <si>
    <t>A 00003652</t>
  </si>
  <si>
    <t>A 00003654</t>
  </si>
  <si>
    <t>A 00032144</t>
  </si>
  <si>
    <t>A 00006723</t>
  </si>
  <si>
    <t>A 00006724</t>
  </si>
  <si>
    <t>A 00006725</t>
  </si>
  <si>
    <t>A 00006736</t>
  </si>
  <si>
    <t>A 00032171</t>
  </si>
  <si>
    <t>A 00032172</t>
  </si>
  <si>
    <t>A 00032173</t>
  </si>
  <si>
    <t>A 00032174</t>
  </si>
  <si>
    <t>A 00032175</t>
  </si>
  <si>
    <t>A 00032176</t>
  </si>
  <si>
    <t>A 00032177</t>
  </si>
  <si>
    <t>A 00032178</t>
  </si>
  <si>
    <t>A 00032179</t>
  </si>
  <si>
    <t>A 00032180</t>
  </si>
  <si>
    <t>A 00032181</t>
  </si>
  <si>
    <t>A 00032182</t>
  </si>
  <si>
    <t>A 00032183</t>
  </si>
  <si>
    <t>A 00032184</t>
  </si>
  <si>
    <t>A 00032185</t>
  </si>
  <si>
    <t>A 00032187</t>
  </si>
  <si>
    <t>A 00032188</t>
  </si>
  <si>
    <t>A 00002339</t>
  </si>
  <si>
    <t>A 00006743</t>
  </si>
  <si>
    <t>A 00015363</t>
  </si>
  <si>
    <t>A 00015364</t>
  </si>
  <si>
    <t>A 00032197</t>
  </si>
  <si>
    <t>A 00032202</t>
  </si>
  <si>
    <t>A 00159104</t>
  </si>
  <si>
    <t>A 00003661</t>
  </si>
  <si>
    <t>A 00004268</t>
  </si>
  <si>
    <t>A 00006751</t>
  </si>
  <si>
    <t>A 00006752</t>
  </si>
  <si>
    <t>A 00006753</t>
  </si>
  <si>
    <t>A 00006754</t>
  </si>
  <si>
    <t>A 04896587</t>
  </si>
  <si>
    <t>A 04920538</t>
  </si>
  <si>
    <t>A 05351486</t>
  </si>
  <si>
    <t>A 05351487</t>
  </si>
  <si>
    <t>A 00006759</t>
  </si>
  <si>
    <t>A 00006760</t>
  </si>
  <si>
    <t>A 00006761</t>
  </si>
  <si>
    <t>A 00006762</t>
  </si>
  <si>
    <t>A 00032220</t>
  </si>
  <si>
    <t>A 00032221</t>
  </si>
  <si>
    <t>A 00032222</t>
  </si>
  <si>
    <t>A 00032223</t>
  </si>
  <si>
    <t>A 00032224</t>
  </si>
  <si>
    <t>A 00032227</t>
  </si>
  <si>
    <t>A 00032228</t>
  </si>
  <si>
    <t>A 00032229</t>
  </si>
  <si>
    <t>A 00032230</t>
  </si>
  <si>
    <t>A 00032231</t>
  </si>
  <si>
    <t>A 00032232</t>
  </si>
  <si>
    <t>A 00572502</t>
  </si>
  <si>
    <t>A 00578489</t>
  </si>
  <si>
    <t>A 03493282</t>
  </si>
  <si>
    <t>A 00006767</t>
  </si>
  <si>
    <t>A 00006768</t>
  </si>
  <si>
    <t>A 00006769</t>
  </si>
  <si>
    <t>A 00006770</t>
  </si>
  <si>
    <t>A 00006771</t>
  </si>
  <si>
    <t>A 00042145</t>
  </si>
  <si>
    <t>A 00084479</t>
  </si>
  <si>
    <t>A 01486481</t>
  </si>
  <si>
    <t>A 00003249</t>
  </si>
  <si>
    <t>DIAGNO TRUCK SRL</t>
  </si>
  <si>
    <t>33-71259180-9</t>
  </si>
  <si>
    <t>A 00002209</t>
  </si>
  <si>
    <t>A 00006783</t>
  </si>
  <si>
    <t>A 00006784</t>
  </si>
  <si>
    <t>A 00032253</t>
  </si>
  <si>
    <t>A 00032254</t>
  </si>
  <si>
    <t>A 00032255</t>
  </si>
  <si>
    <t>A 00032256</t>
  </si>
  <si>
    <t>A 00032257</t>
  </si>
  <si>
    <t>A 00032258</t>
  </si>
  <si>
    <t>A 00032260</t>
  </si>
  <si>
    <t>A 00032261</t>
  </si>
  <si>
    <t>A 00032262</t>
  </si>
  <si>
    <t>A 00032263</t>
  </si>
  <si>
    <t>A 00032264</t>
  </si>
  <si>
    <t>C 00000540</t>
  </si>
  <si>
    <t>A 00006789</t>
  </si>
  <si>
    <t>A 00006790</t>
  </si>
  <si>
    <t>A 00006791</t>
  </si>
  <si>
    <t>A 00006792</t>
  </si>
  <si>
    <t>A 00006793</t>
  </si>
  <si>
    <t>A 00005353</t>
  </si>
  <si>
    <t>A 00006675</t>
  </si>
  <si>
    <t>A 00006813</t>
  </si>
  <si>
    <t>A 00006814</t>
  </si>
  <si>
    <t>A 00006815</t>
  </si>
  <si>
    <t>A 00006818</t>
  </si>
  <si>
    <t>A 00006819</t>
  </si>
  <si>
    <t>A 00006820</t>
  </si>
  <si>
    <t>A 00000053</t>
  </si>
  <si>
    <t>ARAUJO FEDERICO JULIO EDUARDO</t>
  </si>
  <si>
    <t>20-27308846-7</t>
  </si>
  <si>
    <t>A 00000195</t>
  </si>
  <si>
    <t>A 00001767</t>
  </si>
  <si>
    <t>A 00004402</t>
  </si>
  <si>
    <t>A 00006824</t>
  </si>
  <si>
    <t>A 00006827</t>
  </si>
  <si>
    <t>A 00002392</t>
  </si>
  <si>
    <t>A 00002402</t>
  </si>
  <si>
    <t>A 00003738</t>
  </si>
  <si>
    <t>A 00003739</t>
  </si>
  <si>
    <t>A 00006828</t>
  </si>
  <si>
    <t>A 00006829</t>
  </si>
  <si>
    <t>A 00006830</t>
  </si>
  <si>
    <t>A 00006831</t>
  </si>
  <si>
    <t>A 00006832</t>
  </si>
  <si>
    <t>A 00006835</t>
  </si>
  <si>
    <t>A 00006836</t>
  </si>
  <si>
    <t>A 00006837</t>
  </si>
  <si>
    <t>A 00006838</t>
  </si>
  <si>
    <t>A 00006839</t>
  </si>
  <si>
    <t>A 00006840</t>
  </si>
  <si>
    <t>A 00006845</t>
  </si>
  <si>
    <t>A 00010311</t>
  </si>
  <si>
    <t>A 03494503</t>
  </si>
  <si>
    <t>LIQ FINAL EMPLEADO LOGISTICA</t>
  </si>
  <si>
    <t>LIQ FINAL EMPLEADO DEPOSITO</t>
  </si>
  <si>
    <t>1369585.68</t>
  </si>
  <si>
    <t>MORATORIA MAYO2023(4/12)</t>
  </si>
  <si>
    <t>IVECO CAMION  (4/48)</t>
  </si>
  <si>
    <t>A 00002222</t>
  </si>
  <si>
    <t>ANTICIPO IVECO NUEVO</t>
  </si>
  <si>
    <t>IVECO CAMION(5/48)</t>
  </si>
  <si>
    <t>A 00000887</t>
  </si>
  <si>
    <t>A 00000888</t>
  </si>
  <si>
    <t>A 00002498</t>
  </si>
  <si>
    <t>A 00003691</t>
  </si>
  <si>
    <t>A 00003692</t>
  </si>
  <si>
    <t>A 00034766</t>
  </si>
  <si>
    <t>A 00006714</t>
  </si>
  <si>
    <t>A 00006846</t>
  </si>
  <si>
    <t>A 00006847</t>
  </si>
  <si>
    <t>A 00006848</t>
  </si>
  <si>
    <t>A 00042410</t>
  </si>
  <si>
    <t>A 00581496</t>
  </si>
  <si>
    <t>A 00583829</t>
  </si>
  <si>
    <t>A 04934639</t>
  </si>
  <si>
    <t>A 04958927</t>
  </si>
  <si>
    <t>A 05407755</t>
  </si>
  <si>
    <t>A 05407756</t>
  </si>
  <si>
    <t>A 00000176</t>
  </si>
  <si>
    <t>A 00000203</t>
  </si>
  <si>
    <t>A 00000204</t>
  </si>
  <si>
    <t>A 00006855</t>
  </si>
  <si>
    <t>A 00006856</t>
  </si>
  <si>
    <t>A 00006857</t>
  </si>
  <si>
    <t>A 01517704</t>
  </si>
  <si>
    <t>A 00002729</t>
  </si>
  <si>
    <t>A 00000095</t>
  </si>
  <si>
    <t>A 00006863</t>
  </si>
  <si>
    <t>A 00000364</t>
  </si>
  <si>
    <t>A 00000365</t>
  </si>
  <si>
    <t>A 00003694</t>
  </si>
  <si>
    <t>A 00032348</t>
  </si>
  <si>
    <t>A 00032349</t>
  </si>
  <si>
    <t>A 00032350</t>
  </si>
  <si>
    <t>A 00032351</t>
  </si>
  <si>
    <t>A 00032352</t>
  </si>
  <si>
    <t>A 00032354</t>
  </si>
  <si>
    <t>A 00032355</t>
  </si>
  <si>
    <t>A 00032356</t>
  </si>
  <si>
    <t>A 00032357</t>
  </si>
  <si>
    <t>A 00159796</t>
  </si>
  <si>
    <t>C 00000544</t>
  </si>
  <si>
    <t>PASQUINI ANDREA TERESA</t>
  </si>
  <si>
    <t>A 00006875</t>
  </si>
  <si>
    <t>A 00006876</t>
  </si>
  <si>
    <t>A 00006877</t>
  </si>
  <si>
    <t>A 00006881</t>
  </si>
  <si>
    <t>A 00032369</t>
  </si>
  <si>
    <t>A 00032370</t>
  </si>
  <si>
    <t>A 00032371</t>
  </si>
  <si>
    <t>A 00032372</t>
  </si>
  <si>
    <t>A 00032373</t>
  </si>
  <si>
    <t>A 00006883</t>
  </si>
  <si>
    <t>A 00008939</t>
  </si>
  <si>
    <t>EUROCAM S.A.</t>
  </si>
  <si>
    <t>30-71623691-5</t>
  </si>
  <si>
    <t>A 00000366</t>
  </si>
  <si>
    <t>A 00006893</t>
  </si>
  <si>
    <t>A 00007464</t>
  </si>
  <si>
    <t>BERALDI PEDRO RAFAEL</t>
  </si>
  <si>
    <t>23-08309925-9</t>
  </si>
  <si>
    <t>A 00032383</t>
  </si>
  <si>
    <t>A 00032384</t>
  </si>
  <si>
    <t>A 00032385</t>
  </si>
  <si>
    <t>A 00032386</t>
  </si>
  <si>
    <t>A 00032387</t>
  </si>
  <si>
    <t>A 00032388</t>
  </si>
  <si>
    <t>A 00002434</t>
  </si>
  <si>
    <t>A 00006901</t>
  </si>
  <si>
    <t>A 00006903</t>
  </si>
  <si>
    <t>A 00006904</t>
  </si>
  <si>
    <t>A 00006905</t>
  </si>
  <si>
    <t>A 00006906</t>
  </si>
  <si>
    <t>A 00006907</t>
  </si>
  <si>
    <t>A 00006908</t>
  </si>
  <si>
    <t>A 00032395</t>
  </si>
  <si>
    <t>A 00032396</t>
  </si>
  <si>
    <t>A 00032397</t>
  </si>
  <si>
    <t>A 00032398</t>
  </si>
  <si>
    <t>A 00032399</t>
  </si>
  <si>
    <t>A 00032400</t>
  </si>
  <si>
    <t>A 04971586</t>
  </si>
  <si>
    <t>A 04971588</t>
  </si>
  <si>
    <t>A 05463049</t>
  </si>
  <si>
    <t>A 05463050</t>
  </si>
  <si>
    <t>A 00000213</t>
  </si>
  <si>
    <t>A 00000659</t>
  </si>
  <si>
    <t>GPS ROUTER S.A.</t>
  </si>
  <si>
    <t>30-71237307-1</t>
  </si>
  <si>
    <t>A 00004829</t>
  </si>
  <si>
    <t>LENIG SRL</t>
  </si>
  <si>
    <t>30-71193560-2</t>
  </si>
  <si>
    <t>A 00006741</t>
  </si>
  <si>
    <t>A 00006910</t>
  </si>
  <si>
    <t>A 00006911</t>
  </si>
  <si>
    <t>A 00032412</t>
  </si>
  <si>
    <t>A 00032417</t>
  </si>
  <si>
    <t>A 00032418</t>
  </si>
  <si>
    <t>A 00032419</t>
  </si>
  <si>
    <t>A 00032420</t>
  </si>
  <si>
    <t>A 00085073</t>
  </si>
  <si>
    <t>A 00588603</t>
  </si>
  <si>
    <t>A 00589998</t>
  </si>
  <si>
    <t>A 00003720</t>
  </si>
  <si>
    <t>A 00042675</t>
  </si>
  <si>
    <t>A 00006912</t>
  </si>
  <si>
    <t>A 00006913</t>
  </si>
  <si>
    <t>A 00006914</t>
  </si>
  <si>
    <t>A 00006915</t>
  </si>
  <si>
    <t>A 00032433</t>
  </si>
  <si>
    <t>A 00032434</t>
  </si>
  <si>
    <t>A 00032435</t>
  </si>
  <si>
    <t>A 00032436</t>
  </si>
  <si>
    <t>A 00032437</t>
  </si>
  <si>
    <t>A 00032441</t>
  </si>
  <si>
    <t>A 03523965</t>
  </si>
  <si>
    <t>A 00032449</t>
  </si>
  <si>
    <t>A 00032450</t>
  </si>
  <si>
    <t>A 00032451</t>
  </si>
  <si>
    <t>A 00032452</t>
  </si>
  <si>
    <t>A 00032454</t>
  </si>
  <si>
    <t>A 00032455</t>
  </si>
  <si>
    <t>A 01547779</t>
  </si>
  <si>
    <t>A 01562390</t>
  </si>
  <si>
    <t>A 00006909</t>
  </si>
  <si>
    <t>A 00032461</t>
  </si>
  <si>
    <t>A 00032468</t>
  </si>
  <si>
    <t>A 00032469</t>
  </si>
  <si>
    <t>A 00032470</t>
  </si>
  <si>
    <t>A 00032471</t>
  </si>
  <si>
    <t>A 00032475</t>
  </si>
  <si>
    <t>A 00032476</t>
  </si>
  <si>
    <t>A 00006921</t>
  </si>
  <si>
    <t>A 00006922</t>
  </si>
  <si>
    <t>A 00000516</t>
  </si>
  <si>
    <t>APENDINO JUAN ANTONIO</t>
  </si>
  <si>
    <t>20-10461638-1</t>
  </si>
  <si>
    <t>A 00004427</t>
  </si>
  <si>
    <t>A 00006928</t>
  </si>
  <si>
    <t>A 00006929</t>
  </si>
  <si>
    <t>A 00006930</t>
  </si>
  <si>
    <t>A 00006931</t>
  </si>
  <si>
    <t>A 00006932</t>
  </si>
  <si>
    <t>A 00006933</t>
  </si>
  <si>
    <t>A 00006934</t>
  </si>
  <si>
    <t>A 00032487</t>
  </si>
  <si>
    <t>A 00032488</t>
  </si>
  <si>
    <t>A 00032494</t>
  </si>
  <si>
    <t>A 00032496</t>
  </si>
  <si>
    <t>A 00032497</t>
  </si>
  <si>
    <t>A 00032498</t>
  </si>
  <si>
    <t>A 00032499</t>
  </si>
  <si>
    <t>A 00032500</t>
  </si>
  <si>
    <t>A 00032501</t>
  </si>
  <si>
    <t>A 00032502</t>
  </si>
  <si>
    <t>A 00005541</t>
  </si>
  <si>
    <t>A 00006935</t>
  </si>
  <si>
    <t>A 00006936</t>
  </si>
  <si>
    <t>A 00006937</t>
  </si>
  <si>
    <t>A 00006938</t>
  </si>
  <si>
    <t>A 00006939</t>
  </si>
  <si>
    <t>A 00002465</t>
  </si>
  <si>
    <t>A 00002476</t>
  </si>
  <si>
    <t>A 00006946</t>
  </si>
  <si>
    <t>A 00006947</t>
  </si>
  <si>
    <t>A 00006948</t>
  </si>
  <si>
    <t>A 00006952</t>
  </si>
  <si>
    <t>A 00006953</t>
  </si>
  <si>
    <t>A 00006955</t>
  </si>
  <si>
    <t>A 00006958</t>
  </si>
  <si>
    <t>A 00006959</t>
  </si>
  <si>
    <t>A 00006960</t>
  </si>
  <si>
    <t>A 00006961</t>
  </si>
  <si>
    <t>A 00032505</t>
  </si>
  <si>
    <t>A 00016056</t>
  </si>
  <si>
    <t>HOCHWARTER JUAN Y MIGUEL ANGEL S H      HOCHERRAJE</t>
  </si>
  <si>
    <t>30-65231706-1</t>
  </si>
  <si>
    <t>A 00000229</t>
  </si>
  <si>
    <t>A 00003741</t>
  </si>
  <si>
    <t>A 00032518</t>
  </si>
  <si>
    <t>A 00032519</t>
  </si>
  <si>
    <t>A 00032520</t>
  </si>
  <si>
    <t>A 00032521</t>
  </si>
  <si>
    <t>A 00032522</t>
  </si>
  <si>
    <t>A 00032523</t>
  </si>
  <si>
    <t>A 00032524</t>
  </si>
  <si>
    <t>A 00032525</t>
  </si>
  <si>
    <t>A 00032526</t>
  </si>
  <si>
    <t>A 00032527</t>
  </si>
  <si>
    <t>A 00032532</t>
  </si>
  <si>
    <t>A 00032533</t>
  </si>
  <si>
    <t>A 00032534</t>
  </si>
  <si>
    <t>A 00032535</t>
  </si>
  <si>
    <t>A 00032547</t>
  </si>
  <si>
    <t>A 00032548</t>
  </si>
  <si>
    <t>A 00032549</t>
  </si>
  <si>
    <t>A 00032550</t>
  </si>
  <si>
    <t>A 00032551</t>
  </si>
  <si>
    <t>A 00032552</t>
  </si>
  <si>
    <t>GASTOS NO GRAV</t>
  </si>
  <si>
    <t>GRAVADOS</t>
  </si>
  <si>
    <t>AREA</t>
  </si>
  <si>
    <t>A 0003-00015458</t>
  </si>
  <si>
    <t>COPPEL S.A.</t>
  </si>
  <si>
    <t>30-71041150-2</t>
  </si>
  <si>
    <t>A 0003-00015459</t>
  </si>
  <si>
    <t>A 0003-00015460</t>
  </si>
  <si>
    <t>A 0003-00015461</t>
  </si>
  <si>
    <t>ISAKITO S.A.</t>
  </si>
  <si>
    <t>33-71676900-9</t>
  </si>
  <si>
    <t>A 0003-00015462</t>
  </si>
  <si>
    <t>A 0003-00015463</t>
  </si>
  <si>
    <t>DESCARTABLES CAROMAR S.A.</t>
  </si>
  <si>
    <t>30-63213726-1</t>
  </si>
  <si>
    <t>A 0003-00015464</t>
  </si>
  <si>
    <t>JOTAPLAY SOCIEDAD ANONIMA</t>
  </si>
  <si>
    <t>30-71445426-5</t>
  </si>
  <si>
    <t>A 0003-00015465</t>
  </si>
  <si>
    <t>A 0003-00015466</t>
  </si>
  <si>
    <t>MURESCO SA</t>
  </si>
  <si>
    <t>30-52252008-6</t>
  </si>
  <si>
    <t>A 0003-00015467</t>
  </si>
  <si>
    <t>SEBSADA S.A.</t>
  </si>
  <si>
    <t>30-71092006-7</t>
  </si>
  <si>
    <t>A 0003-00015468</t>
  </si>
  <si>
    <t>ESTILO ARTESANAL</t>
  </si>
  <si>
    <t>30-63738308-2</t>
  </si>
  <si>
    <t>A 0003-00015469</t>
  </si>
  <si>
    <t>MAGIC MAKER SA</t>
  </si>
  <si>
    <t>30-71121314-3</t>
  </si>
  <si>
    <t>A 0003-00015470</t>
  </si>
  <si>
    <t>A 0003-00015471</t>
  </si>
  <si>
    <t>JAIRE S.R.L.</t>
  </si>
  <si>
    <t>30-70832763-4</t>
  </si>
  <si>
    <t>A 0003-00015472</t>
  </si>
  <si>
    <t>SUN SOL SRL</t>
  </si>
  <si>
    <t>30-70817929-5</t>
  </si>
  <si>
    <t>A 0003-00015473</t>
  </si>
  <si>
    <t>INTIPUNCO S.A.</t>
  </si>
  <si>
    <t>30-70829280-6</t>
  </si>
  <si>
    <t>A 0003-00015474</t>
  </si>
  <si>
    <t>APOLLO S.R.L.</t>
  </si>
  <si>
    <t>30-64646596-2</t>
  </si>
  <si>
    <t>A 0003-00015475</t>
  </si>
  <si>
    <t>LOBOV Y CIA S.A.</t>
  </si>
  <si>
    <t>30-54167722-0</t>
  </si>
  <si>
    <t>A 0003-00015476</t>
  </si>
  <si>
    <t>BABY FIRST SRL</t>
  </si>
  <si>
    <t>30-67596225-8</t>
  </si>
  <si>
    <t>A 0003-00015477</t>
  </si>
  <si>
    <t>BEBITOS S.R.L.</t>
  </si>
  <si>
    <t>30-70906801-2</t>
  </si>
  <si>
    <t>A 0003-00015478</t>
  </si>
  <si>
    <t>A 0003-00015479</t>
  </si>
  <si>
    <t>A 0003-00015480</t>
  </si>
  <si>
    <t>LUSQTOFF ARGENTINA SA</t>
  </si>
  <si>
    <t>30-71207115-6</t>
  </si>
  <si>
    <t>A 0003-00015481</t>
  </si>
  <si>
    <t>N&amp;R TEXTIL SRL</t>
  </si>
  <si>
    <t>30-71689273-1</t>
  </si>
  <si>
    <t>A 0003-00015482</t>
  </si>
  <si>
    <t>GENERATION INTERNATIONAL MARKETING S.A.</t>
  </si>
  <si>
    <t>33-71146846-9</t>
  </si>
  <si>
    <t>A 0003-00015483</t>
  </si>
  <si>
    <t>DON ROBERTO S.A.</t>
  </si>
  <si>
    <t>30-67324310-6</t>
  </si>
  <si>
    <t>A 0003-00015484</t>
  </si>
  <si>
    <t>A 0003-00015485</t>
  </si>
  <si>
    <t>A 0003-00015486</t>
  </si>
  <si>
    <t>DISTRIBUIDORA AMERICANA DEL RELOJ</t>
  </si>
  <si>
    <t>30-62707389-1</t>
  </si>
  <si>
    <t>A 0003-00015487</t>
  </si>
  <si>
    <t>A 0003-00015488</t>
  </si>
  <si>
    <t xml:space="preserve">MIDING S.R.L </t>
  </si>
  <si>
    <t>30-70856559-4</t>
  </si>
  <si>
    <t>A 0003-00015489</t>
  </si>
  <si>
    <t>LADY STORK SA</t>
  </si>
  <si>
    <t>30-69878303-2</t>
  </si>
  <si>
    <t>A 0003-00015490</t>
  </si>
  <si>
    <t>PELTRINA S.A.</t>
  </si>
  <si>
    <t>30-71021509-6</t>
  </si>
  <si>
    <t>A 0003-00015491</t>
  </si>
  <si>
    <t>CINEMA SOPORTES SRL</t>
  </si>
  <si>
    <t>33-71024827-9</t>
  </si>
  <si>
    <t>A 0003-00015492</t>
  </si>
  <si>
    <t>LERESU S.A.</t>
  </si>
  <si>
    <t>30-69896576-9</t>
  </si>
  <si>
    <t>A 0003-00015493</t>
  </si>
  <si>
    <t>A 0003-00015494</t>
  </si>
  <si>
    <t>A 0003-00015495</t>
  </si>
  <si>
    <t>KOLEN S.A.</t>
  </si>
  <si>
    <t>30-71216918-0</t>
  </si>
  <si>
    <t>A 0003-00015496</t>
  </si>
  <si>
    <t>A 0003-00015497</t>
  </si>
  <si>
    <t>FLET 8 SRL</t>
  </si>
  <si>
    <t>33-71149004-9</t>
  </si>
  <si>
    <t>A 0003-00015498</t>
  </si>
  <si>
    <t>ARTICULOS PROMOCIONALES</t>
  </si>
  <si>
    <t>30-70717426-5</t>
  </si>
  <si>
    <t>A 0003-00015499</t>
  </si>
  <si>
    <t>INDUSTRIAS GYD S.A.</t>
  </si>
  <si>
    <t>30-71530010-5</t>
  </si>
  <si>
    <t>A 0003-00015500</t>
  </si>
  <si>
    <t>A 0003-00015501</t>
  </si>
  <si>
    <t>A 0003-00015502</t>
  </si>
  <si>
    <t>A 0003-00015503</t>
  </si>
  <si>
    <t>CENTRO DE DISEÑO ITALIANO S.A.</t>
  </si>
  <si>
    <t>30-64323068-9</t>
  </si>
  <si>
    <t>A 0003-00015504</t>
  </si>
  <si>
    <t>JUEGOS Y JUGUETES S.R.L.</t>
  </si>
  <si>
    <t>30-61137749-1</t>
  </si>
  <si>
    <t>A 0003-00015505</t>
  </si>
  <si>
    <t>FURNITEC S.A.</t>
  </si>
  <si>
    <t>33-71125950-9</t>
  </si>
  <si>
    <t>A 0003-00015506</t>
  </si>
  <si>
    <t>A 0003-00015507</t>
  </si>
  <si>
    <t>HAPPY LION S.R.L.</t>
  </si>
  <si>
    <t>30-71181569-0</t>
  </si>
  <si>
    <t>A 0003-00015508</t>
  </si>
  <si>
    <t>A 0003-00015509</t>
  </si>
  <si>
    <t>A 0003-00015510</t>
  </si>
  <si>
    <t>COSTASAN S.R.L.</t>
  </si>
  <si>
    <t>30-69609039-0</t>
  </si>
  <si>
    <t>A 0003-00015511</t>
  </si>
  <si>
    <t>MEGA BABY S.A.</t>
  </si>
  <si>
    <t>30-60242217-4</t>
  </si>
  <si>
    <t>A 0003-00015512</t>
  </si>
  <si>
    <t>A 0003-00015513</t>
  </si>
  <si>
    <t>A 0003-00015514</t>
  </si>
  <si>
    <t>A 0003-00015515</t>
  </si>
  <si>
    <t>TEXTIL PURPURA SA</t>
  </si>
  <si>
    <t>30-71114936-4</t>
  </si>
  <si>
    <t>A 0003-00015516</t>
  </si>
  <si>
    <t>A 0003-00015517</t>
  </si>
  <si>
    <t>A 0003-00015518</t>
  </si>
  <si>
    <t>A 0003-00015519</t>
  </si>
  <si>
    <t>A 0003-00015520</t>
  </si>
  <si>
    <t>A 0003-00015521</t>
  </si>
  <si>
    <t>A 0003-00015522</t>
  </si>
  <si>
    <t>ACEGAME S.A.</t>
  </si>
  <si>
    <t>33-68851288-9</t>
  </si>
  <si>
    <t>A 0003-00015523</t>
  </si>
  <si>
    <t>LOLE TEXTIL S.R.L.</t>
  </si>
  <si>
    <t>30-71714392-9</t>
  </si>
  <si>
    <t>A 0003-00015524</t>
  </si>
  <si>
    <t>A 0003-00015525</t>
  </si>
  <si>
    <t>A 0003-00015526</t>
  </si>
  <si>
    <t>A 0003-00015527</t>
  </si>
  <si>
    <t>A 0003-00015528</t>
  </si>
  <si>
    <t>THE ASIA HOLDINGS GROUP S.A.</t>
  </si>
  <si>
    <t>30-70938456-9</t>
  </si>
  <si>
    <t>A 0003-00015529</t>
  </si>
  <si>
    <t>A 0003-00015530</t>
  </si>
  <si>
    <t>A 0003-00015531</t>
  </si>
  <si>
    <t>A 0003-00015532</t>
  </si>
  <si>
    <t>A 0003-00015533</t>
  </si>
  <si>
    <t>A 0003-00015534</t>
  </si>
  <si>
    <t>A 0003-00015535</t>
  </si>
  <si>
    <t>A 0003-00015536</t>
  </si>
  <si>
    <t>VICBOR SRL</t>
  </si>
  <si>
    <t>30-70933260-7</t>
  </si>
  <si>
    <t>A 0003-00015537</t>
  </si>
  <si>
    <t>A 0003-00015538</t>
  </si>
  <si>
    <t>BATHBAZAAR S.R.L.</t>
  </si>
  <si>
    <t>30-71012202-0</t>
  </si>
  <si>
    <t>A 0003-00015539</t>
  </si>
  <si>
    <t>BARAK IMPORTACIONES S.A</t>
  </si>
  <si>
    <t>30-71095251-1</t>
  </si>
  <si>
    <t>A 0003-00015540</t>
  </si>
  <si>
    <t>A 0003-00015541</t>
  </si>
  <si>
    <t>A 0003-00015542</t>
  </si>
  <si>
    <t>A 0003-00015543</t>
  </si>
  <si>
    <t>A 0003-00015544</t>
  </si>
  <si>
    <t>A 0003-00015545</t>
  </si>
  <si>
    <t>A 0003-00015546</t>
  </si>
  <si>
    <t>A 0003-00015547</t>
  </si>
  <si>
    <t>A 0003-00015548</t>
  </si>
  <si>
    <t>A 0003-00015549</t>
  </si>
  <si>
    <t>A 0003-00015550</t>
  </si>
  <si>
    <t>A 0003-00015551</t>
  </si>
  <si>
    <t>A 0003-00015552</t>
  </si>
  <si>
    <t>MIRAE TEXTIL SRL</t>
  </si>
  <si>
    <t>30-71689186-7</t>
  </si>
  <si>
    <t>A 0003-00015553</t>
  </si>
  <si>
    <t>A 0003-00015554</t>
  </si>
  <si>
    <t>MOBO ARGENTINA</t>
  </si>
  <si>
    <t>33-70895017-9</t>
  </si>
  <si>
    <t>A 0003-00015555</t>
  </si>
  <si>
    <t>DISTRIBUIDORA LATAPY SRL</t>
  </si>
  <si>
    <t>30-70721527-1</t>
  </si>
  <si>
    <t>A 0003-00015556</t>
  </si>
  <si>
    <t>A 0003-00015557</t>
  </si>
  <si>
    <t>A 0003-00015558</t>
  </si>
  <si>
    <t>MF HNOS SA</t>
  </si>
  <si>
    <t>30-71242403-2</t>
  </si>
  <si>
    <t>A 0003-00015559</t>
  </si>
  <si>
    <t>A 0003-00015560</t>
  </si>
  <si>
    <t>A 0003-00015561</t>
  </si>
  <si>
    <t>A 0003-00015562</t>
  </si>
  <si>
    <t>A 0003-00015563</t>
  </si>
  <si>
    <t>A 0003-00015564</t>
  </si>
  <si>
    <t>A 0003-00015565</t>
  </si>
  <si>
    <t>A 0003-00015566</t>
  </si>
  <si>
    <t>A 0003-00015567</t>
  </si>
  <si>
    <t>A 0003-00015568</t>
  </si>
  <si>
    <t>A 0003-00015569</t>
  </si>
  <si>
    <t>A 0003-00015570</t>
  </si>
  <si>
    <t>A 0003-00015571</t>
  </si>
  <si>
    <t>A 0003-00015572</t>
  </si>
  <si>
    <t>A 0003-00015573</t>
  </si>
  <si>
    <t>ALPAGROUP SA</t>
  </si>
  <si>
    <t>30-71438631-6</t>
  </si>
  <si>
    <t>A 0003-00015574</t>
  </si>
  <si>
    <t>A 0003-00015575</t>
  </si>
  <si>
    <t>A 0003-00015576</t>
  </si>
  <si>
    <t>A 0003-00015577</t>
  </si>
  <si>
    <t>A 0003-00015578</t>
  </si>
  <si>
    <t>A 0003-00015579</t>
  </si>
  <si>
    <t>A 0003-00015580</t>
  </si>
  <si>
    <t>BETA MOTOR ARGENTINA S.A.</t>
  </si>
  <si>
    <t>30-66298283-7</t>
  </si>
  <si>
    <t>A 0003-00015581</t>
  </si>
  <si>
    <t>A 0003-00015582</t>
  </si>
  <si>
    <t>A 0003-00015583</t>
  </si>
  <si>
    <t>A 0003-00015584</t>
  </si>
  <si>
    <t xml:space="preserve"> DANA LORENA KARINA</t>
  </si>
  <si>
    <t>27-27217807-6</t>
  </si>
  <si>
    <t>A 0003-00015585</t>
  </si>
  <si>
    <t>A 0003-00015586</t>
  </si>
  <si>
    <t>A 0003-00015587</t>
  </si>
  <si>
    <t>A 0003-00015588</t>
  </si>
  <si>
    <t>STAR DIGITAL S.A.</t>
  </si>
  <si>
    <t>30-71501378-5</t>
  </si>
  <si>
    <t>A 0003-00015589</t>
  </si>
  <si>
    <t>A 0003-00015590</t>
  </si>
  <si>
    <t>KUKIBET SRL</t>
  </si>
  <si>
    <t>30-70822541-6</t>
  </si>
  <si>
    <t>A 0003-00015591</t>
  </si>
  <si>
    <t>A 0003-00015592</t>
  </si>
  <si>
    <t>A 0003-00015593</t>
  </si>
  <si>
    <t>A 0003-00015594</t>
  </si>
  <si>
    <t>A 0003-00015595</t>
  </si>
  <si>
    <t>A 0003-00015596</t>
  </si>
  <si>
    <t>A 0003-00015597</t>
  </si>
  <si>
    <t>A 0003-00015598</t>
  </si>
  <si>
    <t>A 0003-00015599</t>
  </si>
  <si>
    <t>A 0003-00015600</t>
  </si>
  <si>
    <t>A 0003-00015601</t>
  </si>
  <si>
    <t>K.V.N. S.R.L.</t>
  </si>
  <si>
    <t>30-70735232-5</t>
  </si>
  <si>
    <t>A 0003-00015602</t>
  </si>
  <si>
    <t>A 0003-00015603</t>
  </si>
  <si>
    <t>A 0003-00015604</t>
  </si>
  <si>
    <t>A 0003-00015605</t>
  </si>
  <si>
    <t>A 0003-00015606</t>
  </si>
  <si>
    <t>A 0003-00015607</t>
  </si>
  <si>
    <t>A 0003-00015608</t>
  </si>
  <si>
    <t>TYRTEX SA</t>
  </si>
  <si>
    <t>30-71652842-8</t>
  </si>
  <si>
    <t>A 0003-00015609</t>
  </si>
  <si>
    <t>A 0003-00015610</t>
  </si>
  <si>
    <t>A 0003-00015611</t>
  </si>
  <si>
    <t>A 0003-00015612</t>
  </si>
  <si>
    <t>A 0003-00015613</t>
  </si>
  <si>
    <t>A 0003-00015614</t>
  </si>
  <si>
    <t>A 0003-00015615</t>
  </si>
  <si>
    <t>CIANCIARUSO CARLOS EUGENIO</t>
  </si>
  <si>
    <t>20-16037082-4</t>
  </si>
  <si>
    <t>A 0003-00015616</t>
  </si>
  <si>
    <t>VIDITRAX</t>
  </si>
  <si>
    <t>30-71053851-0</t>
  </si>
  <si>
    <t>A 0003-00015617</t>
  </si>
  <si>
    <t>A 0003-00015618</t>
  </si>
  <si>
    <t>A 0003-00015619</t>
  </si>
  <si>
    <t>A 0003-00015620</t>
  </si>
  <si>
    <t>A 0003-00015621</t>
  </si>
  <si>
    <t>A 0003-00015622</t>
  </si>
  <si>
    <t>A 0003-00015623</t>
  </si>
  <si>
    <t>A 0003-00015624</t>
  </si>
  <si>
    <t>A 0003-00015625</t>
  </si>
  <si>
    <t>A 0003-00015626</t>
  </si>
  <si>
    <t>A 0003-00015627</t>
  </si>
  <si>
    <t>A 0003-00015628</t>
  </si>
  <si>
    <t>A 0003-00015629</t>
  </si>
  <si>
    <t>FGA FONDO DE ALIMENTOS SRL</t>
  </si>
  <si>
    <t>30-71427852-1</t>
  </si>
  <si>
    <t>A 0003-00015630</t>
  </si>
  <si>
    <t>A 0003-00015631</t>
  </si>
  <si>
    <t>A 0003-00015632</t>
  </si>
  <si>
    <t>A 0003-00015633</t>
  </si>
  <si>
    <t>A 0003-00015634</t>
  </si>
  <si>
    <t>A 0003-00015635</t>
  </si>
  <si>
    <t>RANAWEL S.A.</t>
  </si>
  <si>
    <t>33-71069024-9</t>
  </si>
  <si>
    <t>A 0003-00015636</t>
  </si>
  <si>
    <t>OKIANO SRL</t>
  </si>
  <si>
    <t>30-71458806-7</t>
  </si>
  <si>
    <t>A 0003-00015637</t>
  </si>
  <si>
    <t>A 0003-00015638</t>
  </si>
  <si>
    <t>THINKER AMERICA S.A.</t>
  </si>
  <si>
    <t>30-70969198-4</t>
  </si>
  <si>
    <t>A 0003-00015639</t>
  </si>
  <si>
    <t>INDUSTRIAS VERSATO S.A.</t>
  </si>
  <si>
    <t>30-71550173-9</t>
  </si>
  <si>
    <t>A 0003-00015640</t>
  </si>
  <si>
    <t>A 0003-00015641</t>
  </si>
  <si>
    <t>A 0003-00015642</t>
  </si>
  <si>
    <t>A 0003-00015643</t>
  </si>
  <si>
    <t>A 0003-00015644</t>
  </si>
  <si>
    <t>A 0003-00015645</t>
  </si>
  <si>
    <t>A 0003-00015646</t>
  </si>
  <si>
    <t>A 0003-00015647</t>
  </si>
  <si>
    <t>SEISEME SA</t>
  </si>
  <si>
    <t>30-63834068-9</t>
  </si>
  <si>
    <t>A 0003-00015648</t>
  </si>
  <si>
    <t>A 0003-00015649</t>
  </si>
  <si>
    <t>A 0003-00015650</t>
  </si>
  <si>
    <t>CLUB IMPORT S.A.</t>
  </si>
  <si>
    <t>30-70860108-6</t>
  </si>
  <si>
    <t>A 0003-00015651</t>
  </si>
  <si>
    <t>A 0003-00015652</t>
  </si>
  <si>
    <t>A 0003-00015653</t>
  </si>
  <si>
    <t>A 0003-00015654</t>
  </si>
  <si>
    <t>A 0003-00015655</t>
  </si>
  <si>
    <t>A 0003-00015656</t>
  </si>
  <si>
    <t>VORTEL S.A.</t>
  </si>
  <si>
    <t>30-71214115-4</t>
  </si>
  <si>
    <t>A 0003-00015657</t>
  </si>
  <si>
    <t>SISFRIENDS S.A.</t>
  </si>
  <si>
    <t>30-71676899-2</t>
  </si>
  <si>
    <t>A 0003-00015658</t>
  </si>
  <si>
    <t>A 0003-00015659</t>
  </si>
  <si>
    <t>A 0003-00015660</t>
  </si>
  <si>
    <t>A 0003-00015661</t>
  </si>
  <si>
    <t>A 0003-00015662</t>
  </si>
  <si>
    <t>A 0003-00015663</t>
  </si>
  <si>
    <t>A 0003-00015664</t>
  </si>
  <si>
    <t>A 0003-00015665</t>
  </si>
  <si>
    <t>A 0003-00015666</t>
  </si>
  <si>
    <t>BRUKH SA</t>
  </si>
  <si>
    <t>30-71517954-3</t>
  </si>
  <si>
    <t>A 0003-00015667</t>
  </si>
  <si>
    <t>A 0003-00015668</t>
  </si>
  <si>
    <t>A 0003-00015669</t>
  </si>
  <si>
    <t>A 0003-00015670</t>
  </si>
  <si>
    <t>A 0003-00015671</t>
  </si>
  <si>
    <t>A 0003-00015672</t>
  </si>
  <si>
    <t>A 0003-00015673</t>
  </si>
  <si>
    <t>A 0003-00015674</t>
  </si>
  <si>
    <t>A 0003-00015675</t>
  </si>
  <si>
    <t>A 0003-00015676</t>
  </si>
  <si>
    <t>A 0003-00015677</t>
  </si>
  <si>
    <t>GRUPOBELL SRL</t>
  </si>
  <si>
    <t>30-70987291-1</t>
  </si>
  <si>
    <t>A 0003-00015678</t>
  </si>
  <si>
    <t>A 0003-00015679</t>
  </si>
  <si>
    <t>A 0003-00015680</t>
  </si>
  <si>
    <t>A 0003-00015681</t>
  </si>
  <si>
    <t>A 0003-00015682</t>
  </si>
  <si>
    <t>A 0003-00015683</t>
  </si>
  <si>
    <t>A 0004-00000008</t>
  </si>
  <si>
    <t>A 0003-00015684</t>
  </si>
  <si>
    <t>A 0003-00015685</t>
  </si>
  <si>
    <t>A 0003-00015686</t>
  </si>
  <si>
    <t>A 0003-00015687</t>
  </si>
  <si>
    <t>A 0003-00015688</t>
  </si>
  <si>
    <t>A 0003-00015689</t>
  </si>
  <si>
    <t>A 0003-00015690</t>
  </si>
  <si>
    <t>A 0003-00015691</t>
  </si>
  <si>
    <t>A 0003-00015692</t>
  </si>
  <si>
    <t>A 0003-00015693</t>
  </si>
  <si>
    <t>A 0003-00015694</t>
  </si>
  <si>
    <t>A 0003-00015695</t>
  </si>
  <si>
    <t>A 0003-00015696</t>
  </si>
  <si>
    <t>A 0003-00015697</t>
  </si>
  <si>
    <t>A 0003-00015698</t>
  </si>
  <si>
    <t>A 0003-00015699</t>
  </si>
  <si>
    <t>A 0003-00015700</t>
  </si>
  <si>
    <t>A 0003-00015701</t>
  </si>
  <si>
    <t>A 0003-00015702</t>
  </si>
  <si>
    <t>A 0003-00015703</t>
  </si>
  <si>
    <t>A 0003-00015704</t>
  </si>
  <si>
    <t>A 0003-00015705</t>
  </si>
  <si>
    <t>A 0003-00015706</t>
  </si>
  <si>
    <t>A 0003-00015707</t>
  </si>
  <si>
    <t>A 0003-00015708</t>
  </si>
  <si>
    <t>A 0003-00015709</t>
  </si>
  <si>
    <t>TEXTIL FEDERAL SA</t>
  </si>
  <si>
    <t>30-70794624-1</t>
  </si>
  <si>
    <t>A 0003-00015710</t>
  </si>
  <si>
    <t>GRUPO DAD S.A.</t>
  </si>
  <si>
    <t>30-71418281-8</t>
  </si>
  <si>
    <t>A 0003-00015711</t>
  </si>
  <si>
    <t>DECORMESA SA</t>
  </si>
  <si>
    <t>30-70813864-5</t>
  </si>
  <si>
    <t>A 0003-00015712</t>
  </si>
  <si>
    <t>A 0003-00015713</t>
  </si>
  <si>
    <t>A 0003-00015714</t>
  </si>
  <si>
    <t>A 0003-00015715</t>
  </si>
  <si>
    <t>A 0003-00015716</t>
  </si>
  <si>
    <t>A 0003-00015717</t>
  </si>
  <si>
    <t>A 0003-00015718</t>
  </si>
  <si>
    <t>A 0003-00015719</t>
  </si>
  <si>
    <t>A 0003-00015720</t>
  </si>
  <si>
    <t>A 0003-00015721</t>
  </si>
  <si>
    <t>A 0003-00015722</t>
  </si>
  <si>
    <t>A 0003-00015723</t>
  </si>
  <si>
    <t>A 0003-00015724</t>
  </si>
  <si>
    <t>A 0003-00015725</t>
  </si>
  <si>
    <t>MIL MIRADAS SA</t>
  </si>
  <si>
    <t>30-71522049-7</t>
  </si>
  <si>
    <t>A 0003-00015726</t>
  </si>
  <si>
    <t>A 0003-00015727</t>
  </si>
  <si>
    <t>A 0003-00015728</t>
  </si>
  <si>
    <t>A 0003-00015729</t>
  </si>
  <si>
    <t>A 0003-00015730</t>
  </si>
  <si>
    <t>A 0003-00015731</t>
  </si>
  <si>
    <t>A 0003-00015732</t>
  </si>
  <si>
    <t>A 0003-00015733</t>
  </si>
  <si>
    <t>A 0003-00015734</t>
  </si>
  <si>
    <t>JOKER S.A.I.C.</t>
  </si>
  <si>
    <t>30-54922156-0</t>
  </si>
  <si>
    <t>A 0003-00015735</t>
  </si>
  <si>
    <t>A 0003-00015736</t>
  </si>
  <si>
    <t>ROLANDO RIVAS S.R.L.</t>
  </si>
  <si>
    <t>30-69159169-3</t>
  </si>
  <si>
    <t>A 0003-00015737</t>
  </si>
  <si>
    <t>A 0003-00015738</t>
  </si>
  <si>
    <t>JUEBIL SRL</t>
  </si>
  <si>
    <t>30-58000717-8</t>
  </si>
  <si>
    <t>A 0003-00015739</t>
  </si>
  <si>
    <t>A 0003-00015740</t>
  </si>
  <si>
    <t>A 0003-00015741</t>
  </si>
  <si>
    <t>A 0003-00015742</t>
  </si>
  <si>
    <t>A 0003-00015743</t>
  </si>
  <si>
    <t>A 0003-00015744</t>
  </si>
  <si>
    <t>A 0003-00015745</t>
  </si>
  <si>
    <t>A 0003-00015746</t>
  </si>
  <si>
    <t>A 0003-00015747</t>
  </si>
  <si>
    <t>A 0003-00015748</t>
  </si>
  <si>
    <t>A 0003-00015749</t>
  </si>
  <si>
    <t>A 0003-00015750</t>
  </si>
  <si>
    <t>LARTEXTIL SRL</t>
  </si>
  <si>
    <t>30-70852682-3</t>
  </si>
  <si>
    <t>A 0003-00015751</t>
  </si>
  <si>
    <t>A 0003-00015752</t>
  </si>
  <si>
    <t>A 0003-00015753</t>
  </si>
  <si>
    <t>A 0003-00015754</t>
  </si>
  <si>
    <t>A 0003-00015755</t>
  </si>
  <si>
    <t>A 0003-00015756</t>
  </si>
  <si>
    <t>A 0003-00015757</t>
  </si>
  <si>
    <t>A 0003-00015758</t>
  </si>
  <si>
    <t>HTG INSUMOS SRL</t>
  </si>
  <si>
    <t>30-71632043-6</t>
  </si>
  <si>
    <t>A 0003-00015759</t>
  </si>
  <si>
    <t>A 0003-00015760</t>
  </si>
  <si>
    <t>A 0003-00015761</t>
  </si>
  <si>
    <t>A 0003-00015762</t>
  </si>
  <si>
    <t>A 0003-00015763</t>
  </si>
  <si>
    <t>A 0003-00015764</t>
  </si>
  <si>
    <t>A 0003-00015765</t>
  </si>
  <si>
    <t>A 0003-00015766</t>
  </si>
  <si>
    <t>A 0003-00015767</t>
  </si>
  <si>
    <t>A 0003-00015768</t>
  </si>
  <si>
    <t>A 0003-00015769</t>
  </si>
  <si>
    <t>A 0003-00015770</t>
  </si>
  <si>
    <t>A 0003-00015771</t>
  </si>
  <si>
    <t>A 0003-00015772</t>
  </si>
  <si>
    <t>A 0003-00015773</t>
  </si>
  <si>
    <t>A 0003-00015774</t>
  </si>
  <si>
    <t>A 0003-00015775</t>
  </si>
  <si>
    <t>A 0003-00015776</t>
  </si>
  <si>
    <t>A 0003-00015777</t>
  </si>
  <si>
    <t>A 0003-00015778</t>
  </si>
  <si>
    <t>A 0003-00015779</t>
  </si>
  <si>
    <t>A 0003-00015780</t>
  </si>
  <si>
    <t>A 0003-00015781</t>
  </si>
  <si>
    <t>A 0003-00015782</t>
  </si>
  <si>
    <t xml:space="preserve">PAZZI VICTOR HERNAN </t>
  </si>
  <si>
    <t>20-28783264-9</t>
  </si>
  <si>
    <t>A 0003-00015783</t>
  </si>
  <si>
    <t>A 0003-00015784</t>
  </si>
  <si>
    <t>A 0003-00015785</t>
  </si>
  <si>
    <t>A 0003-00015786</t>
  </si>
  <si>
    <t>A 0003-00015787</t>
  </si>
  <si>
    <t>A 0003-00015788</t>
  </si>
  <si>
    <t>A 0003-00015789</t>
  </si>
  <si>
    <t xml:space="preserve">CESSION SA </t>
  </si>
  <si>
    <t>30-70878566-7</t>
  </si>
  <si>
    <t>A 0003-00015790</t>
  </si>
  <si>
    <t>A 0003-00015791</t>
  </si>
  <si>
    <t>A 0003-00015792</t>
  </si>
  <si>
    <t>A 0003-00015793</t>
  </si>
  <si>
    <t>A 0003-00015794</t>
  </si>
  <si>
    <t>A 0003-00015795</t>
  </si>
  <si>
    <t>A 0003-00015796</t>
  </si>
  <si>
    <t>A 0003-00015797</t>
  </si>
  <si>
    <t>A 0003-00015798</t>
  </si>
  <si>
    <t>MONTAGNE OUTDOORS SA</t>
  </si>
  <si>
    <t>30-52298222-5</t>
  </si>
  <si>
    <t>A 0003-00015799</t>
  </si>
  <si>
    <t>A 0003-00015800</t>
  </si>
  <si>
    <t>A 0003-00015801</t>
  </si>
  <si>
    <t>A 0003-00015802</t>
  </si>
  <si>
    <t>A 0003-00015803</t>
  </si>
  <si>
    <t>A 0003-00015804</t>
  </si>
  <si>
    <t>AMBROSIO VERONICA SOLEDAD</t>
  </si>
  <si>
    <t>24-25788177-2</t>
  </si>
  <si>
    <t>A 0003-00015805</t>
  </si>
  <si>
    <t>A 0003-00015806</t>
  </si>
  <si>
    <t>BIG LOGISTIC SRL</t>
  </si>
  <si>
    <t>30-71095187-6</t>
  </si>
  <si>
    <t>A 0003-00015807</t>
  </si>
  <si>
    <t>A 0003-00015808</t>
  </si>
  <si>
    <t>A 0003-00015809</t>
  </si>
  <si>
    <t>A 0003-00015810</t>
  </si>
  <si>
    <t>A 0003-00015811</t>
  </si>
  <si>
    <t>A 0003-00015812</t>
  </si>
  <si>
    <t>A 0003-00015813</t>
  </si>
  <si>
    <t>A 0003-00015814</t>
  </si>
  <si>
    <t>A 0003-00015815</t>
  </si>
  <si>
    <t>A 0003-00015816</t>
  </si>
  <si>
    <t>A 0003-00015817</t>
  </si>
  <si>
    <t>A 0003-00015818</t>
  </si>
  <si>
    <t>A 0003-00015819</t>
  </si>
  <si>
    <t>BABY PRODUCTS S.A.</t>
  </si>
  <si>
    <t>30-70866132-1</t>
  </si>
  <si>
    <t>A 0003-00015820</t>
  </si>
  <si>
    <t>A 0003-00015821</t>
  </si>
  <si>
    <t>A 0003-00015822</t>
  </si>
  <si>
    <t>A 0003-00015823</t>
  </si>
  <si>
    <t>A 0003-00015824</t>
  </si>
  <si>
    <t>A 0003-00015825</t>
  </si>
  <si>
    <t>A 0003-00015826</t>
  </si>
  <si>
    <t>A 0003-00015827</t>
  </si>
  <si>
    <t>MIL CAMINOS MOTORS SA</t>
  </si>
  <si>
    <t>30-71511993-1</t>
  </si>
  <si>
    <t>A 0003-00015828</t>
  </si>
  <si>
    <t>POLITOTAL SRL</t>
  </si>
  <si>
    <t>30-71242420-2</t>
  </si>
  <si>
    <t>A 0003-00015829</t>
  </si>
  <si>
    <t>A 0003-00015830</t>
  </si>
  <si>
    <t>A 0003-00015831</t>
  </si>
  <si>
    <t>A 0003-00015832</t>
  </si>
  <si>
    <t>A 0003-00015833</t>
  </si>
  <si>
    <t>A 0003-00015834</t>
  </si>
  <si>
    <t>A 0003-00015835</t>
  </si>
  <si>
    <t>A 0003-00015836</t>
  </si>
  <si>
    <t>A 0003-00015837</t>
  </si>
  <si>
    <t>A 0003-00015838</t>
  </si>
  <si>
    <t>A 0003-00015839</t>
  </si>
  <si>
    <t>A 0003-00015840</t>
  </si>
  <si>
    <t>A 0003-00015841</t>
  </si>
  <si>
    <t>A 0003-00015842</t>
  </si>
  <si>
    <t>A 0003-00015843</t>
  </si>
  <si>
    <t>A 0003-00015844</t>
  </si>
  <si>
    <t>A 0003-00015845</t>
  </si>
  <si>
    <t>A 0003-00015846</t>
  </si>
  <si>
    <t>A 0003-00015847</t>
  </si>
  <si>
    <t>A 0003-00015848</t>
  </si>
  <si>
    <t>A 0003-00015849</t>
  </si>
  <si>
    <t>A 0003-00015850</t>
  </si>
  <si>
    <t>A 0003-00015851</t>
  </si>
  <si>
    <t>A 0003-00015852</t>
  </si>
  <si>
    <t>A 0003-00015853</t>
  </si>
  <si>
    <t>A 0003-00015854</t>
  </si>
  <si>
    <t>A 0003-00015855</t>
  </si>
  <si>
    <t>A 0003-00015856</t>
  </si>
  <si>
    <t>A 0003-00015857</t>
  </si>
  <si>
    <t>A 0003-00015858</t>
  </si>
  <si>
    <t>A 0003-00015859</t>
  </si>
  <si>
    <t>A 0003-00015860</t>
  </si>
  <si>
    <t>A 0003-00015861</t>
  </si>
  <si>
    <t>A 0003-00015862</t>
  </si>
  <si>
    <t>A 0003-00015863</t>
  </si>
  <si>
    <t>A 0003-00015864</t>
  </si>
  <si>
    <t>A 0003-00015865</t>
  </si>
  <si>
    <t>MAVI TEXTIL SA</t>
  </si>
  <si>
    <t>30-69347685-9</t>
  </si>
  <si>
    <t>A 0003-00015866</t>
  </si>
  <si>
    <t>KISHO S.A.</t>
  </si>
  <si>
    <t>30-71610107-6</t>
  </si>
  <si>
    <t>A 0003-00015867</t>
  </si>
  <si>
    <t>A 0003-00015868</t>
  </si>
  <si>
    <t>A 0003-00015869</t>
  </si>
  <si>
    <t>A 0003-00015870</t>
  </si>
  <si>
    <t>A 0003-00015871</t>
  </si>
  <si>
    <t>A 0003-00015872</t>
  </si>
  <si>
    <t>A 0003-00015873</t>
  </si>
  <si>
    <t>A 0003-00015874</t>
  </si>
  <si>
    <t>A 0003-00015875</t>
  </si>
  <si>
    <t>A 0003-00015876</t>
  </si>
  <si>
    <t>A 0003-00015877</t>
  </si>
  <si>
    <t>A 0003-00015878</t>
  </si>
  <si>
    <t>A 0003-00015879</t>
  </si>
  <si>
    <t>A 0003-00015880</t>
  </si>
  <si>
    <t>A 0003-00015881</t>
  </si>
  <si>
    <t>A 0003-00015882</t>
  </si>
  <si>
    <t>A 0003-00015883</t>
  </si>
  <si>
    <t>A 0003-00015884</t>
  </si>
  <si>
    <t>A 0003-00015885</t>
  </si>
  <si>
    <t>A 0003-00015886</t>
  </si>
  <si>
    <t>WAYNA S.A.</t>
  </si>
  <si>
    <t>30-70871697-5</t>
  </si>
  <si>
    <t>A 0003-00015887</t>
  </si>
  <si>
    <t>A 0003-00015888</t>
  </si>
  <si>
    <t>A 0003-00015889</t>
  </si>
  <si>
    <t>A 0003-00015890</t>
  </si>
  <si>
    <t>A 0003-00015891</t>
  </si>
  <si>
    <t>A 0003-00015892</t>
  </si>
  <si>
    <t>A 0003-00015893</t>
  </si>
  <si>
    <t>A 0003-00015894</t>
  </si>
  <si>
    <t>M.E. INTERNATIONAL</t>
  </si>
  <si>
    <t>30-70709434-2</t>
  </si>
  <si>
    <t>A 0003-00015895</t>
  </si>
  <si>
    <t>A 0003-00015896</t>
  </si>
  <si>
    <t>A 0003-00015897</t>
  </si>
  <si>
    <t>A 0003-00015898</t>
  </si>
  <si>
    <t>A 0003-00015899</t>
  </si>
  <si>
    <t>A 0003-00015900</t>
  </si>
  <si>
    <t>A 0003-00015901</t>
  </si>
  <si>
    <t>A 0003-00015902</t>
  </si>
  <si>
    <t>A 0003-00015903</t>
  </si>
  <si>
    <t>A 0003-00015904</t>
  </si>
  <si>
    <t>A 0003-00015905</t>
  </si>
  <si>
    <t>A 0003-00015906</t>
  </si>
  <si>
    <t>A 0003-00015907</t>
  </si>
  <si>
    <t>A 0003-00015908</t>
  </si>
  <si>
    <t>A 0003-00015909</t>
  </si>
  <si>
    <t>A 0003-00015910</t>
  </si>
  <si>
    <t>A 0003-00015911</t>
  </si>
  <si>
    <t>A 0003-00015912</t>
  </si>
  <si>
    <t>A 0003-00015913</t>
  </si>
  <si>
    <t>A 0003-00015914</t>
  </si>
  <si>
    <t>A 0003-00015915</t>
  </si>
  <si>
    <t>A 0003-00015916</t>
  </si>
  <si>
    <t>A 0003-00015917</t>
  </si>
  <si>
    <t>A 0003-00015918</t>
  </si>
  <si>
    <t>A 0003-00015919</t>
  </si>
  <si>
    <t>A 0003-00015920</t>
  </si>
  <si>
    <t>A 0003-00015921</t>
  </si>
  <si>
    <t>A 0003-00015922</t>
  </si>
  <si>
    <t>A 0003-00015923</t>
  </si>
  <si>
    <t>A 0003-00015924</t>
  </si>
  <si>
    <t>A 0003-00015925</t>
  </si>
  <si>
    <t>A 0003-00015926</t>
  </si>
  <si>
    <t>A 0003-00015927</t>
  </si>
  <si>
    <t>A 0003-00015928</t>
  </si>
  <si>
    <t>A 0003-00015929</t>
  </si>
  <si>
    <t>A 0003-00015930</t>
  </si>
  <si>
    <t>A 0003-00015931</t>
  </si>
  <si>
    <t>A 0003-00015932</t>
  </si>
  <si>
    <t>A 0003-00015933</t>
  </si>
  <si>
    <t>A 0003-00015934</t>
  </si>
  <si>
    <t>A 0003-00015935</t>
  </si>
  <si>
    <t>A 0003-00015936</t>
  </si>
  <si>
    <t>A 0003-00015937</t>
  </si>
  <si>
    <t>A 0003-00015938</t>
  </si>
  <si>
    <t>A 0003-00015939</t>
  </si>
  <si>
    <t>A 0003-00015940</t>
  </si>
  <si>
    <t>A 0003-00015941</t>
  </si>
  <si>
    <t>A 0003-00015942</t>
  </si>
  <si>
    <t>A 0003-00015943</t>
  </si>
  <si>
    <t>A 0003-00015944</t>
  </si>
  <si>
    <t>A 0003-00015945</t>
  </si>
  <si>
    <t>A 0003-00015946</t>
  </si>
  <si>
    <t>A 0003-00015947</t>
  </si>
  <si>
    <t>A 0003-00015948</t>
  </si>
  <si>
    <t>A 0003-00015949</t>
  </si>
  <si>
    <t>A 0003-00015950</t>
  </si>
  <si>
    <t>A 0003-00015951</t>
  </si>
  <si>
    <t>A 0003-00015952</t>
  </si>
  <si>
    <t>B Y O DEL SUR SRL</t>
  </si>
  <si>
    <t>33-71696385-9</t>
  </si>
  <si>
    <t>A 0003-00015953</t>
  </si>
  <si>
    <t>A 0003-00015954</t>
  </si>
  <si>
    <t>A 0003-00015955</t>
  </si>
  <si>
    <t>A 0003-00015956</t>
  </si>
  <si>
    <t>A 0003-00015957</t>
  </si>
  <si>
    <t>A 0003-00015958</t>
  </si>
  <si>
    <t>A 0003-00015959</t>
  </si>
  <si>
    <t>A 0003-00015960</t>
  </si>
  <si>
    <t>A 0003-00015961</t>
  </si>
  <si>
    <t>A 0003-00015962</t>
  </si>
  <si>
    <t>A 0003-00015963</t>
  </si>
  <si>
    <t>A 0003-00015964</t>
  </si>
  <si>
    <t>A 0003-00015965</t>
  </si>
  <si>
    <t>A 0003-00015966</t>
  </si>
  <si>
    <t>A 0003-00015967</t>
  </si>
  <si>
    <t>A 0003-00015968</t>
  </si>
  <si>
    <t>A 0003-00015969</t>
  </si>
  <si>
    <t>MACRO BABY</t>
  </si>
  <si>
    <t>30-71314640-0</t>
  </si>
  <si>
    <t>A 0003-00015970</t>
  </si>
  <si>
    <t>A 0003-00015971</t>
  </si>
  <si>
    <t>A 0003-00015972</t>
  </si>
  <si>
    <t>A 0003-00015973</t>
  </si>
  <si>
    <t>A 0003-00015974</t>
  </si>
  <si>
    <t>A 0003-00015975</t>
  </si>
  <si>
    <t>A 0003-00015976</t>
  </si>
  <si>
    <t>A 0003-00015977</t>
  </si>
  <si>
    <t>A 0003-00015978</t>
  </si>
  <si>
    <t>A 0003-00015979</t>
  </si>
  <si>
    <t>A 0003-00015980</t>
  </si>
  <si>
    <t>A 0003-00015981</t>
  </si>
  <si>
    <t>A 0003-00015982</t>
  </si>
  <si>
    <t>A 0003-00015983</t>
  </si>
  <si>
    <t>A 0003-00015984</t>
  </si>
  <si>
    <t>A 0003-00015985</t>
  </si>
  <si>
    <t>A 0003-00015986</t>
  </si>
  <si>
    <t>A 0003-00015987</t>
  </si>
  <si>
    <t>PITECON S.A.</t>
  </si>
  <si>
    <t>30-70929176-5</t>
  </si>
  <si>
    <t>A 0003-00015988</t>
  </si>
  <si>
    <t>FIBRA DEL SUR</t>
  </si>
  <si>
    <t>30-70767482-9</t>
  </si>
  <si>
    <t>A 0003-00015989</t>
  </si>
  <si>
    <t>A 0003-00015990</t>
  </si>
  <si>
    <t>A 0003-00015991</t>
  </si>
  <si>
    <t>A 0003-00015992</t>
  </si>
  <si>
    <t>A 0003-00015993</t>
  </si>
  <si>
    <t>A 0003-00015994</t>
  </si>
  <si>
    <t>A 0003-00015995</t>
  </si>
  <si>
    <t>A 0003-00015996</t>
  </si>
  <si>
    <t>A 0003-00015997</t>
  </si>
  <si>
    <t>A 0003-00015998</t>
  </si>
  <si>
    <t>A 0003-00015999</t>
  </si>
  <si>
    <t>A 0003-00016000</t>
  </si>
  <si>
    <t>A 0003-00016001</t>
  </si>
  <si>
    <t>A 0003-00016002</t>
  </si>
  <si>
    <t>A 0003-00016003</t>
  </si>
  <si>
    <t>A 0003-00016004</t>
  </si>
  <si>
    <t>A 0003-00016005</t>
  </si>
  <si>
    <t>A 0003-00016006</t>
  </si>
  <si>
    <t>A 0003-00016007</t>
  </si>
  <si>
    <t>A 0003-00016008</t>
  </si>
  <si>
    <t>A 0003-00016009</t>
  </si>
  <si>
    <t>A 0003-00016010</t>
  </si>
  <si>
    <t>A 0003-00016011</t>
  </si>
  <si>
    <t>A 0003-00016012</t>
  </si>
  <si>
    <t>A 0003-00016013</t>
  </si>
  <si>
    <t>A 0003-00016014</t>
  </si>
  <si>
    <t>A 0003-00016015</t>
  </si>
  <si>
    <t>A 0003-00016016</t>
  </si>
  <si>
    <t>A 0003-00016017</t>
  </si>
  <si>
    <t>A 0003-00016018</t>
  </si>
  <si>
    <t>A 0003-00016019</t>
  </si>
  <si>
    <t>A 0003-00016020</t>
  </si>
  <si>
    <t>A 0003-00016021</t>
  </si>
  <si>
    <t>A 0003-00016022</t>
  </si>
  <si>
    <t>A 0003-00016023</t>
  </si>
  <si>
    <t>A 0003-00016024</t>
  </si>
  <si>
    <t>A 0003-00016025</t>
  </si>
  <si>
    <t>A 0003-00016026</t>
  </si>
  <si>
    <t>A 0003-00016027</t>
  </si>
  <si>
    <t>METAL BUCKLES SRL</t>
  </si>
  <si>
    <t>30-71696728-6</t>
  </si>
  <si>
    <t>A 0003-00016028</t>
  </si>
  <si>
    <t>OUTMALL S.A.</t>
  </si>
  <si>
    <t>30-71643644-2</t>
  </si>
  <si>
    <t>A 0003-00016029</t>
  </si>
  <si>
    <t>A 0003-00016030</t>
  </si>
  <si>
    <t>A 0003-00016031</t>
  </si>
  <si>
    <t>A 0003-00016032</t>
  </si>
  <si>
    <t>A 0003-00016033</t>
  </si>
  <si>
    <t>A 0003-00016034</t>
  </si>
  <si>
    <t>A 0003-00016035</t>
  </si>
  <si>
    <t>A 0003-00016036</t>
  </si>
  <si>
    <t>A 0003-00016037</t>
  </si>
  <si>
    <t>A 0003-00016038</t>
  </si>
  <si>
    <t>A 0003-00016039</t>
  </si>
  <si>
    <t>A 0003-00016040</t>
  </si>
  <si>
    <t>A 0003-00016041</t>
  </si>
  <si>
    <t>A 0003-00016042</t>
  </si>
  <si>
    <t>A 0003-00016043</t>
  </si>
  <si>
    <t>A 0003-00016044</t>
  </si>
  <si>
    <t>A 0003-00016045</t>
  </si>
  <si>
    <t>A 0003-00016046</t>
  </si>
  <si>
    <t>A 0003-00016047</t>
  </si>
  <si>
    <t>TOKEMA TOYS</t>
  </si>
  <si>
    <t>30-71191556-3</t>
  </si>
  <si>
    <t>A 0003-00016048</t>
  </si>
  <si>
    <t>A 0003-00016049</t>
  </si>
  <si>
    <t>A 0003-00016050</t>
  </si>
  <si>
    <t>A 0003-00016051</t>
  </si>
  <si>
    <t>A 0003-00016052</t>
  </si>
  <si>
    <t>A 0003-00016053</t>
  </si>
  <si>
    <t>A 0003-00016054</t>
  </si>
  <si>
    <t>A 0003-00016055</t>
  </si>
  <si>
    <t>A 0003-00016056</t>
  </si>
  <si>
    <t>A 0003-00016057</t>
  </si>
  <si>
    <t>A 0003-00016058</t>
  </si>
  <si>
    <t>A 0003-00016059</t>
  </si>
  <si>
    <t>A 0003-00016060</t>
  </si>
  <si>
    <t>A 0003-00016061</t>
  </si>
  <si>
    <t>A 0003-00016062</t>
  </si>
  <si>
    <t>A 0003-00016063</t>
  </si>
  <si>
    <t>A 0003-00016064</t>
  </si>
  <si>
    <t>A 0003-00016065</t>
  </si>
  <si>
    <t>A 0003-00016066</t>
  </si>
  <si>
    <t>A 0003-00016067</t>
  </si>
  <si>
    <t>A 0003-00016068</t>
  </si>
  <si>
    <t>A 0003-00016069</t>
  </si>
  <si>
    <t>A 0003-00016070</t>
  </si>
  <si>
    <t>A 0003-00016071</t>
  </si>
  <si>
    <t>A 0003-00016072</t>
  </si>
  <si>
    <t>A 0003-00016073</t>
  </si>
  <si>
    <t>A 0003-00016074</t>
  </si>
  <si>
    <t>A 0003-00016075</t>
  </si>
  <si>
    <t>A 0003-00016076</t>
  </si>
  <si>
    <t>A 0003-00016077</t>
  </si>
  <si>
    <t>A 0003-00016078</t>
  </si>
  <si>
    <t>A 0003-00016079</t>
  </si>
  <si>
    <t>A 0003-00016080</t>
  </si>
  <si>
    <t>A 0003-00016081</t>
  </si>
  <si>
    <t>GOZAL SA</t>
  </si>
  <si>
    <t>30-71531240-5</t>
  </si>
  <si>
    <t>A 0003-00016082</t>
  </si>
  <si>
    <t>A 0003-00016083</t>
  </si>
  <si>
    <t>A 0003-00016084</t>
  </si>
  <si>
    <t>A 0003-00016085</t>
  </si>
  <si>
    <t>A 0003-00016086</t>
  </si>
  <si>
    <t>A 0003-00016087</t>
  </si>
  <si>
    <t>A 0003-00016088</t>
  </si>
  <si>
    <t>A 0003-00016089</t>
  </si>
  <si>
    <t>A 0003-00016090</t>
  </si>
  <si>
    <t>A 0003-00016091</t>
  </si>
  <si>
    <t>A 0003-00016092</t>
  </si>
  <si>
    <t>A 0003-00016093</t>
  </si>
  <si>
    <t>A 0003-00016094</t>
  </si>
  <si>
    <t>A 0003-00016095</t>
  </si>
  <si>
    <t>A 0003-00016096</t>
  </si>
  <si>
    <t>A 0003-00016097</t>
  </si>
  <si>
    <t>A 0003-00016098</t>
  </si>
  <si>
    <t>A 0003-00016099</t>
  </si>
  <si>
    <t>A 0003-00016100</t>
  </si>
  <si>
    <t>A 0003-00016101</t>
  </si>
  <si>
    <t>A 0003-00016102</t>
  </si>
  <si>
    <t>A 0003-00016103</t>
  </si>
  <si>
    <t>WHOLE LIFE S.A.S.</t>
  </si>
  <si>
    <t>30-71617757-9</t>
  </si>
  <si>
    <t>A 0003-00016104</t>
  </si>
  <si>
    <t>A 0003-00016105</t>
  </si>
  <si>
    <t>A 0003-00016106</t>
  </si>
  <si>
    <t>A 0003-00016107</t>
  </si>
  <si>
    <t>A 0003-00016108</t>
  </si>
  <si>
    <t>A 0003-00016109</t>
  </si>
  <si>
    <t>A 0003-00016110</t>
  </si>
  <si>
    <t>A 0003-00016111</t>
  </si>
  <si>
    <t>A 0003-00016112</t>
  </si>
  <si>
    <t>A 0003-00016113</t>
  </si>
  <si>
    <t>A 0003-00016114</t>
  </si>
  <si>
    <t>A 0003-00016115</t>
  </si>
  <si>
    <t>A 0003-00016116</t>
  </si>
  <si>
    <t>A 0003-00016117</t>
  </si>
  <si>
    <t>KRONOX S.R.L.</t>
  </si>
  <si>
    <t>30-71249389-1</t>
  </si>
  <si>
    <t>A 0003-00016118</t>
  </si>
  <si>
    <t>A 0003-00016119</t>
  </si>
  <si>
    <t>IMPORTADORA PRIORI S.A.</t>
  </si>
  <si>
    <t>30-70842271-8</t>
  </si>
  <si>
    <t>A 0003-00016120</t>
  </si>
  <si>
    <t>A 0003-00016121</t>
  </si>
  <si>
    <t>A 0003-00016122</t>
  </si>
  <si>
    <t>A 0003-00016123</t>
  </si>
  <si>
    <t>A 0003-00016124</t>
  </si>
  <si>
    <t>A 0003-00016125</t>
  </si>
  <si>
    <t>A 0003-00016126</t>
  </si>
  <si>
    <t>A 0003-00016127</t>
  </si>
  <si>
    <t>A 0003-00016128</t>
  </si>
  <si>
    <t>A 0003-00016129</t>
  </si>
  <si>
    <t>A 0003-00016130</t>
  </si>
  <si>
    <t>A 0003-00016131</t>
  </si>
  <si>
    <t>A 0003-00016132</t>
  </si>
  <si>
    <t>LIBERTAD AMOBLAMIENTOS SA</t>
  </si>
  <si>
    <t>33-71017733-9</t>
  </si>
  <si>
    <t>A 0003-00016133</t>
  </si>
  <si>
    <t>A 0003-00016134</t>
  </si>
  <si>
    <t>A 0003-00016135</t>
  </si>
  <si>
    <t>A 0003-00016136</t>
  </si>
  <si>
    <t>A 0003-00016137</t>
  </si>
  <si>
    <t>A 0003-00016138</t>
  </si>
  <si>
    <t>A 0003-00016139</t>
  </si>
  <si>
    <t>A 0003-00016140</t>
  </si>
  <si>
    <t>A 0003-00016141</t>
  </si>
  <si>
    <t>A 0003-00016142</t>
  </si>
  <si>
    <t>A 0003-00016143</t>
  </si>
  <si>
    <t>A 0003-00016144</t>
  </si>
  <si>
    <t>A 0003-00016145</t>
  </si>
  <si>
    <t>A 0003-00016146</t>
  </si>
  <si>
    <t>A 0003-00016147</t>
  </si>
  <si>
    <t>A 0003-00016148</t>
  </si>
  <si>
    <t>A 0003-00016149</t>
  </si>
  <si>
    <t>A 0003-00016150</t>
  </si>
  <si>
    <t>A 0003-00016151</t>
  </si>
  <si>
    <t>A 0003-00016152</t>
  </si>
  <si>
    <t>A 0003-00016153</t>
  </si>
  <si>
    <t>A 0003-00016154</t>
  </si>
  <si>
    <t>A 0003-00016155</t>
  </si>
  <si>
    <t>A 0003-00016156</t>
  </si>
  <si>
    <t>CONFITEL S.A.</t>
  </si>
  <si>
    <t>30-71537232-7</t>
  </si>
  <si>
    <t>A 0003-00016157</t>
  </si>
  <si>
    <t>A 0003-00016158</t>
  </si>
  <si>
    <t>A 0003-00016159</t>
  </si>
  <si>
    <t>A 0004-00000009</t>
  </si>
  <si>
    <t>A 0003-00000100</t>
  </si>
  <si>
    <t>A 0003-00000101</t>
  </si>
  <si>
    <t>A 0003-00016160</t>
  </si>
  <si>
    <t>A 0003-00016161</t>
  </si>
  <si>
    <t>A 0003-00016162</t>
  </si>
  <si>
    <t>A 0003-00016163</t>
  </si>
  <si>
    <t>A 0003-00016164</t>
  </si>
  <si>
    <t>A 0003-00016165</t>
  </si>
  <si>
    <t>A 0003-00016166</t>
  </si>
  <si>
    <t>A 0003-00016167</t>
  </si>
  <si>
    <t>A 0003-00016168</t>
  </si>
  <si>
    <t>A 0003-00016169</t>
  </si>
  <si>
    <t>LABORATORIOS DICOFAR S.R.L.</t>
  </si>
  <si>
    <t>30-66378509-1</t>
  </si>
  <si>
    <t>A 0003-00016170</t>
  </si>
  <si>
    <t>A 0003-00016171</t>
  </si>
  <si>
    <t>A 0003-00016172</t>
  </si>
  <si>
    <t>A 0003-00016173</t>
  </si>
  <si>
    <t>A 0003-00016174</t>
  </si>
  <si>
    <t>A 0003-00016175</t>
  </si>
  <si>
    <t>A 0003-00016176</t>
  </si>
  <si>
    <t>A 0003-00016177</t>
  </si>
  <si>
    <t>A 0003-00016178</t>
  </si>
  <si>
    <t>A 0003-00016179</t>
  </si>
  <si>
    <t>A 0003-00016180</t>
  </si>
  <si>
    <t>A 0003-00016181</t>
  </si>
  <si>
    <t>A 0003-00016182</t>
  </si>
  <si>
    <t>A 0003-00016183</t>
  </si>
  <si>
    <t>A 0003-00016184</t>
  </si>
  <si>
    <t>A 0003-00016185</t>
  </si>
  <si>
    <t>A 0003-00016186</t>
  </si>
  <si>
    <t>A 0003-00016187</t>
  </si>
  <si>
    <t>A 0003-00016188</t>
  </si>
  <si>
    <t>A 0003-00016189</t>
  </si>
  <si>
    <t>A 0003-00016190</t>
  </si>
  <si>
    <t>A 0003-00016191</t>
  </si>
  <si>
    <t>A 0003-00016192</t>
  </si>
  <si>
    <t>A 0003-00016193</t>
  </si>
  <si>
    <t>A 0003-00016194</t>
  </si>
  <si>
    <t>A 0003-00016195</t>
  </si>
  <si>
    <t>A 0003-00016196</t>
  </si>
  <si>
    <t>A 0003-00016197</t>
  </si>
  <si>
    <t>A 0003-00016198</t>
  </si>
  <si>
    <t>A 0003-00016199</t>
  </si>
  <si>
    <t>A 0003-00016200</t>
  </si>
  <si>
    <t>A 0003-00016201</t>
  </si>
  <si>
    <t>A 0003-00016202</t>
  </si>
  <si>
    <t>A 0003-00016203</t>
  </si>
  <si>
    <t>A 0003-00016204</t>
  </si>
  <si>
    <t>A 0003-00016205</t>
  </si>
  <si>
    <t>A 0003-00016206</t>
  </si>
  <si>
    <t>A 0003-00016207</t>
  </si>
  <si>
    <t>A 0003-00016208</t>
  </si>
  <si>
    <t>A 0003-00016209</t>
  </si>
  <si>
    <t>A 0003-00016210</t>
  </si>
  <si>
    <t>A 0003-00016211</t>
  </si>
  <si>
    <t>A 0003-00016212</t>
  </si>
  <si>
    <t>A 0003-00016213</t>
  </si>
  <si>
    <t>A 0003-00016214</t>
  </si>
  <si>
    <t>A 0003-00016215</t>
  </si>
  <si>
    <t>A 0003-00016216</t>
  </si>
  <si>
    <t>A 0003-00016217</t>
  </si>
  <si>
    <t>A 0003-00016218</t>
  </si>
  <si>
    <t>A 0003-00016219</t>
  </si>
  <si>
    <t>A 0003-00016220</t>
  </si>
  <si>
    <t>A 0003-00016221</t>
  </si>
  <si>
    <t>A 0003-00016222</t>
  </si>
  <si>
    <t>A 0003-00016223</t>
  </si>
  <si>
    <t>A 0003-00016224</t>
  </si>
  <si>
    <t>A 0003-00016225</t>
  </si>
  <si>
    <t>A 0003-00016226</t>
  </si>
  <si>
    <t>A 0003-00016227</t>
  </si>
  <si>
    <t>A 0003-00016228</t>
  </si>
  <si>
    <t>A 0003-00016229</t>
  </si>
  <si>
    <t>A 0003-00016230</t>
  </si>
  <si>
    <t>A 0003-00016231</t>
  </si>
  <si>
    <t>A 0003-00016232</t>
  </si>
  <si>
    <t>SHIVITI SAS</t>
  </si>
  <si>
    <t>30-71608695-6</t>
  </si>
  <si>
    <t>A 0003-00016233</t>
  </si>
  <si>
    <t>IPORA GUAZU</t>
  </si>
  <si>
    <t>33-71542839-9</t>
  </si>
  <si>
    <t>A 0003-00016234</t>
  </si>
  <si>
    <t>A 0003-00016235</t>
  </si>
  <si>
    <t>A 0003-00016236</t>
  </si>
  <si>
    <t>A 0003-00016237</t>
  </si>
  <si>
    <t>A 0003-00016238</t>
  </si>
  <si>
    <t>A 0003-00016239</t>
  </si>
  <si>
    <t>A 0003-00016240</t>
  </si>
  <si>
    <t>A 0003-00016241</t>
  </si>
  <si>
    <t>A 0003-00016242</t>
  </si>
  <si>
    <t>A 0003-00016243</t>
  </si>
  <si>
    <t>A 0003-00016244</t>
  </si>
  <si>
    <t>A 0003-00016245</t>
  </si>
  <si>
    <t>A 0003-00016246</t>
  </si>
  <si>
    <t>A 0003-00016247</t>
  </si>
  <si>
    <t>A 0003-00016248</t>
  </si>
  <si>
    <t>A 0003-00016249</t>
  </si>
  <si>
    <t>A 0003-00016250</t>
  </si>
  <si>
    <t>A 0003-00016251</t>
  </si>
  <si>
    <t>VONUX SRL</t>
  </si>
  <si>
    <t>30-71676946-8</t>
  </si>
  <si>
    <t>A 0003-00016252</t>
  </si>
  <si>
    <t>A 0003-00016253</t>
  </si>
  <si>
    <t>A 0003-00016254</t>
  </si>
  <si>
    <t>A 0003-00016255</t>
  </si>
  <si>
    <t>A 0003-00016256</t>
  </si>
  <si>
    <t>A 0003-00016257</t>
  </si>
  <si>
    <t>A 0003-00016258</t>
  </si>
  <si>
    <t>A 0003-00016259</t>
  </si>
  <si>
    <t>A 0003-00016260</t>
  </si>
  <si>
    <t>A 0003-00016261</t>
  </si>
  <si>
    <t>A 0003-00016262</t>
  </si>
  <si>
    <t>A 0003-00016263</t>
  </si>
  <si>
    <t>A 0003-00016264</t>
  </si>
  <si>
    <t>A 0003-00016265</t>
  </si>
  <si>
    <t>A 0003-00016266</t>
  </si>
  <si>
    <t>A 0003-00016267</t>
  </si>
  <si>
    <t>A 0003-00016268</t>
  </si>
  <si>
    <t>A 0003-00016269</t>
  </si>
  <si>
    <t>A 0003-00016270</t>
  </si>
  <si>
    <t>A 0003-00016271</t>
  </si>
  <si>
    <t>DUCK BABY SRL</t>
  </si>
  <si>
    <t>30-70879238-8</t>
  </si>
  <si>
    <t>A 0003-00016272</t>
  </si>
  <si>
    <t>A 0003-00016273</t>
  </si>
  <si>
    <t>A 0003-00016274</t>
  </si>
  <si>
    <t>A 0003-00016275</t>
  </si>
  <si>
    <t>A 0003-00016276</t>
  </si>
  <si>
    <t>A 0003-00016277</t>
  </si>
  <si>
    <t>A 0003-00016278</t>
  </si>
  <si>
    <t>A 0003-00016279</t>
  </si>
  <si>
    <t>A 0003-00016280</t>
  </si>
  <si>
    <t>A 0003-00016281</t>
  </si>
  <si>
    <t>FEMALUX SRL</t>
  </si>
  <si>
    <t>30-71465469-8</t>
  </si>
  <si>
    <t>A 0003-00016282</t>
  </si>
  <si>
    <t>A 0003-00016283</t>
  </si>
  <si>
    <t>A 0003-00016284</t>
  </si>
  <si>
    <t>A 0003-00016285</t>
  </si>
  <si>
    <t>A 0003-00016286</t>
  </si>
  <si>
    <t>A 0003-00016287</t>
  </si>
  <si>
    <t>QPLA S.A.</t>
  </si>
  <si>
    <t>30-70813001-6</t>
  </si>
  <si>
    <t>A 0003-00016288</t>
  </si>
  <si>
    <t>A 0003-00016289</t>
  </si>
  <si>
    <t>A 0003-00016290</t>
  </si>
  <si>
    <t>A 0003-00016291</t>
  </si>
  <si>
    <t>A 0003-00016292</t>
  </si>
  <si>
    <t>A 0003-00016293</t>
  </si>
  <si>
    <t>A 0003-00016294</t>
  </si>
  <si>
    <t>A 0003-00016295</t>
  </si>
  <si>
    <t>A 0003-00016296</t>
  </si>
  <si>
    <t>A 0003-00016297</t>
  </si>
  <si>
    <t>A 0003-00016298</t>
  </si>
  <si>
    <t>A 0003-00016299</t>
  </si>
  <si>
    <t>A 0003-00016300</t>
  </si>
  <si>
    <t>A 0003-00016301</t>
  </si>
  <si>
    <t>A 0003-00016302</t>
  </si>
  <si>
    <t>A 0003-00016303</t>
  </si>
  <si>
    <t>A 0003-00016304</t>
  </si>
  <si>
    <t>A 0003-00016305</t>
  </si>
  <si>
    <t>A 0003-00016306</t>
  </si>
  <si>
    <t>A 0003-00016307</t>
  </si>
  <si>
    <t>A 0003-00016308</t>
  </si>
  <si>
    <t>A 0003-00016309</t>
  </si>
  <si>
    <t>A 0003-00016310</t>
  </si>
  <si>
    <t>A 0003-00016311</t>
  </si>
  <si>
    <t>A 0003-00016312</t>
  </si>
  <si>
    <t>A 0003-00016313</t>
  </si>
  <si>
    <t>A 0003-00016314</t>
  </si>
  <si>
    <t>A 0003-00016315</t>
  </si>
  <si>
    <t>A 0003-00016316</t>
  </si>
  <si>
    <t>A 0003-00016317</t>
  </si>
  <si>
    <t>A 0003-00016318</t>
  </si>
  <si>
    <t>A 0003-00016319</t>
  </si>
  <si>
    <t>A 0003-00016320</t>
  </si>
  <si>
    <t>A 0003-00016321</t>
  </si>
  <si>
    <t>A 0003-00016322</t>
  </si>
  <si>
    <t>ANDES MILLS SRL</t>
  </si>
  <si>
    <t>30-71513323-3</t>
  </si>
  <si>
    <t>A 0003-00016323</t>
  </si>
  <si>
    <t>A 0003-00016324</t>
  </si>
  <si>
    <t>A 0003-00016325</t>
  </si>
  <si>
    <t>A 0003-00016326</t>
  </si>
  <si>
    <t>A 0003-00016327</t>
  </si>
  <si>
    <t>A 0003-00016328</t>
  </si>
  <si>
    <t>A 0003-00016329</t>
  </si>
  <si>
    <t>A 0003-00016330</t>
  </si>
  <si>
    <t>A 0003-00016331</t>
  </si>
  <si>
    <t>A 0003-00016332</t>
  </si>
  <si>
    <t>A 0003-00016333</t>
  </si>
  <si>
    <t>A 0003-00016334</t>
  </si>
  <si>
    <t>A 0003-00016335</t>
  </si>
  <si>
    <t>INDUSTRIAS MARTIN S.A.</t>
  </si>
  <si>
    <t>30-68824161-4</t>
  </si>
  <si>
    <t>A 0003-00016336</t>
  </si>
  <si>
    <t>A 0003-00016337</t>
  </si>
  <si>
    <t>A 0003-00016338</t>
  </si>
  <si>
    <t>A 0003-00016339</t>
  </si>
  <si>
    <t>A 0003-00016340</t>
  </si>
  <si>
    <t>A 0003-00016341</t>
  </si>
  <si>
    <t>A 0003-00016342</t>
  </si>
  <si>
    <t>A 0003-00016343</t>
  </si>
  <si>
    <t>A 0003-00016344</t>
  </si>
  <si>
    <t>A 0003-00016345</t>
  </si>
  <si>
    <t>A 0003-00016346</t>
  </si>
  <si>
    <t>A 0003-00016347</t>
  </si>
  <si>
    <t>A 0003-00016348</t>
  </si>
  <si>
    <t>A 0003-00016349</t>
  </si>
  <si>
    <t>A 0003-00016350</t>
  </si>
  <si>
    <t>A 0003-00016351</t>
  </si>
  <si>
    <t>NOVILLO SRL</t>
  </si>
  <si>
    <t>30-71012745-6</t>
  </si>
  <si>
    <t>A 0003-00016352</t>
  </si>
  <si>
    <t>A 0003-00016353</t>
  </si>
  <si>
    <t>A 0003-00016354</t>
  </si>
  <si>
    <t>MATAMELU SA</t>
  </si>
  <si>
    <t>30-71649632-1</t>
  </si>
  <si>
    <t>A 0003-00016355</t>
  </si>
  <si>
    <t>A 0003-00016356</t>
  </si>
  <si>
    <t>A 0003-00016357</t>
  </si>
  <si>
    <t>A 0003-00016358</t>
  </si>
  <si>
    <t>A 0003-00016359</t>
  </si>
  <si>
    <t>A 0003-00016360</t>
  </si>
  <si>
    <t>A 0003-00016361</t>
  </si>
  <si>
    <t>A 0003-00016362</t>
  </si>
  <si>
    <t>NO CORRESPONDE</t>
  </si>
  <si>
    <t>MONTAGNE</t>
  </si>
  <si>
    <t>A 0003-00016363</t>
  </si>
  <si>
    <t>A 0003-00016364</t>
  </si>
  <si>
    <t>A 0003-00016365</t>
  </si>
  <si>
    <t>A 0003-00016366</t>
  </si>
  <si>
    <t>A 0003-00016367</t>
  </si>
  <si>
    <t>A 0003-00016368</t>
  </si>
  <si>
    <t>A 0003-00016369</t>
  </si>
  <si>
    <t>A 0003-00016370</t>
  </si>
  <si>
    <t>A 0003-00016371</t>
  </si>
  <si>
    <t>A 0003-00016372</t>
  </si>
  <si>
    <t>A 0003-00016373</t>
  </si>
  <si>
    <t>A 0003-00016374</t>
  </si>
  <si>
    <t>A 0003-00016375</t>
  </si>
  <si>
    <t>A 0003-00016376</t>
  </si>
  <si>
    <t>A 0003-00016377</t>
  </si>
  <si>
    <t>A 0003-00016378</t>
  </si>
  <si>
    <t>A 0003-00016379</t>
  </si>
  <si>
    <t>A 0003-00016380</t>
  </si>
  <si>
    <t>A 0003-00016381</t>
  </si>
  <si>
    <t>A 0003-00016382</t>
  </si>
  <si>
    <t>A 0003-00016383</t>
  </si>
  <si>
    <t>A 0003-00016384</t>
  </si>
  <si>
    <t>A 0003-00016385</t>
  </si>
  <si>
    <t>A 0003-00016386</t>
  </si>
  <si>
    <t>A 0003-00016387</t>
  </si>
  <si>
    <t>A 0003-00016388</t>
  </si>
  <si>
    <t>A 0003-00016389</t>
  </si>
  <si>
    <t>A 0003-00016390</t>
  </si>
  <si>
    <t>A 0003-00016391</t>
  </si>
  <si>
    <t>A 0003-00016392</t>
  </si>
  <si>
    <t>A 0003-00016393</t>
  </si>
  <si>
    <t>A 0003-00016394</t>
  </si>
  <si>
    <t>URBICK S.R.L.</t>
  </si>
  <si>
    <t>30-71665370-2</t>
  </si>
  <si>
    <t>A 0003-00016395</t>
  </si>
  <si>
    <t>JOSE V ROPOLO E HIJOS S.C.</t>
  </si>
  <si>
    <t>30-50270020-7</t>
  </si>
  <si>
    <t>A 0003-00016396</t>
  </si>
  <si>
    <t>A 0003-00016397</t>
  </si>
  <si>
    <t>A 0003-00016398</t>
  </si>
  <si>
    <t>A 0003-00016399</t>
  </si>
  <si>
    <t>A 0003-00016400</t>
  </si>
  <si>
    <t>A 0003-00016401</t>
  </si>
  <si>
    <t>A 0003-00016402</t>
  </si>
  <si>
    <t>A 0003-00016403</t>
  </si>
  <si>
    <t>A 0003-00016404</t>
  </si>
  <si>
    <t>A 0003-00016405</t>
  </si>
  <si>
    <t>A 0003-00016406</t>
  </si>
  <si>
    <t>A 0003-00016407</t>
  </si>
  <si>
    <t>A 0003-00016408</t>
  </si>
  <si>
    <t>A 0003-00016409</t>
  </si>
  <si>
    <t>A 0003-00016410</t>
  </si>
  <si>
    <t>A 0003-00016411</t>
  </si>
  <si>
    <t>A 0003-00016412</t>
  </si>
  <si>
    <t>A 0003-00016413</t>
  </si>
  <si>
    <t>A 0003-00016414</t>
  </si>
  <si>
    <t>A 0003-00016415</t>
  </si>
  <si>
    <t>A 0003-00016416</t>
  </si>
  <si>
    <t>A 0003-00016417</t>
  </si>
  <si>
    <t>A 0003-00016418</t>
  </si>
  <si>
    <t>A 0003-00016419</t>
  </si>
  <si>
    <t>A 0003-00016420</t>
  </si>
  <si>
    <t>A 0003-00016421</t>
  </si>
  <si>
    <t>A 0003-00016422</t>
  </si>
  <si>
    <t>A 0003-00016423</t>
  </si>
  <si>
    <t>A 0003-00016424</t>
  </si>
  <si>
    <t>A 0003-00016425</t>
  </si>
  <si>
    <t>A 0003-00016426</t>
  </si>
  <si>
    <t>A 0003-00016427</t>
  </si>
  <si>
    <t>A 0003-00016428</t>
  </si>
  <si>
    <t>A 0003-00016429</t>
  </si>
  <si>
    <t>A 0003-00016430</t>
  </si>
  <si>
    <t>A 0003-00016431</t>
  </si>
  <si>
    <t>A 0003-00016432</t>
  </si>
  <si>
    <t>A 0003-00016433</t>
  </si>
  <si>
    <t>A 0003-00016434</t>
  </si>
  <si>
    <t>TAIKUE SA</t>
  </si>
  <si>
    <t>33-71319250-9</t>
  </si>
  <si>
    <t>A 0003-00016435</t>
  </si>
  <si>
    <t>A 0003-00016436</t>
  </si>
  <si>
    <t>AUDIORIO S.A.</t>
  </si>
  <si>
    <t>30-70869135-2</t>
  </si>
  <si>
    <t>A 0003-00016437</t>
  </si>
  <si>
    <t>A 0003-00016438</t>
  </si>
  <si>
    <t>A 0003-00016439</t>
  </si>
  <si>
    <t>A 0003-00016440</t>
  </si>
  <si>
    <t>A 0003-00016441</t>
  </si>
  <si>
    <t>A 0003-00016442</t>
  </si>
  <si>
    <t>A 0003-00016443</t>
  </si>
  <si>
    <t>A 0003-00016444</t>
  </si>
  <si>
    <t>A 0003-00016445</t>
  </si>
  <si>
    <t>A 0003-00016446</t>
  </si>
  <si>
    <t>A 0003-00016447</t>
  </si>
  <si>
    <t>A 0003-00016448</t>
  </si>
  <si>
    <t>A 0003-00016449</t>
  </si>
  <si>
    <t>A 0003-00016450</t>
  </si>
  <si>
    <t>A 0003-00016451</t>
  </si>
  <si>
    <t>DESIGN PROMOTION S.A.</t>
  </si>
  <si>
    <t>33-69878358-9</t>
  </si>
  <si>
    <t>A 0003-00016452</t>
  </si>
  <si>
    <t>A 0003-00016453</t>
  </si>
  <si>
    <t>A 0003-00016454</t>
  </si>
  <si>
    <t>A 0003-00016455</t>
  </si>
  <si>
    <t>A 0003-00016456</t>
  </si>
  <si>
    <t>A 0003-00016457</t>
  </si>
  <si>
    <t>A 0003-00016458</t>
  </si>
  <si>
    <t>A 0003-00016459</t>
  </si>
  <si>
    <t>RAMY S.A.</t>
  </si>
  <si>
    <t>30-70876285-3</t>
  </si>
  <si>
    <t>A 0003-00016460</t>
  </si>
  <si>
    <t>A 0003-00016461</t>
  </si>
  <si>
    <t>A 0003-00016462</t>
  </si>
  <si>
    <t>A 0003-00016463</t>
  </si>
  <si>
    <t>A 0003-00016464</t>
  </si>
  <si>
    <t>A 0003-00016465</t>
  </si>
  <si>
    <t>A 0003-00016466</t>
  </si>
  <si>
    <t>ZINA SRL</t>
  </si>
  <si>
    <t>30-70781199-0</t>
  </si>
  <si>
    <t>A 0003-00016467</t>
  </si>
  <si>
    <t>A 0003-00016468</t>
  </si>
  <si>
    <t>A 0003-00016469</t>
  </si>
  <si>
    <t>A 0003-00016470</t>
  </si>
  <si>
    <t>A 0003-00016471</t>
  </si>
  <si>
    <t>A 0003-00016472</t>
  </si>
  <si>
    <t>A 0003-00016473</t>
  </si>
  <si>
    <t>A 0003-00016474</t>
  </si>
  <si>
    <t>GLOBALIDEAS SAS</t>
  </si>
  <si>
    <t>30-71634475-0</t>
  </si>
  <si>
    <t>A 0003-00016475</t>
  </si>
  <si>
    <t>A 0003-00016476</t>
  </si>
  <si>
    <t>A 0003-00016477</t>
  </si>
  <si>
    <t>A 0003-00016478</t>
  </si>
  <si>
    <t>A 0003-00016479</t>
  </si>
  <si>
    <t>A 0003-00016480</t>
  </si>
  <si>
    <t>A 0003-00016481</t>
  </si>
  <si>
    <t>A 0003-00016482</t>
  </si>
  <si>
    <t>A 0003-00016483</t>
  </si>
  <si>
    <t>A 0003-00016484</t>
  </si>
  <si>
    <t>MINIBEST S.A.</t>
  </si>
  <si>
    <t>30-71079571-8</t>
  </si>
  <si>
    <t>A 0003-00016485</t>
  </si>
  <si>
    <t>A 0003-00016486</t>
  </si>
  <si>
    <t>A 0003-00016487</t>
  </si>
  <si>
    <t>A 0003-00016488</t>
  </si>
  <si>
    <t>A 0003-00016489</t>
  </si>
  <si>
    <t>A 0003-00016490</t>
  </si>
  <si>
    <t>A 0003-00016491</t>
  </si>
  <si>
    <t>A 0003-00016492</t>
  </si>
  <si>
    <t>A 0003-00016493</t>
  </si>
  <si>
    <t>A 0003-00016494</t>
  </si>
  <si>
    <t>A 0003-00016495</t>
  </si>
  <si>
    <t>A 0003-00016496</t>
  </si>
  <si>
    <t>A 0003-00016497</t>
  </si>
  <si>
    <t>A 0003-00016498</t>
  </si>
  <si>
    <t>A 0003-00016499</t>
  </si>
  <si>
    <t>A 0003-00016500</t>
  </si>
  <si>
    <t>A 0003-00016501</t>
  </si>
  <si>
    <t>A 0003-00016502</t>
  </si>
  <si>
    <t>A 0003-00016503</t>
  </si>
  <si>
    <t>A 0003-00016504</t>
  </si>
  <si>
    <t>A 0003-00016505</t>
  </si>
  <si>
    <t>IMPORTADORA DEL SOL SRL</t>
  </si>
  <si>
    <t>30-70822547-5</t>
  </si>
  <si>
    <t>A 0003-00016506</t>
  </si>
  <si>
    <t>A 0003-00016507</t>
  </si>
  <si>
    <t>A 0003-00016508</t>
  </si>
  <si>
    <t>A 0003-00016509</t>
  </si>
  <si>
    <t>A 0003-00016510</t>
  </si>
  <si>
    <t>A 0003-00016511</t>
  </si>
  <si>
    <t>A 0003-00016512</t>
  </si>
  <si>
    <t>A 0003-00016513</t>
  </si>
  <si>
    <t>A 0003-00016514</t>
  </si>
  <si>
    <t>A 0003-00016515</t>
  </si>
  <si>
    <t>A 0003-00016516</t>
  </si>
  <si>
    <t>A 0003-00016517</t>
  </si>
  <si>
    <t>A 0003-00016518</t>
  </si>
  <si>
    <t>SERVICOM GLOBAL S.A.</t>
  </si>
  <si>
    <t>30-71171008-2</t>
  </si>
  <si>
    <t>A 0003-00016519</t>
  </si>
  <si>
    <t>URDEGA S.A.</t>
  </si>
  <si>
    <t>33-60467829-9</t>
  </si>
  <si>
    <t>A 0003-00016520</t>
  </si>
  <si>
    <t>A 0003-00016521</t>
  </si>
  <si>
    <t>A 0003-00016522</t>
  </si>
  <si>
    <t>A 0003-00016523</t>
  </si>
  <si>
    <t>PERALTA CONSTANZA</t>
  </si>
  <si>
    <t>27-39338537-0</t>
  </si>
  <si>
    <t>A 0003-00016524</t>
  </si>
  <si>
    <t>A 0003-00016525</t>
  </si>
  <si>
    <t>KID EVOLUTION SRL</t>
  </si>
  <si>
    <t>30-71556697-0</t>
  </si>
  <si>
    <t>A 0003-00016526</t>
  </si>
  <si>
    <t>A 0003-00016527</t>
  </si>
  <si>
    <t>A 0003-00016528</t>
  </si>
  <si>
    <t>A 0003-00016529</t>
  </si>
  <si>
    <t>A 0003-00016530</t>
  </si>
  <si>
    <t>A 0003-00016531</t>
  </si>
  <si>
    <t>A 0003-00016532</t>
  </si>
  <si>
    <t>TIZIBABY SA</t>
  </si>
  <si>
    <t>33-70990743-9</t>
  </si>
  <si>
    <t>A 0003-00016533</t>
  </si>
  <si>
    <t>A 0003-00016534</t>
  </si>
  <si>
    <t>A 0003-00016535</t>
  </si>
  <si>
    <t>A 0003-00016536</t>
  </si>
  <si>
    <t>A 0003-00016537</t>
  </si>
  <si>
    <t>A 0003-00016538</t>
  </si>
  <si>
    <t>A 0003-00016539</t>
  </si>
  <si>
    <t>A 0003-00016540</t>
  </si>
  <si>
    <t>VIDRIO S R L</t>
  </si>
  <si>
    <t>30-66129398-1</t>
  </si>
  <si>
    <t>A 0003-00016541</t>
  </si>
  <si>
    <t>A 0003-00016542</t>
  </si>
  <si>
    <t>A 0003-00016543</t>
  </si>
  <si>
    <t>A 0003-00016544</t>
  </si>
  <si>
    <t>A 0003-00016545</t>
  </si>
  <si>
    <t>A 0003-00016546</t>
  </si>
  <si>
    <t>A 0003-00016547</t>
  </si>
  <si>
    <t>A 0003-00016548</t>
  </si>
  <si>
    <t>A 0003-00016549</t>
  </si>
  <si>
    <t>A 0003-00016550</t>
  </si>
  <si>
    <t>A 0003-00016551</t>
  </si>
  <si>
    <t>A 0003-00016552</t>
  </si>
  <si>
    <t>A 0003-00016553</t>
  </si>
  <si>
    <t>A 0003-00016554</t>
  </si>
  <si>
    <t>A 0003-00016555</t>
  </si>
  <si>
    <t>A 0003-00016556</t>
  </si>
  <si>
    <t>A 0003-00016557</t>
  </si>
  <si>
    <t>A 0003-00016558</t>
  </si>
  <si>
    <t>A 0003-00016559</t>
  </si>
  <si>
    <t>A 0003-00016560</t>
  </si>
  <si>
    <t>A 0003-00016561</t>
  </si>
  <si>
    <t>A 0003-00016562</t>
  </si>
  <si>
    <t>A 0003-00016563</t>
  </si>
  <si>
    <t>MEGA CLASS S.R.L.</t>
  </si>
  <si>
    <t>30-71525478-2</t>
  </si>
  <si>
    <t>A 0003-00016564</t>
  </si>
  <si>
    <t>A 0003-00016565</t>
  </si>
  <si>
    <t>A 0003-00016566</t>
  </si>
  <si>
    <t>A 0003-00016567</t>
  </si>
  <si>
    <t>A 0003-00016568</t>
  </si>
  <si>
    <t>A 0003-00016569</t>
  </si>
  <si>
    <t>A 0003-00016570</t>
  </si>
  <si>
    <t>A 0003-00016571</t>
  </si>
  <si>
    <t>A 0003-00016572</t>
  </si>
  <si>
    <t>A 0003-00016573</t>
  </si>
  <si>
    <t>A 0003-00016574</t>
  </si>
  <si>
    <t>A 0003-00016575</t>
  </si>
  <si>
    <t>A 0003-00016576</t>
  </si>
  <si>
    <t>A 0003-00016577</t>
  </si>
  <si>
    <t>A 0003-00016578</t>
  </si>
  <si>
    <t>A 0003-00016579</t>
  </si>
  <si>
    <t>A 0003-00016580</t>
  </si>
  <si>
    <t>A 0003-00016581</t>
  </si>
  <si>
    <t>A 0003-00016582</t>
  </si>
  <si>
    <t>A 0003-00016583</t>
  </si>
  <si>
    <t>A 0003-00016584</t>
  </si>
  <si>
    <t>A 0003-00016585</t>
  </si>
  <si>
    <t>MOTOMAX ARGENTINA SRL</t>
  </si>
  <si>
    <t>30-71680012-8</t>
  </si>
  <si>
    <t>A 0003-00016586</t>
  </si>
  <si>
    <t xml:space="preserve">VILLEGAS GROUP S.A. </t>
  </si>
  <si>
    <t>30-71058707-4</t>
  </si>
  <si>
    <t>A 0003-00016587</t>
  </si>
  <si>
    <t>A 0003-00016588</t>
  </si>
  <si>
    <t>A 0003-00016589</t>
  </si>
  <si>
    <t>A 0003-00016590</t>
  </si>
  <si>
    <t>A 0003-00016591</t>
  </si>
  <si>
    <t>A 0003-00016592</t>
  </si>
  <si>
    <t>A 0003-00016593</t>
  </si>
  <si>
    <t>A 0003-00016594</t>
  </si>
  <si>
    <t>A 0003-00016595</t>
  </si>
  <si>
    <t>A 0003-00016596</t>
  </si>
  <si>
    <t>A 0003-00016597</t>
  </si>
  <si>
    <t>A 0003-00016598</t>
  </si>
  <si>
    <t>A 0003-00016599</t>
  </si>
  <si>
    <t>A 0003-00016600</t>
  </si>
  <si>
    <t>A 0003-00016601</t>
  </si>
  <si>
    <t>A 0003-00016602</t>
  </si>
  <si>
    <t>A 0003-00016603</t>
  </si>
  <si>
    <t>A 0003-00016604</t>
  </si>
  <si>
    <t>A 0003-00016605</t>
  </si>
  <si>
    <t>A 0003-00016606</t>
  </si>
  <si>
    <t>A 0003-00016607</t>
  </si>
  <si>
    <t>A 0003-00016608</t>
  </si>
  <si>
    <t>A 0003-00016609</t>
  </si>
  <si>
    <t>A 0003-00016610</t>
  </si>
  <si>
    <t>A 0003-00016611</t>
  </si>
  <si>
    <t>A 0004-00000010</t>
  </si>
  <si>
    <t>A 0003-00000105</t>
  </si>
  <si>
    <t>AEROSOFT S.A</t>
  </si>
  <si>
    <t>NO</t>
  </si>
  <si>
    <t>A 0003-00016612</t>
  </si>
  <si>
    <t>A 0003-00016613</t>
  </si>
  <si>
    <t>A 0003-00016614</t>
  </si>
  <si>
    <t>A 0003-00016615</t>
  </si>
  <si>
    <t>A 0003-00016616</t>
  </si>
  <si>
    <t>A 0003-00016617</t>
  </si>
  <si>
    <t>A 0003-00016618</t>
  </si>
  <si>
    <t>A 0003-00016619</t>
  </si>
  <si>
    <t>A 0003-00016620</t>
  </si>
  <si>
    <t>SOUTH AGRIBUSINESS SA</t>
  </si>
  <si>
    <t>30-71113928-8</t>
  </si>
  <si>
    <t>A 0003-00016621</t>
  </si>
  <si>
    <t>A 0003-00016622</t>
  </si>
  <si>
    <t>A 0003-00016623</t>
  </si>
  <si>
    <t>A 0003-00016624</t>
  </si>
  <si>
    <t>A 0003-00016625</t>
  </si>
  <si>
    <t>A 0003-00016626</t>
  </si>
  <si>
    <t>A 0003-00016627</t>
  </si>
  <si>
    <t>A 0003-00016628</t>
  </si>
  <si>
    <t>ERMORI S.R.L.</t>
  </si>
  <si>
    <t>30-71548386-2</t>
  </si>
  <si>
    <t>A 0003-00016629</t>
  </si>
  <si>
    <t>A 0003-00016630</t>
  </si>
  <si>
    <t>A 0003-00016631</t>
  </si>
  <si>
    <t>A 0003-00016632</t>
  </si>
  <si>
    <t>A 0003-00016633</t>
  </si>
  <si>
    <t>A 0003-00016634</t>
  </si>
  <si>
    <t>A 0003-00016635</t>
  </si>
  <si>
    <t>A 0003-00016636</t>
  </si>
  <si>
    <t>A 0003-00016637</t>
  </si>
  <si>
    <t>A 0003-00016638</t>
  </si>
  <si>
    <t>A 0003-00016639</t>
  </si>
  <si>
    <t>A 0003-00016640</t>
  </si>
  <si>
    <t>A 0003-00016641</t>
  </si>
  <si>
    <t>A 0003-00016642</t>
  </si>
  <si>
    <t>A 0003-00016643</t>
  </si>
  <si>
    <t>A 0003-00016644</t>
  </si>
  <si>
    <t>A 0003-00016645</t>
  </si>
  <si>
    <t>A 0003-00016646</t>
  </si>
  <si>
    <t>A 0003-00016647</t>
  </si>
  <si>
    <t>A 0003-00016648</t>
  </si>
  <si>
    <t>A 0003-00016649</t>
  </si>
  <si>
    <t>A 0003-00016650</t>
  </si>
  <si>
    <t>A 0003-00016651</t>
  </si>
  <si>
    <t>A 0003-00016652</t>
  </si>
  <si>
    <t>A 0003-00016653</t>
  </si>
  <si>
    <t>A 0003-00016654</t>
  </si>
  <si>
    <t>A 0003-00016655</t>
  </si>
  <si>
    <t>A 0003-00016656</t>
  </si>
  <si>
    <t>A 0003-00016657</t>
  </si>
  <si>
    <t>A 0003-00016658</t>
  </si>
  <si>
    <t>A 0003-00016659</t>
  </si>
  <si>
    <t>A 0003-00016660</t>
  </si>
  <si>
    <t>A 0003-00016661</t>
  </si>
  <si>
    <t>A 0003-00016662</t>
  </si>
  <si>
    <t>A 0003-00016663</t>
  </si>
  <si>
    <t>A 0003-00016664</t>
  </si>
  <si>
    <t>A 0003-00016665</t>
  </si>
  <si>
    <t>A 0003-00016666</t>
  </si>
  <si>
    <t>A 0003-00016667</t>
  </si>
  <si>
    <t>A 0003-00016668</t>
  </si>
  <si>
    <t>A 0003-00016669</t>
  </si>
  <si>
    <t>A 0003-00016670</t>
  </si>
  <si>
    <t xml:space="preserve">AERO SRL </t>
  </si>
  <si>
    <t>30-71033349-8</t>
  </si>
  <si>
    <t>A 0003-00016671</t>
  </si>
  <si>
    <t>A 0003-00016672</t>
  </si>
  <si>
    <t>A 0003-00016673</t>
  </si>
  <si>
    <t>A 0003-00016674</t>
  </si>
  <si>
    <t>A 0003-00016675</t>
  </si>
  <si>
    <t>A 0003-00016676</t>
  </si>
  <si>
    <t>A 0003-00016677</t>
  </si>
  <si>
    <t>A 0003-00016678</t>
  </si>
  <si>
    <t>A 0003-00016679</t>
  </si>
  <si>
    <t>A 0003-00016680</t>
  </si>
  <si>
    <t>A 0003-00016681</t>
  </si>
  <si>
    <t>A 0003-00016682</t>
  </si>
  <si>
    <t>A 0003-00016683</t>
  </si>
  <si>
    <t>A 0003-00016684</t>
  </si>
  <si>
    <t>A 0003-00016685</t>
  </si>
  <si>
    <t>A 0003-00016686</t>
  </si>
  <si>
    <t>A 0003-00016687</t>
  </si>
  <si>
    <t>A 0003-00016688</t>
  </si>
  <si>
    <t>A 0003-00016689</t>
  </si>
  <si>
    <t>A 0003-00016690</t>
  </si>
  <si>
    <t>A 0003-00016691</t>
  </si>
  <si>
    <t>A 0003-00016692</t>
  </si>
  <si>
    <t>A 0003-00016693</t>
  </si>
  <si>
    <t>A 0003-00016694</t>
  </si>
  <si>
    <t>OLSZAK AGOSTINA</t>
  </si>
  <si>
    <t>23-30183722-4</t>
  </si>
  <si>
    <t>A 0003-00016695</t>
  </si>
  <si>
    <t>A 0003-00016696</t>
  </si>
  <si>
    <t>A 0003-00016697</t>
  </si>
  <si>
    <t>A 0003-00016698</t>
  </si>
  <si>
    <t>A 0003-00016699</t>
  </si>
  <si>
    <t>A 0003-00016700</t>
  </si>
  <si>
    <t>A 0003-00016701</t>
  </si>
  <si>
    <t>A 0003-00016702</t>
  </si>
  <si>
    <t>A 0003-00016703</t>
  </si>
  <si>
    <t>A 0003-00016704</t>
  </si>
  <si>
    <t>A 0003-00016705</t>
  </si>
  <si>
    <t>A 0003-00016706</t>
  </si>
  <si>
    <t>A 0003-00016707</t>
  </si>
  <si>
    <t>A 0003-00016708</t>
  </si>
  <si>
    <t>A 0003-00016709</t>
  </si>
  <si>
    <t>A 0003-00016710</t>
  </si>
  <si>
    <t>A 0003-00016711</t>
  </si>
  <si>
    <t>A 0003-00016712</t>
  </si>
  <si>
    <t>A 0003-00016713</t>
  </si>
  <si>
    <t>A 0003-00016714</t>
  </si>
  <si>
    <t>A 0003-00016715</t>
  </si>
  <si>
    <t>A 0003-00016716</t>
  </si>
  <si>
    <t>A 0003-00016717</t>
  </si>
  <si>
    <t>A 0003-00016718</t>
  </si>
  <si>
    <t>A 0003-00016719</t>
  </si>
  <si>
    <t>A 0003-00016720</t>
  </si>
  <si>
    <t>A 0003-00016721</t>
  </si>
  <si>
    <t>A 0003-00016722</t>
  </si>
  <si>
    <t>A 0003-00016723</t>
  </si>
  <si>
    <t>A 0003-00016724</t>
  </si>
  <si>
    <t>A 0003-00016725</t>
  </si>
  <si>
    <t>A 0003-00016726</t>
  </si>
  <si>
    <t>A 0003-00016727</t>
  </si>
  <si>
    <t>A 0003-00016728</t>
  </si>
  <si>
    <t>A 0003-00016729</t>
  </si>
  <si>
    <t>A 0003-00016730</t>
  </si>
  <si>
    <t>A 0003-00016731</t>
  </si>
  <si>
    <t>A 0003-00016732</t>
  </si>
  <si>
    <t>A 0003-00016733</t>
  </si>
  <si>
    <t>A 0003-00016734</t>
  </si>
  <si>
    <t>A 0003-00016735</t>
  </si>
  <si>
    <t>A 0003-00016736</t>
  </si>
  <si>
    <t>A 0003-00016737</t>
  </si>
  <si>
    <t>A 0003-00016738</t>
  </si>
  <si>
    <t>A 0003-00016739</t>
  </si>
  <si>
    <t>A 0003-00016740</t>
  </si>
  <si>
    <t>A 0003-00016741</t>
  </si>
  <si>
    <t>A 0003-00016742</t>
  </si>
  <si>
    <t>A 0003-00016743</t>
  </si>
  <si>
    <t xml:space="preserve">GAMIN S.A. </t>
  </si>
  <si>
    <t>33-71205958-9</t>
  </si>
  <si>
    <t>A 0003-00016744</t>
  </si>
  <si>
    <t>A 0003-00016745</t>
  </si>
  <si>
    <t>A 0003-00016746</t>
  </si>
  <si>
    <t>A 0003-00016747</t>
  </si>
  <si>
    <t>RODABER S.A.</t>
  </si>
  <si>
    <t>30-68477662-9</t>
  </si>
  <si>
    <t>A 0003-00016748</t>
  </si>
  <si>
    <t>A 0003-00016749</t>
  </si>
  <si>
    <t>A 0003-00016750</t>
  </si>
  <si>
    <t>A 0003-00016751</t>
  </si>
  <si>
    <t>A 0003-00016752</t>
  </si>
  <si>
    <t>A 0003-00016753</t>
  </si>
  <si>
    <t>A 0003-00016754</t>
  </si>
  <si>
    <t>A 0003-00016755</t>
  </si>
  <si>
    <t>A 0003-00016756</t>
  </si>
  <si>
    <t>A 0003-00016757</t>
  </si>
  <si>
    <t>A 0003-00016758</t>
  </si>
  <si>
    <t>A 0003-00016759</t>
  </si>
  <si>
    <t>REVISTAR S.A.</t>
  </si>
  <si>
    <t>30-70786403-2</t>
  </si>
  <si>
    <t>A 0003-00016760</t>
  </si>
  <si>
    <t>A 0003-00016761</t>
  </si>
  <si>
    <t>A 0003-00016762</t>
  </si>
  <si>
    <t>A 0003-00016763</t>
  </si>
  <si>
    <t>A 0003-00016764</t>
  </si>
  <si>
    <t>A 0003-00016765</t>
  </si>
  <si>
    <t>A 0003-00016766</t>
  </si>
  <si>
    <t>A 0003-00016767</t>
  </si>
  <si>
    <t>A 0003-00016768</t>
  </si>
  <si>
    <t>A 0003-00016769</t>
  </si>
  <si>
    <t>A 0003-00016770</t>
  </si>
  <si>
    <t>A 0003-00016771</t>
  </si>
  <si>
    <t>A 0003-00016772</t>
  </si>
  <si>
    <t>A 0003-00016773</t>
  </si>
  <si>
    <t>A 0003-00016774</t>
  </si>
  <si>
    <t>A 0003-00016775</t>
  </si>
  <si>
    <t>A 0003-00016776</t>
  </si>
  <si>
    <t>A 0003-00016777</t>
  </si>
  <si>
    <t>A 0003-00016778</t>
  </si>
  <si>
    <t>A 0003-00016779</t>
  </si>
  <si>
    <t>A 0003-00016780</t>
  </si>
  <si>
    <t>A 0003-00016781</t>
  </si>
  <si>
    <t>A 0003-00016782</t>
  </si>
  <si>
    <t>A 0003-00016783</t>
  </si>
  <si>
    <t>A 0003-00016784</t>
  </si>
  <si>
    <t>A 0003-00016785</t>
  </si>
  <si>
    <t>A 0003-00016786</t>
  </si>
  <si>
    <t>A 0003-00016787</t>
  </si>
  <si>
    <t>A 0003-00016788</t>
  </si>
  <si>
    <t>MARMO BRA SRL</t>
  </si>
  <si>
    <t>33-69543472-9</t>
  </si>
  <si>
    <t>A 0003-00016789</t>
  </si>
  <si>
    <t>A 0003-00016790</t>
  </si>
  <si>
    <t>A 0003-00016791</t>
  </si>
  <si>
    <t>A 0003-00016792</t>
  </si>
  <si>
    <t>A 0003-00016793</t>
  </si>
  <si>
    <t>A 0003-00016794</t>
  </si>
  <si>
    <t>A 0003-00016795</t>
  </si>
  <si>
    <t>A 0003-00016796</t>
  </si>
  <si>
    <t>A 0003-00016797</t>
  </si>
  <si>
    <t>A 0003-00016798</t>
  </si>
  <si>
    <t>A 0003-00016799</t>
  </si>
  <si>
    <t>A 0003-00016800</t>
  </si>
  <si>
    <t>A 0003-00016801</t>
  </si>
  <si>
    <t>FRAGUS S.R.L.</t>
  </si>
  <si>
    <t>30-70841760-9</t>
  </si>
  <si>
    <t>A 0003-00016802</t>
  </si>
  <si>
    <t>A 0003-00016803</t>
  </si>
  <si>
    <t>A 0003-00016804</t>
  </si>
  <si>
    <t>A 0003-00016805</t>
  </si>
  <si>
    <t>A 0003-00016806</t>
  </si>
  <si>
    <t>A 0003-00016807</t>
  </si>
  <si>
    <t>A 0003-00016808</t>
  </si>
  <si>
    <t>A 0003-00016809</t>
  </si>
  <si>
    <t>A 0003-00016810</t>
  </si>
  <si>
    <t>A 0003-00016811</t>
  </si>
  <si>
    <t>A 0003-00016812</t>
  </si>
  <si>
    <t>A 0003-00016813</t>
  </si>
  <si>
    <t>A 0003-00016814</t>
  </si>
  <si>
    <t>A 0003-00016815</t>
  </si>
  <si>
    <t>RATTI MARIANO</t>
  </si>
  <si>
    <t>20-24042963-3</t>
  </si>
  <si>
    <t>A 0003-00016816</t>
  </si>
  <si>
    <t>A 0003-00016817</t>
  </si>
  <si>
    <t>A 0003-00016818</t>
  </si>
  <si>
    <t>CASA JARSE S.A.I.C.</t>
  </si>
  <si>
    <t>30-55009571-4</t>
  </si>
  <si>
    <t>A 0003-00016819</t>
  </si>
  <si>
    <t>A 0003-00016820</t>
  </si>
  <si>
    <t>A 0003-00016821</t>
  </si>
  <si>
    <t>A 0003-00016822</t>
  </si>
  <si>
    <t>A 0003-00016823</t>
  </si>
  <si>
    <t>A 0003-00016824</t>
  </si>
  <si>
    <t>A 0003-00016825</t>
  </si>
  <si>
    <t>A 0003-00016826</t>
  </si>
  <si>
    <t>A 0003-00016827</t>
  </si>
  <si>
    <t>A 0003-00016828</t>
  </si>
  <si>
    <t>A 0003-00016829</t>
  </si>
  <si>
    <t>A 0003-00016830</t>
  </si>
  <si>
    <t>A 0003-00016831</t>
  </si>
  <si>
    <t>A 0003-00016832</t>
  </si>
  <si>
    <t>A 0003-00016833</t>
  </si>
  <si>
    <t>A 0003-00016834</t>
  </si>
  <si>
    <t>A 0003-00016835</t>
  </si>
  <si>
    <t>A 0003-00016836</t>
  </si>
  <si>
    <t>A 0003-00016837</t>
  </si>
  <si>
    <t>A 0003-00016838</t>
  </si>
  <si>
    <t>A 0003-00016839</t>
  </si>
  <si>
    <t>A 0003-00016840</t>
  </si>
  <si>
    <t>A 0003-00016841</t>
  </si>
  <si>
    <t>A 0003-00016842</t>
  </si>
  <si>
    <t>A 0003-00016843</t>
  </si>
  <si>
    <t>A 0003-00016844</t>
  </si>
  <si>
    <t>A 0003-00016845</t>
  </si>
  <si>
    <t>A 0003-00016846</t>
  </si>
  <si>
    <t>A 0003-00016847</t>
  </si>
  <si>
    <t>A 0003-00016848</t>
  </si>
  <si>
    <t>A 0003-00016849</t>
  </si>
  <si>
    <t>A 0003-00016850</t>
  </si>
  <si>
    <t>A 0003-00016851</t>
  </si>
  <si>
    <t>A 0003-00016852</t>
  </si>
  <si>
    <t>A 0003-00016853</t>
  </si>
  <si>
    <t>A 0003-00000106</t>
  </si>
  <si>
    <t>A 0003-00000107</t>
  </si>
  <si>
    <t>A 0003-00000108</t>
  </si>
  <si>
    <t>A 0003-00000109</t>
  </si>
  <si>
    <t>A 0003-00016854</t>
  </si>
  <si>
    <t>A 0003-00016855</t>
  </si>
  <si>
    <t>A 0003-00016856</t>
  </si>
  <si>
    <t>A 0003-00016857</t>
  </si>
  <si>
    <t>A 0003-00016858</t>
  </si>
  <si>
    <t>A 0003-00016859</t>
  </si>
  <si>
    <t>A 0003-00016860</t>
  </si>
  <si>
    <t>A 0003-00016861</t>
  </si>
  <si>
    <t>A 0003-00016862</t>
  </si>
  <si>
    <t>A 0003-00016863</t>
  </si>
  <si>
    <t>A 0003-00016864</t>
  </si>
  <si>
    <t>A 0003-00016865</t>
  </si>
  <si>
    <t>A 0003-00016866</t>
  </si>
  <si>
    <t>A 0003-00016867</t>
  </si>
  <si>
    <t>A 0003-00016868</t>
  </si>
  <si>
    <t>A 0003-00016869</t>
  </si>
  <si>
    <t>BENSOFI SRL</t>
  </si>
  <si>
    <t>30-71143858-7</t>
  </si>
  <si>
    <t>A 0003-00016870</t>
  </si>
  <si>
    <t>A 0003-00016871</t>
  </si>
  <si>
    <t>A 0003-00016872</t>
  </si>
  <si>
    <t>A 0003-00016873</t>
  </si>
  <si>
    <t>A 0003-00016874</t>
  </si>
  <si>
    <t>BAUMGARTEN GRAFICA ARGENTINA S.A.</t>
  </si>
  <si>
    <t>30-64636267-5</t>
  </si>
  <si>
    <t>A 0003-00016875</t>
  </si>
  <si>
    <t>A 0003-00016876</t>
  </si>
  <si>
    <t>A 0003-00016877</t>
  </si>
  <si>
    <t>A 0003-00016878</t>
  </si>
  <si>
    <t>A 0003-00016879</t>
  </si>
  <si>
    <t>A 0003-00016880</t>
  </si>
  <si>
    <t>A 0003-00016881</t>
  </si>
  <si>
    <t>A 0003-00016882</t>
  </si>
  <si>
    <t>A 0003-00016883</t>
  </si>
  <si>
    <t>A 0003-00016884</t>
  </si>
  <si>
    <t>A 0003-00016885</t>
  </si>
  <si>
    <t>A 0003-00016886</t>
  </si>
  <si>
    <t>A 0003-00016887</t>
  </si>
  <si>
    <t>A 0003-00016888</t>
  </si>
  <si>
    <t>A 0003-00016889</t>
  </si>
  <si>
    <t>A 0003-00016890</t>
  </si>
  <si>
    <t>A 0003-00016891</t>
  </si>
  <si>
    <t>A 0003-00016892</t>
  </si>
  <si>
    <t>A 0003-00016893</t>
  </si>
  <si>
    <t>A 0003-00016894</t>
  </si>
  <si>
    <t>A 0003-00016895</t>
  </si>
  <si>
    <t>A 0003-00016896</t>
  </si>
  <si>
    <t>A 0003-00016897</t>
  </si>
  <si>
    <t>A 0003-00016898</t>
  </si>
  <si>
    <t>A 0003-00016899</t>
  </si>
  <si>
    <t>A 0003-00016900</t>
  </si>
  <si>
    <t>A 0003-00016901</t>
  </si>
  <si>
    <t>A 0003-00016902</t>
  </si>
  <si>
    <t>A 0003-00016903</t>
  </si>
  <si>
    <t>A 0003-00016904</t>
  </si>
  <si>
    <t>A 0003-00016905</t>
  </si>
  <si>
    <t>A 0003-00016906</t>
  </si>
  <si>
    <t>A 0003-00016907</t>
  </si>
  <si>
    <t>A 0003-00016908</t>
  </si>
  <si>
    <t>A 0003-00016909</t>
  </si>
  <si>
    <t>A 0003-00016910</t>
  </si>
  <si>
    <t>A 0003-00016911</t>
  </si>
  <si>
    <t>A 0003-00016912</t>
  </si>
  <si>
    <t>A 0003-00016913</t>
  </si>
  <si>
    <t>A 0003-00016914</t>
  </si>
  <si>
    <t>A 0003-00016915</t>
  </si>
  <si>
    <t>A 0003-00016916</t>
  </si>
  <si>
    <t>A 0003-00016917</t>
  </si>
  <si>
    <t>A 0003-00016918</t>
  </si>
  <si>
    <t>A 0003-00016919</t>
  </si>
  <si>
    <t>A 0003-00016920</t>
  </si>
  <si>
    <t>A 0003-00016921</t>
  </si>
  <si>
    <t>A 0003-00016922</t>
  </si>
  <si>
    <t>A 0003-00016923</t>
  </si>
  <si>
    <t>A 0003-00016924</t>
  </si>
  <si>
    <t>A 0003-00016925</t>
  </si>
  <si>
    <t>A 0003-00016926</t>
  </si>
  <si>
    <t>A 0003-00016927</t>
  </si>
  <si>
    <t>A 0003-00016928</t>
  </si>
  <si>
    <t>A 0003-00016929</t>
  </si>
  <si>
    <t>A 0003-00016930</t>
  </si>
  <si>
    <t>A 0003-00016931</t>
  </si>
  <si>
    <t>A 0003-00016932</t>
  </si>
  <si>
    <t>A 0003-00016933</t>
  </si>
  <si>
    <t>A 0003-00016934</t>
  </si>
  <si>
    <t>A 0003-00016935</t>
  </si>
  <si>
    <t>A 0003-00016936</t>
  </si>
  <si>
    <t>A 0003-00016937</t>
  </si>
  <si>
    <t>A 0003-00016938</t>
  </si>
  <si>
    <t>A 0003-00016939</t>
  </si>
  <si>
    <t>CASA NORDICA SRL</t>
  </si>
  <si>
    <t>30-71689375-4</t>
  </si>
  <si>
    <t>A 0003-00016940</t>
  </si>
  <si>
    <t>A 0003-00016941</t>
  </si>
  <si>
    <t>A 0003-00016942</t>
  </si>
  <si>
    <t>A 0003-00016943</t>
  </si>
  <si>
    <t>A 0003-00016944</t>
  </si>
  <si>
    <t>A 0003-00016945</t>
  </si>
  <si>
    <t>A 0003-00016946</t>
  </si>
  <si>
    <t>A 0003-00016947</t>
  </si>
  <si>
    <t>A 0003-00016948</t>
  </si>
  <si>
    <t>STEMA</t>
  </si>
  <si>
    <t>30-50532672-1</t>
  </si>
  <si>
    <t>A 0003-00016949</t>
  </si>
  <si>
    <t>A 0003-00016950</t>
  </si>
  <si>
    <t>A 0003-00016951</t>
  </si>
  <si>
    <t>A 0003-00016952</t>
  </si>
  <si>
    <t>A 0003-00016953</t>
  </si>
  <si>
    <t>A 0003-00016954</t>
  </si>
  <si>
    <t>A 0003-00016955</t>
  </si>
  <si>
    <t>A 0003-00016956</t>
  </si>
  <si>
    <t>A 0003-00016957</t>
  </si>
  <si>
    <t>A 0003-00016958</t>
  </si>
  <si>
    <t>A 0003-00016959</t>
  </si>
  <si>
    <t>A 0003-00016960</t>
  </si>
  <si>
    <t>A 0003-00016961</t>
  </si>
  <si>
    <t>A 0003-00016962</t>
  </si>
  <si>
    <t>A 0003-00016963</t>
  </si>
  <si>
    <t>A 0003-00016964</t>
  </si>
  <si>
    <t>A 0003-00016965</t>
  </si>
  <si>
    <t>A 0003-00016966</t>
  </si>
  <si>
    <t>A 0003-00016967</t>
  </si>
  <si>
    <t>A 0003-00016968</t>
  </si>
  <si>
    <t>A 0003-00016969</t>
  </si>
  <si>
    <t>A 0003-00016970</t>
  </si>
  <si>
    <t>A 0003-00016971</t>
  </si>
  <si>
    <t>A 0003-00016972</t>
  </si>
  <si>
    <t>A 0003-00016973</t>
  </si>
  <si>
    <t>A 0003-00016974</t>
  </si>
  <si>
    <t>A 0003-00016975</t>
  </si>
  <si>
    <t>TWENTY FOUR S.A.</t>
  </si>
  <si>
    <t>30-71703288-4</t>
  </si>
  <si>
    <t>A 0003-00016976</t>
  </si>
  <si>
    <t>A 0003-00016977</t>
  </si>
  <si>
    <t>A 0003-00016978</t>
  </si>
  <si>
    <t>A 0003-00016979</t>
  </si>
  <si>
    <t>A 0003-00016980</t>
  </si>
  <si>
    <t>A 0003-00016981</t>
  </si>
  <si>
    <t>A 0003-00016982</t>
  </si>
  <si>
    <t>GRUPO REACSA S.A.</t>
  </si>
  <si>
    <t>33-71621539-9</t>
  </si>
  <si>
    <t>A 0003-00016983</t>
  </si>
  <si>
    <t>A 0003-00016984</t>
  </si>
  <si>
    <t>A 0003-00016985</t>
  </si>
  <si>
    <t>A 0003-00016986</t>
  </si>
  <si>
    <t>A 0003-00016987</t>
  </si>
  <si>
    <t>A 0003-00016988</t>
  </si>
  <si>
    <t>INDUSTRIAS POLET S.A.</t>
  </si>
  <si>
    <t>33-50349144-9</t>
  </si>
  <si>
    <t>A 0003-00016989</t>
  </si>
  <si>
    <t>A 0003-00016990</t>
  </si>
  <si>
    <t>A 0003-00016991</t>
  </si>
  <si>
    <t>A 0003-00016992</t>
  </si>
  <si>
    <t>A 0003-00016993</t>
  </si>
  <si>
    <t>A 0003-00016994</t>
  </si>
  <si>
    <t>A 0003-00016995</t>
  </si>
  <si>
    <t>A 0003-00016996</t>
  </si>
  <si>
    <t>A 0003-00016997</t>
  </si>
  <si>
    <t>A 0003-00016998</t>
  </si>
  <si>
    <t>A 0003-00016999</t>
  </si>
  <si>
    <t>A 0003-00017000</t>
  </si>
  <si>
    <t>A 0003-00017001</t>
  </si>
  <si>
    <t>A 0003-00017002</t>
  </si>
  <si>
    <t>A 0003-00017003</t>
  </si>
  <si>
    <t>A 0003-00017004</t>
  </si>
  <si>
    <t>A 0003-00017005</t>
  </si>
  <si>
    <t>A 0003-00017006</t>
  </si>
  <si>
    <t>A 0003-00017007</t>
  </si>
  <si>
    <t>A 0003-00017008</t>
  </si>
  <si>
    <t>A 0003-00017009</t>
  </si>
  <si>
    <t>A 0003-00017010</t>
  </si>
  <si>
    <t>A 0003-00017011</t>
  </si>
  <si>
    <t>A 0003-00017012</t>
  </si>
  <si>
    <t>A 0003-00017013</t>
  </si>
  <si>
    <t>A 0003-00017014</t>
  </si>
  <si>
    <t>A 0003-00017015</t>
  </si>
  <si>
    <t>A 0003-00017016</t>
  </si>
  <si>
    <t>A 0003-00017017</t>
  </si>
  <si>
    <t>A 0003-00017018</t>
  </si>
  <si>
    <t>A 0003-00017019</t>
  </si>
  <si>
    <t>A 0003-00017020</t>
  </si>
  <si>
    <t>A 0003-00017021</t>
  </si>
  <si>
    <t>A 0003-00017022</t>
  </si>
  <si>
    <t>A 0003-00017023</t>
  </si>
  <si>
    <t>A 0003-00017024</t>
  </si>
  <si>
    <t>A 0003-00017025</t>
  </si>
  <si>
    <t>A 0003-00017026</t>
  </si>
  <si>
    <t>A 0003-00017027</t>
  </si>
  <si>
    <t>A 0003-00017028</t>
  </si>
  <si>
    <t>A 0003-00017029</t>
  </si>
  <si>
    <t>A 0003-00017030</t>
  </si>
  <si>
    <t>A 0003-00017031</t>
  </si>
  <si>
    <t>A 0003-00017032</t>
  </si>
  <si>
    <t>A 0003-00017033</t>
  </si>
  <si>
    <t>A 0003-00017034</t>
  </si>
  <si>
    <t>A 0003-00017035</t>
  </si>
  <si>
    <t>A 0003-00017036</t>
  </si>
  <si>
    <t>A 0003-00017037</t>
  </si>
  <si>
    <t>A 0003-00017038</t>
  </si>
  <si>
    <t>A 0003-00017039</t>
  </si>
  <si>
    <t>A 0003-00017040</t>
  </si>
  <si>
    <t>A 0003-00017041</t>
  </si>
  <si>
    <t>A 0003-00017042</t>
  </si>
  <si>
    <t>A 0003-00017043</t>
  </si>
  <si>
    <t>A 0003-00017044</t>
  </si>
  <si>
    <t>A 0003-00017045</t>
  </si>
  <si>
    <t>A 0003-00017046</t>
  </si>
  <si>
    <t>ERPA S.A.C.I.F.</t>
  </si>
  <si>
    <t>33-50273425-9</t>
  </si>
  <si>
    <t>A 0003-00017047</t>
  </si>
  <si>
    <t>DIGITALI S.A.</t>
  </si>
  <si>
    <t>30-71684083-9</t>
  </si>
  <si>
    <t>A 0003-00017048</t>
  </si>
  <si>
    <t>A 0003-00017049</t>
  </si>
  <si>
    <t>A 0003-00017050</t>
  </si>
  <si>
    <t>A 0003-00017051</t>
  </si>
  <si>
    <t>A 0003-00017052</t>
  </si>
  <si>
    <t>A 0003-00017053</t>
  </si>
  <si>
    <t>MYNT SRL</t>
  </si>
  <si>
    <t>30-71729894-9</t>
  </si>
  <si>
    <t>A 0003-00017054</t>
  </si>
  <si>
    <t>A 0003-00017055</t>
  </si>
  <si>
    <t>A 0003-00017056</t>
  </si>
  <si>
    <t>A 0003-00017057</t>
  </si>
  <si>
    <t>A 0003-00017058</t>
  </si>
  <si>
    <t>A 0003-00017059</t>
  </si>
  <si>
    <t>A 0003-00017060</t>
  </si>
  <si>
    <t>A 0003-00017061</t>
  </si>
  <si>
    <t>A 0003-00017062</t>
  </si>
  <si>
    <t>A 0003-00017063</t>
  </si>
  <si>
    <t>A 0003-00017064</t>
  </si>
  <si>
    <t>A 0003-00017065</t>
  </si>
  <si>
    <t>A 0003-00017066</t>
  </si>
  <si>
    <t>A 0003-00017067</t>
  </si>
  <si>
    <t>A 0003-00017068</t>
  </si>
  <si>
    <t>A 0003-00017069</t>
  </si>
  <si>
    <t>A 0003-00017070</t>
  </si>
  <si>
    <t>R.F TEXTURE SRL</t>
  </si>
  <si>
    <t>30-68971386-2</t>
  </si>
  <si>
    <t>A 0003-00017071</t>
  </si>
  <si>
    <t>PIEDI S.A.</t>
  </si>
  <si>
    <t>30-70966254-2</t>
  </si>
  <si>
    <t>A 0003-00017072</t>
  </si>
  <si>
    <t>A 0003-00017073</t>
  </si>
  <si>
    <t>A 0003-00017074</t>
  </si>
  <si>
    <t>A 0003-00017075</t>
  </si>
  <si>
    <t>A 0003-00017076</t>
  </si>
  <si>
    <t>A 0003-00017077</t>
  </si>
  <si>
    <t>A 0003-00017078</t>
  </si>
  <si>
    <t>A 0003-00017079</t>
  </si>
  <si>
    <t>A 0003-00017080</t>
  </si>
  <si>
    <t>A 0003-00017081</t>
  </si>
  <si>
    <t>A 0003-00017082</t>
  </si>
  <si>
    <t>A 0003-00017083</t>
  </si>
  <si>
    <t>A 0003-00017084</t>
  </si>
  <si>
    <t>A 0004-00000011</t>
  </si>
  <si>
    <t>AEROSOFT SA</t>
  </si>
  <si>
    <t>A 0003-00017085</t>
  </si>
  <si>
    <t>A 0003-00017086</t>
  </si>
  <si>
    <t>A 0003-00017087</t>
  </si>
  <si>
    <t>A 0003-00017088</t>
  </si>
  <si>
    <t>A 0003-00017089</t>
  </si>
  <si>
    <t>A 0003-00017090</t>
  </si>
  <si>
    <t>A 0003-00017091</t>
  </si>
  <si>
    <t>A 0003-00017092</t>
  </si>
  <si>
    <t>A 0003-00017093</t>
  </si>
  <si>
    <t>A 0003-00017094</t>
  </si>
  <si>
    <t>A 0003-00017095</t>
  </si>
  <si>
    <t>A 0003-00017096</t>
  </si>
  <si>
    <t>A 0003-00017097</t>
  </si>
  <si>
    <t>A 0003-00017098</t>
  </si>
  <si>
    <t>A 0003-00017099</t>
  </si>
  <si>
    <t>A 0003-00017100</t>
  </si>
  <si>
    <t>A 0003-00017101</t>
  </si>
  <si>
    <t>A 0003-00017102</t>
  </si>
  <si>
    <t>A 0003-00017103</t>
  </si>
  <si>
    <t>A 0003-00017104</t>
  </si>
  <si>
    <t>A 0003-00017105</t>
  </si>
  <si>
    <t>A 0003-00017106</t>
  </si>
  <si>
    <t>A 0003-00017107</t>
  </si>
  <si>
    <t>A 0003-00017108</t>
  </si>
  <si>
    <t>A 0003-00017109</t>
  </si>
  <si>
    <t>A 0003-00017110</t>
  </si>
  <si>
    <t>A 0003-00017111</t>
  </si>
  <si>
    <t>A 0003-00017112</t>
  </si>
  <si>
    <t>AMEP S.A.</t>
  </si>
  <si>
    <t>30-71440278-8</t>
  </si>
  <si>
    <t>A 0003-00017113</t>
  </si>
  <si>
    <t>A 0003-00017114</t>
  </si>
  <si>
    <t>A 0003-00017115</t>
  </si>
  <si>
    <t>A 0003-00017116</t>
  </si>
  <si>
    <t>A 0003-00017117</t>
  </si>
  <si>
    <t>A 0003-00017118</t>
  </si>
  <si>
    <t>A 0003-00017119</t>
  </si>
  <si>
    <t>A 0003-00017120</t>
  </si>
  <si>
    <t>A 0003-00017121</t>
  </si>
  <si>
    <t>A 0003-00017122</t>
  </si>
  <si>
    <t>A 0003-00017123</t>
  </si>
  <si>
    <t>A 0003-00017124</t>
  </si>
  <si>
    <t>A 0003-00017125</t>
  </si>
  <si>
    <t>A 0003-00017126</t>
  </si>
  <si>
    <t>A 0003-00017127</t>
  </si>
  <si>
    <t>A 0003-00017128</t>
  </si>
  <si>
    <t>KUSA ARGENTINA S.A.</t>
  </si>
  <si>
    <t>30-71431049-2</t>
  </si>
  <si>
    <t>A 0003-00017129</t>
  </si>
  <si>
    <t>A 0003-00017130</t>
  </si>
  <si>
    <t>A 0003-00017131</t>
  </si>
  <si>
    <t>A 0003-00017132</t>
  </si>
  <si>
    <t>A 0003-00017133</t>
  </si>
  <si>
    <t>A 0003-00017134</t>
  </si>
  <si>
    <t>A 0003-00017135</t>
  </si>
  <si>
    <t xml:space="preserve">ILCI S.A. </t>
  </si>
  <si>
    <t>30-71569038-8</t>
  </si>
  <si>
    <t>A 0003-00017136</t>
  </si>
  <si>
    <t>A 0003-00017137</t>
  </si>
  <si>
    <t>A 0003-00017138</t>
  </si>
  <si>
    <t>A 0003-00017139</t>
  </si>
  <si>
    <t>A 0003-00017140</t>
  </si>
  <si>
    <t>A 0003-00017141</t>
  </si>
  <si>
    <t>A 0003-00017142</t>
  </si>
  <si>
    <t>A 0003-00017143</t>
  </si>
  <si>
    <t>A 0003-00017144</t>
  </si>
  <si>
    <t>A 0003-00017145</t>
  </si>
  <si>
    <t>A 0003-00017146</t>
  </si>
  <si>
    <t>A 0003-00017147</t>
  </si>
  <si>
    <t>A 0003-00017148</t>
  </si>
  <si>
    <t>PEKALE S.A</t>
  </si>
  <si>
    <t>30-71757171-8</t>
  </si>
  <si>
    <t>A 0003-00017149</t>
  </si>
  <si>
    <t>A 0003-00017150</t>
  </si>
  <si>
    <t>A 0003-00017151</t>
  </si>
  <si>
    <t>A 0003-00017152</t>
  </si>
  <si>
    <t>A 0003-00017153</t>
  </si>
  <si>
    <t>A 0003-00017154</t>
  </si>
  <si>
    <t>A 0003-00017155</t>
  </si>
  <si>
    <t>A 0003-00017156</t>
  </si>
  <si>
    <t>A 0003-00017157</t>
  </si>
  <si>
    <t>A 0003-00017158</t>
  </si>
  <si>
    <t>A 0003-00017159</t>
  </si>
  <si>
    <t>A 0003-00017160</t>
  </si>
  <si>
    <t>A 0003-00017161</t>
  </si>
  <si>
    <t>A 0003-00017162</t>
  </si>
  <si>
    <t>A 0003-00017163</t>
  </si>
  <si>
    <t>A 0003-00017164</t>
  </si>
  <si>
    <t>A 0003-00017165</t>
  </si>
  <si>
    <t>A 0003-00017166</t>
  </si>
  <si>
    <t>A 0003-00017167</t>
  </si>
  <si>
    <t>A 0003-00017168</t>
  </si>
  <si>
    <t>A 0003-00017169</t>
  </si>
  <si>
    <t>ARGENGONIA SRL</t>
  </si>
  <si>
    <t>30-71120366-0</t>
  </si>
  <si>
    <t>A 0003-00017170</t>
  </si>
  <si>
    <t>A 0003-00017171</t>
  </si>
  <si>
    <t>A 0003-00017172</t>
  </si>
  <si>
    <t>A 0003-00017173</t>
  </si>
  <si>
    <t>A 0003-00017174</t>
  </si>
  <si>
    <t>A 0003-00017175</t>
  </si>
  <si>
    <t>A 0003-00017176</t>
  </si>
  <si>
    <t>A 0003-00017177</t>
  </si>
  <si>
    <t>A 0003-00017178</t>
  </si>
  <si>
    <t>A 0003-00017179</t>
  </si>
  <si>
    <t>A 0003-00017180</t>
  </si>
  <si>
    <t>GLAMUR SRL</t>
  </si>
  <si>
    <t>30-68281029-3</t>
  </si>
  <si>
    <t>A 0003-00017181</t>
  </si>
  <si>
    <t>A 0003-00017182</t>
  </si>
  <si>
    <t>A 0003-00017183</t>
  </si>
  <si>
    <t>A 0003-00017184</t>
  </si>
  <si>
    <t>A 0003-00017185</t>
  </si>
  <si>
    <t>A 0003-00017186</t>
  </si>
  <si>
    <t>A 0003-00017187</t>
  </si>
  <si>
    <t>A 0003-00017188</t>
  </si>
  <si>
    <t>A 0003-00017189</t>
  </si>
  <si>
    <t>EMPRENDIMIENTO INDUSTRIAL MEDITERRANEO</t>
  </si>
  <si>
    <t>30-70956858-9</t>
  </si>
  <si>
    <t>A 0003-00017190</t>
  </si>
  <si>
    <t>A 0003-00017191</t>
  </si>
  <si>
    <t>A 0003-00017192</t>
  </si>
  <si>
    <t>A 0003-00017193</t>
  </si>
  <si>
    <t>A 0003-00017194</t>
  </si>
  <si>
    <t>CONCEPT CINEMA S.A.</t>
  </si>
  <si>
    <t>30-71438778-9</t>
  </si>
  <si>
    <t>A 0003-00017195</t>
  </si>
  <si>
    <t>A 0003-00017196</t>
  </si>
  <si>
    <t>A 0003-00017197</t>
  </si>
  <si>
    <t>A 0003-00017198</t>
  </si>
  <si>
    <t>A 0003-00017199</t>
  </si>
  <si>
    <t>A 0003-00017200</t>
  </si>
  <si>
    <t>A 0003-00017201</t>
  </si>
  <si>
    <t>A 0003-00017202</t>
  </si>
  <si>
    <t>A 0003-00017203</t>
  </si>
  <si>
    <t>A 0003-00017204</t>
  </si>
  <si>
    <t>A 0003-00017205</t>
  </si>
  <si>
    <t>A 0003-00017206</t>
  </si>
  <si>
    <t>A 0003-00017207</t>
  </si>
  <si>
    <t>A 0003-00017208</t>
  </si>
  <si>
    <t>A 0003-00017209</t>
  </si>
  <si>
    <t>A 0003-00017210</t>
  </si>
  <si>
    <t>A 0003-00017211</t>
  </si>
  <si>
    <t>A 0003-00017212</t>
  </si>
  <si>
    <t>A 0003-00017213</t>
  </si>
  <si>
    <t>A 0003-00017214</t>
  </si>
  <si>
    <t>A 0003-00017215</t>
  </si>
  <si>
    <t>A 0003-00017216</t>
  </si>
  <si>
    <t>A 0003-00017217</t>
  </si>
  <si>
    <t>A 0003-00017218</t>
  </si>
  <si>
    <t>A 0003-00017219</t>
  </si>
  <si>
    <t>A 0003-00017220</t>
  </si>
  <si>
    <t>A 0003-00017221</t>
  </si>
  <si>
    <t>A 0003-00017222</t>
  </si>
  <si>
    <t>A 0003-00017223</t>
  </si>
  <si>
    <t>A 0003-00017224</t>
  </si>
  <si>
    <t>A 0003-00017225</t>
  </si>
  <si>
    <t>A 0003-00017226</t>
  </si>
  <si>
    <t>A 0003-00017227</t>
  </si>
  <si>
    <t>A 0003-00017228</t>
  </si>
  <si>
    <t>A 0003-00017229</t>
  </si>
  <si>
    <t>A 0003-00017230</t>
  </si>
  <si>
    <t>ALMABUDHA SRL</t>
  </si>
  <si>
    <t>30-70885618-1</t>
  </si>
  <si>
    <t>A 0003-00017231</t>
  </si>
  <si>
    <t>A 0003-00017232</t>
  </si>
  <si>
    <t>A 0003-00017233</t>
  </si>
  <si>
    <t>A 0003-00017234</t>
  </si>
  <si>
    <t>A 0003-00017235</t>
  </si>
  <si>
    <t>A 0003-00017236</t>
  </si>
  <si>
    <t>A 0003-00017237</t>
  </si>
  <si>
    <t>A 0003-00017238</t>
  </si>
  <si>
    <t>A 0003-00017239</t>
  </si>
  <si>
    <t>A 0003-00017240</t>
  </si>
  <si>
    <t>A 0003-00017241</t>
  </si>
  <si>
    <t>A 0003-00017242</t>
  </si>
  <si>
    <t>A 0003-00017243</t>
  </si>
  <si>
    <t>A 0003-00017244</t>
  </si>
  <si>
    <t>LATINAMERICAN TRADING COMPANY S.A.S</t>
  </si>
  <si>
    <t>30-71594852-0</t>
  </si>
  <si>
    <t>A 0003-00017245</t>
  </si>
  <si>
    <t>A 0003-00017246</t>
  </si>
  <si>
    <t>A 0003-00017247</t>
  </si>
  <si>
    <t>A 0003-00017248</t>
  </si>
  <si>
    <t>A 0003-00017249</t>
  </si>
  <si>
    <t>A 0003-00017250</t>
  </si>
  <si>
    <t>A 0003-00017251</t>
  </si>
  <si>
    <t>A 0003-00017252</t>
  </si>
  <si>
    <t>A 0003-00017253</t>
  </si>
  <si>
    <t>A 0003-00017254</t>
  </si>
  <si>
    <t>A 0003-00017255</t>
  </si>
  <si>
    <t>A 0003-00017256</t>
  </si>
  <si>
    <t>A 0003-00017257</t>
  </si>
  <si>
    <t>A 0003-00017258</t>
  </si>
  <si>
    <t>A 0003-00017259</t>
  </si>
  <si>
    <t>A 0003-00017260</t>
  </si>
  <si>
    <t>A 0003-00017261</t>
  </si>
  <si>
    <t>A 0003-00017262</t>
  </si>
  <si>
    <t>A 0003-00017263</t>
  </si>
  <si>
    <t>A 0003-00017264</t>
  </si>
  <si>
    <t>A 0003-00017265</t>
  </si>
  <si>
    <t>A 0003-00017266</t>
  </si>
  <si>
    <t>A 0003-00017267</t>
  </si>
  <si>
    <t>A 0003-00017268</t>
  </si>
  <si>
    <t>A 0003-00017269</t>
  </si>
  <si>
    <t>A 0003-00017270</t>
  </si>
  <si>
    <t>A 0003-00017271</t>
  </si>
  <si>
    <t>A 0003-00017272</t>
  </si>
  <si>
    <t>A 0003-00017273</t>
  </si>
  <si>
    <t>A 0003-00017274</t>
  </si>
  <si>
    <t>A 0003-00017275</t>
  </si>
  <si>
    <t>A 0003-00017276</t>
  </si>
  <si>
    <t>A 0003-00017277</t>
  </si>
  <si>
    <t>A 0003-00017278</t>
  </si>
  <si>
    <t>A 0003-00017279</t>
  </si>
  <si>
    <t>A 0003-00017280</t>
  </si>
  <si>
    <t>A 0003-00017281</t>
  </si>
  <si>
    <t>A 0003-00017282</t>
  </si>
  <si>
    <t>A 0003-00017283</t>
  </si>
  <si>
    <t>A 0003-00017284</t>
  </si>
  <si>
    <t>A 0003-00017285</t>
  </si>
  <si>
    <t>A 0003-00017286</t>
  </si>
  <si>
    <t>A 0003-00017287</t>
  </si>
  <si>
    <t>A 0003-00017288</t>
  </si>
  <si>
    <t>A 0003-00017289</t>
  </si>
  <si>
    <t>A 0003-00017290</t>
  </si>
  <si>
    <t>A 0003-00017291</t>
  </si>
  <si>
    <t>A 0003-00017292</t>
  </si>
  <si>
    <t>A 0003-00017293</t>
  </si>
  <si>
    <t>A 0003-00017294</t>
  </si>
  <si>
    <t>A 0003-00017295</t>
  </si>
  <si>
    <t>A 0003-00017296</t>
  </si>
  <si>
    <t>A 0003-00017297</t>
  </si>
  <si>
    <t>A 0003-00017298</t>
  </si>
  <si>
    <t>A 0003-00017299</t>
  </si>
  <si>
    <t>A 0003-00017300</t>
  </si>
  <si>
    <t>A 0003-00017301</t>
  </si>
  <si>
    <t>A 0003-00017302</t>
  </si>
  <si>
    <t>A 0003-00017303</t>
  </si>
  <si>
    <t>A 0003-00017304</t>
  </si>
  <si>
    <t>A 0003-00017305</t>
  </si>
  <si>
    <t>A 0003-00017306</t>
  </si>
  <si>
    <t>A 0003-00017307</t>
  </si>
  <si>
    <t>A 0003-00017308</t>
  </si>
  <si>
    <t>A 0003-00017309</t>
  </si>
  <si>
    <t>A 0003-00017310</t>
  </si>
  <si>
    <t>A 0003-00017311</t>
  </si>
  <si>
    <t>A 0003-00017312</t>
  </si>
  <si>
    <t>A 0003-00017313</t>
  </si>
  <si>
    <t>A 0003-00017314</t>
  </si>
  <si>
    <t>A 0003-00017315</t>
  </si>
  <si>
    <t>A 0003-00017316</t>
  </si>
  <si>
    <t>A 0003-00017317</t>
  </si>
  <si>
    <t>A 0003-00017318</t>
  </si>
  <si>
    <t>A 0003-00017319</t>
  </si>
  <si>
    <t>A 0003-00017320</t>
  </si>
  <si>
    <t>A 0003-00017321</t>
  </si>
  <si>
    <t>A 0003-00017322</t>
  </si>
  <si>
    <t>A 0003-00017323</t>
  </si>
  <si>
    <t>A 0003-00017324</t>
  </si>
  <si>
    <t>A 0003-00017325</t>
  </si>
  <si>
    <t>A 0003-00017326</t>
  </si>
  <si>
    <t>A 0003-00017327</t>
  </si>
  <si>
    <t>PATKAS SRL</t>
  </si>
  <si>
    <t>30-71152144-1</t>
  </si>
  <si>
    <t>A 0003-00017328</t>
  </si>
  <si>
    <t>A 0003-00017329</t>
  </si>
  <si>
    <t>A 0003-00017330</t>
  </si>
  <si>
    <t>A 0003-00017331</t>
  </si>
  <si>
    <t>A 0003-00017332</t>
  </si>
  <si>
    <t>A 0003-00017333</t>
  </si>
  <si>
    <t>A 0003-00017334</t>
  </si>
  <si>
    <t>A 0003-00017335</t>
  </si>
  <si>
    <t>A 0003-00017336</t>
  </si>
  <si>
    <t>A 0003-00017337</t>
  </si>
  <si>
    <t>A 0003-00017338</t>
  </si>
  <si>
    <t>A 0003-00017339</t>
  </si>
  <si>
    <t>A 0003-00017340</t>
  </si>
  <si>
    <t>A 0003-00017341</t>
  </si>
  <si>
    <t>A 0003-00017342</t>
  </si>
  <si>
    <t>A 0003-00017343</t>
  </si>
  <si>
    <t>A 0003-00017344</t>
  </si>
  <si>
    <t>A 0003-00017345</t>
  </si>
  <si>
    <t>A 0003-00017346</t>
  </si>
  <si>
    <t>A 0003-00017347</t>
  </si>
  <si>
    <t>A 0003-00017348</t>
  </si>
  <si>
    <t>A 0003-00017349</t>
  </si>
  <si>
    <t>A 0003-00017350</t>
  </si>
  <si>
    <t>A 0003-00017351</t>
  </si>
  <si>
    <t>A 0003-00017352</t>
  </si>
  <si>
    <t>A 0003-00017353</t>
  </si>
  <si>
    <t>A 0003-00017354</t>
  </si>
  <si>
    <t>A 0003-00017355</t>
  </si>
  <si>
    <t>A 0003-00017356</t>
  </si>
  <si>
    <t>A 0003-00017357</t>
  </si>
  <si>
    <t>A 0003-00017358</t>
  </si>
  <si>
    <t>A 0003-00017359</t>
  </si>
  <si>
    <t>A 0003-00017360</t>
  </si>
  <si>
    <t>A 0003-00017361</t>
  </si>
  <si>
    <t>A 0003-00017362</t>
  </si>
  <si>
    <t>A 0003-00017363</t>
  </si>
  <si>
    <t>A 0003-00017364</t>
  </si>
  <si>
    <t>A 0003-00017365</t>
  </si>
  <si>
    <t>A 0003-00017366</t>
  </si>
  <si>
    <t>A 0003-00017367</t>
  </si>
  <si>
    <t>A 0003-00017368</t>
  </si>
  <si>
    <t>A 0003-00017369</t>
  </si>
  <si>
    <t>A 0003-00017370</t>
  </si>
  <si>
    <t>A 0003-00017371</t>
  </si>
  <si>
    <t>A 0003-00017372</t>
  </si>
  <si>
    <t>IUNUR S.A.</t>
  </si>
  <si>
    <t>30-70952195-7</t>
  </si>
  <si>
    <t>A 0003-00017373</t>
  </si>
  <si>
    <t>A 0003-00017374</t>
  </si>
  <si>
    <t>A 0003-00017375</t>
  </si>
  <si>
    <t>NL RECOR S.A.S.</t>
  </si>
  <si>
    <t>30-71663438-4</t>
  </si>
  <si>
    <t>A 0003-00017376</t>
  </si>
  <si>
    <t>A 0003-00017377</t>
  </si>
  <si>
    <t>A 0003-00017378</t>
  </si>
  <si>
    <t>A 0003-00017379</t>
  </si>
  <si>
    <t>A 0003-00017380</t>
  </si>
  <si>
    <t>A 0003-00017381</t>
  </si>
  <si>
    <t>A 0003-00017382</t>
  </si>
  <si>
    <t>A 0003-00017383</t>
  </si>
  <si>
    <t>A 0003-00017384</t>
  </si>
  <si>
    <t>A 0003-00017385</t>
  </si>
  <si>
    <t>A 0003-00017386</t>
  </si>
  <si>
    <t>A 0003-00017387</t>
  </si>
  <si>
    <t>A 0003-00017388</t>
  </si>
  <si>
    <t>A 0003-00017389</t>
  </si>
  <si>
    <t>A 0003-00017390</t>
  </si>
  <si>
    <t>A 0003-00017391</t>
  </si>
  <si>
    <t>A 0004-00000012</t>
  </si>
  <si>
    <t>A 0003-00000111</t>
  </si>
  <si>
    <t>A 0003-00000112</t>
  </si>
  <si>
    <t>A 0003-00000113</t>
  </si>
  <si>
    <t>A 0003-00000114</t>
  </si>
  <si>
    <t>A 0003-00000115</t>
  </si>
  <si>
    <t>A 0003-00000116</t>
  </si>
  <si>
    <t>A 0003-00000117</t>
  </si>
  <si>
    <t>CINEMA</t>
  </si>
  <si>
    <t>AEROSOFT</t>
  </si>
  <si>
    <t>A 0003-00017392</t>
  </si>
  <si>
    <t>A 0003-00017393</t>
  </si>
  <si>
    <t>A 0003-00017394</t>
  </si>
  <si>
    <t>A 0003-00017395</t>
  </si>
  <si>
    <t>A 0003-00017396</t>
  </si>
  <si>
    <t>A 0003-00017397</t>
  </si>
  <si>
    <t>A 0003-00017398</t>
  </si>
  <si>
    <t>A 0003-00017399</t>
  </si>
  <si>
    <t>A 0003-00017400</t>
  </si>
  <si>
    <t>A 0003-00017401</t>
  </si>
  <si>
    <t>A 0003-00017402</t>
  </si>
  <si>
    <t>A 0003-00017403</t>
  </si>
  <si>
    <t>A 0003-00017404</t>
  </si>
  <si>
    <t>A 0003-00017405</t>
  </si>
  <si>
    <t>A 0003-00017406</t>
  </si>
  <si>
    <t>A 0003-00017407</t>
  </si>
  <si>
    <t>A 0003-00017408</t>
  </si>
  <si>
    <t>A 0003-00017409</t>
  </si>
  <si>
    <t>A 0003-00017410</t>
  </si>
  <si>
    <t>A 0003-00017411</t>
  </si>
  <si>
    <t>A 0003-00017412</t>
  </si>
  <si>
    <t>A 0003-00017413</t>
  </si>
  <si>
    <t>A 0003-00017414</t>
  </si>
  <si>
    <t>A 0003-00017415</t>
  </si>
  <si>
    <t>A 0003-00017416</t>
  </si>
  <si>
    <t>A 0003-00017417</t>
  </si>
  <si>
    <t>A 0003-00017418</t>
  </si>
  <si>
    <t>A 0003-00017419</t>
  </si>
  <si>
    <t>A 0003-00017420</t>
  </si>
  <si>
    <t>A 0003-00017421</t>
  </si>
  <si>
    <t>A 0003-00017422</t>
  </si>
  <si>
    <t>A 0003-00017423</t>
  </si>
  <si>
    <t>A 0003-00017424</t>
  </si>
  <si>
    <t>A 0003-00017425</t>
  </si>
  <si>
    <t>A 0003-00017426</t>
  </si>
  <si>
    <t>A 0003-00017427</t>
  </si>
  <si>
    <t>A 0003-00017428</t>
  </si>
  <si>
    <t>A 0003-00017429</t>
  </si>
  <si>
    <t>A 0003-00017430</t>
  </si>
  <si>
    <t>A 0003-00017431</t>
  </si>
  <si>
    <t>A 0003-00017432</t>
  </si>
  <si>
    <t>A 0003-00017433</t>
  </si>
  <si>
    <t>A 0003-00017434</t>
  </si>
  <si>
    <t>A 0003-00017435</t>
  </si>
  <si>
    <t>A 0003-00017436</t>
  </si>
  <si>
    <t>A 0003-00017437</t>
  </si>
  <si>
    <t>A 0003-00017438</t>
  </si>
  <si>
    <t>A 0003-00017439</t>
  </si>
  <si>
    <t>A 0003-00017440</t>
  </si>
  <si>
    <t>A 0003-00017441</t>
  </si>
  <si>
    <t>A 0003-00017442</t>
  </si>
  <si>
    <t>A 0003-00017443</t>
  </si>
  <si>
    <t>A 0003-00017444</t>
  </si>
  <si>
    <t>A 0003-00017445</t>
  </si>
  <si>
    <t>A 0003-00017446</t>
  </si>
  <si>
    <t>A 0003-00017447</t>
  </si>
  <si>
    <t>A 0003-00017448</t>
  </si>
  <si>
    <t>A 0003-00017449</t>
  </si>
  <si>
    <t>A 0003-00017450</t>
  </si>
  <si>
    <t>A 0003-00017451</t>
  </si>
  <si>
    <t>A 0003-00017452</t>
  </si>
  <si>
    <t>A 0003-00017453</t>
  </si>
  <si>
    <t>A 0003-00017454</t>
  </si>
  <si>
    <t>A 0003-00017455</t>
  </si>
  <si>
    <t>A 0003-00017456</t>
  </si>
  <si>
    <t>A 0003-00017457</t>
  </si>
  <si>
    <t>A 0003-00017458</t>
  </si>
  <si>
    <t>A 0003-00017459</t>
  </si>
  <si>
    <t>A 0003-00017460</t>
  </si>
  <si>
    <t>A 0003-00017461</t>
  </si>
  <si>
    <t>A 0003-00017462</t>
  </si>
  <si>
    <t>A 0003-00017463</t>
  </si>
  <si>
    <t>A 0003-00017464</t>
  </si>
  <si>
    <t>A 0003-00017465</t>
  </si>
  <si>
    <t>A 0003-00017466</t>
  </si>
  <si>
    <t>A 0003-00017467</t>
  </si>
  <si>
    <t>A 0003-00017468</t>
  </si>
  <si>
    <t>A 0003-00017469</t>
  </si>
  <si>
    <t>A 0003-00017470</t>
  </si>
  <si>
    <t>A 0003-00017471</t>
  </si>
  <si>
    <t>A 0003-00017472</t>
  </si>
  <si>
    <t>A 0003-00017473</t>
  </si>
  <si>
    <t>A 0003-00017474</t>
  </si>
  <si>
    <t>A 0003-00017475</t>
  </si>
  <si>
    <t>A 0003-00017476</t>
  </si>
  <si>
    <t>A 0003-00017477</t>
  </si>
  <si>
    <t>A 0003-00017478</t>
  </si>
  <si>
    <t>A 0003-00017479</t>
  </si>
  <si>
    <t>A 0003-00017480</t>
  </si>
  <si>
    <t>A 0003-00017481</t>
  </si>
  <si>
    <t>A 0003-00017482</t>
  </si>
  <si>
    <t>A 0003-00017483</t>
  </si>
  <si>
    <t>A 0003-00017484</t>
  </si>
  <si>
    <t>A 0003-00017485</t>
  </si>
  <si>
    <t>A 0003-00017486</t>
  </si>
  <si>
    <t>A 0003-00017487</t>
  </si>
  <si>
    <t>A 0003-00017488</t>
  </si>
  <si>
    <t>A 0003-00017489</t>
  </si>
  <si>
    <t>A 0003-00017490</t>
  </si>
  <si>
    <t>A 0003-00017491</t>
  </si>
  <si>
    <t>A 0003-00017492</t>
  </si>
  <si>
    <t>A 0003-00017493</t>
  </si>
  <si>
    <t>A 0003-00017494</t>
  </si>
  <si>
    <t>A 0003-00017495</t>
  </si>
  <si>
    <t>A 0003-00017496</t>
  </si>
  <si>
    <t>A 0003-00017497</t>
  </si>
  <si>
    <t>A 0003-00017498</t>
  </si>
  <si>
    <t>A 0003-00017499</t>
  </si>
  <si>
    <t>A 0003-00017500</t>
  </si>
  <si>
    <t>A 0003-00017501</t>
  </si>
  <si>
    <t>EVENTSPORTS SRL</t>
  </si>
  <si>
    <t>30-71694615-7</t>
  </si>
  <si>
    <t>A 0003-00017502</t>
  </si>
  <si>
    <t>A 0003-00017503</t>
  </si>
  <si>
    <t>A 0003-00017504</t>
  </si>
  <si>
    <t>A 0003-00017505</t>
  </si>
  <si>
    <t>ATK SA</t>
  </si>
  <si>
    <t>30-71641597-6</t>
  </si>
  <si>
    <t>A 0003-00017506</t>
  </si>
  <si>
    <t>A 0003-00017507</t>
  </si>
  <si>
    <t>A 0003-00017508</t>
  </si>
  <si>
    <t>A 0003-00017509</t>
  </si>
  <si>
    <t>A 0003-00017510</t>
  </si>
  <si>
    <t>A 0003-00017511</t>
  </si>
  <si>
    <t>A 0003-00017512</t>
  </si>
  <si>
    <t>A 0003-00017513</t>
  </si>
  <si>
    <t>A 0003-00017514</t>
  </si>
  <si>
    <t>A 0003-00017515</t>
  </si>
  <si>
    <t>A 0003-00017516</t>
  </si>
  <si>
    <t>A 0003-00017517</t>
  </si>
  <si>
    <t>A 0003-00017518</t>
  </si>
  <si>
    <t>A 0003-00017519</t>
  </si>
  <si>
    <t>A 0003-00017520</t>
  </si>
  <si>
    <t>A 0003-00017521</t>
  </si>
  <si>
    <t>A 0003-00017522</t>
  </si>
  <si>
    <t>A 0003-00017523</t>
  </si>
  <si>
    <t>A 0003-00017524</t>
  </si>
  <si>
    <t>A 0003-00017525</t>
  </si>
  <si>
    <t>A 0003-00017526</t>
  </si>
  <si>
    <t>A 0003-00017527</t>
  </si>
  <si>
    <t>A 0003-00017528</t>
  </si>
  <si>
    <t>NEA TEX S.A.</t>
  </si>
  <si>
    <t>30-71662047-2</t>
  </si>
  <si>
    <t>A 0003-00017529</t>
  </si>
  <si>
    <t>A 0003-00017530</t>
  </si>
  <si>
    <t>A 0003-00017531</t>
  </si>
  <si>
    <t>A 0003-00017532</t>
  </si>
  <si>
    <t>A 0003-00017533</t>
  </si>
  <si>
    <t>A 0003-00017534</t>
  </si>
  <si>
    <t>A 0003-00017535</t>
  </si>
  <si>
    <t>A 0003-00017536</t>
  </si>
  <si>
    <t>A 0003-00017537</t>
  </si>
  <si>
    <t>A 0003-00017538</t>
  </si>
  <si>
    <t>A 0003-00017539</t>
  </si>
  <si>
    <t>A 0003-00017540</t>
  </si>
  <si>
    <t>A 0003-00017541</t>
  </si>
  <si>
    <t>A 0003-00017542</t>
  </si>
  <si>
    <t>A 0003-00017543</t>
  </si>
  <si>
    <t>A 0003-00017544</t>
  </si>
  <si>
    <t>A 0003-00017545</t>
  </si>
  <si>
    <t>A 0003-00017546</t>
  </si>
  <si>
    <t>A 0003-00017547</t>
  </si>
  <si>
    <t>A 0003-00017548</t>
  </si>
  <si>
    <t>A 0003-00017549</t>
  </si>
  <si>
    <t>A 0003-00017550</t>
  </si>
  <si>
    <t>A 0003-00017551</t>
  </si>
  <si>
    <t>A 0003-00017552</t>
  </si>
  <si>
    <t>A 0003-00017553</t>
  </si>
  <si>
    <t>A 0003-00017554</t>
  </si>
  <si>
    <t>A 0003-00017555</t>
  </si>
  <si>
    <t>A 0003-00017556</t>
  </si>
  <si>
    <t>A 0003-00017557</t>
  </si>
  <si>
    <t>A 0003-00017558</t>
  </si>
  <si>
    <t>A 0003-00017559</t>
  </si>
  <si>
    <t>A 0003-00017560</t>
  </si>
  <si>
    <t>A 0003-00017561</t>
  </si>
  <si>
    <t>A 0003-00017562</t>
  </si>
  <si>
    <t>A 0003-00017563</t>
  </si>
  <si>
    <t>A 0003-00017564</t>
  </si>
  <si>
    <t>A 0003-00017565</t>
  </si>
  <si>
    <t>A 0003-00017566</t>
  </si>
  <si>
    <t>A 0003-00017567</t>
  </si>
  <si>
    <t>A 0003-00017568</t>
  </si>
  <si>
    <t>A 0003-00017569</t>
  </si>
  <si>
    <t>A 0003-00017570</t>
  </si>
  <si>
    <t>A 0003-00017571</t>
  </si>
  <si>
    <t>A 0003-00017572</t>
  </si>
  <si>
    <t>A 0003-00017573</t>
  </si>
  <si>
    <t>A 0003-00017574</t>
  </si>
  <si>
    <t>A 0003-00017575</t>
  </si>
  <si>
    <t>A 0003-00017576</t>
  </si>
  <si>
    <t>A 0003-00017577</t>
  </si>
  <si>
    <t>A 0003-00017578</t>
  </si>
  <si>
    <t>A 0003-00017579</t>
  </si>
  <si>
    <t>A 0003-00017580</t>
  </si>
  <si>
    <t>A 0003-00017581</t>
  </si>
  <si>
    <t>A 0003-00017582</t>
  </si>
  <si>
    <t>A 0003-00017583</t>
  </si>
  <si>
    <t>A 0003-00017584</t>
  </si>
  <si>
    <t>A 0003-00017585</t>
  </si>
  <si>
    <t>A 0003-00017586</t>
  </si>
  <si>
    <t>A 0003-00017587</t>
  </si>
  <si>
    <t>A 0003-00017588</t>
  </si>
  <si>
    <t>A 0003-00017589</t>
  </si>
  <si>
    <t>FELITERE ARG S.A.</t>
  </si>
  <si>
    <t>33-71687606-9</t>
  </si>
  <si>
    <t>A 0003-00017590</t>
  </si>
  <si>
    <t>A 0003-00017591</t>
  </si>
  <si>
    <t>A 0003-00017592</t>
  </si>
  <si>
    <t>A 0003-00017593</t>
  </si>
  <si>
    <t>A 0003-00017594</t>
  </si>
  <si>
    <t>A 0003-00017595</t>
  </si>
  <si>
    <t>A 0003-00017596</t>
  </si>
  <si>
    <t>A 0003-00017597</t>
  </si>
  <si>
    <t>A 0003-00017598</t>
  </si>
  <si>
    <t>A 0003-00017599</t>
  </si>
  <si>
    <t>A 0003-00017600</t>
  </si>
  <si>
    <t>PPR SOLUTION SRL</t>
  </si>
  <si>
    <t>30-71159500-3</t>
  </si>
  <si>
    <t>A 0003-00017601</t>
  </si>
  <si>
    <t>A 0003-00017602</t>
  </si>
  <si>
    <t>A 0003-00017603</t>
  </si>
  <si>
    <t>A 0003-00017604</t>
  </si>
  <si>
    <t>A 0003-00017605</t>
  </si>
  <si>
    <t>A 0003-00017606</t>
  </si>
  <si>
    <t>A 0003-00017607</t>
  </si>
  <si>
    <t>A 0003-00017608</t>
  </si>
  <si>
    <t>A 0003-00017609</t>
  </si>
  <si>
    <t>A 0003-00017610</t>
  </si>
  <si>
    <t>A 0003-00017611</t>
  </si>
  <si>
    <t>A 0003-00017612</t>
  </si>
  <si>
    <t>A 0003-00017613</t>
  </si>
  <si>
    <t>A 0003-00017614</t>
  </si>
  <si>
    <t>A 0003-00017615</t>
  </si>
  <si>
    <t>A 0003-00017616</t>
  </si>
  <si>
    <t>A 0003-00017617</t>
  </si>
  <si>
    <t>A 0003-00017618</t>
  </si>
  <si>
    <t>A 0003-00017619</t>
  </si>
  <si>
    <t>A 0003-00017620</t>
  </si>
  <si>
    <t>A 0003-00017621</t>
  </si>
  <si>
    <t>A 0003-00017622</t>
  </si>
  <si>
    <t>A 0003-00017623</t>
  </si>
  <si>
    <t>A 0003-00017624</t>
  </si>
  <si>
    <t>A 0003-00017625</t>
  </si>
  <si>
    <t>A 0003-00017626</t>
  </si>
  <si>
    <t>A 0003-00017627</t>
  </si>
  <si>
    <t>A 0003-00017628</t>
  </si>
  <si>
    <t>A 0003-00017629</t>
  </si>
  <si>
    <t>A 0003-00017630</t>
  </si>
  <si>
    <t>A 0003-00017631</t>
  </si>
  <si>
    <t>A 0003-00017632</t>
  </si>
  <si>
    <t>A 0003-00017633</t>
  </si>
  <si>
    <t>A 0003-00017634</t>
  </si>
  <si>
    <t>A 0003-00017635</t>
  </si>
  <si>
    <t>A 0003-00017636</t>
  </si>
  <si>
    <t>A 0003-00017637</t>
  </si>
  <si>
    <t>A 0003-00017638</t>
  </si>
  <si>
    <t>A 0003-00017639</t>
  </si>
  <si>
    <t>A 0003-00017640</t>
  </si>
  <si>
    <t>A 0003-00017641</t>
  </si>
  <si>
    <t>A 0003-00017642</t>
  </si>
  <si>
    <t>A 0003-00017643</t>
  </si>
  <si>
    <t>A 0003-00017644</t>
  </si>
  <si>
    <t>A 0003-00017645</t>
  </si>
  <si>
    <t>A 0003-00017646</t>
  </si>
  <si>
    <t>A 0003-00017647</t>
  </si>
  <si>
    <t>A 0003-00017648</t>
  </si>
  <si>
    <t>A 0003-00017649</t>
  </si>
  <si>
    <t>A 0004-00000013</t>
  </si>
  <si>
    <t>A 0004-00000014</t>
  </si>
  <si>
    <t>A 0004-00000015</t>
  </si>
  <si>
    <t>A 0003-00017650</t>
  </si>
  <si>
    <t>A 0003-00017651</t>
  </si>
  <si>
    <t>A 0003-00017652</t>
  </si>
  <si>
    <t>A 0003-00017653</t>
  </si>
  <si>
    <t>A 0003-00017654</t>
  </si>
  <si>
    <t>A 0003-00017655</t>
  </si>
  <si>
    <t>A 0003-00017656</t>
  </si>
  <si>
    <t>A 0003-00017657</t>
  </si>
  <si>
    <t>A 0003-00017658</t>
  </si>
  <si>
    <t>A 0003-00017659</t>
  </si>
  <si>
    <t>A 0003-00017660</t>
  </si>
  <si>
    <t>A 0003-00017661</t>
  </si>
  <si>
    <t>A 0003-00017662</t>
  </si>
  <si>
    <t>A 0003-00017663</t>
  </si>
  <si>
    <t>A 0003-00017664</t>
  </si>
  <si>
    <t>A 0003-00017665</t>
  </si>
  <si>
    <t>A 0003-00017666</t>
  </si>
  <si>
    <t>A 0003-00017667</t>
  </si>
  <si>
    <t>A 0003-00017668</t>
  </si>
  <si>
    <t>A 0003-00017669</t>
  </si>
  <si>
    <t>A 0003-00017670</t>
  </si>
  <si>
    <t>A 0003-00017671</t>
  </si>
  <si>
    <t>A 0003-00017672</t>
  </si>
  <si>
    <t>A 0003-00017673</t>
  </si>
  <si>
    <t>A 0003-00017674</t>
  </si>
  <si>
    <t>A 0003-00017675</t>
  </si>
  <si>
    <t>A 0003-00017676</t>
  </si>
  <si>
    <t>A 0003-00017677</t>
  </si>
  <si>
    <t>A 0003-00017678</t>
  </si>
  <si>
    <t>A 0003-00017679</t>
  </si>
  <si>
    <t>A 0003-00017680</t>
  </si>
  <si>
    <t>A 0003-00017681</t>
  </si>
  <si>
    <t>A 0003-00017682</t>
  </si>
  <si>
    <t>A 0003-00017683</t>
  </si>
  <si>
    <t>A 0003-00017684</t>
  </si>
  <si>
    <t>A 0003-00017685</t>
  </si>
  <si>
    <t>A 0003-00017686</t>
  </si>
  <si>
    <t>A 0003-00017687</t>
  </si>
  <si>
    <t>A 0003-00017688</t>
  </si>
  <si>
    <t>A 0003-00017689</t>
  </si>
  <si>
    <t>A 0003-00017690</t>
  </si>
  <si>
    <t>A 0003-00017691</t>
  </si>
  <si>
    <t>A 0003-00017692</t>
  </si>
  <si>
    <t>A 0003-00017693</t>
  </si>
  <si>
    <t>A 0003-00017694</t>
  </si>
  <si>
    <t>A 0003-00017695</t>
  </si>
  <si>
    <t>A 0003-00017696</t>
  </si>
  <si>
    <t>A 0003-00017697</t>
  </si>
  <si>
    <t>A 0003-00017698</t>
  </si>
  <si>
    <t>A 0003-00017699</t>
  </si>
  <si>
    <t>A 0003-00017700</t>
  </si>
  <si>
    <t>A 0003-00017701</t>
  </si>
  <si>
    <t>A 0003-00017702</t>
  </si>
  <si>
    <t>A 0003-00017703</t>
  </si>
  <si>
    <t>A 0003-00017704</t>
  </si>
  <si>
    <t>A 0003-00017705</t>
  </si>
  <si>
    <t>A 0003-00017706</t>
  </si>
  <si>
    <t>A 0003-00017707</t>
  </si>
  <si>
    <t>A 0003-00017708</t>
  </si>
  <si>
    <t>A 0003-00017709</t>
  </si>
  <si>
    <t>A 0003-00017710</t>
  </si>
  <si>
    <t>A 0003-00017711</t>
  </si>
  <si>
    <t>A 0003-00017712</t>
  </si>
  <si>
    <t>A 0003-00017713</t>
  </si>
  <si>
    <t>A 0003-00017714</t>
  </si>
  <si>
    <t>A 0003-00017715</t>
  </si>
  <si>
    <t>A 0003-00017716</t>
  </si>
  <si>
    <t>A 0003-00017717</t>
  </si>
  <si>
    <t>A 0003-00017718</t>
  </si>
  <si>
    <t>A 0003-00017719</t>
  </si>
  <si>
    <t>A 0003-00017720</t>
  </si>
  <si>
    <t>A 0003-00017721</t>
  </si>
  <si>
    <t>A 0003-00017722</t>
  </si>
  <si>
    <t>A 0003-00017723</t>
  </si>
  <si>
    <t>A 0003-00017724</t>
  </si>
  <si>
    <t>A 0003-00017725</t>
  </si>
  <si>
    <t>A 0003-00017726</t>
  </si>
  <si>
    <t>A 0003-00017727</t>
  </si>
  <si>
    <t>A 0003-00017728</t>
  </si>
  <si>
    <t>A 0003-00017729</t>
  </si>
  <si>
    <t>A 0003-00017730</t>
  </si>
  <si>
    <t>A 0003-00017731</t>
  </si>
  <si>
    <t>A 0003-00017732</t>
  </si>
  <si>
    <t>A 0003-00017733</t>
  </si>
  <si>
    <t>A 0003-00017734</t>
  </si>
  <si>
    <t>A 0003-00017735</t>
  </si>
  <si>
    <t>A 0003-00017736</t>
  </si>
  <si>
    <t>A 0003-00017737</t>
  </si>
  <si>
    <t>A 0003-00017738</t>
  </si>
  <si>
    <t>A 0003-00017739</t>
  </si>
  <si>
    <t>A 0003-00017740</t>
  </si>
  <si>
    <t>A 0003-00017741</t>
  </si>
  <si>
    <t>A 0003-00017742</t>
  </si>
  <si>
    <t>A 0003-00017743</t>
  </si>
  <si>
    <t>A 0003-00017744</t>
  </si>
  <si>
    <t>A 0003-00017745</t>
  </si>
  <si>
    <t>PEDRO D ANGELO E HIJOS SRL</t>
  </si>
  <si>
    <t>30-59697343-0</t>
  </si>
  <si>
    <t>A 0003-00017746</t>
  </si>
  <si>
    <t>A 0003-00017747</t>
  </si>
  <si>
    <t>A 0003-00017748</t>
  </si>
  <si>
    <t>A 0003-00017749</t>
  </si>
  <si>
    <t>A 0003-00017750</t>
  </si>
  <si>
    <t>A 0003-00017751</t>
  </si>
  <si>
    <t>A 0003-00017752</t>
  </si>
  <si>
    <t>A 0003-00017753</t>
  </si>
  <si>
    <t>A 0003-00017754</t>
  </si>
  <si>
    <t>A 0003-00017755</t>
  </si>
  <si>
    <t>A 0003-00017756</t>
  </si>
  <si>
    <t>A 0003-00017757</t>
  </si>
  <si>
    <t>A 0003-00017758</t>
  </si>
  <si>
    <t>A 0003-00017759</t>
  </si>
  <si>
    <t>A 0003-00017760</t>
  </si>
  <si>
    <t>A 0003-00017761</t>
  </si>
  <si>
    <t>A 0003-00017762</t>
  </si>
  <si>
    <t>A 0003-00017763</t>
  </si>
  <si>
    <t>A 0003-00017764</t>
  </si>
  <si>
    <t>A 0003-00017765</t>
  </si>
  <si>
    <t>A 0003-00017766</t>
  </si>
  <si>
    <t>A 0003-00017767</t>
  </si>
  <si>
    <t>A 0003-00017768</t>
  </si>
  <si>
    <t>A 0003-00017769</t>
  </si>
  <si>
    <t>A 0003-00017770</t>
  </si>
  <si>
    <t>A 0003-00017771</t>
  </si>
  <si>
    <t>A 0003-00017772</t>
  </si>
  <si>
    <t>A 0003-00017773</t>
  </si>
  <si>
    <t>A 0003-00017774</t>
  </si>
  <si>
    <t>A 0003-00017775</t>
  </si>
  <si>
    <t>A 0003-00017776</t>
  </si>
  <si>
    <t>A 0003-00017777</t>
  </si>
  <si>
    <t>A 0003-00017778</t>
  </si>
  <si>
    <t>A 0003-00017779</t>
  </si>
  <si>
    <t>A 0003-00017780</t>
  </si>
  <si>
    <t>A 0003-00017781</t>
  </si>
  <si>
    <t>A 0003-00017782</t>
  </si>
  <si>
    <t>A 0003-00017783</t>
  </si>
  <si>
    <t>A 0003-00017784</t>
  </si>
  <si>
    <t>A 0003-00017785</t>
  </si>
  <si>
    <t>A 0003-00017786</t>
  </si>
  <si>
    <t>A 0003-00017787</t>
  </si>
  <si>
    <t>A 0003-00017788</t>
  </si>
  <si>
    <t>A 0003-00017789</t>
  </si>
  <si>
    <t>A 0003-00017790</t>
  </si>
  <si>
    <t>A 0003-00017791</t>
  </si>
  <si>
    <t>A 0003-00017792</t>
  </si>
  <si>
    <t>A 0003-00017793</t>
  </si>
  <si>
    <t>A 0003-00017794</t>
  </si>
  <si>
    <t>A 0003-00017795</t>
  </si>
  <si>
    <t>A 0003-00017796</t>
  </si>
  <si>
    <t>A 0003-00017797</t>
  </si>
  <si>
    <t>A 0003-00017798</t>
  </si>
  <si>
    <t>A 0003-00017799</t>
  </si>
  <si>
    <t>PARNASATENU SRL</t>
  </si>
  <si>
    <t>30-71141585-4</t>
  </si>
  <si>
    <t>A 0003-00017800</t>
  </si>
  <si>
    <t>A 0003-00017801</t>
  </si>
  <si>
    <t>A 0003-00017802</t>
  </si>
  <si>
    <t>A 0003-00017803</t>
  </si>
  <si>
    <t>A 0003-00017804</t>
  </si>
  <si>
    <t>A 0003-00017805</t>
  </si>
  <si>
    <t>A 0003-00017806</t>
  </si>
  <si>
    <t>A 0003-00017807</t>
  </si>
  <si>
    <t>A 0003-00017808</t>
  </si>
  <si>
    <t>A 0003-00017809</t>
  </si>
  <si>
    <t>A 0003-00017810</t>
  </si>
  <si>
    <t>A 0003-00017811</t>
  </si>
  <si>
    <t>A 0003-00017812</t>
  </si>
  <si>
    <t>A 0003-00017813</t>
  </si>
  <si>
    <t>A 0003-00017814</t>
  </si>
  <si>
    <t>A 0003-00017815</t>
  </si>
  <si>
    <t>A 0003-00017816</t>
  </si>
  <si>
    <t>A 0003-00017817</t>
  </si>
  <si>
    <t>A 0003-00017818</t>
  </si>
  <si>
    <t>A 0003-00017819</t>
  </si>
  <si>
    <t>A 0003-00017820</t>
  </si>
  <si>
    <t>A 0003-00017821</t>
  </si>
  <si>
    <t>A 0003-00017822</t>
  </si>
  <si>
    <t>A 0003-00017823</t>
  </si>
  <si>
    <t>A 0003-00017824</t>
  </si>
  <si>
    <t>A 0003-00017825</t>
  </si>
  <si>
    <t>A 0003-00017826</t>
  </si>
  <si>
    <t>A 0003-00017827</t>
  </si>
  <si>
    <t>A 0003-00017828</t>
  </si>
  <si>
    <t>A 0003-00017829</t>
  </si>
  <si>
    <t>A 0003-00017830</t>
  </si>
  <si>
    <t>A 0003-00017831</t>
  </si>
  <si>
    <t>A 0003-00017832</t>
  </si>
  <si>
    <t>A 0003-00017833</t>
  </si>
  <si>
    <t>A 0003-00017834</t>
  </si>
  <si>
    <t>A 0003-00017835</t>
  </si>
  <si>
    <t>A 0003-00017836</t>
  </si>
  <si>
    <t>A 0003-00017837</t>
  </si>
  <si>
    <t>A 0003-00017838</t>
  </si>
  <si>
    <t>A 0003-00017839</t>
  </si>
  <si>
    <t>PLAYKUK S.A.</t>
  </si>
  <si>
    <t>30-71677354-6</t>
  </si>
  <si>
    <t>A 0003-00017840</t>
  </si>
  <si>
    <t>A 0003-00017841</t>
  </si>
  <si>
    <t>PANAL IDEAS SRL</t>
  </si>
  <si>
    <t>30-71540456-3</t>
  </si>
  <si>
    <t>A 0003-00017842</t>
  </si>
  <si>
    <t>A 0003-00017843</t>
  </si>
  <si>
    <t>A 0003-00017844</t>
  </si>
  <si>
    <t>A 0003-00017845</t>
  </si>
  <si>
    <t>A 0003-00017846</t>
  </si>
  <si>
    <t>A 0003-00017847</t>
  </si>
  <si>
    <t>A 0003-00017848</t>
  </si>
  <si>
    <t>A 0003-00017849</t>
  </si>
  <si>
    <t>A 0003-00017850</t>
  </si>
  <si>
    <t>JUACOTEX SRL</t>
  </si>
  <si>
    <t>30-71706280-5</t>
  </si>
  <si>
    <t>A 0003-00017851</t>
  </si>
  <si>
    <t>A 0003-00017852</t>
  </si>
  <si>
    <t>A 0003-00017853</t>
  </si>
  <si>
    <t>A 0003-00017854</t>
  </si>
  <si>
    <t>A 0003-00017855</t>
  </si>
  <si>
    <t>A 0003-00017856</t>
  </si>
  <si>
    <t>A 0003-00017857</t>
  </si>
  <si>
    <t>A 0003-00017858</t>
  </si>
  <si>
    <t>A 0003-00017859</t>
  </si>
  <si>
    <t>A 0003-00017860</t>
  </si>
  <si>
    <t>A 0003-00017861</t>
  </si>
  <si>
    <t>A 0003-00017862</t>
  </si>
  <si>
    <t>A 0003-00017863</t>
  </si>
  <si>
    <t>A 0003-00017864</t>
  </si>
  <si>
    <t>A 0003-00017865</t>
  </si>
  <si>
    <t>A 0003-00017866</t>
  </si>
  <si>
    <t>A 0003-00017867</t>
  </si>
  <si>
    <t>A 0003-00017868</t>
  </si>
  <si>
    <t>A 0003-00017869</t>
  </si>
  <si>
    <t>A 0003-00017870</t>
  </si>
  <si>
    <t>A 0003-00017871</t>
  </si>
  <si>
    <t>A 0003-00017872</t>
  </si>
  <si>
    <t>A 0003-00017873</t>
  </si>
  <si>
    <t>A 0003-00017874</t>
  </si>
  <si>
    <t>A 0003-00017875</t>
  </si>
  <si>
    <t>A 0003-00017876</t>
  </si>
  <si>
    <t>A 0003-00017877</t>
  </si>
  <si>
    <t>A 0003-00017878</t>
  </si>
  <si>
    <t>A 0003-00017879</t>
  </si>
  <si>
    <t>A 0003-00017880</t>
  </si>
  <si>
    <t>A 0003-00017881</t>
  </si>
  <si>
    <t>A 0003-00017882</t>
  </si>
  <si>
    <t>A 0003-00017883</t>
  </si>
  <si>
    <t>A 0003-00017884</t>
  </si>
  <si>
    <t>A 0003-00017885</t>
  </si>
  <si>
    <t>A 0003-00017886</t>
  </si>
  <si>
    <t>A 0003-00017887</t>
  </si>
  <si>
    <t>A 0003-00017888</t>
  </si>
  <si>
    <t>A 0003-00017889</t>
  </si>
  <si>
    <t>A 0003-00017890</t>
  </si>
  <si>
    <t>A 0003-00017891</t>
  </si>
  <si>
    <t>A 0003-00017892</t>
  </si>
  <si>
    <t>A 0003-00017893</t>
  </si>
  <si>
    <t>A 0003-00017894</t>
  </si>
  <si>
    <t>A 0003-00017895</t>
  </si>
  <si>
    <t>BUILDING CONTROLS S.A.</t>
  </si>
  <si>
    <t>30-70871440-9</t>
  </si>
  <si>
    <t>A 0003-00017896</t>
  </si>
  <si>
    <t>A 0003-00017897</t>
  </si>
  <si>
    <t>A 0003-00017898</t>
  </si>
  <si>
    <t>A 0003-00017899</t>
  </si>
  <si>
    <t>A 0003-00017900</t>
  </si>
  <si>
    <t>A 0003-00017901</t>
  </si>
  <si>
    <t>A 0003-00017902</t>
  </si>
  <si>
    <t>A 0003-00017903</t>
  </si>
  <si>
    <t>A 0003-00017904</t>
  </si>
  <si>
    <t>A 0003-00017905</t>
  </si>
  <si>
    <t>A 0003-00017906</t>
  </si>
  <si>
    <t>A 0003-00017907</t>
  </si>
  <si>
    <t>A 0003-00017908</t>
  </si>
  <si>
    <t>A 0003-00017909</t>
  </si>
  <si>
    <t>A 0003-00017910</t>
  </si>
  <si>
    <t>A 0003-00017911</t>
  </si>
  <si>
    <t>A 0003-00017912</t>
  </si>
  <si>
    <t>A 0003-00017913</t>
  </si>
  <si>
    <t>A 0003-00017914</t>
  </si>
  <si>
    <t>A 0003-00017915</t>
  </si>
  <si>
    <t>A 0003-00017916</t>
  </si>
  <si>
    <t>A 0003-00017917</t>
  </si>
  <si>
    <t>A 0003-00017918</t>
  </si>
  <si>
    <t>A 0003-00017919</t>
  </si>
  <si>
    <t>A 0003-00017920</t>
  </si>
  <si>
    <t>A 0003-00017921</t>
  </si>
  <si>
    <t>A 0003-00017922</t>
  </si>
  <si>
    <t>A 0003-00017923</t>
  </si>
  <si>
    <t>A 0003-00017924</t>
  </si>
  <si>
    <t>A 0003-00017925</t>
  </si>
  <si>
    <t>A 0003-00017926</t>
  </si>
  <si>
    <t>A 0003-00017927</t>
  </si>
  <si>
    <t>A 0003-00017928</t>
  </si>
  <si>
    <t>A 0003-00017929</t>
  </si>
  <si>
    <t>A 0003-00017930</t>
  </si>
  <si>
    <t>A 0003-00017931</t>
  </si>
  <si>
    <t>A 0003-00017932</t>
  </si>
  <si>
    <t>A 0003-00017933</t>
  </si>
  <si>
    <t>A 0003-00017934</t>
  </si>
  <si>
    <t>A 0003-00017935</t>
  </si>
  <si>
    <t>A 0003-00017936</t>
  </si>
  <si>
    <t>A 0003-00017937</t>
  </si>
  <si>
    <t>A 0003-00017938</t>
  </si>
  <si>
    <t>A 0003-00017939</t>
  </si>
  <si>
    <t>A 0003-00017940</t>
  </si>
  <si>
    <t>A 0003-00017941</t>
  </si>
  <si>
    <t>A 0003-00017942</t>
  </si>
  <si>
    <t>A 0003-00017943</t>
  </si>
  <si>
    <t>A 0003-00017944</t>
  </si>
  <si>
    <t>A 0003-00017945</t>
  </si>
  <si>
    <t>A 0003-00017946</t>
  </si>
  <si>
    <t>A 0003-00017947</t>
  </si>
  <si>
    <t>A 0003-00017948</t>
  </si>
  <si>
    <t>A 0003-00017949</t>
  </si>
  <si>
    <t>A 0003-00017950</t>
  </si>
  <si>
    <t>A 0003-00017951</t>
  </si>
  <si>
    <t>A 0003-00017952</t>
  </si>
  <si>
    <t>A 0003-00017953</t>
  </si>
  <si>
    <t>A 0003-00017954</t>
  </si>
  <si>
    <t>A 0003-00017955</t>
  </si>
  <si>
    <t>A 0003-00017956</t>
  </si>
  <si>
    <t>A 0003-00017957</t>
  </si>
  <si>
    <t>A 0003-00017958</t>
  </si>
  <si>
    <t>A 0003-00017959</t>
  </si>
  <si>
    <t>A 0003-00017960</t>
  </si>
  <si>
    <t>A 0003-00017961</t>
  </si>
  <si>
    <t>A 0003-00017962</t>
  </si>
  <si>
    <t>A 0003-00017963</t>
  </si>
  <si>
    <t>A 0003-00017964</t>
  </si>
  <si>
    <t>A 0003-00017965</t>
  </si>
  <si>
    <t>A 0003-00017966</t>
  </si>
  <si>
    <t>A 0003-00017967</t>
  </si>
  <si>
    <t>A 0003-00017968</t>
  </si>
  <si>
    <t>A 0003-00017969</t>
  </si>
  <si>
    <t>A 0003-00017970</t>
  </si>
  <si>
    <t>A 0003-00017971</t>
  </si>
  <si>
    <t>A 0003-00017972</t>
  </si>
  <si>
    <t>A 0003-00017973</t>
  </si>
  <si>
    <t>A 0003-00017974</t>
  </si>
  <si>
    <t>A 0003-00017975</t>
  </si>
  <si>
    <t>A 0003-00017976</t>
  </si>
  <si>
    <t>A 0003-00017977</t>
  </si>
  <si>
    <t>A 0003-00017978</t>
  </si>
  <si>
    <t>A 0003-00017979</t>
  </si>
  <si>
    <t>A 0003-00017980</t>
  </si>
  <si>
    <t>A 0003-00017981</t>
  </si>
  <si>
    <t>A 0003-00017982</t>
  </si>
  <si>
    <t>A 0003-00017983</t>
  </si>
  <si>
    <t>A 0003-00017984</t>
  </si>
  <si>
    <t>A 0003-00017985</t>
  </si>
  <si>
    <t>A 0003-00017986</t>
  </si>
  <si>
    <t>A 0003-00017987</t>
  </si>
  <si>
    <t>A 0003-00017988</t>
  </si>
  <si>
    <t>A 0003-00017989</t>
  </si>
  <si>
    <t>A 0003-00017990</t>
  </si>
  <si>
    <t>A 0003-00017991</t>
  </si>
  <si>
    <t>A 0003-00017992</t>
  </si>
  <si>
    <t>A 0003-00017993</t>
  </si>
  <si>
    <t>A 0003-00017994</t>
  </si>
  <si>
    <t>A 0003-00017995</t>
  </si>
  <si>
    <t>A 0003-00017996</t>
  </si>
  <si>
    <t>A 0003-00017997</t>
  </si>
  <si>
    <t>A 0003-00017998</t>
  </si>
  <si>
    <t>A 0003-00017999</t>
  </si>
  <si>
    <t>A 0003-00018000</t>
  </si>
  <si>
    <t>A 0003-00018001</t>
  </si>
  <si>
    <t>A 0003-00018002</t>
  </si>
  <si>
    <t>A 0003-00018003</t>
  </si>
  <si>
    <t>A 0003-00018004</t>
  </si>
  <si>
    <t>A 0003-00018005</t>
  </si>
  <si>
    <t>A 0003-00018006</t>
  </si>
  <si>
    <t>A 0003-00018007</t>
  </si>
  <si>
    <t>A 0003-00018008</t>
  </si>
  <si>
    <t>A 0003-00018009</t>
  </si>
  <si>
    <t>30-71210343-0</t>
  </si>
  <si>
    <t>A 0003-00018010</t>
  </si>
  <si>
    <t>A 0003-00018011</t>
  </si>
  <si>
    <t>EMABEBE S.A.</t>
  </si>
  <si>
    <t>A 0003-00018012</t>
  </si>
  <si>
    <t>A 0003-00018013</t>
  </si>
  <si>
    <t>A 0003-00018014</t>
  </si>
  <si>
    <t>A 0003-00018015</t>
  </si>
  <si>
    <t>A 0003-00018016</t>
  </si>
  <si>
    <t>A 0003-00018017</t>
  </si>
  <si>
    <t>A 0003-00018018</t>
  </si>
  <si>
    <t>A 0003-00018019</t>
  </si>
  <si>
    <t>A 0003-00018020</t>
  </si>
  <si>
    <t>A 0003-00018021</t>
  </si>
  <si>
    <t>A 0003-00018022</t>
  </si>
  <si>
    <t>A 0003-00018023</t>
  </si>
  <si>
    <t>A 0003-00018024</t>
  </si>
  <si>
    <t>A 0003-00018025</t>
  </si>
  <si>
    <t>A 0003-00018026</t>
  </si>
  <si>
    <t>A 0003-00018027</t>
  </si>
  <si>
    <t>A 0003-00018028</t>
  </si>
  <si>
    <t>A 0003-00018029</t>
  </si>
  <si>
    <t>A 0003-00018030</t>
  </si>
  <si>
    <t>A 0003-00018031</t>
  </si>
  <si>
    <t>A 0003-00018032</t>
  </si>
  <si>
    <t>A 0003-00018033</t>
  </si>
  <si>
    <t>A 0003-00018034</t>
  </si>
  <si>
    <t>A 0003-00018035</t>
  </si>
  <si>
    <t>A 0003-00018036</t>
  </si>
  <si>
    <t>A 0003-00018037</t>
  </si>
  <si>
    <t>A 0003-00018038</t>
  </si>
  <si>
    <t>A 0003-00018039</t>
  </si>
  <si>
    <t>A 0003-00018040</t>
  </si>
  <si>
    <t>A 0003-00018041</t>
  </si>
  <si>
    <t>A 0003-00018042</t>
  </si>
  <si>
    <t>A 0003-00018043</t>
  </si>
  <si>
    <t>A 0003-00018044</t>
  </si>
  <si>
    <t>A 0003-00018045</t>
  </si>
  <si>
    <t>A 0003-00018046</t>
  </si>
  <si>
    <t>A 0003-00018047</t>
  </si>
  <si>
    <t>A 0003-00018048</t>
  </si>
  <si>
    <t>33-71706283-9</t>
  </si>
  <si>
    <t>A 0003-00018049</t>
  </si>
  <si>
    <t>A 0003-00018050</t>
  </si>
  <si>
    <t>VIENTOS DE MAR S.A.</t>
  </si>
  <si>
    <t>A 0003-00018051</t>
  </si>
  <si>
    <t>A 0003-00018052</t>
  </si>
  <si>
    <t>A 0003-00018053</t>
  </si>
  <si>
    <t>A 0003-00018054</t>
  </si>
  <si>
    <t>A 0003-00018055</t>
  </si>
  <si>
    <t>A 0003-00018056</t>
  </si>
  <si>
    <t>A 0003-00018057</t>
  </si>
  <si>
    <t>A 0003-00018058</t>
  </si>
  <si>
    <t>A 0003-00018059</t>
  </si>
  <si>
    <t>A 0003-00018060</t>
  </si>
  <si>
    <t>A 0003-00018061</t>
  </si>
  <si>
    <t>A 0003-00018062</t>
  </si>
  <si>
    <t>A 0003-00018063</t>
  </si>
  <si>
    <t>A 0003-00018064</t>
  </si>
  <si>
    <t>A 0003-00018065</t>
  </si>
  <si>
    <t>A 0003-00018066</t>
  </si>
  <si>
    <t>A 0003-00018067</t>
  </si>
  <si>
    <t>A 0003-00018068</t>
  </si>
  <si>
    <t>A 0003-00018069</t>
  </si>
  <si>
    <t>A 0003-00018070</t>
  </si>
  <si>
    <t>A 0003-00018071</t>
  </si>
  <si>
    <t>A 0003-00018072</t>
  </si>
  <si>
    <t>A 0003-00018073</t>
  </si>
  <si>
    <t>A 0003-00018074</t>
  </si>
  <si>
    <t>A 0003-00018075</t>
  </si>
  <si>
    <t>A 0003-00018076</t>
  </si>
  <si>
    <t>A 0003-00018077</t>
  </si>
  <si>
    <t>A 0003-00018078</t>
  </si>
  <si>
    <t>A 0003-00018079</t>
  </si>
  <si>
    <t>A 0003-00018080</t>
  </si>
  <si>
    <t>A 0003-00018081</t>
  </si>
  <si>
    <t>A 0003-00018082</t>
  </si>
  <si>
    <t>A 0003-00018083</t>
  </si>
  <si>
    <t>A 0003-00018084</t>
  </si>
  <si>
    <t>A 0003-00018085</t>
  </si>
  <si>
    <t>A 0003-00018086</t>
  </si>
  <si>
    <t>A 0003-00018087</t>
  </si>
  <si>
    <t>A 0003-00018088</t>
  </si>
  <si>
    <t>A 0003-00018089</t>
  </si>
  <si>
    <t>A 0003-00018090</t>
  </si>
  <si>
    <t>A 0003-00018091</t>
  </si>
  <si>
    <t>A 0003-00018092</t>
  </si>
  <si>
    <t>A 0003-00018093</t>
  </si>
  <si>
    <t>A 0003-00018094</t>
  </si>
  <si>
    <t>A 0003-00018095</t>
  </si>
  <si>
    <t>A 0003-00018096</t>
  </si>
  <si>
    <t>A 0003-00018097</t>
  </si>
  <si>
    <t>A 0003-00018098</t>
  </si>
  <si>
    <t>A 0003-00018099</t>
  </si>
  <si>
    <t>A 0003-00018100</t>
  </si>
  <si>
    <t>A 0003-00018101</t>
  </si>
  <si>
    <t>A 0003-00018102</t>
  </si>
  <si>
    <t>30-71404457-1</t>
  </si>
  <si>
    <t>A 0003-00018103</t>
  </si>
  <si>
    <t>A 0003-00018104</t>
  </si>
  <si>
    <t>OPEN BABY S.A.</t>
  </si>
  <si>
    <t>A 0003-00018105</t>
  </si>
  <si>
    <t>A 0003-00018106</t>
  </si>
  <si>
    <t>A 0003-00018107</t>
  </si>
  <si>
    <t>A 0003-00018108</t>
  </si>
  <si>
    <t>A 0003-00018109</t>
  </si>
  <si>
    <t>A 0003-00018110</t>
  </si>
  <si>
    <t>A 0003-00018111</t>
  </si>
  <si>
    <t>A 0003-00018112</t>
  </si>
  <si>
    <t>A 0003-00018113</t>
  </si>
  <si>
    <t>A 0003-00018114</t>
  </si>
  <si>
    <t>A 0003-00018115</t>
  </si>
  <si>
    <t>A 0003-00018116</t>
  </si>
  <si>
    <t>A 0003-00018117</t>
  </si>
  <si>
    <t>A 0003-00018118</t>
  </si>
  <si>
    <t>A 0003-00018119</t>
  </si>
  <si>
    <t>A 0003-00018120</t>
  </si>
  <si>
    <t>A 0003-00018121</t>
  </si>
  <si>
    <t>A 0003-00018122</t>
  </si>
  <si>
    <t>A 0003-00018123</t>
  </si>
  <si>
    <t>A 0003-00018124</t>
  </si>
  <si>
    <t>A 0003-00018125</t>
  </si>
  <si>
    <t>A 0003-00018126</t>
  </si>
  <si>
    <t>A 0003-00018127</t>
  </si>
  <si>
    <t>A 0003-00018128</t>
  </si>
  <si>
    <t>A 0003-00018129</t>
  </si>
  <si>
    <t>A 0003-00018130</t>
  </si>
  <si>
    <t>A 0003-00018131</t>
  </si>
  <si>
    <t>A 0003-00018132</t>
  </si>
  <si>
    <t>A 0003-00018133</t>
  </si>
  <si>
    <t>30-71776272-6</t>
  </si>
  <si>
    <t>A 0003-00018134</t>
  </si>
  <si>
    <t>A 0003-00018135</t>
  </si>
  <si>
    <t>CHABUTEX SRL</t>
  </si>
  <si>
    <t>A 0003-00018136</t>
  </si>
  <si>
    <t>A 0003-00018137</t>
  </si>
  <si>
    <t>A 0003-00018138</t>
  </si>
  <si>
    <t>A 0003-00018139</t>
  </si>
  <si>
    <t>A 0003-00018140</t>
  </si>
  <si>
    <t>A 0003-00018141</t>
  </si>
  <si>
    <t>A 0003-00018142</t>
  </si>
  <si>
    <t>A 0003-00018143</t>
  </si>
  <si>
    <t>A 0003-00018144</t>
  </si>
  <si>
    <t>A 0003-00018145</t>
  </si>
  <si>
    <t>A 0003-00018146</t>
  </si>
  <si>
    <t>A 0003-00018147</t>
  </si>
  <si>
    <t>A 0003-00018148</t>
  </si>
  <si>
    <t>30-71184575-1</t>
  </si>
  <si>
    <t>A 0003-00018149</t>
  </si>
  <si>
    <t>A 0003-00018150</t>
  </si>
  <si>
    <t>TECNOSTORES S.A.</t>
  </si>
  <si>
    <t>A 0003-00018151</t>
  </si>
  <si>
    <t>A 0003-00018152</t>
  </si>
  <si>
    <t>A 0003-00018153</t>
  </si>
  <si>
    <t>A 0003-00018154</t>
  </si>
  <si>
    <t>A 0003-00018155</t>
  </si>
  <si>
    <t>A 0003-00018156</t>
  </si>
  <si>
    <t>A 0003-00018157</t>
  </si>
  <si>
    <t>30-70722821-7</t>
  </si>
  <si>
    <t>A 0003-00018158</t>
  </si>
  <si>
    <t>A 0003-00018159</t>
  </si>
  <si>
    <t>RUTAS DEL SOL</t>
  </si>
  <si>
    <t>A 0003-00018160</t>
  </si>
  <si>
    <t>A 0003-00018161</t>
  </si>
  <si>
    <t>A 0003-00018162</t>
  </si>
  <si>
    <t>A 0003-00018163</t>
  </si>
  <si>
    <t>A 0003-00018164</t>
  </si>
  <si>
    <t>A 0003-00018165</t>
  </si>
  <si>
    <t>A 0003-00018166</t>
  </si>
  <si>
    <t>30-57280581-2</t>
  </si>
  <si>
    <t>A 0003-00018167</t>
  </si>
  <si>
    <t>A 0003-00018168</t>
  </si>
  <si>
    <t>ATALPLASTIC  SA</t>
  </si>
  <si>
    <t>A 0003-00018169</t>
  </si>
  <si>
    <t>A 0003-00018170</t>
  </si>
  <si>
    <t>A 0003-00018171</t>
  </si>
  <si>
    <t>A 0003-00018172</t>
  </si>
  <si>
    <t>A 0003-00018173</t>
  </si>
  <si>
    <t>A 0003-00018174</t>
  </si>
  <si>
    <t>A 0003-00018175</t>
  </si>
  <si>
    <t>A 0003-00018176</t>
  </si>
  <si>
    <t>A 0003-00018177</t>
  </si>
  <si>
    <t>A 0003-00018178</t>
  </si>
  <si>
    <t>A 0003-00018179</t>
  </si>
  <si>
    <t>A 0003-00018180</t>
  </si>
  <si>
    <t>30-64810353-7</t>
  </si>
  <si>
    <t>A 0003-00018181</t>
  </si>
  <si>
    <t>A 0003-00018182</t>
  </si>
  <si>
    <t xml:space="preserve"> TEXTIL AMESUD S A</t>
  </si>
  <si>
    <t>A 0003-00018183</t>
  </si>
  <si>
    <t>A 0003-00018184</t>
  </si>
  <si>
    <t>A 0003-00018185</t>
  </si>
  <si>
    <t>A 0003-00018186</t>
  </si>
  <si>
    <t>A 0003-00018187</t>
  </si>
  <si>
    <t>A 0003-00018188</t>
  </si>
  <si>
    <t>A 0004-00000018</t>
  </si>
  <si>
    <t>A 0003-00000122</t>
  </si>
  <si>
    <t>A 0003-00018189</t>
  </si>
  <si>
    <t>A 0003-00018190</t>
  </si>
  <si>
    <t>A 0003-00018191</t>
  </si>
  <si>
    <t>A 0003-00018192</t>
  </si>
  <si>
    <t>A 0003-00018193</t>
  </si>
  <si>
    <t>A 0003-00018194</t>
  </si>
  <si>
    <t>A 0003-00018195</t>
  </si>
  <si>
    <t>A 0003-00018196</t>
  </si>
  <si>
    <t>A 0003-00018197</t>
  </si>
  <si>
    <t>A 0003-00018198</t>
  </si>
  <si>
    <t>A 0003-00018199</t>
  </si>
  <si>
    <t>A 0003-00018200</t>
  </si>
  <si>
    <t>A 0003-00018201</t>
  </si>
  <si>
    <t>A 0003-00018202</t>
  </si>
  <si>
    <t>A 0003-00018203</t>
  </si>
  <si>
    <t>A 0003-00018204</t>
  </si>
  <si>
    <t>A 0003-00018205</t>
  </si>
  <si>
    <t>A 0003-00018206</t>
  </si>
  <si>
    <t>A 0003-00018207</t>
  </si>
  <si>
    <t>A 0003-00018208</t>
  </si>
  <si>
    <t>A 0003-00018209</t>
  </si>
  <si>
    <t>A 0003-00018210</t>
  </si>
  <si>
    <t>A 0003-00018211</t>
  </si>
  <si>
    <t>A 0003-00018212</t>
  </si>
  <si>
    <t>A 0003-00018213</t>
  </si>
  <si>
    <t>A 0003-00018214</t>
  </si>
  <si>
    <t>A 0003-00018215</t>
  </si>
  <si>
    <t>A 0003-00018216</t>
  </si>
  <si>
    <t>A 0003-00018217</t>
  </si>
  <si>
    <t>A 0003-00018218</t>
  </si>
  <si>
    <t>A 0003-00018219</t>
  </si>
  <si>
    <t>A 0003-00018220</t>
  </si>
  <si>
    <t>A 0003-00018221</t>
  </si>
  <si>
    <t>A 0003-00018222</t>
  </si>
  <si>
    <t>A 0003-00018223</t>
  </si>
  <si>
    <t>A 0003-00018224</t>
  </si>
  <si>
    <t>A 0003-00018225</t>
  </si>
  <si>
    <t>A 0003-00018226</t>
  </si>
  <si>
    <t>A 0003-00018227</t>
  </si>
  <si>
    <t>A 0003-00018228</t>
  </si>
  <si>
    <t>A 0003-00018229</t>
  </si>
  <si>
    <t>A 0003-00018230</t>
  </si>
  <si>
    <t>A 0003-00018231</t>
  </si>
  <si>
    <t>A 0003-00018232</t>
  </si>
  <si>
    <t>A 0003-00018233</t>
  </si>
  <si>
    <t>A 0003-00018234</t>
  </si>
  <si>
    <t>A 0003-00018235</t>
  </si>
  <si>
    <t>A 0003-00018236</t>
  </si>
  <si>
    <t>A 0003-00018237</t>
  </si>
  <si>
    <t>A 0003-00018238</t>
  </si>
  <si>
    <t>A 0003-00018239</t>
  </si>
  <si>
    <t>A 0003-00018240</t>
  </si>
  <si>
    <t>A 0003-00018241</t>
  </si>
  <si>
    <t>A 0003-00018242</t>
  </si>
  <si>
    <t>A 0003-00018243</t>
  </si>
  <si>
    <t>A 0003-00018244</t>
  </si>
  <si>
    <t>A 0003-00018245</t>
  </si>
  <si>
    <t>A 0003-00018246</t>
  </si>
  <si>
    <t>A 0003-00018247</t>
  </si>
  <si>
    <t>A 0003-00018248</t>
  </si>
  <si>
    <t>A 0003-00018249</t>
  </si>
  <si>
    <t>A 0003-00018250</t>
  </si>
  <si>
    <t>A 0003-00018251</t>
  </si>
  <si>
    <t>A 0003-00018252</t>
  </si>
  <si>
    <t>A 0003-00018253</t>
  </si>
  <si>
    <t>A 0003-00018254</t>
  </si>
  <si>
    <t>A 0003-00018255</t>
  </si>
  <si>
    <t>A 0003-00018256</t>
  </si>
  <si>
    <t>A 0003-00018257</t>
  </si>
  <si>
    <t>A 0003-00018258</t>
  </si>
  <si>
    <t>A 0003-00018259</t>
  </si>
  <si>
    <t>A 0003-00018260</t>
  </si>
  <si>
    <t>A 0003-00018261</t>
  </si>
  <si>
    <t>A 0003-00018262</t>
  </si>
  <si>
    <t>A 0003-00018263</t>
  </si>
  <si>
    <t>A 0003-00018264</t>
  </si>
  <si>
    <t>A 0003-00018265</t>
  </si>
  <si>
    <t>A 0003-00018266</t>
  </si>
  <si>
    <t>A 0003-00018267</t>
  </si>
  <si>
    <t>A 0003-00018268</t>
  </si>
  <si>
    <t>A 0003-00018269</t>
  </si>
  <si>
    <t>A 0003-00018270</t>
  </si>
  <si>
    <t>A 0003-00018271</t>
  </si>
  <si>
    <t>A 0003-00018272</t>
  </si>
  <si>
    <t>A 0003-00018273</t>
  </si>
  <si>
    <t>A 0003-00018274</t>
  </si>
  <si>
    <t>A 0003-00018275</t>
  </si>
  <si>
    <t>A 0003-00018276</t>
  </si>
  <si>
    <t>A 0003-00018277</t>
  </si>
  <si>
    <t>A 0003-00018278</t>
  </si>
  <si>
    <t>A 0003-00018279</t>
  </si>
  <si>
    <t>A 0003-00018280</t>
  </si>
  <si>
    <t>A 0003-00018281</t>
  </si>
  <si>
    <t>A 0003-00018282</t>
  </si>
  <si>
    <t>A 0003-00018283</t>
  </si>
  <si>
    <t>A 0003-00018284</t>
  </si>
  <si>
    <t>A 0003-00018285</t>
  </si>
  <si>
    <t>A 0003-00018286</t>
  </si>
  <si>
    <t>A 0003-00018287</t>
  </si>
  <si>
    <t>A 0003-00018288</t>
  </si>
  <si>
    <t>A 0003-00018289</t>
  </si>
  <si>
    <t>A 0003-00018290</t>
  </si>
  <si>
    <t>A 0003-00018291</t>
  </si>
  <si>
    <t>A 0003-00018292</t>
  </si>
  <si>
    <t>A 0003-00018293</t>
  </si>
  <si>
    <t>A 0003-00018294</t>
  </si>
  <si>
    <t>A 0003-00018295</t>
  </si>
  <si>
    <t>A 0003-00018296</t>
  </si>
  <si>
    <t>A 0003-00018297</t>
  </si>
  <si>
    <t>A 0003-00018298</t>
  </si>
  <si>
    <t>A 0003-00018299</t>
  </si>
  <si>
    <t>A 0003-00018300</t>
  </si>
  <si>
    <t>A 0003-00018301</t>
  </si>
  <si>
    <t>A 0003-00018302</t>
  </si>
  <si>
    <t>A 0003-00018303</t>
  </si>
  <si>
    <t>A 0003-00018304</t>
  </si>
  <si>
    <t>A 0003-00018305</t>
  </si>
  <si>
    <t>A 0003-00018306</t>
  </si>
  <si>
    <t>A 0003-00018307</t>
  </si>
  <si>
    <t>A 0003-00018308</t>
  </si>
  <si>
    <t>A 0003-00018309</t>
  </si>
  <si>
    <t>A 0003-00018310</t>
  </si>
  <si>
    <t>A 0003-00018311</t>
  </si>
  <si>
    <t>A 0003-00018312</t>
  </si>
  <si>
    <t>A 0003-00018313</t>
  </si>
  <si>
    <t>A 0003-00018314</t>
  </si>
  <si>
    <t>A 0003-00018315</t>
  </si>
  <si>
    <t>A 0003-00018316</t>
  </si>
  <si>
    <t>A 0003-00018317</t>
  </si>
  <si>
    <t>A 0003-00018318</t>
  </si>
  <si>
    <t>A 0003-00018319</t>
  </si>
  <si>
    <t>A 0003-00018320</t>
  </si>
  <si>
    <t>A 0003-00018321</t>
  </si>
  <si>
    <t>A 0003-00018322</t>
  </si>
  <si>
    <t>A 0003-00018323</t>
  </si>
  <si>
    <t>A 0003-00018324</t>
  </si>
  <si>
    <t>A 0003-00018325</t>
  </si>
  <si>
    <t>A 0003-00018326</t>
  </si>
  <si>
    <t>A 0003-00018327</t>
  </si>
  <si>
    <t>A 0003-00018328</t>
  </si>
  <si>
    <t>A 0003-00018329</t>
  </si>
  <si>
    <t>A 0003-00018330</t>
  </si>
  <si>
    <t>A 0003-00018331</t>
  </si>
  <si>
    <t>A 0003-00018332</t>
  </si>
  <si>
    <t>A 0003-00018333</t>
  </si>
  <si>
    <t>A 0003-00018334</t>
  </si>
  <si>
    <t>A 0003-00018335</t>
  </si>
  <si>
    <t>A 0003-00018336</t>
  </si>
  <si>
    <t>A 0003-00018337</t>
  </si>
  <si>
    <t>A 0003-00018338</t>
  </si>
  <si>
    <t>A 0003-00018339</t>
  </si>
  <si>
    <t>A 0003-00018340</t>
  </si>
  <si>
    <t>A 0003-00018341</t>
  </si>
  <si>
    <t>A 0003-00018342</t>
  </si>
  <si>
    <t>A 0003-00018343</t>
  </si>
  <si>
    <t>A 0003-00018344</t>
  </si>
  <si>
    <t>A 0003-00018345</t>
  </si>
  <si>
    <t>A 0003-00018346</t>
  </si>
  <si>
    <t>A 0003-00018347</t>
  </si>
  <si>
    <t>A 0003-00018348</t>
  </si>
  <si>
    <t>A 0003-00018349</t>
  </si>
  <si>
    <t>A 0003-00018350</t>
  </si>
  <si>
    <t>A 0003-00018351</t>
  </si>
  <si>
    <t>A 0003-00018352</t>
  </si>
  <si>
    <t>A 0003-00018353</t>
  </si>
  <si>
    <t>A 0003-00018354</t>
  </si>
  <si>
    <t>A 0003-00018355</t>
  </si>
  <si>
    <t>A 0003-00018356</t>
  </si>
  <si>
    <t>A 0003-00018357</t>
  </si>
  <si>
    <t>A 0003-00018358</t>
  </si>
  <si>
    <t>A 0003-00018359</t>
  </si>
  <si>
    <t>A 0003-00018360</t>
  </si>
  <si>
    <t>A 0003-00018361</t>
  </si>
  <si>
    <t>A 0003-00018362</t>
  </si>
  <si>
    <t>A 0003-00018363</t>
  </si>
  <si>
    <t>A 0003-00018364</t>
  </si>
  <si>
    <t>A 0003-00018365</t>
  </si>
  <si>
    <t>A 0003-00018366</t>
  </si>
  <si>
    <t>A 0003-00018367</t>
  </si>
  <si>
    <t>A 0003-00018368</t>
  </si>
  <si>
    <t>A 0003-00018369</t>
  </si>
  <si>
    <t>A 0003-00018370</t>
  </si>
  <si>
    <t>A 0004-00000019</t>
  </si>
  <si>
    <t>A 0004-00000020</t>
  </si>
  <si>
    <t>A 0003-00000123</t>
  </si>
  <si>
    <t>A 0003-00000124</t>
  </si>
  <si>
    <t>A 0003-00018371</t>
  </si>
  <si>
    <t>A 0003-00018372</t>
  </si>
  <si>
    <t>A 0003-00018373</t>
  </si>
  <si>
    <t>A 0003-00018374</t>
  </si>
  <si>
    <t>A 0003-00018375</t>
  </si>
  <si>
    <t>A 0003-00018376</t>
  </si>
  <si>
    <t>A 0003-00018377</t>
  </si>
  <si>
    <t>A 0003-00018378</t>
  </si>
  <si>
    <t>A 0003-00018379</t>
  </si>
  <si>
    <t>A 0003-00018380</t>
  </si>
  <si>
    <t>A 0003-00018381</t>
  </si>
  <si>
    <t>A 0003-00018382</t>
  </si>
  <si>
    <t>A 0003-00018383</t>
  </si>
  <si>
    <t>A 0003-00018384</t>
  </si>
  <si>
    <t>A 0003-00018385</t>
  </si>
  <si>
    <t>A 0003-00018386</t>
  </si>
  <si>
    <t>A 0003-00018387</t>
  </si>
  <si>
    <t>A 0003-00018388</t>
  </si>
  <si>
    <t>A 0003-00018389</t>
  </si>
  <si>
    <t>A 0003-00018390</t>
  </si>
  <si>
    <t>A 0003-00018391</t>
  </si>
  <si>
    <t>A 0003-00018392</t>
  </si>
  <si>
    <t>A 0003-00018393</t>
  </si>
  <si>
    <t>A 0003-00018394</t>
  </si>
  <si>
    <t>A 0003-00018395</t>
  </si>
  <si>
    <t>A 0003-00018396</t>
  </si>
  <si>
    <t>A 0003-00018397</t>
  </si>
  <si>
    <t>A 0003-00018398</t>
  </si>
  <si>
    <t>A 0003-00018399</t>
  </si>
  <si>
    <t>A 0003-00018400</t>
  </si>
  <si>
    <t>A 0003-00018401</t>
  </si>
  <si>
    <t>A 0003-00018402</t>
  </si>
  <si>
    <t>A 0003-00018403</t>
  </si>
  <si>
    <t>A 0003-00018404</t>
  </si>
  <si>
    <t>A 0003-00018405</t>
  </si>
  <si>
    <t>A 0003-00018406</t>
  </si>
  <si>
    <t>A 0003-00018407</t>
  </si>
  <si>
    <t>A 0003-00018408</t>
  </si>
  <si>
    <t>A 0003-00018409</t>
  </si>
  <si>
    <t>A 0003-00018410</t>
  </si>
  <si>
    <t>A 0003-00018411</t>
  </si>
  <si>
    <t>A 0003-00018412</t>
  </si>
  <si>
    <t>A 0003-00018413</t>
  </si>
  <si>
    <t>A 0003-00018414</t>
  </si>
  <si>
    <t>A 0003-00018415</t>
  </si>
  <si>
    <t>A 0003-00018416</t>
  </si>
  <si>
    <t>A 0003-00018417</t>
  </si>
  <si>
    <t>A 0003-00018418</t>
  </si>
  <si>
    <t>A 0003-00018419</t>
  </si>
  <si>
    <t>A 0003-00018420</t>
  </si>
  <si>
    <t>A 0003-00018421</t>
  </si>
  <si>
    <t>A 0003-00018422</t>
  </si>
  <si>
    <t>A 0003-00018423</t>
  </si>
  <si>
    <t>A 0003-00018424</t>
  </si>
  <si>
    <t>A 0003-00018425</t>
  </si>
  <si>
    <t>A 0003-00018426</t>
  </si>
  <si>
    <t>A 0003-00018427</t>
  </si>
  <si>
    <t>A 0003-00018428</t>
  </si>
  <si>
    <t>A 0003-00018429</t>
  </si>
  <si>
    <t>A 0003-00018430</t>
  </si>
  <si>
    <t>A 0003-00018431</t>
  </si>
  <si>
    <t>A 0003-00018432</t>
  </si>
  <si>
    <t>A 0003-00018433</t>
  </si>
  <si>
    <t>A 0003-00018434</t>
  </si>
  <si>
    <t>A 0003-00018435</t>
  </si>
  <si>
    <t>A 0003-00018436</t>
  </si>
  <si>
    <t>A 0003-00018437</t>
  </si>
  <si>
    <t>A 0003-00018438</t>
  </si>
  <si>
    <t>A 0003-00018439</t>
  </si>
  <si>
    <t>A 0003-00018440</t>
  </si>
  <si>
    <t>A 0003-00018441</t>
  </si>
  <si>
    <t>A 0003-00018442</t>
  </si>
  <si>
    <t>A 0003-00018443</t>
  </si>
  <si>
    <t>A 0003-00018444</t>
  </si>
  <si>
    <t>A 0003-00018445</t>
  </si>
  <si>
    <t>A 0003-00018446</t>
  </si>
  <si>
    <t>A 0003-00018447</t>
  </si>
  <si>
    <t>A 0003-00018448</t>
  </si>
  <si>
    <t>A 0003-00018449</t>
  </si>
  <si>
    <t>A 0003-00018450</t>
  </si>
  <si>
    <t>A 0003-00018451</t>
  </si>
  <si>
    <t>A 0003-00018452</t>
  </si>
  <si>
    <t>A 0003-00018453</t>
  </si>
  <si>
    <t>A 0003-00018454</t>
  </si>
  <si>
    <t>A 0003-00018455</t>
  </si>
  <si>
    <t>A 0003-00018456</t>
  </si>
  <si>
    <t>A 0003-00018457</t>
  </si>
  <si>
    <t>A 0003-00018458</t>
  </si>
  <si>
    <t>A 0003-00018459</t>
  </si>
  <si>
    <t>A 0003-00018460</t>
  </si>
  <si>
    <t>A 0003-00018461</t>
  </si>
  <si>
    <t>A 0003-00018462</t>
  </si>
  <si>
    <t>A 0003-00018463</t>
  </si>
  <si>
    <t>A 0003-00018464</t>
  </si>
  <si>
    <t>A 0003-00018465</t>
  </si>
  <si>
    <t>A 0003-00018466</t>
  </si>
  <si>
    <t>A 0003-00018467</t>
  </si>
  <si>
    <t>A 0003-00018468</t>
  </si>
  <si>
    <t>A 0003-00018469</t>
  </si>
  <si>
    <t>A 0003-00018470</t>
  </si>
  <si>
    <t>A 0003-00018471</t>
  </si>
  <si>
    <t>A 0003-00018472</t>
  </si>
  <si>
    <t>A 0003-00018473</t>
  </si>
  <si>
    <t>A 0003-00018474</t>
  </si>
  <si>
    <t>A 0003-00018475</t>
  </si>
  <si>
    <t>A 0003-00018476</t>
  </si>
  <si>
    <t>A 0003-00018477</t>
  </si>
  <si>
    <t>A 0003-00018478</t>
  </si>
  <si>
    <t>A 0003-00018479</t>
  </si>
  <si>
    <t>A 0003-00018480</t>
  </si>
  <si>
    <t>ZUAMAR S.A.</t>
  </si>
  <si>
    <t>33-71211095-9</t>
  </si>
  <si>
    <t>A 0003-00018481</t>
  </si>
  <si>
    <t>A 0003-00018482</t>
  </si>
  <si>
    <t>A 0003-00018483</t>
  </si>
  <si>
    <t>A 0003-00018484</t>
  </si>
  <si>
    <t>A 0003-00018485</t>
  </si>
  <si>
    <t>A 0003-00018486</t>
  </si>
  <si>
    <t>A 0003-00018487</t>
  </si>
  <si>
    <t>A 0003-00018488</t>
  </si>
  <si>
    <t>A 0003-00018489</t>
  </si>
  <si>
    <t>A 0003-00018490</t>
  </si>
  <si>
    <t>A 0003-00018491</t>
  </si>
  <si>
    <t>A 0003-00018492</t>
  </si>
  <si>
    <t>NEW-FLEX S.R.L.</t>
  </si>
  <si>
    <t>30-71550192-5</t>
  </si>
  <si>
    <t>A 0003-00018493</t>
  </si>
  <si>
    <t>A 0003-00018494</t>
  </si>
  <si>
    <t>A 0003-00018495</t>
  </si>
  <si>
    <t>A 0003-00018496</t>
  </si>
  <si>
    <t>A 0003-00018497</t>
  </si>
  <si>
    <t>A 0003-00018498</t>
  </si>
  <si>
    <t>A 0003-00018499</t>
  </si>
  <si>
    <t>A 0003-00018500</t>
  </si>
  <si>
    <t>A 0003-00018501</t>
  </si>
  <si>
    <t>A 0003-00018502</t>
  </si>
  <si>
    <t>A 0003-00018503</t>
  </si>
  <si>
    <t>A 0003-00018504</t>
  </si>
  <si>
    <t>A 0003-00018505</t>
  </si>
  <si>
    <t>A 0003-00018506</t>
  </si>
  <si>
    <t>A 0003-00018507</t>
  </si>
  <si>
    <t>A 0003-00018508</t>
  </si>
  <si>
    <t>A 0003-00018509</t>
  </si>
  <si>
    <t>A 0003-00018510</t>
  </si>
  <si>
    <t>A 0003-00018511</t>
  </si>
  <si>
    <t>A 0003-00018512</t>
  </si>
  <si>
    <t>A 0003-00018513</t>
  </si>
  <si>
    <t>INDUSTRIAS SUR S.R.L.</t>
  </si>
  <si>
    <t>30-70995799-2</t>
  </si>
  <si>
    <t>A 0003-00018514</t>
  </si>
  <si>
    <t>A 0003-00018515</t>
  </si>
  <si>
    <t>A 0003-00018516</t>
  </si>
  <si>
    <t>A 0003-00018517</t>
  </si>
  <si>
    <t>A 0003-00018518</t>
  </si>
  <si>
    <t>A 0003-00018519</t>
  </si>
  <si>
    <t>A 0003-00018520</t>
  </si>
  <si>
    <t>A 0003-00018521</t>
  </si>
  <si>
    <t>A 0003-00018522</t>
  </si>
  <si>
    <t>OUTLET CANUELAS SRL</t>
  </si>
  <si>
    <t>30-71644319-8</t>
  </si>
  <si>
    <t>A 0003-00018523</t>
  </si>
  <si>
    <t>OULET CAÑUELAS S.R.L.</t>
  </si>
  <si>
    <t>A 0003-00018524</t>
  </si>
  <si>
    <t>A 0003-00018525</t>
  </si>
  <si>
    <t>A 0003-00018526</t>
  </si>
  <si>
    <t>A 0003-00018527</t>
  </si>
  <si>
    <t>A 0003-00018528</t>
  </si>
  <si>
    <t>HAEDO DANIEL ADALBERTO</t>
  </si>
  <si>
    <t>23-21550857-9</t>
  </si>
  <si>
    <t>A 0003-00018529</t>
  </si>
  <si>
    <t>A 0003-00018530</t>
  </si>
  <si>
    <t>A 0003-00018531</t>
  </si>
  <si>
    <t>A 0003-00018532</t>
  </si>
  <si>
    <t>A 0003-00018533</t>
  </si>
  <si>
    <t>A 0003-00018534</t>
  </si>
  <si>
    <t>REVOLUTION IMPORT S.R.L.</t>
  </si>
  <si>
    <t>30-71767981-0</t>
  </si>
  <si>
    <t>A 0003-00018535</t>
  </si>
  <si>
    <t>A 0003-00018536</t>
  </si>
  <si>
    <t>A 0003-00018537</t>
  </si>
  <si>
    <t>A 0003-00018538</t>
  </si>
  <si>
    <t>A 0003-00018539</t>
  </si>
  <si>
    <t>A 0003-00018540</t>
  </si>
  <si>
    <t>A 0003-00018541</t>
  </si>
  <si>
    <t>A 0003-00018542</t>
  </si>
  <si>
    <t>A 0003-00018543</t>
  </si>
  <si>
    <t>A 0003-00018544</t>
  </si>
  <si>
    <t>A 0003-00018545</t>
  </si>
  <si>
    <t>A 0003-00018546</t>
  </si>
  <si>
    <t>A 0003-00018547</t>
  </si>
  <si>
    <t>A 0003-00018548</t>
  </si>
  <si>
    <t>A 0003-00018549</t>
  </si>
  <si>
    <t>A 0003-00018550</t>
  </si>
  <si>
    <t>A 0003-00018551</t>
  </si>
  <si>
    <t>A 0003-00018552</t>
  </si>
  <si>
    <t>A 0003-00018553</t>
  </si>
  <si>
    <t>A 0003-00018554</t>
  </si>
  <si>
    <t>A 0003-00018555</t>
  </si>
  <si>
    <t>A 0003-00018556</t>
  </si>
  <si>
    <t>A 0003-00018557</t>
  </si>
  <si>
    <t>A 0003-00018558</t>
  </si>
  <si>
    <t xml:space="preserve">EQUIPAMIENTO PARA EMPRESAS </t>
  </si>
  <si>
    <t>30-71132572-3</t>
  </si>
  <si>
    <t>A 0003-00018559</t>
  </si>
  <si>
    <t>A 0003-00018560</t>
  </si>
  <si>
    <t>A 0003-00018561</t>
  </si>
  <si>
    <t>A 0003-00018562</t>
  </si>
  <si>
    <t>A 0003-00018563</t>
  </si>
  <si>
    <t>A 0003-00018564</t>
  </si>
  <si>
    <t>A 0003-00018565</t>
  </si>
  <si>
    <t>A 0003-00018566</t>
  </si>
  <si>
    <t>A 0003-00018567</t>
  </si>
  <si>
    <t>A 0003-00018568</t>
  </si>
  <si>
    <t>A 0003-00018569</t>
  </si>
  <si>
    <t>A 0003-00018570</t>
  </si>
  <si>
    <t>A 0003-00018571</t>
  </si>
  <si>
    <t>A 0004-00000021</t>
  </si>
  <si>
    <t>A 0004-00000022</t>
  </si>
  <si>
    <t>A 0004-00000023</t>
  </si>
  <si>
    <t>A 0003-00000125</t>
  </si>
  <si>
    <t>TEXTIL AMESUD S A</t>
  </si>
  <si>
    <t>A 0003-00000126</t>
  </si>
  <si>
    <t>A 0003-00000127</t>
  </si>
  <si>
    <t>A 0003-00000128</t>
  </si>
  <si>
    <t>A 0003-00000129</t>
  </si>
  <si>
    <t>A 0003-00000130</t>
  </si>
  <si>
    <t>A 0003-00000131</t>
  </si>
  <si>
    <t>A 0003-00000132</t>
  </si>
  <si>
    <t>A 0003-00000133</t>
  </si>
  <si>
    <t>A 0003-00000134</t>
  </si>
  <si>
    <t>A 0003-00000135</t>
  </si>
  <si>
    <t>A 0003-00000136</t>
  </si>
  <si>
    <t>A 0003-00000137</t>
  </si>
  <si>
    <t>A 0003-00000138</t>
  </si>
  <si>
    <t>A 0003-00018572</t>
  </si>
  <si>
    <t>A 0003-00018573</t>
  </si>
  <si>
    <t>A 0003-00018574</t>
  </si>
  <si>
    <t>A 0003-00018575</t>
  </si>
  <si>
    <t>A 0003-00018576</t>
  </si>
  <si>
    <t>A 0003-00018577</t>
  </si>
  <si>
    <t>A 0003-00018578</t>
  </si>
  <si>
    <t>A 0003-00018579</t>
  </si>
  <si>
    <t>A 0003-00018580</t>
  </si>
  <si>
    <t>A 0003-00018581</t>
  </si>
  <si>
    <t>A 0003-00018582</t>
  </si>
  <si>
    <t>A 0003-00018583</t>
  </si>
  <si>
    <t>A 0003-00018584</t>
  </si>
  <si>
    <t>A 0003-00018585</t>
  </si>
  <si>
    <t>A 0003-00018586</t>
  </si>
  <si>
    <t>A 0003-00018587</t>
  </si>
  <si>
    <t>A 0003-00018588</t>
  </si>
  <si>
    <t>A 0003-00018589</t>
  </si>
  <si>
    <t>A 0003-00018590</t>
  </si>
  <si>
    <t>A 0003-00018591</t>
  </si>
  <si>
    <t>A 0003-00018592</t>
  </si>
  <si>
    <t>A 0003-00018593</t>
  </si>
  <si>
    <t>A 0003-00018594</t>
  </si>
  <si>
    <t>A 0003-00018595</t>
  </si>
  <si>
    <t>A 0003-00018596</t>
  </si>
  <si>
    <t>A 0003-00018597</t>
  </si>
  <si>
    <t>A 0003-00018598</t>
  </si>
  <si>
    <t>A 0003-00018599</t>
  </si>
  <si>
    <t>A 0003-00018600</t>
  </si>
  <si>
    <t>A 0003-00018601</t>
  </si>
  <si>
    <t>TECNOACCESORIOS MDQ S.A.</t>
  </si>
  <si>
    <t>30-71760560-4</t>
  </si>
  <si>
    <t>A 0003-00018602</t>
  </si>
  <si>
    <t>A 0003-00018603</t>
  </si>
  <si>
    <t>A 0003-00018604</t>
  </si>
  <si>
    <t>A 0003-00018605</t>
  </si>
  <si>
    <t>A 0003-00018606</t>
  </si>
  <si>
    <t>A 0003-00018607</t>
  </si>
  <si>
    <t>A 0003-00018608</t>
  </si>
  <si>
    <t>A 0003-00018609</t>
  </si>
  <si>
    <t>A 0003-00018610</t>
  </si>
  <si>
    <t>STOPCELL SAS</t>
  </si>
  <si>
    <t>33-71667596-9</t>
  </si>
  <si>
    <t>A 0003-00018611</t>
  </si>
  <si>
    <t>A 0003-00018612</t>
  </si>
  <si>
    <t>A 0003-00018613</t>
  </si>
  <si>
    <t>A 0003-00018614</t>
  </si>
  <si>
    <t>A 0003-00018615</t>
  </si>
  <si>
    <t>A 0003-00018616</t>
  </si>
  <si>
    <t>A 0003-00018617</t>
  </si>
  <si>
    <t>A 0003-00018618</t>
  </si>
  <si>
    <t>A 0003-00018619</t>
  </si>
  <si>
    <t>A 0003-00018620</t>
  </si>
  <si>
    <t>A 0003-00018621</t>
  </si>
  <si>
    <t>A 0003-00018622</t>
  </si>
  <si>
    <t>A 0003-00018623</t>
  </si>
  <si>
    <t>A 0003-00018624</t>
  </si>
  <si>
    <t>A 0003-00018625</t>
  </si>
  <si>
    <t>A 0003-00018626</t>
  </si>
  <si>
    <t>A 0003-00018627</t>
  </si>
  <si>
    <t>A 0003-00018628</t>
  </si>
  <si>
    <t>A 0003-00018629</t>
  </si>
  <si>
    <t>A 0003-00018630</t>
  </si>
  <si>
    <t>A 0003-00018631</t>
  </si>
  <si>
    <t>A 0003-00018632</t>
  </si>
  <si>
    <t>A 0003-00018633</t>
  </si>
  <si>
    <t>A 0003-00018634</t>
  </si>
  <si>
    <t>A 0003-00018635</t>
  </si>
  <si>
    <t>A 0003-00018636</t>
  </si>
  <si>
    <t>A 0003-00018637</t>
  </si>
  <si>
    <t>A 0003-00018638</t>
  </si>
  <si>
    <t>A 0003-00018639</t>
  </si>
  <si>
    <t>A 0003-00018640</t>
  </si>
  <si>
    <t>A 0003-00018641</t>
  </si>
  <si>
    <t>A 0003-00018642</t>
  </si>
  <si>
    <t>A 0003-00018643</t>
  </si>
  <si>
    <t>A 0003-00018644</t>
  </si>
  <si>
    <t>A 0003-00018645</t>
  </si>
  <si>
    <t>A 0003-00018646</t>
  </si>
  <si>
    <t>A 0003-00018647</t>
  </si>
  <si>
    <t>A 0003-00018648</t>
  </si>
  <si>
    <t>A 0003-00018649</t>
  </si>
  <si>
    <t>A 0003-00018650</t>
  </si>
  <si>
    <t>A 0003-00018651</t>
  </si>
  <si>
    <t>A 0003-00018652</t>
  </si>
  <si>
    <t>A 0003-00018653</t>
  </si>
  <si>
    <t>A 0003-00018654</t>
  </si>
  <si>
    <t>A 0003-00018655</t>
  </si>
  <si>
    <t>A 0003-00018656</t>
  </si>
  <si>
    <t>AGUSTEX S.R.L.</t>
  </si>
  <si>
    <t>30-70949120-9</t>
  </si>
  <si>
    <t>A 0003-00018657</t>
  </si>
  <si>
    <t>A 0003-00018658</t>
  </si>
  <si>
    <t>A 0003-00018659</t>
  </si>
  <si>
    <t>A 0003-00018660</t>
  </si>
  <si>
    <t>A 0003-00018661</t>
  </si>
  <si>
    <t>A 0003-00018662</t>
  </si>
  <si>
    <t>A 0003-00018663</t>
  </si>
  <si>
    <t>A 0003-00018664</t>
  </si>
  <si>
    <t>A 0003-00018665</t>
  </si>
  <si>
    <t>A 0003-00018666</t>
  </si>
  <si>
    <t>A 0003-00018667</t>
  </si>
  <si>
    <t>A 0003-00018668</t>
  </si>
  <si>
    <t>A 0003-00018669</t>
  </si>
  <si>
    <t>A 0003-00018670</t>
  </si>
  <si>
    <t>A 0003-00018671</t>
  </si>
  <si>
    <t>A 0003-00018672</t>
  </si>
  <si>
    <t>A 0003-00018673</t>
  </si>
  <si>
    <t>A 0003-00018674</t>
  </si>
  <si>
    <t>A 0003-00018675</t>
  </si>
  <si>
    <t>A 0003-00018676</t>
  </si>
  <si>
    <t>A 0003-00018677</t>
  </si>
  <si>
    <t>A 0003-00018678</t>
  </si>
  <si>
    <t>A 0003-00018679</t>
  </si>
  <si>
    <t>A 0003-00018680</t>
  </si>
  <si>
    <t>A 0003-00018681</t>
  </si>
  <si>
    <t>A 0003-00018682</t>
  </si>
  <si>
    <t>A 0003-00018683</t>
  </si>
  <si>
    <t>A 0003-00018684</t>
  </si>
  <si>
    <t>MARIPEL S.A.</t>
  </si>
  <si>
    <t>30-70796306-5</t>
  </si>
  <si>
    <t>A 0003-00018685</t>
  </si>
  <si>
    <t>A 0003-00018686</t>
  </si>
  <si>
    <t>A 0003-00018687</t>
  </si>
  <si>
    <t>A 0003-00018688</t>
  </si>
  <si>
    <t>A 0003-00018689</t>
  </si>
  <si>
    <t>A 0003-00018690</t>
  </si>
  <si>
    <t>A 0003-00018691</t>
  </si>
  <si>
    <t>A 0003-00018692</t>
  </si>
  <si>
    <t>A 0003-00018693</t>
  </si>
  <si>
    <t>A 0003-00018694</t>
  </si>
  <si>
    <t>A 0003-00018695</t>
  </si>
  <si>
    <t>SUMERU AYURVEDA S.A.</t>
  </si>
  <si>
    <t>30-71519936-6</t>
  </si>
  <si>
    <t>A 0003-00018696</t>
  </si>
  <si>
    <t>A 0003-00018697</t>
  </si>
  <si>
    <t>A 0003-00018698</t>
  </si>
  <si>
    <t>A 0003-00018699</t>
  </si>
  <si>
    <t>A 0003-00018700</t>
  </si>
  <si>
    <t>A 0003-00018701</t>
  </si>
  <si>
    <t>A 0003-00018702</t>
  </si>
  <si>
    <t>A 0003-00018703</t>
  </si>
  <si>
    <t>A 0003-00018704</t>
  </si>
  <si>
    <t>A 0003-00018705</t>
  </si>
  <si>
    <t>A 0003-00018706</t>
  </si>
  <si>
    <t>A 0003-00018707</t>
  </si>
  <si>
    <t>A 0003-00018708</t>
  </si>
  <si>
    <t>A 0003-00018709</t>
  </si>
  <si>
    <t>A 0003-00018710</t>
  </si>
  <si>
    <t>A 0003-00018711</t>
  </si>
  <si>
    <t>A 0003-00018712</t>
  </si>
  <si>
    <t>A 0003-00018713</t>
  </si>
  <si>
    <t>A 0003-00018714</t>
  </si>
  <si>
    <t>A 0003-00018715</t>
  </si>
  <si>
    <t>A 0003-00018716</t>
  </si>
  <si>
    <t>A 0003-00018717</t>
  </si>
  <si>
    <t>A 0003-00018718</t>
  </si>
  <si>
    <t>A 0003-00018719</t>
  </si>
  <si>
    <t>A 0003-00018720</t>
  </si>
  <si>
    <t>A 0003-00018721</t>
  </si>
  <si>
    <t>A 0003-00018722</t>
  </si>
  <si>
    <t>A 0003-00018723</t>
  </si>
  <si>
    <t>A 0003-00018724</t>
  </si>
  <si>
    <t>A 0003-00018725</t>
  </si>
  <si>
    <t>A 0003-00018726</t>
  </si>
  <si>
    <t>A 0003-00018727</t>
  </si>
  <si>
    <t>A 0003-00018728</t>
  </si>
  <si>
    <t>A 0003-00018729</t>
  </si>
  <si>
    <t>A 0003-00018730</t>
  </si>
  <si>
    <t>A 0003-00018731</t>
  </si>
  <si>
    <t>A 0003-00018732</t>
  </si>
  <si>
    <t>TEXTIL SHELTEX SA</t>
  </si>
  <si>
    <t>30-71730561-9</t>
  </si>
  <si>
    <t>A 0003-00018733</t>
  </si>
  <si>
    <t>A 0003-00018734</t>
  </si>
  <si>
    <t>A 0003-00018735</t>
  </si>
  <si>
    <t>A 0003-00018736</t>
  </si>
  <si>
    <t>A 0003-00018737</t>
  </si>
  <si>
    <t>A 0003-00018738</t>
  </si>
  <si>
    <t>A 0003-00018739</t>
  </si>
  <si>
    <t>A 0003-00018740</t>
  </si>
  <si>
    <t>A 0003-00018741</t>
  </si>
  <si>
    <t>A 0003-00018742</t>
  </si>
  <si>
    <t>A 0003-00018743</t>
  </si>
  <si>
    <t>A 0003-00018744</t>
  </si>
  <si>
    <t>A 0003-00018745</t>
  </si>
  <si>
    <t>A 0003-00018746</t>
  </si>
  <si>
    <t>A 0003-00018747</t>
  </si>
  <si>
    <t>A 0003-00018748</t>
  </si>
  <si>
    <t>A 0003-00018749</t>
  </si>
  <si>
    <t>A 0003-00018750</t>
  </si>
  <si>
    <t>A 0003-00018751</t>
  </si>
  <si>
    <t xml:space="preserve">SUPPO MARCOS DAMIAN </t>
  </si>
  <si>
    <t>20-27003244-4</t>
  </si>
  <si>
    <t>A 0003-00018752</t>
  </si>
  <si>
    <t>A 0003-00018753</t>
  </si>
  <si>
    <t>A 0003-00018754</t>
  </si>
  <si>
    <t>A 0003-00018755</t>
  </si>
  <si>
    <t>A 0003-00018756</t>
  </si>
  <si>
    <t>A 0003-00018757</t>
  </si>
  <si>
    <t>A 0003-00018758</t>
  </si>
  <si>
    <t>A 0003-00018759</t>
  </si>
  <si>
    <t>A 0003-00018760</t>
  </si>
  <si>
    <t>A 0003-00018761</t>
  </si>
  <si>
    <t>A 0003-00018762</t>
  </si>
  <si>
    <t>A 0003-00018763</t>
  </si>
  <si>
    <t>A 0003-00018764</t>
  </si>
  <si>
    <t>A 0003-00018765</t>
  </si>
  <si>
    <t>A 0003-00018766</t>
  </si>
  <si>
    <t>A 0003-00018767</t>
  </si>
  <si>
    <t>A 0003-00018768</t>
  </si>
  <si>
    <t>A 0003-00018769</t>
  </si>
  <si>
    <t>A 0003-00018770</t>
  </si>
  <si>
    <t>A 0003-00018771</t>
  </si>
  <si>
    <t>A 0004-00000024</t>
  </si>
  <si>
    <t>A 0004-00000025</t>
  </si>
  <si>
    <t>A 0004-00000026</t>
  </si>
  <si>
    <t>A 0003-00000139</t>
  </si>
  <si>
    <t>A 0003-00000140</t>
  </si>
  <si>
    <t>A 0003-00000141</t>
  </si>
  <si>
    <t>A 0003-00000142</t>
  </si>
  <si>
    <t>A 0003-00000143</t>
  </si>
  <si>
    <t>A 0003-00000144</t>
  </si>
  <si>
    <t>A 0003-00000145</t>
  </si>
  <si>
    <t>A 0003-00018772</t>
  </si>
  <si>
    <t>A 0003-00018773</t>
  </si>
  <si>
    <t>A 0003-00018774</t>
  </si>
  <si>
    <t>A 0003-00018775</t>
  </si>
  <si>
    <t>A 0003-00018776</t>
  </si>
  <si>
    <t>A 0003-00018777</t>
  </si>
  <si>
    <t>A 0003-00018778</t>
  </si>
  <si>
    <t>A 0003-00018779</t>
  </si>
  <si>
    <t>A 0003-00018780</t>
  </si>
  <si>
    <t>A 0003-00018781</t>
  </si>
  <si>
    <t>A 0003-00018782</t>
  </si>
  <si>
    <t>A 0003-00018783</t>
  </si>
  <si>
    <t>A 0003-00018784</t>
  </si>
  <si>
    <t>A 0003-00018785</t>
  </si>
  <si>
    <t>A 0003-00018786</t>
  </si>
  <si>
    <t>A 0003-00018787</t>
  </si>
  <si>
    <t>A 0003-00018788</t>
  </si>
  <si>
    <t>A 0003-00018789</t>
  </si>
  <si>
    <t>A 0003-00018790</t>
  </si>
  <si>
    <t>A 0003-00018791</t>
  </si>
  <si>
    <t>EUNDO SA</t>
  </si>
  <si>
    <t>30-71792365-7</t>
  </si>
  <si>
    <t>A 0003-00018792</t>
  </si>
  <si>
    <t>A 0003-00018793</t>
  </si>
  <si>
    <t>A 0003-00018794</t>
  </si>
  <si>
    <t>A 0003-00018795</t>
  </si>
  <si>
    <t>A 0003-00018796</t>
  </si>
  <si>
    <t>A 0003-00018797</t>
  </si>
  <si>
    <t>A 0003-00018798</t>
  </si>
  <si>
    <t>A 0003-00018799</t>
  </si>
  <si>
    <t>A 0003-00018800</t>
  </si>
  <si>
    <t>A 0003-00018801</t>
  </si>
  <si>
    <t>A 0003-00018802</t>
  </si>
  <si>
    <t>A 0003-00018803</t>
  </si>
  <si>
    <t>A 0003-00018804</t>
  </si>
  <si>
    <t>A 0003-00018805</t>
  </si>
  <si>
    <t>A 0003-00018806</t>
  </si>
  <si>
    <t>A 0003-00018807</t>
  </si>
  <si>
    <t>A 0003-00018808</t>
  </si>
  <si>
    <t>A 0003-00018809</t>
  </si>
  <si>
    <t>A 0003-00018810</t>
  </si>
  <si>
    <t>A 0003-00018811</t>
  </si>
  <si>
    <t>A 0003-00018812</t>
  </si>
  <si>
    <t>A 0003-00018813</t>
  </si>
  <si>
    <t>A 0003-00018814</t>
  </si>
  <si>
    <t>A 0003-00018815</t>
  </si>
  <si>
    <t>A 0003-00018816</t>
  </si>
  <si>
    <t>A 0003-00018817</t>
  </si>
  <si>
    <t>A 0003-00018818</t>
  </si>
  <si>
    <t>A 0003-00018819</t>
  </si>
  <si>
    <t>A 0003-00018820</t>
  </si>
  <si>
    <t>A 0003-00018821</t>
  </si>
  <si>
    <t>A 0003-00018822</t>
  </si>
  <si>
    <t>A 0003-00018823</t>
  </si>
  <si>
    <t>A 0003-00018824</t>
  </si>
  <si>
    <t>A 0003-00018825</t>
  </si>
  <si>
    <t>A 0003-00018826</t>
  </si>
  <si>
    <t>A 0003-00018827</t>
  </si>
  <si>
    <t>A 0003-00018828</t>
  </si>
  <si>
    <t>A 0003-00018829</t>
  </si>
  <si>
    <t>A 0003-00018830</t>
  </si>
  <si>
    <t>A 0003-00018831</t>
  </si>
  <si>
    <t>A 0003-00018832</t>
  </si>
  <si>
    <t>A 0003-00018833</t>
  </si>
  <si>
    <t>A 0003-00018834</t>
  </si>
  <si>
    <t>A 0003-00018835</t>
  </si>
  <si>
    <t>A 0003-00018836</t>
  </si>
  <si>
    <t>A 0003-00018837</t>
  </si>
  <si>
    <t>A 0003-00018838</t>
  </si>
  <si>
    <t>A 0003-00018839</t>
  </si>
  <si>
    <t>A 0003-00018840</t>
  </si>
  <si>
    <t>A 0003-00018841</t>
  </si>
  <si>
    <t>A 0003-00018842</t>
  </si>
  <si>
    <t>A 0003-00018843</t>
  </si>
  <si>
    <t>A 0003-00018844</t>
  </si>
  <si>
    <t>A 0003-00018845</t>
  </si>
  <si>
    <t>A 0003-00018846</t>
  </si>
  <si>
    <t>A 0003-00018847</t>
  </si>
  <si>
    <t>A 0003-00018848</t>
  </si>
  <si>
    <t>A 0003-00018849</t>
  </si>
  <si>
    <t>CONTINENTAL DO BRASIL PRODUTOS AUTOMOTIVOS LTDA.</t>
  </si>
  <si>
    <t>30-71063444-7</t>
  </si>
  <si>
    <t>A 0003-00018850</t>
  </si>
  <si>
    <t>INDUSTRIAS FRIGORIFICAS SUR SA</t>
  </si>
  <si>
    <t>30-71016359-2</t>
  </si>
  <si>
    <t>A 0003-00018851</t>
  </si>
  <si>
    <t>A 0003-00018852</t>
  </si>
  <si>
    <t>A 0003-00018853</t>
  </si>
  <si>
    <t>A 0003-00018854</t>
  </si>
  <si>
    <t>A 0003-00018855</t>
  </si>
  <si>
    <t>A 0003-00018856</t>
  </si>
  <si>
    <t>A 0003-00018857</t>
  </si>
  <si>
    <t>PLASTICA V-C S.R.L.</t>
  </si>
  <si>
    <t>30-70855497-5</t>
  </si>
  <si>
    <t>A 0003-00018858</t>
  </si>
  <si>
    <t>A 0003-00018859</t>
  </si>
  <si>
    <t>A 0003-00018860</t>
  </si>
  <si>
    <t>A 0003-00018861</t>
  </si>
  <si>
    <t>A 0003-00018862</t>
  </si>
  <si>
    <t>A 0003-00018863</t>
  </si>
  <si>
    <t>A 0003-00018864</t>
  </si>
  <si>
    <t>A 0003-00018865</t>
  </si>
  <si>
    <t>A 0003-00018866</t>
  </si>
  <si>
    <t>A 0003-00018867</t>
  </si>
  <si>
    <t>A 0003-00018868</t>
  </si>
  <si>
    <t>A 0003-00018869</t>
  </si>
  <si>
    <t>A 0003-00018870</t>
  </si>
  <si>
    <t>A 0003-00018871</t>
  </si>
  <si>
    <t>A 0003-00018872</t>
  </si>
  <si>
    <t>A 0003-00018873</t>
  </si>
  <si>
    <t>A 0003-00018874</t>
  </si>
  <si>
    <t>A 0003-00018875</t>
  </si>
  <si>
    <t>A 0003-00018876</t>
  </si>
  <si>
    <t>A 0003-00018877</t>
  </si>
  <si>
    <t>A 0003-00018878</t>
  </si>
  <si>
    <t>A 0003-00018879</t>
  </si>
  <si>
    <t>A 0003-00018880</t>
  </si>
  <si>
    <t>A 0003-00018881</t>
  </si>
  <si>
    <t>A 0003-00018882</t>
  </si>
  <si>
    <t>A 0003-00018883</t>
  </si>
  <si>
    <t>A 0003-00018884</t>
  </si>
  <si>
    <t>A 0003-00018885</t>
  </si>
  <si>
    <t>A 0003-00018886</t>
  </si>
  <si>
    <t>A 0003-00018887</t>
  </si>
  <si>
    <t>A 0003-00018888</t>
  </si>
  <si>
    <t>A 0003-00018889</t>
  </si>
  <si>
    <t>UNITEXT</t>
  </si>
  <si>
    <t>30-71744825-8</t>
  </si>
  <si>
    <t>A 0003-00018890</t>
  </si>
  <si>
    <t>A 0003-00018891</t>
  </si>
  <si>
    <t>A 0003-00018892</t>
  </si>
  <si>
    <t>A 0003-00018893</t>
  </si>
  <si>
    <t>A 0003-00018894</t>
  </si>
  <si>
    <t>A 0003-00018895</t>
  </si>
  <si>
    <t>A 0003-00018896</t>
  </si>
  <si>
    <t>A 0003-00018897</t>
  </si>
  <si>
    <t>A 0003-00018898</t>
  </si>
  <si>
    <t>A 0003-00018899</t>
  </si>
  <si>
    <t>A 0003-00018900</t>
  </si>
  <si>
    <t>A 0003-00018901</t>
  </si>
  <si>
    <t>A 0003-00018902</t>
  </si>
  <si>
    <t>A 0003-00018903</t>
  </si>
  <si>
    <t>A 0003-00018904</t>
  </si>
  <si>
    <t>A 0003-00018905</t>
  </si>
  <si>
    <t>A 0003-00018906</t>
  </si>
  <si>
    <t>A 0003-00018907</t>
  </si>
  <si>
    <t>A 0003-00018908</t>
  </si>
  <si>
    <t>A 0003-00018909</t>
  </si>
  <si>
    <t>A 0003-00018910</t>
  </si>
  <si>
    <t>A 0003-00018911</t>
  </si>
  <si>
    <t>A 0003-00018912</t>
  </si>
  <si>
    <t>A 0003-00018913</t>
  </si>
  <si>
    <t>A 0003-00018914</t>
  </si>
  <si>
    <t>A 0003-00018915</t>
  </si>
  <si>
    <t>A 0003-00018916</t>
  </si>
  <si>
    <t>A 0003-00018917</t>
  </si>
  <si>
    <t>A 0003-00018918</t>
  </si>
  <si>
    <t>A 0003-00018919</t>
  </si>
  <si>
    <t>A 0003-00018920</t>
  </si>
  <si>
    <t>A 0003-00018921</t>
  </si>
  <si>
    <t>A 0003-00018922</t>
  </si>
  <si>
    <t>A 0003-00018923</t>
  </si>
  <si>
    <t>A 0003-00018924</t>
  </si>
  <si>
    <t>A 0003-00018925</t>
  </si>
  <si>
    <t>A 0003-00018926</t>
  </si>
  <si>
    <t>A 0003-00018927</t>
  </si>
  <si>
    <t>A 0003-00018928</t>
  </si>
  <si>
    <t>A 0003-00018929</t>
  </si>
  <si>
    <t>A 0003-00018930</t>
  </si>
  <si>
    <t>A 0003-00018931</t>
  </si>
  <si>
    <t>A 0003-00018932</t>
  </si>
  <si>
    <t>A 0003-00018933</t>
  </si>
  <si>
    <t>A 0003-00018934</t>
  </si>
  <si>
    <t>A 0003-00018935</t>
  </si>
  <si>
    <t>A 0003-00018936</t>
  </si>
  <si>
    <t>A 0003-00018937</t>
  </si>
  <si>
    <t>A 0003-00018938</t>
  </si>
  <si>
    <t>A 0003-00018939</t>
  </si>
  <si>
    <t>A 0003-00018940</t>
  </si>
  <si>
    <t>A 0003-00018941</t>
  </si>
  <si>
    <t>A 0003-00018942</t>
  </si>
  <si>
    <t>A 0003-00018943</t>
  </si>
  <si>
    <t>A 0003-00018944</t>
  </si>
  <si>
    <t>A 0003-00018945</t>
  </si>
  <si>
    <t>A 0003-00018946</t>
  </si>
  <si>
    <t>A 0003-00018947</t>
  </si>
  <si>
    <t>A 0003-00018948</t>
  </si>
  <si>
    <t>A 0003-00018949</t>
  </si>
  <si>
    <t>A 0003-00018950</t>
  </si>
  <si>
    <t>A 0003-00018951</t>
  </si>
  <si>
    <t>A 0003-00018952</t>
  </si>
  <si>
    <t>A 0003-00018953</t>
  </si>
  <si>
    <t>A 0003-00018954</t>
  </si>
  <si>
    <t>A 0003-00018955</t>
  </si>
  <si>
    <t>A 0003-00018956</t>
  </si>
  <si>
    <t>A 0003-00018957</t>
  </si>
  <si>
    <t>A 0003-00018958</t>
  </si>
  <si>
    <t>A 0003-00018959</t>
  </si>
  <si>
    <t>A 0003-00018960</t>
  </si>
  <si>
    <t>A 0003-00018961</t>
  </si>
  <si>
    <t>A 0003-00018962</t>
  </si>
  <si>
    <t>A 0003-00018963</t>
  </si>
  <si>
    <t>A 0003-00018964</t>
  </si>
  <si>
    <t>A 0003-00018965</t>
  </si>
  <si>
    <t>A 0003-00018966</t>
  </si>
  <si>
    <t>A 0003-00018967</t>
  </si>
  <si>
    <t>A 0003-00018968</t>
  </si>
  <si>
    <t>A 0003-00018969</t>
  </si>
  <si>
    <t>A 0003-00018970</t>
  </si>
  <si>
    <t>A 0003-00018971</t>
  </si>
  <si>
    <t>A 0003-00018972</t>
  </si>
  <si>
    <t>A 0003-00018973</t>
  </si>
  <si>
    <t>A 0003-00018974</t>
  </si>
  <si>
    <t>A 0003-00018975</t>
  </si>
  <si>
    <t>A 0003-00018976</t>
  </si>
  <si>
    <t>A 0003-00018977</t>
  </si>
  <si>
    <t>A 0003-00018978</t>
  </si>
  <si>
    <t>A 0003-00018979</t>
  </si>
  <si>
    <t>A 0003-00018980</t>
  </si>
  <si>
    <t>A 0003-00018981</t>
  </si>
  <si>
    <t>A 0003-00018982</t>
  </si>
  <si>
    <t>A 0003-00018983</t>
  </si>
  <si>
    <t>A 0003-00018984</t>
  </si>
  <si>
    <t>A 0003-00018985</t>
  </si>
  <si>
    <t>A 0003-00018986</t>
  </si>
  <si>
    <t>A 0003-00018987</t>
  </si>
  <si>
    <t>A 0003-00018988</t>
  </si>
  <si>
    <t>A 0003-00018989</t>
  </si>
  <si>
    <t>A 0003-00018990</t>
  </si>
  <si>
    <t>A 0003-00018991</t>
  </si>
  <si>
    <t>A 0003-00018992</t>
  </si>
  <si>
    <t>A 0003-00018993</t>
  </si>
  <si>
    <t>A 0003-00018994</t>
  </si>
  <si>
    <t>A 0003-00018995</t>
  </si>
  <si>
    <t>A 0003-00018996</t>
  </si>
  <si>
    <t>A 0003-00018997</t>
  </si>
  <si>
    <t>A 0003-00018998</t>
  </si>
  <si>
    <t>A 0003-00018999</t>
  </si>
  <si>
    <t>A 0004-00000027</t>
  </si>
  <si>
    <t>A 0004-00000028</t>
  </si>
  <si>
    <t>A 0004-00000029</t>
  </si>
  <si>
    <t>A 0004-00000030</t>
  </si>
  <si>
    <t>A 0004-00000031</t>
  </si>
  <si>
    <t>A 0003-00000146</t>
  </si>
  <si>
    <t>A 0003-00000147</t>
  </si>
  <si>
    <t>A 0003-00000148</t>
  </si>
  <si>
    <t>A 0003-00000149</t>
  </si>
  <si>
    <t>CINEMA SOPORTES</t>
  </si>
  <si>
    <t>CLIENTES</t>
  </si>
  <si>
    <t>ALMACENAMIENTO</t>
  </si>
  <si>
    <t>DESCONSOLIDADO</t>
  </si>
  <si>
    <t>PICKING X M3</t>
  </si>
  <si>
    <t>DISTRIBUCION</t>
  </si>
  <si>
    <t>ESTAMPILLADO</t>
  </si>
  <si>
    <t>TOTAL2</t>
  </si>
  <si>
    <t>ISAK</t>
  </si>
  <si>
    <t>VERSATO</t>
  </si>
  <si>
    <t>VICBOR</t>
  </si>
  <si>
    <t>LOVOB</t>
  </si>
  <si>
    <t>ROITZ</t>
  </si>
  <si>
    <t>THINKER</t>
  </si>
  <si>
    <t>CDI</t>
  </si>
  <si>
    <t>AGRITECNO</t>
  </si>
  <si>
    <t>OKIANO</t>
  </si>
  <si>
    <t>BABYFIRST</t>
  </si>
  <si>
    <t>MFHNOS</t>
  </si>
  <si>
    <t>JOCKER</t>
  </si>
  <si>
    <t>LIBERTAD</t>
  </si>
  <si>
    <t>WAYNA</t>
  </si>
  <si>
    <t>CIANCIARUSO</t>
  </si>
  <si>
    <t>GIM</t>
  </si>
  <si>
    <t>SIS</t>
  </si>
  <si>
    <t>MATAMELU</t>
  </si>
  <si>
    <t>DUCK</t>
  </si>
  <si>
    <t>NOVILLO</t>
  </si>
  <si>
    <t>MOBO</t>
  </si>
  <si>
    <t>BRUKH</t>
  </si>
  <si>
    <t xml:space="preserve">RANAWEL </t>
  </si>
  <si>
    <t>JYJ</t>
  </si>
  <si>
    <t>V.GROUP</t>
  </si>
  <si>
    <t>COPPEL</t>
  </si>
  <si>
    <t>MIDING</t>
  </si>
  <si>
    <t>DECORMESA</t>
  </si>
  <si>
    <t>GAMING</t>
  </si>
  <si>
    <t xml:space="preserve">GLOBAL </t>
  </si>
  <si>
    <t>LARTEXTIL</t>
  </si>
  <si>
    <t>ATALPLASTIC</t>
  </si>
  <si>
    <t>TEXTIL  AMESUD</t>
  </si>
  <si>
    <t>VILLEGAS GROUP</t>
  </si>
  <si>
    <t>GLOBALIDEAS</t>
  </si>
  <si>
    <t>CARGO</t>
  </si>
  <si>
    <t>TRANSPORTE</t>
  </si>
  <si>
    <t>ALQUILER</t>
  </si>
  <si>
    <t>SUELDOS</t>
  </si>
  <si>
    <t>AFIP</t>
  </si>
  <si>
    <t>Nombre</t>
  </si>
  <si>
    <t>Latitud</t>
  </si>
  <si>
    <t>Longitud</t>
  </si>
  <si>
    <t xml:space="preserve">Carrefour </t>
  </si>
  <si>
    <t>CORDOBA BB S.R.L.</t>
  </si>
  <si>
    <t>MATAMELU CAB</t>
  </si>
  <si>
    <t xml:space="preserve">SHINE </t>
  </si>
  <si>
    <t xml:space="preserve">SISFRIENDS </t>
  </si>
  <si>
    <t>Donato alvarez</t>
  </si>
  <si>
    <t>MUZIC ALCIRA OLGA BEATRIZ</t>
  </si>
  <si>
    <t>VETTORI ANDREA</t>
  </si>
  <si>
    <t xml:space="preserve">NEW KIDS </t>
  </si>
  <si>
    <t>BABIES MDQ S.R.L</t>
  </si>
  <si>
    <t>YARO S.A</t>
  </si>
  <si>
    <t>ROMOLI S.A</t>
  </si>
  <si>
    <t>VALLE GABRIEL</t>
  </si>
  <si>
    <t>KINDERLAND S.R.L</t>
  </si>
  <si>
    <t xml:space="preserve">NOVILLO </t>
  </si>
  <si>
    <t>AERODYM</t>
  </si>
  <si>
    <t>TODO ESPONJA</t>
  </si>
  <si>
    <t>AEROSOLES HECSPI</t>
  </si>
  <si>
    <t>T4</t>
  </si>
  <si>
    <t>T5 - BACTSSA</t>
  </si>
  <si>
    <t>TERMINAL T7</t>
  </si>
  <si>
    <t>EXOLGAN</t>
  </si>
  <si>
    <t>DHL</t>
  </si>
  <si>
    <t>DHL - PTO MADER</t>
  </si>
  <si>
    <t>DODERO - TERMINAL &amp; DEPO</t>
  </si>
  <si>
    <t>FEPPORT DEPOSIT FISCAL</t>
  </si>
  <si>
    <t>GEMEZ</t>
  </si>
  <si>
    <t>GEMEZ II</t>
  </si>
  <si>
    <t>GEMEZ BARRACAS</t>
  </si>
  <si>
    <t xml:space="preserve">DEFISA </t>
  </si>
  <si>
    <t>MONTALVAN</t>
  </si>
  <si>
    <t>MUCHINSON</t>
  </si>
  <si>
    <t>MEGATOM</t>
  </si>
  <si>
    <t>MERCOCARGA S.A</t>
  </si>
  <si>
    <t>ZONA FRANCA</t>
  </si>
  <si>
    <t>GENPOL</t>
  </si>
  <si>
    <t>TEFII</t>
  </si>
  <si>
    <t>TRP - TERMINAL</t>
  </si>
  <si>
    <t>DEFIBA</t>
  </si>
  <si>
    <t>LOINEX</t>
  </si>
  <si>
    <t>Prodtech</t>
  </si>
  <si>
    <t>ARLEQUINO SRL</t>
  </si>
  <si>
    <t>FUCHS DAMIAN ESTEBAN</t>
  </si>
  <si>
    <t>GARRONE ANA LAURA</t>
  </si>
  <si>
    <t>GRUPO BABYSTORE SRL</t>
  </si>
  <si>
    <t>GIRO LA PLATA - BORNACINI</t>
  </si>
  <si>
    <t>WAYNA S.A</t>
  </si>
  <si>
    <t>RIO GROUP S.A</t>
  </si>
  <si>
    <t>BRIGNANI MARIA MARGARITA (TF)</t>
  </si>
  <si>
    <t>RAYUELA SRL</t>
  </si>
  <si>
    <t>INC S.A.</t>
  </si>
  <si>
    <t>OSITO AZUL - SAN MIGUEL</t>
  </si>
  <si>
    <t>CAFFARO HNOS SRL - SOLAR</t>
  </si>
  <si>
    <t>CAFFARO HNOS - MARTINEZ -</t>
  </si>
  <si>
    <t>CAFFARO HNOS - RECOLETA 2 -</t>
  </si>
  <si>
    <t>GAM S.R.L. - SUC. CABILDO 2</t>
  </si>
  <si>
    <t>GAM S.R.L. - SUC. CABALLITO</t>
  </si>
  <si>
    <t>OSITO AZUL - PALERMO</t>
  </si>
  <si>
    <t>CAFFARO HNOS SRL - ONCE</t>
  </si>
  <si>
    <t>CAFFARO TOYS - CERVI?O</t>
  </si>
  <si>
    <t>CAFFARO HNOS SRL - RECOLETA</t>
  </si>
  <si>
    <t>CAFFARO TOYS - URQUIZA</t>
  </si>
  <si>
    <t>OSITO AZUL - MADERO</t>
  </si>
  <si>
    <t>PISANO JOSE ROBERTO</t>
  </si>
  <si>
    <t>VIANI DIEGO OSCAR</t>
  </si>
  <si>
    <t>RAMIREZ Y OTINIANO SOCIEDAD SI</t>
  </si>
  <si>
    <t>MOUHAMED Y DIAZ VILCHES</t>
  </si>
  <si>
    <t>EL MUNDO INFANTIL SA</t>
  </si>
  <si>
    <t>MOUHAMED Y RABIEH SOC SIMP</t>
  </si>
  <si>
    <t>JOHER S.R.L</t>
  </si>
  <si>
    <t>LOPEZ LUIS ALBERTO</t>
  </si>
  <si>
    <t>DISTRIBUIDORA SHARIF S.R.L.</t>
  </si>
  <si>
    <t>BASSUK SERGIO</t>
  </si>
  <si>
    <t>LADAI E HIJOS S.R.L.</t>
  </si>
  <si>
    <t>AUNTS SA</t>
  </si>
  <si>
    <t>GRANDONE PABLO HORACIO</t>
  </si>
  <si>
    <t>RUGGIERO OLGA ISABEL</t>
  </si>
  <si>
    <t>GIRO PILAR - PAPOLA ANTONIO EM</t>
  </si>
  <si>
    <t>GIRO ADROGUE - GONZALEZ ANDREA</t>
  </si>
  <si>
    <t>GIRO CITY BELL - BORNANCINI</t>
  </si>
  <si>
    <t>GIRO CANNING - VILLARINO SUSAN</t>
  </si>
  <si>
    <t>GIRO PJE RODRIGO - BORNACINI</t>
  </si>
  <si>
    <t>COMPA?IA DE JUGUETES MICROCENT</t>
  </si>
  <si>
    <t>GIRO SOLAR DE ABADIA - GARCIA</t>
  </si>
  <si>
    <t>GIRO B. NORTE - DI LEO -</t>
  </si>
  <si>
    <t>GIRO FLORES - MARJUGUE -</t>
  </si>
  <si>
    <t>GIRO V.URQUIZA - SZEINBEIN -</t>
  </si>
  <si>
    <t>COLLAGE KIDS SRL</t>
  </si>
  <si>
    <t>MUNDO MANIAS S.R.L</t>
  </si>
  <si>
    <t>COMPA?IA DE JUGUETES CA?ITAS</t>
  </si>
  <si>
    <t>GIRO SAN ISIDRO - CINTO RUFFOL</t>
  </si>
  <si>
    <t>SOLODUJIN PABLO</t>
  </si>
  <si>
    <t>JUEGOS.COM S R L</t>
  </si>
  <si>
    <t>ENAPAK S R L</t>
  </si>
  <si>
    <t>PERFUMERIA LAS LILAS S.R.L</t>
  </si>
  <si>
    <t>VALLVERDU HECTOR PEDRO</t>
  </si>
  <si>
    <t>RAPALINO OMAR</t>
  </si>
  <si>
    <t>DI PAOLO E HIJOS S.H.</t>
  </si>
  <si>
    <t>GULLIVER S.A.</t>
  </si>
  <si>
    <t>CUENCA DISTRIBUCIONES SRL</t>
  </si>
  <si>
    <t>BOGGIERO OSVALDO NESTOR</t>
  </si>
  <si>
    <t>CANTI MARIA PATRICIA</t>
  </si>
  <si>
    <t>IMPULSOS CREATIVOS - ALCORTA</t>
  </si>
  <si>
    <t>IMPULSOS CREATIVOS - Gï¿½EMES</t>
  </si>
  <si>
    <t>IMPULSOS CREATIVOS - DEPOSITO</t>
  </si>
  <si>
    <t>IMPULSOS CREATIVOS - RIVADAVIA</t>
  </si>
  <si>
    <t>AGUILAR ROBERTO RAUL</t>
  </si>
  <si>
    <t>IMPULSOS CREATIVOS - ALDREY</t>
  </si>
  <si>
    <t>LUZURIAGA MARIA GUILLERMINA</t>
  </si>
  <si>
    <t>BRANCA ANGELA LORENA</t>
  </si>
  <si>
    <t>NANCAN GROUP SRL</t>
  </si>
  <si>
    <t>FERNANDEZ ELIDA MABEL</t>
  </si>
  <si>
    <t>DIST. DE JUGUETES DEL SUR SRL</t>
  </si>
  <si>
    <t>IMPULSOS CREATIVOS - MINI ALDR</t>
  </si>
  <si>
    <t>IMPULSOS CREATIVOS - BULLRICH</t>
  </si>
  <si>
    <t>HUGO JUGUETES SA</t>
  </si>
  <si>
    <t>EMPAQUES TANDIL SRL</t>
  </si>
  <si>
    <t>SALAZAR ALBERTO RAMON</t>
  </si>
  <si>
    <t>FUNNY S.A.</t>
  </si>
  <si>
    <t>IMPULSOS CREATIVOS - SAN JUAN</t>
  </si>
  <si>
    <t>MARINO GABRIEL</t>
  </si>
  <si>
    <t>ORTELLI CARLOS ARGENTINO</t>
  </si>
  <si>
    <t>IMPULSOS CREATIVOS - BELGRANO</t>
  </si>
  <si>
    <t>IMPULSOS CREATIVOS - SERRANO</t>
  </si>
  <si>
    <t>RANCAï¿½O ANTONIO</t>
  </si>
  <si>
    <t>IMPULSOS CREATIVOS - DOT</t>
  </si>
  <si>
    <t>MAULINI NESTOR JESUS</t>
  </si>
  <si>
    <t>MI YOPITA SRL</t>
  </si>
  <si>
    <t>GUINI SEBASTIAN ROBERTO</t>
  </si>
  <si>
    <t>BARRILETE S.A.</t>
  </si>
  <si>
    <t>LINDOW ALEXIA CECILIA - 24DSEP</t>
  </si>
  <si>
    <t>VALLE GABRIEL JORGE</t>
  </si>
  <si>
    <t>AMERICA BEBES S.R.L.</t>
  </si>
  <si>
    <t>ATAMIAN PAULA</t>
  </si>
  <si>
    <t>MONTI PABLO SIMON</t>
  </si>
  <si>
    <t>SARNICOLA LEANDRO</t>
  </si>
  <si>
    <t>TATETI SRL</t>
  </si>
  <si>
    <t>GIOVAZZINI LUCAS LEON</t>
  </si>
  <si>
    <t>TOY STORE SA - DEPOSITO</t>
  </si>
  <si>
    <t>BARKI CARLOS (M)</t>
  </si>
  <si>
    <t>NOVILLO S.R.L.</t>
  </si>
  <si>
    <t>PREGNANCY WORLD SA</t>
  </si>
  <si>
    <t>RAUSCH DIEGO MARTIN</t>
  </si>
  <si>
    <t>RODRIGUEZ SEBASTIAN ANDRES</t>
  </si>
  <si>
    <t>CANDELA SRL</t>
  </si>
  <si>
    <t>AMANTA SRL EN FORMACION</t>
  </si>
  <si>
    <t>SALDIVIA GABRIELA ANALIA</t>
  </si>
  <si>
    <t>EL BOSQUE SAS</t>
  </si>
  <si>
    <t>KASPARIAN S.R.L.</t>
  </si>
  <si>
    <t>PAPER TOYS S.R.L.</t>
  </si>
  <si>
    <t>EL ESTANCO S.A.</t>
  </si>
  <si>
    <t>IMPORTADORA FUEGUINA SRL (TF)</t>
  </si>
  <si>
    <t>COSITAS  S.A.</t>
  </si>
  <si>
    <t>MAARE SRL - YATAY -</t>
  </si>
  <si>
    <t>HERRERO MIGUEL ANGEL</t>
  </si>
  <si>
    <t>FERNANDEZ BEATRIZ AMALIA MARIA</t>
  </si>
  <si>
    <t>EURO S.A.</t>
  </si>
  <si>
    <t>MAVI S.R.L.</t>
  </si>
  <si>
    <t>CASA LORENZO SA -GM-</t>
  </si>
  <si>
    <t>OFICINA Y ARTE</t>
  </si>
  <si>
    <t>APFELBAUM EDUARDO JAVIER</t>
  </si>
  <si>
    <t>DULCE S.R.L.</t>
  </si>
  <si>
    <t>GALLIANO GABRIELA ANALIA</t>
  </si>
  <si>
    <t>MAIRA SRL</t>
  </si>
  <si>
    <t>GAM S.R.L. - SUC. CABILDO 3</t>
  </si>
  <si>
    <t>GAM S.R.L. - SUC. CABILDO 1</t>
  </si>
  <si>
    <t>GAM S.R.L. - SUC. SANTA FE 1</t>
  </si>
  <si>
    <t>GAM S.R.L. - SUC. SANTA FE 2</t>
  </si>
  <si>
    <t>GAM S.R.L. - SUC. LACROZE</t>
  </si>
  <si>
    <t>GAM S.R.L. - SUC. OLIVOS</t>
  </si>
  <si>
    <t>GAM S.R.L. - SUC. SAN ISIDRO</t>
  </si>
  <si>
    <t>FITOPLAST SRL</t>
  </si>
  <si>
    <t>PETRONGOLO GILDA - STA FE 3784</t>
  </si>
  <si>
    <t>LOPEZ MANUEL ALEJANDRO</t>
  </si>
  <si>
    <t>MIRADA COMERCIAL SRL</t>
  </si>
  <si>
    <t>ASTURES S.R.L.</t>
  </si>
  <si>
    <t>GONZALEZ DIEGO</t>
  </si>
  <si>
    <t>DISTRIBUIDORA BLUMEN S.A.</t>
  </si>
  <si>
    <t>GIRO PASEO DEL JOCKEY - CANOVA</t>
  </si>
  <si>
    <t>GIRO CHIVILCOY - YAPOR CARLOS</t>
  </si>
  <si>
    <t>COMPAï¿½IA DE JUGUETES CATAMARCA</t>
  </si>
  <si>
    <t>GIRO MARTINEZ - MTX2 SAS -</t>
  </si>
  <si>
    <t>MARTINEZ CAVALLO PILAR</t>
  </si>
  <si>
    <t>GIRO B. BLANCA - HEREDIA DIEGO</t>
  </si>
  <si>
    <t>DINALUD SRL</t>
  </si>
  <si>
    <t>MANIG SRL</t>
  </si>
  <si>
    <t>ALTOLETOLE SRL</t>
  </si>
  <si>
    <t>CADIA CONFORT SRL</t>
  </si>
  <si>
    <t>PEREGO ADRIANA ELDA</t>
  </si>
  <si>
    <t>CATY TOYS S.R.L.</t>
  </si>
  <si>
    <t>MOURIï¿½O SUSANA GLADYS</t>
  </si>
  <si>
    <t>LOSADA MONICA ISABEL Y LOSADA</t>
  </si>
  <si>
    <t>INFANCENTER JUGUETES SA RAMOS</t>
  </si>
  <si>
    <t>INFANCENTER JUGUETES SA MORON</t>
  </si>
  <si>
    <t>HOBBY TOYS S.A</t>
  </si>
  <si>
    <t>JAGALIK S.R.L.</t>
  </si>
  <si>
    <t>INFANT TOYS SRL</t>
  </si>
  <si>
    <t>DELMY PARTY SRL</t>
  </si>
  <si>
    <t>FERNANDEZ MATIAS</t>
  </si>
  <si>
    <t>DALESA S.R.L.</t>
  </si>
  <si>
    <t>VIGIL LOPEZ JUAN C Y MIGUEL A</t>
  </si>
  <si>
    <t>ROMANO HERMANOS</t>
  </si>
  <si>
    <t>PANDY TOYS S.R.L.</t>
  </si>
  <si>
    <t>ESPERANZA BEBE S.H. - TUCUMAN</t>
  </si>
  <si>
    <t>MI CLAVEL TOYS S.R.L.</t>
  </si>
  <si>
    <t>CANE ELIANA SILVINA</t>
  </si>
  <si>
    <t>LEON BENJAMIN</t>
  </si>
  <si>
    <t>SJOSTROM JORGE RAUL</t>
  </si>
  <si>
    <t>LIBRERIA Y JUGUETERIA SAN JORG</t>
  </si>
  <si>
    <t>LIBRERIA SAN PABLO S.R.L.</t>
  </si>
  <si>
    <t>GUERREIRO I. Y MARTINS C.</t>
  </si>
  <si>
    <t>HOLDING S.R.L.</t>
  </si>
  <si>
    <t>ALONSO LEANDRO (TF)</t>
  </si>
  <si>
    <t>AMBURI Y VECCHIO</t>
  </si>
  <si>
    <t>ALVAREZ DIEGO FACUNDO</t>
  </si>
  <si>
    <t>KINDERLAND JUGUETES S.A.</t>
  </si>
  <si>
    <t>J Y F TOYS SRL - PASTEUR</t>
  </si>
  <si>
    <t>SOTELO ARIEL ALEJANDRO</t>
  </si>
  <si>
    <t>SCERBO MARIA CELESTE</t>
  </si>
  <si>
    <t>ANUBIS S.R.L.</t>
  </si>
  <si>
    <t>SUPER IMPERIO S.A.</t>
  </si>
  <si>
    <t>ESTELA MONTENEGRO SRL</t>
  </si>
  <si>
    <t>IERAKUIN S.R.L.</t>
  </si>
  <si>
    <t>YURITI S.A.</t>
  </si>
  <si>
    <t>BELTRAN JUAN MANUEL</t>
  </si>
  <si>
    <t>NEW KIDS S.A.</t>
  </si>
  <si>
    <t>BABIES MDQ S.R.L.</t>
  </si>
  <si>
    <t>COMPAï¿½IA DE JUGUETES DOLORES</t>
  </si>
  <si>
    <t>GIRO COMODORO RIVADAVIA</t>
  </si>
  <si>
    <t>SAAVEDRA CARLOS DANIEL</t>
  </si>
  <si>
    <t>PEDERNERA FRANCISCO ANTONIO</t>
  </si>
  <si>
    <t>YULIANI JOSE ROBERTO</t>
  </si>
  <si>
    <t>CORONEL ALBERTO HUGO</t>
  </si>
  <si>
    <t>SZYLD ALBERTO</t>
  </si>
  <si>
    <t>CHILDREN'S WORLD</t>
  </si>
  <si>
    <t>TENORIO LORENA</t>
  </si>
  <si>
    <t>FERRER EMILIANO</t>
  </si>
  <si>
    <t>SUCESION DE GOMEZ GREGORIO OSV</t>
  </si>
  <si>
    <t>ZARAM SRL</t>
  </si>
  <si>
    <t>GRUPO KARUKINKA SRL (TF)</t>
  </si>
  <si>
    <t>MOLFINO RICARDO</t>
  </si>
  <si>
    <t>TIENDAS BAZAR. COM SRL</t>
  </si>
  <si>
    <t>AGUIRRE FLAVIA ESTER</t>
  </si>
  <si>
    <t>NAVARRO FORNE</t>
  </si>
  <si>
    <t>GENACIO STELLA MARIS</t>
  </si>
  <si>
    <t>MY TOYS SA</t>
  </si>
  <si>
    <t>BENITEZ SILVIA BEATRIZ (M)</t>
  </si>
  <si>
    <t>COTO C.I.C.S.A.</t>
  </si>
  <si>
    <t>COMPAï¿½IA DE JUGUETES SALTA</t>
  </si>
  <si>
    <t>GIRO LA RIOJA - TORRES GISELA</t>
  </si>
  <si>
    <t>GIRO CHACO - ZABALA MARIELA</t>
  </si>
  <si>
    <t>GIRO SAN NICOLAS - MIORI MARIA</t>
  </si>
  <si>
    <t>COMPAï¿½IA DE JUGUETES PALERMO</t>
  </si>
  <si>
    <t>GIRO SAN ISIDRO - GARCIA -</t>
  </si>
  <si>
    <t>GIRO ZARATE</t>
  </si>
  <si>
    <t>DIGITAL TOYS - DEL VISO</t>
  </si>
  <si>
    <t>DIGITAL TOYS  - BELGRANO</t>
  </si>
  <si>
    <t>DISTRIBUIDORA PETS SRL</t>
  </si>
  <si>
    <t>GABELLINI GUSTAVO HECTOR</t>
  </si>
  <si>
    <t>LOCAL VILLA CRESPO (605)</t>
  </si>
  <si>
    <t>LOCAL INTERNET (607)</t>
  </si>
  <si>
    <t>LOCAL TERRAZAS (613)</t>
  </si>
  <si>
    <t>LOCAL QUILMES (601)</t>
  </si>
  <si>
    <t>LOCAL BERNAL (614)</t>
  </si>
  <si>
    <t>LOCAL DEVOTO (603)</t>
  </si>
  <si>
    <t>VELTI SA</t>
  </si>
  <si>
    <t>ZORICICH CRISTINA VERONICA</t>
  </si>
  <si>
    <t>ZALAZAR FABRICIO</t>
  </si>
  <si>
    <t>FERNANDEZ ALEJANDRO OMAR</t>
  </si>
  <si>
    <t>GIRO PINAMAR - RIESCO MENEDEZ</t>
  </si>
  <si>
    <t>EMPREN. INDART SOL NACIENTE SA</t>
  </si>
  <si>
    <t>RODRIGUEZ Y RODRIGUEZ SH</t>
  </si>
  <si>
    <t>THE VALDOS ZF SA</t>
  </si>
  <si>
    <t>CAGGIANESSE CLAUDIA</t>
  </si>
  <si>
    <t>MENDEZ FEDERICO ANDRES</t>
  </si>
  <si>
    <t>VENTURA JUAN BAUTISTA</t>
  </si>
  <si>
    <t>TOY HOUSE SRL</t>
  </si>
  <si>
    <t>COMPAï¿½IA DE JUGUETES JUJUY</t>
  </si>
  <si>
    <t>COMPAï¿½IA DE JUGUETES STA. ROSA</t>
  </si>
  <si>
    <t>GIRO RIO TERCERO - ROCCIA MANU</t>
  </si>
  <si>
    <t>QUEREMOS JUGAR</t>
  </si>
  <si>
    <t>GIRO ROSARIO - DEMA VISION COM</t>
  </si>
  <si>
    <t>COMPAï¿½IA DE JUGUETES SAN JUAN</t>
  </si>
  <si>
    <t>GIRO SAENZ PEï¿½A - KHON PAOLA -</t>
  </si>
  <si>
    <t>GIRO PUERTO MADRYN - EMPRENDIM</t>
  </si>
  <si>
    <t>PEEK A BOO</t>
  </si>
  <si>
    <t>BROZZI CECILIA</t>
  </si>
  <si>
    <t>GIRO SANTIAGO DEL ESTERO - VAC</t>
  </si>
  <si>
    <t>CORDI LEANDRO MARTIN</t>
  </si>
  <si>
    <t>MUï¿½OZ ANA CARMEN</t>
  </si>
  <si>
    <t>GUTIERREZ RUBEN ARGENTINO</t>
  </si>
  <si>
    <t>LLANOS AGUSTIN</t>
  </si>
  <si>
    <t>GONZALEZ JORGE RENE</t>
  </si>
  <si>
    <t>GONGORA DANIEL OSCAR</t>
  </si>
  <si>
    <t>PAZ MARCOLLA SEBASTIAN</t>
  </si>
  <si>
    <t>TESTA MATIAS ARIEL, TESTA JUAN</t>
  </si>
  <si>
    <t>REDONDO GISELA MARIEL</t>
  </si>
  <si>
    <t>CORTESE GABRIEL HERNAN</t>
  </si>
  <si>
    <t>MAVEGAR S.A.</t>
  </si>
  <si>
    <t>SIMITIAN Y. Y SIMITIAN A. S.H.</t>
  </si>
  <si>
    <t>RUGGIERO Y RUGGIERO SH</t>
  </si>
  <si>
    <t>VENDITTI NESTOR EDGARDO</t>
  </si>
  <si>
    <t>IMPORTING BIBOX - S. FERNANDO</t>
  </si>
  <si>
    <t>VITALI CAROLINA Y TOSSO MELISA</t>
  </si>
  <si>
    <t>GARCIA MARCELO EUGENIO</t>
  </si>
  <si>
    <t>FERNANDEZ VIVIANA LUJAN</t>
  </si>
  <si>
    <t>FERNANDEZ RAUL</t>
  </si>
  <si>
    <t>LLORET PEDRO</t>
  </si>
  <si>
    <t>OESTE TOYS S.R.L.</t>
  </si>
  <si>
    <t>SERPA ALEJANDRA</t>
  </si>
  <si>
    <t>JEM ASOCIADOS S.R.L. - TIGRE</t>
  </si>
  <si>
    <t>DODORICO SUSANA</t>
  </si>
  <si>
    <t>FONTANA GOMEZ AGATA</t>
  </si>
  <si>
    <t>NATALIA RAFAELE (M)</t>
  </si>
  <si>
    <t xml:space="preserve">RTI SRL - LANUS </t>
  </si>
  <si>
    <t xml:space="preserve">GUILLIVER S.A </t>
  </si>
  <si>
    <t>GULLIVER S.A</t>
  </si>
  <si>
    <t>GIRO RIO GALLEGOS - NALLAR EDU</t>
  </si>
  <si>
    <t>DE ORTUZAR MARIA JOSE</t>
  </si>
  <si>
    <t>TAMAGNO NESTOR ALEJANDRO</t>
  </si>
  <si>
    <t>Figola</t>
  </si>
  <si>
    <t>RTI S.R.L. - LANUS</t>
  </si>
  <si>
    <t>FIBRO SRL - PILAR</t>
  </si>
  <si>
    <t>OSITO AZUL - MARTINEZ</t>
  </si>
  <si>
    <t>FIBRO SRL - OBELISCO</t>
  </si>
  <si>
    <t>GIRO CIPOLETTI - LAVARDA PAULO</t>
  </si>
  <si>
    <t>FIBRO SRL - URQUIZA -</t>
  </si>
  <si>
    <t>FIBRO SRL - BELGRANO 3</t>
  </si>
  <si>
    <t>SISFRIENDS SA - SOLEIL -</t>
  </si>
  <si>
    <t>SISFRIENDS SA - PASEO PILAR -</t>
  </si>
  <si>
    <t>FIBRO SRL - ALTO PALERMO</t>
  </si>
  <si>
    <t>FIBRO SRL - BELGRANO 2</t>
  </si>
  <si>
    <t>KARNOUBI ABDO - CONGRESO</t>
  </si>
  <si>
    <t>KARNOUBI YAMIL - ALMAGRO</t>
  </si>
  <si>
    <t>KARNOUBI JOSE A - CONSTITUCION</t>
  </si>
  <si>
    <t>KARNOUBI KASEIN - PALERMO</t>
  </si>
  <si>
    <t>KARCO - FLORES</t>
  </si>
  <si>
    <t>KARCO - LACROZE</t>
  </si>
  <si>
    <t>FIBRO SRL - LANUS</t>
  </si>
  <si>
    <t>KARNOUBI JOSE A. - MARTINEZ</t>
  </si>
  <si>
    <t>OSITO AZUL - ACASSUSO</t>
  </si>
  <si>
    <t>MAR PLAST SRL - AZCUENAGA</t>
  </si>
  <si>
    <t>GAGGION MARIA DEL CARMEN</t>
  </si>
  <si>
    <t>YOUSOUFIAN HECTOR MURAD</t>
  </si>
  <si>
    <t>VAZQUEZ VELMAR ADRIAN</t>
  </si>
  <si>
    <t>MAR PLAST SRL - CORDOBA</t>
  </si>
  <si>
    <t>CELESTE Y BLANCA S.R.L</t>
  </si>
  <si>
    <t>AIMAR JOSE CARLOS</t>
  </si>
  <si>
    <t>FELITERE ARG SA EN FORMACION</t>
  </si>
  <si>
    <t>DRUMVALO SA</t>
  </si>
  <si>
    <t>SISFRIENDS SA - CABALLITO</t>
  </si>
  <si>
    <t>AYORA JUAN  PABLO</t>
  </si>
  <si>
    <t>ZOCOAR S.A.S</t>
  </si>
  <si>
    <t>TRADEGBOX SAS</t>
  </si>
  <si>
    <t>CONYDIS SRL</t>
  </si>
  <si>
    <t>TAJANA SRL</t>
  </si>
  <si>
    <t>TURBY TOY S.A.</t>
  </si>
  <si>
    <t>SOLEZ SAS</t>
  </si>
  <si>
    <t>LUSOMAR GROUP SA</t>
  </si>
  <si>
    <t>DEPOSITO GUAYMALLEN SRL</t>
  </si>
  <si>
    <t>ESPINOZA IVANA NATALIA</t>
  </si>
  <si>
    <t>RAZZANO MARIA DEL CARMEN</t>
  </si>
  <si>
    <t>SERVITEC 9 DE JULIO LIB -GM-</t>
  </si>
  <si>
    <t>LIBRERIA FENIX SRL.</t>
  </si>
  <si>
    <t>DORINKA SRL</t>
  </si>
  <si>
    <t>RETIRO DE DEPOSITO</t>
  </si>
  <si>
    <t>FIBRO SRL - CALLAO</t>
  </si>
  <si>
    <t>FIBRO SRL - MAIPU</t>
  </si>
  <si>
    <t>FIBRO SRL - AVELLANEDA</t>
  </si>
  <si>
    <t>FIBRO SRL - RECOLETA</t>
  </si>
  <si>
    <t>GIRO CORRIENTES - RIQUELME</t>
  </si>
  <si>
    <t>FIBRO SRL - PATERNAL -</t>
  </si>
  <si>
    <t>FIBRO SRL - PARQUE CENTENARIO</t>
  </si>
  <si>
    <t>GAITAN MARCOS DARIO</t>
  </si>
  <si>
    <t>FIBRO SRL - PLAZA FLORES</t>
  </si>
  <si>
    <t>FIBRO SRL - TIGRE</t>
  </si>
  <si>
    <t>MANCINELLI RAUL</t>
  </si>
  <si>
    <t>KARNOUBI KASEIN - POMPEYA</t>
  </si>
  <si>
    <t>FIBRO SRL - DEVOTO</t>
  </si>
  <si>
    <t>FIBRO SRL - AV. DE MAYO</t>
  </si>
  <si>
    <t>FIBRO SRL - SAN ISIDRO</t>
  </si>
  <si>
    <t>FIBRO SRL - BELGRANO 1</t>
  </si>
  <si>
    <t>FIBRO SRL - VTE LOPEZ</t>
  </si>
  <si>
    <t>FIBRO SRL - ABASTO</t>
  </si>
  <si>
    <t>LOPEZ ARIEL HERNAN</t>
  </si>
  <si>
    <t>VAN DER PLOEG VICTOR JOSE</t>
  </si>
  <si>
    <t>NUEVO MUNDO BEBES SRL</t>
  </si>
  <si>
    <t>STEFFAN LUIS ISRAEL</t>
  </si>
  <si>
    <t>QUATTRODONNE SA</t>
  </si>
  <si>
    <t>GODOY ALFREDO</t>
  </si>
  <si>
    <t>DADET LUJAN ESTHER</t>
  </si>
  <si>
    <t>DISTRIBUIDORA SUSY S.R.L.</t>
  </si>
  <si>
    <t>ALEGRETTO S.A.</t>
  </si>
  <si>
    <t>RAUL A. SIGAL Y CIA . REPRENTA</t>
  </si>
  <si>
    <t>TRADEBOX SAS</t>
  </si>
  <si>
    <t>MINOCHIO AGUSTIN LUIS</t>
  </si>
  <si>
    <t>MACIJAUKAS FABIO ALBERTO</t>
  </si>
  <si>
    <t>GONZALEZ JORGE - NAZCA -</t>
  </si>
  <si>
    <t>BAG STORE SRL</t>
  </si>
  <si>
    <t>GOODS CORP SA</t>
  </si>
  <si>
    <t>ROMEMUT S.R.L</t>
  </si>
  <si>
    <t>FERREIRA BETIANA LORENA</t>
  </si>
  <si>
    <t>ECAN SRL</t>
  </si>
  <si>
    <t>DISTRIBUIDORA YO-YO S.A.</t>
  </si>
  <si>
    <t>KAPLAN ROMINA</t>
  </si>
  <si>
    <t>SHOCRON SILVIA ADRIANA</t>
  </si>
  <si>
    <t>PIROSO S.R.L.</t>
  </si>
  <si>
    <t>NUï¿½EZ GLADYS RAMONA - SOLANO</t>
  </si>
  <si>
    <t>DAURIA RUTH LILIANA ALICIA</t>
  </si>
  <si>
    <t>LOVERA ELIGIO (TF)</t>
  </si>
  <si>
    <t>BARREIROS E Y M SOC.DE HECHO</t>
  </si>
  <si>
    <t>FGA-MOSTTO</t>
  </si>
  <si>
    <t>A4-FGA</t>
  </si>
  <si>
    <t>CARLITOS-FGA</t>
  </si>
  <si>
    <t>BRECCIA-FGA</t>
  </si>
  <si>
    <t>BABIES MDQ SRL</t>
  </si>
  <si>
    <t>MUZIC ALCIRA OLGA</t>
  </si>
  <si>
    <t>CORDOBA BEBE SRL</t>
  </si>
  <si>
    <t>KINDERLAND SRL</t>
  </si>
  <si>
    <t>NEW KIDS SA</t>
  </si>
  <si>
    <t>SHINE SA</t>
  </si>
  <si>
    <t>SISFRIENDS SA - CNTRL -</t>
  </si>
  <si>
    <t>SISFRIENDS SA - NORDELTA -</t>
  </si>
  <si>
    <t>RTI S.R.L. - SANTA FE</t>
  </si>
  <si>
    <t>SCHONFELD LILIANA BEATRIZ</t>
  </si>
  <si>
    <t>IMPULSOS CREATIVOS - JUAN B.</t>
  </si>
  <si>
    <t>BELMONTE ROBERTO</t>
  </si>
  <si>
    <t>LAREU MARIA FLORENCIA</t>
  </si>
  <si>
    <t>CASA SILVIA SA</t>
  </si>
  <si>
    <t>PALMERO DORA SOLEDAD</t>
  </si>
  <si>
    <t>FRANCO SUSANA</t>
  </si>
  <si>
    <t>TENORIO MARCO LORENA PAOLA</t>
  </si>
  <si>
    <t>TEPPA SRL</t>
  </si>
  <si>
    <t>BUGALLO DORA</t>
  </si>
  <si>
    <t>FERREIRA GISELA LUCIA</t>
  </si>
  <si>
    <t>BORDAZAHAR LETICIA ISABEL</t>
  </si>
  <si>
    <t>VISTA S.R.L - CAMPANA</t>
  </si>
  <si>
    <t>MANASSERO MARIA BELEN</t>
  </si>
  <si>
    <t>ENRIQUE REYES S.A.</t>
  </si>
  <si>
    <t>CORDOBA BEBE S.R.L.</t>
  </si>
  <si>
    <t>GIRO FORMOSA - DECIMA -</t>
  </si>
  <si>
    <t>GIRO BELGRANO - MANDIANES</t>
  </si>
  <si>
    <t>LOZANO MARIA GABRIELA NELIDA</t>
  </si>
  <si>
    <t>Shine</t>
  </si>
  <si>
    <t>GIRO DAIREAUX - BEROIS JUAN M</t>
  </si>
  <si>
    <t>LIBRERIA COMIENZOS SRL</t>
  </si>
  <si>
    <t>MOLLA SOFIA</t>
  </si>
  <si>
    <t>GUINI ROBERTO</t>
  </si>
  <si>
    <t>ABRAHAM M HASSAN Y HASSAN S.H</t>
  </si>
  <si>
    <t>HILGERT DUILIO</t>
  </si>
  <si>
    <t>BULEJ GABRIEL</t>
  </si>
  <si>
    <t>TRANSFERENCIA E/ LOCALES</t>
  </si>
  <si>
    <t>MORREALE CESAR GUILLERMO</t>
  </si>
  <si>
    <t>PIROSO ROSANA BEATRIZ</t>
  </si>
  <si>
    <t>GOOD BABY INTERNACIONAL SAS</t>
  </si>
  <si>
    <t>PUERTAS DE SION</t>
  </si>
  <si>
    <t>TORAT MOSHE</t>
  </si>
  <si>
    <t>LOCAL BERNAL</t>
  </si>
  <si>
    <t>LOCAL MEIDIN MDQ S.R.L EN FORM</t>
  </si>
  <si>
    <t>KENEN SA</t>
  </si>
  <si>
    <t>ECHEVERRIA MARIELA CRISTINA</t>
  </si>
  <si>
    <t>DIGITAL TOYS - CABALLITO</t>
  </si>
  <si>
    <t>DIGITAL TOYS - PALERMO</t>
  </si>
  <si>
    <t>GIRO DEL VISO - WELLNES -</t>
  </si>
  <si>
    <t>GIRO CORDOBA - VALU TOYS -</t>
  </si>
  <si>
    <t>FRAPEMA S.A.S</t>
  </si>
  <si>
    <t>LALELU SRL</t>
  </si>
  <si>
    <t>DUCK BABY</t>
  </si>
  <si>
    <t>CASA BODE S.R.L.</t>
  </si>
  <si>
    <t>RAMIREZ Y MENDOCILLA S.S.</t>
  </si>
  <si>
    <t>BUSTOS ALAN EZEQUIEL</t>
  </si>
  <si>
    <t>CAFFARO HNOS SRL - GALERIAS P.</t>
  </si>
  <si>
    <t>SONRISAS S.R.L. EN FORMACION</t>
  </si>
  <si>
    <t>FIBRO SRL - ARCOS</t>
  </si>
  <si>
    <t>PONCE CRISTIAN ROBERTO</t>
  </si>
  <si>
    <t>B AL CUBO S.A</t>
  </si>
  <si>
    <t>LA ISABELLA SRL</t>
  </si>
  <si>
    <t>LEPEZ GUSTAVO - CABA -</t>
  </si>
  <si>
    <t>LEPEZ GUSTAVO - CIUDADELA -</t>
  </si>
  <si>
    <t>FARMACIA LA FRANCO SRL</t>
  </si>
  <si>
    <t>DI MOTTA ANGEL RENE</t>
  </si>
  <si>
    <t>BREIER CARLOS ALBERTO</t>
  </si>
  <si>
    <t>GAUNA JUAN ANIBAL</t>
  </si>
  <si>
    <t>KLEIER MAIA</t>
  </si>
  <si>
    <t>COMPAÃ‘IA DE JUGUETES CABILDO</t>
  </si>
  <si>
    <t>COMPAÃ‘IA DE JUGUETES TORTUGAS</t>
  </si>
  <si>
    <t>DISTRIBUIDORA CM NORTE</t>
  </si>
  <si>
    <t>GRUPO SAKIM SA</t>
  </si>
  <si>
    <t>MARTIGNONE DIEGO ADRIAN</t>
  </si>
  <si>
    <t>VISTA S.R.L - ZARATE</t>
  </si>
  <si>
    <t>ARUANNO JUAN MARIO</t>
  </si>
  <si>
    <t>MATAMELU SA - CORRIENTES -</t>
  </si>
  <si>
    <t>FENIX DISTRIBUCIONES S.R.L.</t>
  </si>
  <si>
    <t>RAMIREZ NEYRA WALTER RONAL</t>
  </si>
  <si>
    <t>MATAMELU SA - CABILDO -</t>
  </si>
  <si>
    <t>ALVAREZ RODRIGO FAUSTINO</t>
  </si>
  <si>
    <t>KINDERLAND S.R.L.</t>
  </si>
  <si>
    <t>ROMOLI S.A.</t>
  </si>
  <si>
    <t>MATAMELU S.A.</t>
  </si>
  <si>
    <t>SISFRIEND S.A.</t>
  </si>
  <si>
    <t>TEXTAME_FABRICA</t>
  </si>
  <si>
    <t>CANDELA RODOLFO OMAR</t>
  </si>
  <si>
    <t>PAÃ‘ALERA PMX</t>
  </si>
  <si>
    <t>BABY FIRST</t>
  </si>
  <si>
    <t>LOBOV</t>
  </si>
  <si>
    <t>LEONE MARIANO DANIEL</t>
  </si>
  <si>
    <t>CANNELLA RODOLFO</t>
  </si>
  <si>
    <t>TIPO</t>
  </si>
  <si>
    <t>VALORES ABRIL</t>
  </si>
  <si>
    <t>GUARDA</t>
  </si>
  <si>
    <t>DEVUELVE AL OTRO DIA</t>
  </si>
  <si>
    <t>ADICIONAL DEFIBE</t>
  </si>
  <si>
    <t>(1)DIA</t>
  </si>
  <si>
    <t>(2)DIA</t>
  </si>
  <si>
    <t>(3)DIA</t>
  </si>
  <si>
    <t>(4)DIA</t>
  </si>
  <si>
    <t>ADICIONAL POR HORA</t>
  </si>
  <si>
    <t>SIDER</t>
  </si>
  <si>
    <t>CHASIS</t>
  </si>
  <si>
    <t>ARAÑA</t>
  </si>
  <si>
    <t>PLAYO</t>
  </si>
  <si>
    <t xml:space="preserve"> </t>
  </si>
  <si>
    <t>TIPO DE OPERACION</t>
  </si>
  <si>
    <t>CLIENTE</t>
  </si>
  <si>
    <t>TIP.VEHICULO</t>
  </si>
  <si>
    <t>ORIGEN</t>
  </si>
  <si>
    <t>DESTINO</t>
  </si>
  <si>
    <t>ADCICIONALES</t>
  </si>
  <si>
    <t>2UNDO ADICIONAL</t>
  </si>
  <si>
    <t>DIA DESCARGA</t>
  </si>
  <si>
    <t>3ER ADICIONAL</t>
  </si>
  <si>
    <t>N# CONTENEDOR</t>
  </si>
  <si>
    <t>HORARIO</t>
  </si>
  <si>
    <t>CHOFER</t>
  </si>
  <si>
    <t>CAMION</t>
  </si>
  <si>
    <t>OBVSERVACIONES</t>
  </si>
  <si>
    <t>N# REMITO</t>
  </si>
  <si>
    <t>YAD</t>
  </si>
  <si>
    <t>EBAPI</t>
  </si>
  <si>
    <t>----</t>
  </si>
  <si>
    <t xml:space="preserve">ARIEL SANTANDER </t>
  </si>
  <si>
    <t>MXY428</t>
  </si>
  <si>
    <t>TRASLADO</t>
  </si>
  <si>
    <t>TRP</t>
  </si>
  <si>
    <t>EITU1603337</t>
  </si>
  <si>
    <t>MARTINEZ  NESTOR FABRICIO</t>
  </si>
  <si>
    <t>AC556ES</t>
  </si>
  <si>
    <t>APOLLO</t>
  </si>
  <si>
    <t>TRHU6283756</t>
  </si>
  <si>
    <t>ABALO  MATIAS EXEQUIEL</t>
  </si>
  <si>
    <t>LDW459</t>
  </si>
  <si>
    <t>TEXTIL FEDERAL</t>
  </si>
  <si>
    <t>CAIU8276933</t>
  </si>
  <si>
    <t>CLAUDIO RANIERI</t>
  </si>
  <si>
    <t>EIU515</t>
  </si>
  <si>
    <t>PCIU9132332</t>
  </si>
  <si>
    <t>SERGIO BOGADO</t>
  </si>
  <si>
    <t>SEISEME</t>
  </si>
  <si>
    <t>SEISEME CIUDADELA</t>
  </si>
  <si>
    <t>TCLU3496470</t>
  </si>
  <si>
    <t>TERMINAL 4</t>
  </si>
  <si>
    <t>FLEXILOG</t>
  </si>
  <si>
    <t>ONEU1266012</t>
  </si>
  <si>
    <t>TRHU547170</t>
  </si>
  <si>
    <t>BEAU6218173</t>
  </si>
  <si>
    <t>GARCIA  LUIS CARLOS</t>
  </si>
  <si>
    <t>RSO112</t>
  </si>
  <si>
    <t>PILU8021495</t>
  </si>
  <si>
    <t>BMOU4382161</t>
  </si>
  <si>
    <t>TEFASA 2</t>
  </si>
  <si>
    <t>AG343AC</t>
  </si>
  <si>
    <t>BARAK</t>
  </si>
  <si>
    <t>MNBU3609566</t>
  </si>
  <si>
    <t>DEV.VACIO</t>
  </si>
  <si>
    <t>MURESCO</t>
  </si>
  <si>
    <t>HUXLEY</t>
  </si>
  <si>
    <t>MSKU7475317</t>
  </si>
  <si>
    <t>LOBOV-MONTAGNE</t>
  </si>
  <si>
    <t>172799/949</t>
  </si>
  <si>
    <t>SEISEME LOMAS</t>
  </si>
  <si>
    <t>FISICARO  NELSON NAZARENO</t>
  </si>
  <si>
    <t>MXY424</t>
  </si>
  <si>
    <t>S/N</t>
  </si>
  <si>
    <t>SEGU5777380</t>
  </si>
  <si>
    <t>ZCSU7214730</t>
  </si>
  <si>
    <t>ISAKITO</t>
  </si>
  <si>
    <t>REPARTO ISAKITO</t>
  </si>
  <si>
    <t>ALEGRE JAVIER ANTONIO</t>
  </si>
  <si>
    <t>GKS835</t>
  </si>
  <si>
    <t>AGRITECNO-ISAKITO</t>
  </si>
  <si>
    <t>NYKU4959688</t>
  </si>
  <si>
    <t>ONEU0274754</t>
  </si>
  <si>
    <t>MSDU4392614</t>
  </si>
  <si>
    <t>MEDU18423</t>
  </si>
  <si>
    <t>TRIU5138340</t>
  </si>
  <si>
    <t>DEV. VACIO AL OTRO DIA</t>
  </si>
  <si>
    <t>LUSQTOFF</t>
  </si>
  <si>
    <t>TCLU8791776</t>
  </si>
  <si>
    <t>TCKU4810572</t>
  </si>
  <si>
    <t>SERGIO PEON</t>
  </si>
  <si>
    <t>OOLU9652645</t>
  </si>
  <si>
    <t>MARIPEL</t>
  </si>
  <si>
    <t>MSCU7447888</t>
  </si>
  <si>
    <t>51249/2</t>
  </si>
  <si>
    <t>REVOLUTION IMPOT</t>
  </si>
  <si>
    <t>51249/3</t>
  </si>
  <si>
    <t>TEXTIL FEDARAL</t>
  </si>
  <si>
    <t>PCIU9345847</t>
  </si>
  <si>
    <t>51249/4</t>
  </si>
  <si>
    <t>AMESUR</t>
  </si>
  <si>
    <t>SIN REMITO</t>
  </si>
  <si>
    <t>CAIU8904623</t>
  </si>
  <si>
    <t>VILLEGAS-ISAKITO</t>
  </si>
  <si>
    <t>PCIU8555582</t>
  </si>
  <si>
    <t>PCIU9512420</t>
  </si>
  <si>
    <t>PCIU8913794</t>
  </si>
  <si>
    <t>MEGA BABY</t>
  </si>
  <si>
    <t>51249/7</t>
  </si>
  <si>
    <t>51249/6</t>
  </si>
  <si>
    <t>51249/5</t>
  </si>
  <si>
    <t>MSMU8619706</t>
  </si>
  <si>
    <t>FIBRAS DEL SUR</t>
  </si>
  <si>
    <t>DFSU7796228</t>
  </si>
  <si>
    <t>51249/9</t>
  </si>
  <si>
    <t>TRHU8032087</t>
  </si>
  <si>
    <t>AGRITECNO-VILLEGAS</t>
  </si>
  <si>
    <t>ANTONIO PEON</t>
  </si>
  <si>
    <t>FALSO VIAJE</t>
  </si>
  <si>
    <t xml:space="preserve">LOBOV </t>
  </si>
  <si>
    <t>MURCHINSON</t>
  </si>
  <si>
    <t>MSMU8797480</t>
  </si>
  <si>
    <t>51250/1</t>
  </si>
  <si>
    <t>AMESUD</t>
  </si>
  <si>
    <t>TGBU6165087</t>
  </si>
  <si>
    <t>51250/5</t>
  </si>
  <si>
    <t>SUDU8516667</t>
  </si>
  <si>
    <t>51250/3</t>
  </si>
  <si>
    <t>MNBU3472703</t>
  </si>
  <si>
    <t>MNBU0096290</t>
  </si>
  <si>
    <t>ISAKITO-VILLEGAS</t>
  </si>
  <si>
    <t>HERMIDA</t>
  </si>
  <si>
    <t>V.DEVOTO</t>
  </si>
  <si>
    <t>CASEROS</t>
  </si>
  <si>
    <t>TGHU6275722</t>
  </si>
  <si>
    <t>MSDU7670853</t>
  </si>
  <si>
    <t>MSDU6201492</t>
  </si>
  <si>
    <t>CAIU8462389</t>
  </si>
  <si>
    <t>KKFU7628297</t>
  </si>
  <si>
    <t>ONEU549738</t>
  </si>
  <si>
    <t>KID EVOLUTION</t>
  </si>
  <si>
    <t>ISAKITO-AGRITECNO</t>
  </si>
  <si>
    <t>ISAKITO-VIDITRX</t>
  </si>
  <si>
    <t>ISAKITO-VIDITRAX</t>
  </si>
  <si>
    <t>PCIU9284891</t>
  </si>
  <si>
    <t>PCIU9199892</t>
  </si>
  <si>
    <t>PCIU9123243</t>
  </si>
  <si>
    <t>EL PEREGRINO</t>
  </si>
  <si>
    <t>BMOU4374510</t>
  </si>
  <si>
    <t>AERODIN</t>
  </si>
  <si>
    <t>PEREGRINO</t>
  </si>
  <si>
    <t>PCIU9637556</t>
  </si>
  <si>
    <t>PIDU4159734</t>
  </si>
  <si>
    <t>PCIU9563411</t>
  </si>
  <si>
    <t>MRSU0540704</t>
  </si>
  <si>
    <t>TGBU6332585</t>
  </si>
  <si>
    <t>TCNU1761680</t>
  </si>
  <si>
    <t>AGUSTEX</t>
  </si>
  <si>
    <t>TGHU5188921</t>
  </si>
  <si>
    <t>GLAMUR</t>
  </si>
  <si>
    <t>MRKU0035720</t>
  </si>
  <si>
    <t>GAOU6106006</t>
  </si>
  <si>
    <t>FCSU8908118</t>
  </si>
  <si>
    <t>TEMU8524639</t>
  </si>
  <si>
    <t>SEBSADA</t>
  </si>
  <si>
    <t>TERMINAL SUR</t>
  </si>
  <si>
    <t>TRIU8014153</t>
  </si>
  <si>
    <t>MRSU3826160</t>
  </si>
  <si>
    <t>BEAU5194307</t>
  </si>
  <si>
    <t>IND.FRIGORIFICA</t>
  </si>
  <si>
    <t>IND.FRIGORIFICAS</t>
  </si>
  <si>
    <t>MRKU5793317</t>
  </si>
  <si>
    <t>TLLU5930855</t>
  </si>
  <si>
    <t>MSDU7325311</t>
  </si>
  <si>
    <t>MSDU5958286</t>
  </si>
  <si>
    <t>MSMU8802380</t>
  </si>
  <si>
    <t>DFSU2299105</t>
  </si>
  <si>
    <t>MINIBEST</t>
  </si>
  <si>
    <t>ICB</t>
  </si>
  <si>
    <t>MTSU9605008</t>
  </si>
  <si>
    <t>GAOU6855600</t>
  </si>
  <si>
    <t>MRSU0463892</t>
  </si>
  <si>
    <t>MRSU463779</t>
  </si>
  <si>
    <t>MRSU0463531</t>
  </si>
  <si>
    <t>MRSU0463594</t>
  </si>
  <si>
    <t>SISFRIENDS</t>
  </si>
  <si>
    <t>MSKU8876187</t>
  </si>
  <si>
    <t>LADY STORK</t>
  </si>
  <si>
    <t>CXDU2160591</t>
  </si>
  <si>
    <t>CAIU9130774</t>
  </si>
  <si>
    <t>N&amp;R TEXTIL</t>
  </si>
  <si>
    <t>ZCSU7327122</t>
  </si>
  <si>
    <t>PONU7968550</t>
  </si>
  <si>
    <t>MEDLOG</t>
  </si>
  <si>
    <t>TRHU6556969</t>
  </si>
  <si>
    <t>BETA MOTORS</t>
  </si>
  <si>
    <t>MSKU5126743</t>
  </si>
  <si>
    <t>CNSU7994338</t>
  </si>
  <si>
    <t>EGHU8308836</t>
  </si>
  <si>
    <t>THE ASIA HOLDING</t>
  </si>
  <si>
    <t>MOREIRO</t>
  </si>
  <si>
    <t>TEXTIL SHELTEX</t>
  </si>
  <si>
    <t>CAIU9816300</t>
  </si>
  <si>
    <t>DIREXA</t>
  </si>
  <si>
    <t>MSMU8041960</t>
  </si>
  <si>
    <t>MSKU8473556</t>
  </si>
  <si>
    <t>MSMU8336683</t>
  </si>
  <si>
    <t>TGHU6794862</t>
  </si>
  <si>
    <t>FERNANDO CARBONARO</t>
  </si>
  <si>
    <t>FSCU8252374</t>
  </si>
  <si>
    <t>HAMU1292679</t>
  </si>
  <si>
    <t>HASU4414366</t>
  </si>
  <si>
    <t>MRKU3955194</t>
  </si>
  <si>
    <t>AUE 392</t>
  </si>
  <si>
    <t>LOBOV-AGRITECNO</t>
  </si>
  <si>
    <t>TCKU7390236</t>
  </si>
  <si>
    <t>GAOU6285339</t>
  </si>
  <si>
    <t>SUN SOL</t>
  </si>
  <si>
    <t>CSNU8020940</t>
  </si>
  <si>
    <t>FFAU4859384</t>
  </si>
  <si>
    <t>CAIU7084582</t>
  </si>
  <si>
    <t xml:space="preserve">GUARDA </t>
  </si>
  <si>
    <t>CSNU1786574</t>
  </si>
  <si>
    <t>AUE392</t>
  </si>
  <si>
    <t>ADICIONAL X HORA</t>
  </si>
  <si>
    <t>OOCU7105088</t>
  </si>
  <si>
    <t>OOCU8455986</t>
  </si>
  <si>
    <t>FFAU4882698</t>
  </si>
  <si>
    <t>FFAU5149936</t>
  </si>
  <si>
    <t>FFAU5150351</t>
  </si>
  <si>
    <t>MEDU4407430</t>
  </si>
  <si>
    <t>MSCU7703655</t>
  </si>
  <si>
    <t>MSMU7881889</t>
  </si>
  <si>
    <t>TGHU6694919</t>
  </si>
  <si>
    <t>FSCU5038970</t>
  </si>
  <si>
    <t>AGITECNO</t>
  </si>
  <si>
    <t>GEMEZ 2</t>
  </si>
  <si>
    <t>CLHU8779795</t>
  </si>
  <si>
    <t>GUARDA + DEV AL OTRO DIA</t>
  </si>
  <si>
    <t>MSDU6603491</t>
  </si>
  <si>
    <t>GUARDA + 1 DIA</t>
  </si>
  <si>
    <t>MSDU6612003</t>
  </si>
  <si>
    <t>MSDU6604374</t>
  </si>
  <si>
    <t>KUKIBET</t>
  </si>
  <si>
    <t>TCNU6132761</t>
  </si>
  <si>
    <t>-----</t>
  </si>
  <si>
    <t>TGCU5078295</t>
  </si>
  <si>
    <t>TCLU9129511</t>
  </si>
  <si>
    <t>TCLU6605851</t>
  </si>
  <si>
    <t>MEDU8682548</t>
  </si>
  <si>
    <t>MSMU6186809</t>
  </si>
  <si>
    <t>---</t>
  </si>
  <si>
    <t>MSCU4989988</t>
  </si>
  <si>
    <t>FFAU1209338</t>
  </si>
  <si>
    <t>BEAU6490480</t>
  </si>
  <si>
    <t>BMOU4970083</t>
  </si>
  <si>
    <t>AGRITECNO-VIDETRAX</t>
  </si>
  <si>
    <t>EMCU6245857</t>
  </si>
  <si>
    <t>PIDU4050949</t>
  </si>
  <si>
    <t>PCIU9465333</t>
  </si>
  <si>
    <t>GUARDAR</t>
  </si>
  <si>
    <t>TCLU5462416</t>
  </si>
  <si>
    <t>BMOU6587601</t>
  </si>
  <si>
    <t>FFAU1929575</t>
  </si>
  <si>
    <t>143/144</t>
  </si>
  <si>
    <t>LO PRIMO 2</t>
  </si>
  <si>
    <t>OUTMALL</t>
  </si>
  <si>
    <t>HAMU1518447</t>
  </si>
  <si>
    <t>ZCSU6528654</t>
  </si>
  <si>
    <t>MSCU4761220</t>
  </si>
  <si>
    <t>TEFASA 1</t>
  </si>
  <si>
    <t>PCIU4615702</t>
  </si>
  <si>
    <t>BMOU3079952</t>
  </si>
  <si>
    <t>PIDU4121702</t>
  </si>
  <si>
    <t>PIDU4140868</t>
  </si>
  <si>
    <t>PIDU4154922</t>
  </si>
  <si>
    <t>PCIU4619354</t>
  </si>
  <si>
    <t>ZCSU6956436</t>
  </si>
  <si>
    <t/>
  </si>
  <si>
    <t>$ X TIP VEHICUL</t>
  </si>
  <si>
    <t>GUARDA + 2 DIAS</t>
  </si>
  <si>
    <t>GUARDA + 3 DIAS</t>
  </si>
  <si>
    <t xml:space="preserve">GUARDA + 4 DIAS </t>
  </si>
  <si>
    <t>GUARDA + 5 DIAS</t>
  </si>
  <si>
    <t>GUARDA + 6 DIAS</t>
  </si>
  <si>
    <t>$ ADICIONAL</t>
  </si>
  <si>
    <t>FALSO VIAJE CHASIS</t>
  </si>
  <si>
    <t>FALSO VIAJE SIDER/ARAÑA/PLAYO</t>
  </si>
  <si>
    <t xml:space="preserve">FALSO VIAJE </t>
  </si>
  <si>
    <t>$2undo Adicional</t>
  </si>
  <si>
    <t>CLHU8509104</t>
  </si>
  <si>
    <t>TGBU7981629</t>
  </si>
  <si>
    <t>3er Adicional2</t>
  </si>
  <si>
    <t>AGREGADO</t>
  </si>
  <si>
    <t>FLET 8</t>
  </si>
  <si>
    <t>ONLY</t>
  </si>
  <si>
    <t>PELTRINA</t>
  </si>
  <si>
    <t>JOKER</t>
  </si>
  <si>
    <t>FONDO GLOBAL</t>
  </si>
  <si>
    <t>NEATEX</t>
  </si>
  <si>
    <t>MSDU5966316</t>
  </si>
  <si>
    <t>TIIU4047248</t>
  </si>
  <si>
    <t>KOCU4842019</t>
  </si>
  <si>
    <t>MSDU7193257</t>
  </si>
  <si>
    <t>DFSU6716737</t>
  </si>
  <si>
    <t>ZCSU6574095</t>
  </si>
  <si>
    <t>MSDU7543329</t>
  </si>
  <si>
    <t>147/48/49</t>
  </si>
  <si>
    <t>HASU5061474</t>
  </si>
  <si>
    <t>EGSU9149809</t>
  </si>
  <si>
    <t>DRYU9236520</t>
  </si>
  <si>
    <t>TEMU6206611</t>
  </si>
  <si>
    <t>TLLU4565830</t>
  </si>
  <si>
    <t>REMITO</t>
  </si>
  <si>
    <t>DIRECCION</t>
  </si>
  <si>
    <t>LOCALIDAD</t>
  </si>
  <si>
    <t>CANT.</t>
  </si>
  <si>
    <t>M3</t>
  </si>
  <si>
    <t>OBSERVACIONES</t>
  </si>
  <si>
    <t>DIRECION TTE.</t>
  </si>
  <si>
    <t>ZONA</t>
  </si>
  <si>
    <t>ESTADO</t>
  </si>
  <si>
    <t>LATITUD</t>
  </si>
  <si>
    <t>LONGITUD</t>
  </si>
  <si>
    <t>FECHA DE CARGA</t>
  </si>
  <si>
    <t>DEMORA</t>
  </si>
  <si>
    <t>COMPAÑIA DE JUGUETES SALTA</t>
  </si>
  <si>
    <t>AV.VIRREY TOLEDO 702 Loc.121</t>
  </si>
  <si>
    <t>SALTA</t>
  </si>
  <si>
    <t>MERCURE</t>
  </si>
  <si>
    <t>CARLOS PELLEGRINO 3750</t>
  </si>
  <si>
    <t>ALEGRE</t>
  </si>
  <si>
    <t>ENTREGADO</t>
  </si>
  <si>
    <t>COMPAÑIA DE JUGUETES STA. ROSA</t>
  </si>
  <si>
    <t>25 de MAYO 167</t>
  </si>
  <si>
    <t>SANTA ROSA</t>
  </si>
  <si>
    <t>PAMPA S.R.L.</t>
  </si>
  <si>
    <t>BERON DE ASTRADA 2814</t>
  </si>
  <si>
    <t>CALLE 24 N 387 ENTRE 17 Y 15</t>
  </si>
  <si>
    <t>MERCEDES</t>
  </si>
  <si>
    <t>SANCHEZ</t>
  </si>
  <si>
    <t>FRUCTUOSO RIVERA 2660</t>
  </si>
  <si>
    <t>COMPAÑIA DE JUGUETES SAN JUAN</t>
  </si>
  <si>
    <t>AV. JOSE I DE LA ROZA 806</t>
  </si>
  <si>
    <t>SAN JUAN</t>
  </si>
  <si>
    <t>CAMIONERA  MENDOCINA</t>
  </si>
  <si>
    <t>SAN PEDRITO 3771 V.SOLDATI</t>
  </si>
  <si>
    <t>RIO GROUP SA</t>
  </si>
  <si>
    <t>SAN MARTIN 327</t>
  </si>
  <si>
    <t>CORDOBA -  DISTRIBUCION CASA CENTRA</t>
  </si>
  <si>
    <t>TRADYS ARGENTINA S.R.L.</t>
  </si>
  <si>
    <t>JOSE MARTI 3464</t>
  </si>
  <si>
    <t>25 DE MAYO 186</t>
  </si>
  <si>
    <t>PUERTO MADRYN</t>
  </si>
  <si>
    <t>CRUZ DEL SUR</t>
  </si>
  <si>
    <t>Av.Coronel Roca 3450  Mód 104</t>
  </si>
  <si>
    <t>PELLEGRINI 16</t>
  </si>
  <si>
    <t>CHIVILCOY</t>
  </si>
  <si>
    <t>JEVAL TRANSPORTE</t>
  </si>
  <si>
    <t>RIO CUARTO 4552</t>
  </si>
  <si>
    <t>AV. NAZCA 2566  1 A</t>
  </si>
  <si>
    <t>CAPITAL FEDERAL</t>
  </si>
  <si>
    <t>RABBIONE SU TRANSPORTE</t>
  </si>
  <si>
    <t>MONASTERIO 267</t>
  </si>
  <si>
    <t>ALBERDI 273</t>
  </si>
  <si>
    <t>TRANSPORTE LOGISA</t>
  </si>
  <si>
    <t>Estanislao Zeballos 333</t>
  </si>
  <si>
    <t>RIOJA 1718</t>
  </si>
  <si>
    <t>ROSARIO</t>
  </si>
  <si>
    <t>HERMES DEL SUR</t>
  </si>
  <si>
    <t>BERON DE ASTRADA 2255</t>
  </si>
  <si>
    <t>AV. DONATO ALVAREZ 1660</t>
  </si>
  <si>
    <t>TRANSPORTE PROPIO</t>
  </si>
  <si>
    <t>SANTANDER</t>
  </si>
  <si>
    <t>DONATO ALVAREZ 1660, CABA</t>
  </si>
  <si>
    <t>SANTOS VEGA 5852</t>
  </si>
  <si>
    <t>VILLA BOSCH</t>
  </si>
  <si>
    <t>AV. CORRIENTES 2425</t>
  </si>
  <si>
    <t>GUALEGUAYCHU 2231</t>
  </si>
  <si>
    <t>AV. SANTA FE 1153</t>
  </si>
  <si>
    <t>COMPAÑIA DE JUGUETES MICROCENT</t>
  </si>
  <si>
    <t>AV. CORREINTES 581</t>
  </si>
  <si>
    <t>COORDINAR ENTREGA 156-174-1661</t>
  </si>
  <si>
    <t>CALLE 15A Y LISDRO DE LA TORRE</t>
  </si>
  <si>
    <t>BERAZATEGUI</t>
  </si>
  <si>
    <t>COLON 1346</t>
  </si>
  <si>
    <t>SAN FERNANDO</t>
  </si>
  <si>
    <t>LIBERTADOR 625</t>
  </si>
  <si>
    <t>MERLO</t>
  </si>
  <si>
    <t>CASEROS 1751</t>
  </si>
  <si>
    <t>BERNAL</t>
  </si>
  <si>
    <t>CERRITO 1266</t>
  </si>
  <si>
    <t>VEHICULO DEDICADO CHASIS</t>
  </si>
  <si>
    <t>VELEZ SARSFIELD 365</t>
  </si>
  <si>
    <t>RIO TERCERO</t>
  </si>
  <si>
    <t>BILETTA</t>
  </si>
  <si>
    <t>GODOY CRUZ 80</t>
  </si>
  <si>
    <t>MENDOZA</t>
  </si>
  <si>
    <t>FRADAOS</t>
  </si>
  <si>
    <t>JULIO TROEXLER 3220, VILLA SOL</t>
  </si>
  <si>
    <t>JOSE PEDRO VARELA</t>
  </si>
  <si>
    <t>25 DE MAYO 144</t>
  </si>
  <si>
    <t>ORO NEGRO SA</t>
  </si>
  <si>
    <t>PERGAMINO 3751 MOD A NAVE 20</t>
  </si>
  <si>
    <t>24 DE SEPTIEMBRE 180</t>
  </si>
  <si>
    <t>SANTIAGO DEL ESTERO</t>
  </si>
  <si>
    <t>TRADELOG Y SEDICA S.A.</t>
  </si>
  <si>
    <t>PERGAMINO 3751 MODU 71-75</t>
  </si>
  <si>
    <t>MATURIN 2267</t>
  </si>
  <si>
    <t>RIVADAVIA 5152</t>
  </si>
  <si>
    <t>AV. CABILDO 915</t>
  </si>
  <si>
    <t>AV. CORRIENTES 5365</t>
  </si>
  <si>
    <t>AV. 9 DE JULIO 1452</t>
  </si>
  <si>
    <t>LANUS</t>
  </si>
  <si>
    <t>RIVADAVIA 123</t>
  </si>
  <si>
    <t>QUILMES</t>
  </si>
  <si>
    <t>SARMIENTO 881</t>
  </si>
  <si>
    <t>RICHARD'S EXPRESS S.R.L.</t>
  </si>
  <si>
    <t>ALGARROBO 1080</t>
  </si>
  <si>
    <t>ISAKITO S.A</t>
  </si>
  <si>
    <t>DONATO ALVAREZ 1660</t>
  </si>
  <si>
    <t>IRIGOYEN 2647</t>
  </si>
  <si>
    <t>SAN ISIDRO</t>
  </si>
  <si>
    <t>PANAMERICANA RAMAL PILAR KM44</t>
  </si>
  <si>
    <t>DEL VISO</t>
  </si>
  <si>
    <t>AV DE LOS LAGOS 7010</t>
  </si>
  <si>
    <t>NORDELTA</t>
  </si>
  <si>
    <t>JOSE HERNANDEZ 5801</t>
  </si>
  <si>
    <t>SAN MARTIN</t>
  </si>
  <si>
    <t>TERRAZAS</t>
  </si>
  <si>
    <t>SAN MIGUEL</t>
  </si>
  <si>
    <t>MF HNOS.</t>
  </si>
  <si>
    <t>AV. DE LOS CONSTITUYENTES 2985</t>
  </si>
  <si>
    <t>ADICIONAL x HORA (TL/HBL/063246)</t>
  </si>
  <si>
    <t>VEHICULO DEDICADO SIDER</t>
  </si>
  <si>
    <t>FISICARO</t>
  </si>
  <si>
    <t>GUARDA Y DESCARGA EL 17/01 (TL/HBL/063247)</t>
  </si>
  <si>
    <t>BOGADO</t>
  </si>
  <si>
    <t>ADICIONAL x HORA (TL/HBL/063293)</t>
  </si>
  <si>
    <t>AV. CORRIENTES 2627</t>
  </si>
  <si>
    <t>AV. MONROE 5183</t>
  </si>
  <si>
    <t>ARAOZ 1120</t>
  </si>
  <si>
    <t>JOSE LEON SUAREZ 26</t>
  </si>
  <si>
    <t>RAMON FALCON 2432</t>
  </si>
  <si>
    <t>BELGRANO 3999</t>
  </si>
  <si>
    <t>LUGAR CERRADO</t>
  </si>
  <si>
    <t>AV. OTTO KRAUSSE 5108 TORTUGUITAS</t>
  </si>
  <si>
    <t>TORTUGUITAS</t>
  </si>
  <si>
    <t>VEHICULO DEDICADO FORD</t>
  </si>
  <si>
    <t>DR SALLARES 164</t>
  </si>
  <si>
    <t>FLORENCIO VARELA</t>
  </si>
  <si>
    <t>AV. SAN MARTIN 1447</t>
  </si>
  <si>
    <t>SAENZ PEÑA 312</t>
  </si>
  <si>
    <t>CIPOLLETTI</t>
  </si>
  <si>
    <t>PATAGONIA NORTE</t>
  </si>
  <si>
    <t>Nave S2 Sector norte Mercado c</t>
  </si>
  <si>
    <t>HIPOLITO IRIGOYEN 880</t>
  </si>
  <si>
    <t>CORRIENTES</t>
  </si>
  <si>
    <t>DEMONTE EXPRESO</t>
  </si>
  <si>
    <t>PERGAMINO 3750</t>
  </si>
  <si>
    <t>MUÑECAS 168</t>
  </si>
  <si>
    <t>SAN MIGUEL DE TUCUMAN</t>
  </si>
  <si>
    <t>LA SEVILLANITA S.R.L.</t>
  </si>
  <si>
    <t>PERGAMINO 3751</t>
  </si>
  <si>
    <t>ALVEAR 648</t>
  </si>
  <si>
    <t>JUJUY</t>
  </si>
  <si>
    <t>SAN LUIS 1643</t>
  </si>
  <si>
    <t>ROSARIO CARGAS</t>
  </si>
  <si>
    <t>PERGAMINO 3751  NAVE 3  MOD 70</t>
  </si>
  <si>
    <t>ARCE 940 - LOCAL 228</t>
  </si>
  <si>
    <t>CAFFARO TOYS - CERVIÑO</t>
  </si>
  <si>
    <t>AV. CERVIÑO 3391</t>
  </si>
  <si>
    <t>SAN MARTIN 479</t>
  </si>
  <si>
    <t>SAN LUIS</t>
  </si>
  <si>
    <t>CONTE HNOS. Y CIA . S.A.</t>
  </si>
  <si>
    <t>PARACAS 261</t>
  </si>
  <si>
    <t>VICENTE LOPEZ 2050 LOCAL 319</t>
  </si>
  <si>
    <t>SAN MARTIN 768 LOCAL 144</t>
  </si>
  <si>
    <t>GALERIA PACIFICO LOCAL 144 DE 8 -10</t>
  </si>
  <si>
    <t>JUANA MANSO 1125</t>
  </si>
  <si>
    <t>ALVEAR 73</t>
  </si>
  <si>
    <t>MARTINEZ</t>
  </si>
  <si>
    <t>RUTA 8 Y RUTA 202</t>
  </si>
  <si>
    <t>DIRECCION CANTILO 84 ESQ. 8 13</t>
  </si>
  <si>
    <t>CITY BELL</t>
  </si>
  <si>
    <t>COOP. DE TRABAJO RABBIONE</t>
  </si>
  <si>
    <t>MONASTERIO 269</t>
  </si>
  <si>
    <t>NUÑEZ GLADYS RAMONA - SOLANO</t>
  </si>
  <si>
    <t>CALLE 844 N 2578 -SOLANO</t>
  </si>
  <si>
    <t>SAN FRANCISCO SOLANO</t>
  </si>
  <si>
    <t>CALCHAQUI 3768</t>
  </si>
  <si>
    <t>BOEDO 137</t>
  </si>
  <si>
    <t>LOMAS DE ZAMORA</t>
  </si>
  <si>
    <t>DE VACACIONES</t>
  </si>
  <si>
    <t>MARCOS SASTRE 865</t>
  </si>
  <si>
    <t>EL TALAR</t>
  </si>
  <si>
    <t>CARGA EN AEROSOFT Y VA PARA HENRY FORD</t>
  </si>
  <si>
    <t>SAN MARTIN 2218</t>
  </si>
  <si>
    <t>SANTA FE</t>
  </si>
  <si>
    <t>PEDRITO DE POCCIA HNOS.</t>
  </si>
  <si>
    <t>AV RABANAL 3450 Y AV PERGAMINO</t>
  </si>
  <si>
    <t>REJON 4351</t>
  </si>
  <si>
    <t>MAR DEL PLATA</t>
  </si>
  <si>
    <t>RABBIONE S.A.</t>
  </si>
  <si>
    <t>TRAFUL 3730</t>
  </si>
  <si>
    <t>GIRO SAENZ PEÑA - KHON PAOLA -</t>
  </si>
  <si>
    <t>PELLEGRINI 583</t>
  </si>
  <si>
    <t>PRESIDENCIA ROQUE SAENZ PEÑA</t>
  </si>
  <si>
    <t>SNAIDER</t>
  </si>
  <si>
    <t>PERGAMINO 3700</t>
  </si>
  <si>
    <t>AV. IGNACION DE LA ROSA 256</t>
  </si>
  <si>
    <t>LAN CARG SRL</t>
  </si>
  <si>
    <t>PERGAMINO 3751 MODULO 49</t>
  </si>
  <si>
    <t>ARIETA 3253</t>
  </si>
  <si>
    <t>SAN JUSTO</t>
  </si>
  <si>
    <t>COMISIONADO JOSE INDART 2346</t>
  </si>
  <si>
    <t>AV. SAN MARTIN 463</t>
  </si>
  <si>
    <t>RAMOS MEJIA</t>
  </si>
  <si>
    <t>GENERAL PAZ 131</t>
  </si>
  <si>
    <t>JUNIN</t>
  </si>
  <si>
    <t>BASILI</t>
  </si>
  <si>
    <t>PEPIRI 1535</t>
  </si>
  <si>
    <t>9 DE JULIO 28</t>
  </si>
  <si>
    <t>SAN NICOLAS</t>
  </si>
  <si>
    <t>HENIN</t>
  </si>
  <si>
    <t>NICOLAS REPETTO 340</t>
  </si>
  <si>
    <t>BERNAVE MARQUEZ 2953</t>
  </si>
  <si>
    <t>CURUPAYTI 1442</t>
  </si>
  <si>
    <t>LOCAL DONATO</t>
  </si>
  <si>
    <t>AV. HIPOLITO YRIGOYEN 248</t>
  </si>
  <si>
    <t>SAN RAFAEL</t>
  </si>
  <si>
    <t>MORENO 2568</t>
  </si>
  <si>
    <t>MUÑECAS 53</t>
  </si>
  <si>
    <t>LOGITRUCK</t>
  </si>
  <si>
    <t>BERON DE ASTRADA 2740</t>
  </si>
  <si>
    <t>CALLE 44 N° 5800</t>
  </si>
  <si>
    <t>CEIBOS 235</t>
  </si>
  <si>
    <t>BOULOGNE</t>
  </si>
  <si>
    <t>GLOBAL IDEAS</t>
  </si>
  <si>
    <t>ESMERALDA 980</t>
  </si>
  <si>
    <t>ENTREGA EN PARQUE INDUSTRIAL DE EZEIZA</t>
  </si>
  <si>
    <t xml:space="preserve">PASO 2060 </t>
  </si>
  <si>
    <t>LOMAS DEL MIRADOR</t>
  </si>
  <si>
    <t>172799_B</t>
  </si>
  <si>
    <t>FRANKLIN ROOSEVELT 5828</t>
  </si>
  <si>
    <t>40-00029473</t>
  </si>
  <si>
    <t>40-00029388</t>
  </si>
  <si>
    <t>LAS MAGNOLIAS 754 LOC. 1186</t>
  </si>
  <si>
    <t>PILAR</t>
  </si>
  <si>
    <t>CONSTITUCION 753</t>
  </si>
  <si>
    <t>LARREA 302</t>
  </si>
  <si>
    <t>PAVON 2534</t>
  </si>
  <si>
    <t>J. B ALBERDI 5521</t>
  </si>
  <si>
    <t>AV.FEDERICO LACROZE 3015</t>
  </si>
  <si>
    <t>LAMADRID  94</t>
  </si>
  <si>
    <t>BAHIA BLANCA</t>
  </si>
  <si>
    <t>INTERPROVINCIAL</t>
  </si>
  <si>
    <t>MANUEL A. TRELLES  2681</t>
  </si>
  <si>
    <t>ABALO</t>
  </si>
  <si>
    <t>VIEDMA 485 - BARRIO MUTUAL</t>
  </si>
  <si>
    <t>RIO GRANDE</t>
  </si>
  <si>
    <t>ROCA 22</t>
  </si>
  <si>
    <t>NUEVO VALLE</t>
  </si>
  <si>
    <t>CTC.PERGAMIN YFERRE MOD 41 NAB</t>
  </si>
  <si>
    <t>CALLE N 13 N 428</t>
  </si>
  <si>
    <t>LA PLATA</t>
  </si>
  <si>
    <t>MORABITO S.R.L.</t>
  </si>
  <si>
    <t>LOS PATOS 2577</t>
  </si>
  <si>
    <t>COMPAÑIA DE JUGUETES CATAMARCA</t>
  </si>
  <si>
    <t>CTRO COMER ALTOS DEL SOLAR L5</t>
  </si>
  <si>
    <t>SAN FERNANDO DEL VALLE DE CATAMARCA</t>
  </si>
  <si>
    <t>AV INDEPENDENCIA 2684</t>
  </si>
  <si>
    <t>SALDAR SRL</t>
  </si>
  <si>
    <t>EST. SOLA GALPÓN 4 PTA 7</t>
  </si>
  <si>
    <t>1§ DE MAYO 2121</t>
  </si>
  <si>
    <t>CASILDA</t>
  </si>
  <si>
    <t>ESTRELLA FEDERAL</t>
  </si>
  <si>
    <t>FAMATINA 3305</t>
  </si>
  <si>
    <t>ESCALANTE Nº 1</t>
  </si>
  <si>
    <t>BELGRANO 590</t>
  </si>
  <si>
    <t>RAFAELA</t>
  </si>
  <si>
    <t>TRANSPORTE BROAST</t>
  </si>
  <si>
    <t>Av. 27 de Febrero 5631</t>
  </si>
  <si>
    <t>COMPAÑIA DE JUGUETES JUJUY</t>
  </si>
  <si>
    <t>GUEMES 702</t>
  </si>
  <si>
    <t>SAN SALVADOR DE JUJUY</t>
  </si>
  <si>
    <t>PARAGUAY 3479</t>
  </si>
  <si>
    <t>AV. JUAN B.JUSTO 1954</t>
  </si>
  <si>
    <t>EL NOBLE</t>
  </si>
  <si>
    <t>CRESPO 3084</t>
  </si>
  <si>
    <t>ANCHORENA 1102</t>
  </si>
  <si>
    <t>BARADERO</t>
  </si>
  <si>
    <t>MORO FALLET</t>
  </si>
  <si>
    <t>FERNANDEZ DE LA CRUZ 2340</t>
  </si>
  <si>
    <t>950-951-952</t>
  </si>
  <si>
    <t>2DO. VIAJE</t>
  </si>
  <si>
    <t>JUAN MANUEL DE ROSAS 15726</t>
  </si>
  <si>
    <t>GONZALEZ CATAN</t>
  </si>
  <si>
    <t>FORMOSA 653 - LOCAL 1140</t>
  </si>
  <si>
    <t>CANNING</t>
  </si>
  <si>
    <t>ALEN 259 LOCAL 20-21</t>
  </si>
  <si>
    <t>MONTE GRANDE</t>
  </si>
  <si>
    <t>GALO LAVALLE 734</t>
  </si>
  <si>
    <t>TEMPERLEY</t>
  </si>
  <si>
    <t>AV. VELEZ SARFIELD 361</t>
  </si>
  <si>
    <t>CORDOBA</t>
  </si>
  <si>
    <t>LAVALLE 732, TEMPERLEY</t>
  </si>
  <si>
    <t>BOEDO 209</t>
  </si>
  <si>
    <t>MOURIÑO SUSANA GLADYS</t>
  </si>
  <si>
    <t>CORDOBA 629</t>
  </si>
  <si>
    <t>RECHAZADO - CERRADO x VACACIONES</t>
  </si>
  <si>
    <t>ONCATIVO 582</t>
  </si>
  <si>
    <t>AV. 25 DE MAYO 183</t>
  </si>
  <si>
    <t>MORON</t>
  </si>
  <si>
    <t>RATTI 1112</t>
  </si>
  <si>
    <t>ITUZAINGO</t>
  </si>
  <si>
    <t>RECHAZADO - FUERA DE FECHA - YA NO LO QUIERE</t>
  </si>
  <si>
    <t>EDISON 2421</t>
  </si>
  <si>
    <t>MORENO</t>
  </si>
  <si>
    <t>PAÑALERA PMX SRL</t>
  </si>
  <si>
    <t>AV. GRAL. SAN MARTIN 644</t>
  </si>
  <si>
    <t>PEHUAJO</t>
  </si>
  <si>
    <t>DEPOSITOS INTEGRALES</t>
  </si>
  <si>
    <t>MONTESQUIEU 587</t>
  </si>
  <si>
    <t>AV PADRE CLARET 5971</t>
  </si>
  <si>
    <t>MARYSOL</t>
  </si>
  <si>
    <t>EST. SOLA GALPON 5 PTA 20 21</t>
  </si>
  <si>
    <t>MUÑOZ ANA CARMEN</t>
  </si>
  <si>
    <t>AVDA.ALEM 1850 - FLAMINGO</t>
  </si>
  <si>
    <t>ESTACION SOLA</t>
  </si>
  <si>
    <t>FERROCARGAS DEL SUR</t>
  </si>
  <si>
    <t>LUNA 1299, CABA</t>
  </si>
  <si>
    <t>ANTARTIDA ARGENTINA 732</t>
  </si>
  <si>
    <t>BENAVIDEZ</t>
  </si>
  <si>
    <t>VILLEGAS</t>
  </si>
  <si>
    <t>JOSE MARIA MORENO 881</t>
  </si>
  <si>
    <t>SISFRIENDS S.A</t>
  </si>
  <si>
    <t>MATAMELU S.A - CABILDO</t>
  </si>
  <si>
    <t>CABILDO 2555</t>
  </si>
  <si>
    <t>MATAMELU S.A - CORRIENTES</t>
  </si>
  <si>
    <t>CORRIENTES 2340</t>
  </si>
  <si>
    <t>AV. LURO 3333</t>
  </si>
  <si>
    <t>RANIERI</t>
  </si>
  <si>
    <t>SAN MARTIN 1599</t>
  </si>
  <si>
    <t>MAXI CARGAS</t>
  </si>
  <si>
    <t>BERON DE ASTRADA 2836, CAPITAL FEDERAL</t>
  </si>
  <si>
    <t>JUAN B. ALBERDI S/N 0 Dpto:37</t>
  </si>
  <si>
    <t>SAN JOSE (DPTO. GUAYMALLEN)</t>
  </si>
  <si>
    <t>RODRIGUEZ HERMANOS</t>
  </si>
  <si>
    <t>AV. EREZCANO 3880</t>
  </si>
  <si>
    <t>DEAN FUNES 191</t>
  </si>
  <si>
    <t>ALVARADO 478</t>
  </si>
  <si>
    <t>Martín de Gainza 1802, Parque Industrial Buen Ayre II, Moren</t>
  </si>
  <si>
    <t>URQUIZA 742</t>
  </si>
  <si>
    <t>CONCORDIA</t>
  </si>
  <si>
    <t>COBRA</t>
  </si>
  <si>
    <t>FERRE 2035</t>
  </si>
  <si>
    <t>Av. 12 de octubre 1595</t>
  </si>
  <si>
    <t>Martín de Gainza 1802, Parque Industrial Buen Ayre II, Moreno</t>
  </si>
  <si>
    <t>POLONIA 576</t>
  </si>
  <si>
    <t>COMODORO RIVADAVIA</t>
  </si>
  <si>
    <t>EG TRANSPORTE</t>
  </si>
  <si>
    <t>General Gorriti Nº 650</t>
  </si>
  <si>
    <t>AV 844 N°2439</t>
  </si>
  <si>
    <t>SAN FRANCISCO SOLANO QUILMES</t>
  </si>
  <si>
    <t>RUTA 25, CUARTEL V</t>
  </si>
  <si>
    <t>GRAL. RODRIGUEZ</t>
  </si>
  <si>
    <t>INGENIERO OLMOS 179</t>
  </si>
  <si>
    <t>ALTA GRACIA</t>
  </si>
  <si>
    <t>EL JESUITA S.R.L.</t>
  </si>
  <si>
    <t>Berón de Astrada 2814</t>
  </si>
  <si>
    <t>CONSTITUCION 2583</t>
  </si>
  <si>
    <t>RODRIGUEZ  DEL BUSTO 4086 L 58</t>
  </si>
  <si>
    <t>ORION</t>
  </si>
  <si>
    <t>MANUEL TRELLES 2669</t>
  </si>
  <si>
    <t>PAUNERO 1359</t>
  </si>
  <si>
    <t>AV. LIBERTADOR 15399</t>
  </si>
  <si>
    <t>ACASSUSO</t>
  </si>
  <si>
    <t>VUELTA DE OBLIGADO 2332</t>
  </si>
  <si>
    <t>NESTOR</t>
  </si>
  <si>
    <t>RETIRADO</t>
  </si>
  <si>
    <t>PASAJE EMILIO HUESPE 130</t>
  </si>
  <si>
    <t>ALEX S.R.L.</t>
  </si>
  <si>
    <t>PEDRO CHUTRO 2457</t>
  </si>
  <si>
    <t>AV. EDEN 388</t>
  </si>
  <si>
    <t>LA FALDA</t>
  </si>
  <si>
    <t>PUNILLA NORTE</t>
  </si>
  <si>
    <t>Estacion sola  galpon 5 puerta</t>
  </si>
  <si>
    <t>FUERA DE HORA</t>
  </si>
  <si>
    <t>AV KIRCHNER 1252</t>
  </si>
  <si>
    <t>RIO GALLEGOS</t>
  </si>
  <si>
    <t>EXPRESO FUEGUINO S.A.</t>
  </si>
  <si>
    <t>AUSTRALIA 2838</t>
  </si>
  <si>
    <t>AVDA MORENO 1075</t>
  </si>
  <si>
    <t>TRES ARROYOS</t>
  </si>
  <si>
    <t>TRUCKS EXPRESS SRL</t>
  </si>
  <si>
    <t>PINEDO 50 GALPON 1 PUERTA 22</t>
  </si>
  <si>
    <t>AV. RIVADAVIA 6169</t>
  </si>
  <si>
    <t>REPUBLICA ARABE SIRIA 3006</t>
  </si>
  <si>
    <t>Av. Rivadavia 4725, CABA</t>
  </si>
  <si>
    <t>GALLARDO 880 Local 59</t>
  </si>
  <si>
    <t>SAN CARLOS DE BARILOCHE</t>
  </si>
  <si>
    <t>VESPRINI Y VESPRINI</t>
  </si>
  <si>
    <t>MADARIAGA 3531</t>
  </si>
  <si>
    <t>RIVADAVIA 1460</t>
  </si>
  <si>
    <t>NUEVO HORIZONTE S.R.L.</t>
  </si>
  <si>
    <t>MOSCONI 279</t>
  </si>
  <si>
    <t>GENERAL PAZ  748</t>
  </si>
  <si>
    <t>RIO CUARTO</t>
  </si>
  <si>
    <t>OLIVA HNOS. S.R.L.</t>
  </si>
  <si>
    <t>JOSE E. RODO 6255</t>
  </si>
  <si>
    <t>ESTEBAN ADROGUE 1073 L.207</t>
  </si>
  <si>
    <t>ADROGUE</t>
  </si>
  <si>
    <t>SANTA FE 470</t>
  </si>
  <si>
    <t>VILLA MARIA (DPTO. GENERAL SAN MART</t>
  </si>
  <si>
    <t>LANCIONI</t>
  </si>
  <si>
    <t>Pergamino 3751 - CTC NAVE B 32</t>
  </si>
  <si>
    <t>DUARTE QUIROS 1400</t>
  </si>
  <si>
    <t>BICENTENARIO</t>
  </si>
  <si>
    <t>JULIO TROXLER 3120</t>
  </si>
  <si>
    <t>AV. FERNANDEZ CRUZ 2938</t>
  </si>
  <si>
    <t>CALLE 20 669</t>
  </si>
  <si>
    <t>DELOQUI 1027</t>
  </si>
  <si>
    <t>USHUAIA</t>
  </si>
  <si>
    <t>FRASER</t>
  </si>
  <si>
    <t>MARTINIANO CHILAVERT 3258</t>
  </si>
  <si>
    <t>9 DE JULIO 342</t>
  </si>
  <si>
    <t>COPAR</t>
  </si>
  <si>
    <t>FERRE 3254 GALPON 4, VILLA SOLDATI</t>
  </si>
  <si>
    <t>AV. DE LOS CONSTITUYENTES</t>
  </si>
  <si>
    <t>DESDE MONTALVAN</t>
  </si>
  <si>
    <t>THAMES 1752</t>
  </si>
  <si>
    <t>SPRINTER</t>
  </si>
  <si>
    <t>AV SANTA FE 1721</t>
  </si>
  <si>
    <t>AV.SANTA FE 2464</t>
  </si>
  <si>
    <t>ARCE 940 LOCAL 200 BELGRANO</t>
  </si>
  <si>
    <t>AV. SANTA FE 3325</t>
  </si>
  <si>
    <t>DIGITAL TOYS - BELGRANO</t>
  </si>
  <si>
    <t>ELCANO 32101</t>
  </si>
  <si>
    <t>MONTEAGUDO 3083</t>
  </si>
  <si>
    <t>CARGADO</t>
  </si>
  <si>
    <t>MAIPU127</t>
  </si>
  <si>
    <t>BANFIELD</t>
  </si>
  <si>
    <t>SAN MARTIN 145</t>
  </si>
  <si>
    <t>GLOBAL EXPRESO SA</t>
  </si>
  <si>
    <t>AV. SAENZ 1123</t>
  </si>
  <si>
    <t>18 N 661</t>
  </si>
  <si>
    <t>BALCARCE</t>
  </si>
  <si>
    <t>GARMENDIA</t>
  </si>
  <si>
    <t>SANTO DOMINGO 3930</t>
  </si>
  <si>
    <t>CONSTITUCION 2510</t>
  </si>
  <si>
    <t>RAFAELA 3245</t>
  </si>
  <si>
    <t>CIUDADELA</t>
  </si>
  <si>
    <t>CROVARA 101</t>
  </si>
  <si>
    <t>LA TABLADA</t>
  </si>
  <si>
    <t>OBISTO TREJO 354 PB LOCAL 406</t>
  </si>
  <si>
    <t>CALLE 62 N 3435</t>
  </si>
  <si>
    <t>NECOCHEA</t>
  </si>
  <si>
    <t>ENTREGAR HASTA LAS 10HS</t>
  </si>
  <si>
    <t>EXPRESO ALEGRE</t>
  </si>
  <si>
    <t>SAN PEDRITO 3442</t>
  </si>
  <si>
    <t>PASAJE SIVORY 381</t>
  </si>
  <si>
    <t>CENTAURO SRL</t>
  </si>
  <si>
    <t>PERGAMINO 3552</t>
  </si>
  <si>
    <t>RIOJA 1798</t>
  </si>
  <si>
    <t>INDEPENDENCIA 4753/55</t>
  </si>
  <si>
    <t>VILLA BALLESTER</t>
  </si>
  <si>
    <t>CARBONARO</t>
  </si>
  <si>
    <t>AL PEREGRINO</t>
  </si>
  <si>
    <t>GODOY 129</t>
  </si>
  <si>
    <t>PERON 2450</t>
  </si>
  <si>
    <t>H. YRIGOYEN 8481</t>
  </si>
  <si>
    <t>SALTA 1260</t>
  </si>
  <si>
    <t>BARRIO SAN JOSE - ALMIRANTE BROWN</t>
  </si>
  <si>
    <t>AV. ALVEAR 379</t>
  </si>
  <si>
    <t>S/R</t>
  </si>
  <si>
    <t>SUSPENDIO UN DIA ANTES A LA TARDE CUANDO YA ESTABA CARGADO EL CAMION</t>
  </si>
  <si>
    <t>AV. KELLY 741</t>
  </si>
  <si>
    <t>EL SERRANO</t>
  </si>
  <si>
    <t>SUAREZ 2761</t>
  </si>
  <si>
    <t>GODOY CRUZ</t>
  </si>
  <si>
    <t>JULIO TROXLER 3259</t>
  </si>
  <si>
    <t>PUNTA ALTA</t>
  </si>
  <si>
    <t>PERGAMINO 3751 NAVE 3 PTA 69</t>
  </si>
  <si>
    <t>PASTEUR 363</t>
  </si>
  <si>
    <t>YATAY 1041</t>
  </si>
  <si>
    <t>TUCUMAN 314</t>
  </si>
  <si>
    <t>GENERAL ROCA</t>
  </si>
  <si>
    <t>TRANPORTE VERSAT</t>
  </si>
  <si>
    <t>TABARE 3136</t>
  </si>
  <si>
    <t>ENTREGA PALETIZADO</t>
  </si>
  <si>
    <t>AV CORRIENTES 2699</t>
  </si>
  <si>
    <t>ROTURAS</t>
  </si>
  <si>
    <t>SAN LUIS 1740</t>
  </si>
  <si>
    <t>DEVIGILI OSVALDO JUAN</t>
  </si>
  <si>
    <t>PCIAS. UNIDAS 252</t>
  </si>
  <si>
    <t>TINOGASTA 5337</t>
  </si>
  <si>
    <t>VIAMONTE 2927 - Pta. Alta</t>
  </si>
  <si>
    <t>CHAMORRO EXPRESS</t>
  </si>
  <si>
    <t>VENTANA 3772</t>
  </si>
  <si>
    <t>24 DE SEPTIEMBRE 124</t>
  </si>
  <si>
    <t>ING. LUIGGI 921</t>
  </si>
  <si>
    <t>ARISTOBULO DEL VALLE 5170</t>
  </si>
  <si>
    <t>SAN LUIS 1666</t>
  </si>
  <si>
    <t>OCHOA 229</t>
  </si>
  <si>
    <t>RAYUELA SRL (TF)</t>
  </si>
  <si>
    <t>SAN MARTIN PERITO MORENO 702</t>
  </si>
  <si>
    <t>DE 10 A 20 HS.</t>
  </si>
  <si>
    <t>PA?ALERA PMX SRL</t>
  </si>
  <si>
    <t>CALLE 4 1162 LA PLATA</t>
  </si>
  <si>
    <t>RSUT</t>
  </si>
  <si>
    <t>TARIFAS</t>
  </si>
  <si>
    <t>DIC/MAR</t>
  </si>
  <si>
    <t>CONCEPTO</t>
  </si>
  <si>
    <t>$</t>
  </si>
  <si>
    <t>Distribucion hasta 0,5 m3</t>
  </si>
  <si>
    <t>Distribución desde 0,51 m3 a 1m3</t>
  </si>
  <si>
    <t>Distribución desde 1,01 m3 a 3 m3</t>
  </si>
  <si>
    <t>Distribución desde 3,01 m3 a 5 m3</t>
  </si>
  <si>
    <t>Distribución desde 5,01 m3 a 6 m3</t>
  </si>
  <si>
    <t>Distribución desde 6,01 m3 a 7 m3</t>
  </si>
  <si>
    <t>Distribución desde 7,01 m3 a 8 m3</t>
  </si>
  <si>
    <t>Distribución desde 8,01 m3 a 9 m3</t>
  </si>
  <si>
    <t>Distribución desde 9,01 m3 a 10 m3</t>
  </si>
  <si>
    <t>Distribución desde 10,01 m3 a 11 m3</t>
  </si>
  <si>
    <t>Distribución desde 11,01 m3 a 12 m3</t>
  </si>
  <si>
    <t>Distribución desde 12,01 m3 a 13 m3</t>
  </si>
  <si>
    <t>Distribución desde 13,01 m3 a 14 m3</t>
  </si>
  <si>
    <t>Distribución desde 14,01 m3 a 15 m3</t>
  </si>
  <si>
    <t>Distribución desde 15,01 m3 a 16 m3</t>
  </si>
  <si>
    <t>Distribución desde 16,01 m3 a 17 m3</t>
  </si>
  <si>
    <t>Distribución desde 17,01 m3 a 18 m3</t>
  </si>
  <si>
    <t>Distribución desde 18,01 m3 a 19 m3</t>
  </si>
  <si>
    <t>Distribución desde 19,01 m3 a 20 m3</t>
  </si>
  <si>
    <t>Distribución desde 20,01 m3 a 21 m3</t>
  </si>
  <si>
    <t>Distribución desde 21,01 m3 a 25 m3</t>
  </si>
  <si>
    <t>Distribución desde 25,01 m3 a 30 m3</t>
  </si>
  <si>
    <t>Distribución desde 30,01 m3 a 35 m3</t>
  </si>
  <si>
    <t>Distribución desde 35,01 m3 a 40 m3</t>
  </si>
  <si>
    <t>Distribución desde 40,01 m3 a 50 m3</t>
  </si>
  <si>
    <t>ABR/JUL</t>
  </si>
  <si>
    <t>$XM3</t>
  </si>
  <si>
    <t>$Xfijo</t>
  </si>
  <si>
    <t>GUARDO</t>
  </si>
  <si>
    <t>VACIO</t>
  </si>
  <si>
    <t>TRASLADO A MONTALVAN</t>
  </si>
  <si>
    <t>DIA</t>
  </si>
  <si>
    <t>FALSO FLETE</t>
  </si>
  <si>
    <t>SIDER GUARDO</t>
  </si>
  <si>
    <t>VACIO + FUERA</t>
  </si>
  <si>
    <t>GUARDO + FUERA</t>
  </si>
  <si>
    <t>40 VACIO</t>
  </si>
  <si>
    <t>murcn coppel int 105984 (19689)</t>
  </si>
  <si>
    <t>SIDER GUARDA</t>
  </si>
  <si>
    <t>montalvan muresco int 106123 (19691)</t>
  </si>
  <si>
    <t>MONTALVAN INTIPUNCO INT 105186 (19692)</t>
  </si>
  <si>
    <t>T4 VICBOR INT 105785 (19694)</t>
  </si>
  <si>
    <t>MONTLVAN MIDING INT 106176 (19699)</t>
  </si>
  <si>
    <t>MONTLVAN MIDING INT 106175 (19702)</t>
  </si>
  <si>
    <t>MONTALVAN SISFRIENDS INT 105183 (19709)</t>
  </si>
  <si>
    <t>MONTALVAN COPPEL INT 105156 (19711)</t>
  </si>
  <si>
    <t>trp cdi int 106161 (19712)</t>
  </si>
  <si>
    <t>montalvan ppr int 101397 (19715)</t>
  </si>
  <si>
    <t>MONTALVAN COPPEL INT 106134 (19716)</t>
  </si>
  <si>
    <t>TRP TF INT 105799 (19723)</t>
  </si>
  <si>
    <t>DEV VACIO EMPREND INT 105794 (19698)</t>
  </si>
  <si>
    <t>DEFIBE</t>
  </si>
  <si>
    <t>T4 GIM INT 106308 (19762)</t>
  </si>
  <si>
    <t>T4 GIM INT 106309 (19763)</t>
  </si>
  <si>
    <t>DEFIBA VIDITRAX INT 104125 (19734)</t>
  </si>
  <si>
    <t>TRP VICBOR INT 105817 (19735)</t>
  </si>
  <si>
    <t>TRP APOLLO INT 105850 (19736)</t>
  </si>
  <si>
    <t>TRP TF INT 105846 (19737)</t>
  </si>
  <si>
    <t>T4 BARAK INT 105848 (19753)</t>
  </si>
  <si>
    <t>MONTALVAN COPPEL INT 106351 (19765)</t>
  </si>
  <si>
    <t>EXOLGAN LUSQ INT 105873 (19780)</t>
  </si>
  <si>
    <t>EXOLGAN LUSQ INT 105872 (19781)</t>
  </si>
  <si>
    <t>MONTALVAN COPPEL INT 106296 (19787)</t>
  </si>
  <si>
    <t>EXOLGAN MARIPEL INT 105875 (19790)</t>
  </si>
  <si>
    <t>MONTALVAN REVOLUTION INT 105888 (19796)</t>
  </si>
  <si>
    <t>MONTALVAN BARAK INT 103513 (19798)</t>
  </si>
  <si>
    <t>MONTALVAN COPPEL INT 106929 (19799)</t>
  </si>
  <si>
    <t>MONTALVAN TF INT 105436 (19801)</t>
  </si>
  <si>
    <t>trp tf int 105630 (19805)</t>
  </si>
  <si>
    <t>MONTALVAN TF INT 105434 (19806)</t>
  </si>
  <si>
    <t>MONTALVAN MB INT 106783 (19807)</t>
  </si>
  <si>
    <t>exolgan muresco INT 106593 (19818)</t>
  </si>
  <si>
    <t>MONTALVAN FIBRA INT 105925 (19822)</t>
  </si>
  <si>
    <t>MONTALVAN VICBOR INT 106779 (19823)</t>
  </si>
  <si>
    <t>MONTALVAN ISAKITO INT 104424 (19824)</t>
  </si>
  <si>
    <t>MURCHISON LOBOV INT 106586 (19826)</t>
  </si>
  <si>
    <t>EXOLGAN FIBRA INT 106041 (19827)</t>
  </si>
  <si>
    <t>MONTALVAN MIDING INT 106812 (19829)</t>
  </si>
  <si>
    <t>MONTALVAN BARAK INT 106310 (19833)</t>
  </si>
  <si>
    <t>montalvan VICBOR int 106797 (19834)</t>
  </si>
  <si>
    <t>40 VACPO</t>
  </si>
  <si>
    <t>MONTALVAN VICBOR INT 106799 (19835)</t>
  </si>
  <si>
    <t>MONTALVAN VICBOR INT 106857 (19845)</t>
  </si>
  <si>
    <t>T4 GIM INT 106832 (19849)</t>
  </si>
  <si>
    <t>40 GUARDA</t>
  </si>
  <si>
    <t>MONTALVAN MURESCO INT 104683 (19861)</t>
  </si>
  <si>
    <t>EXOLGAN FDS INT 105862 (19871)</t>
  </si>
  <si>
    <t>MONTALVAN COPPEL INT 106851 (19873)</t>
  </si>
  <si>
    <t>ZF KID INT 107011 (19876)</t>
  </si>
  <si>
    <t>MONTALVAN MURESCO INT 106895 (19880)</t>
  </si>
  <si>
    <t>MONTALVAN COPPEL INT 106855 (19885)</t>
  </si>
  <si>
    <t>MONTALVAN TF INT 105891 (19895)</t>
  </si>
  <si>
    <t>DIA VACIO</t>
  </si>
  <si>
    <t>MONTALVAN FDS INT 105927 (19899)</t>
  </si>
  <si>
    <t>MONTALVAN TF INT 105889 (19902)</t>
  </si>
  <si>
    <t>T4 MB INT 107049 (19897)</t>
  </si>
  <si>
    <t>montalvan vicbor int 107044 (19918)</t>
  </si>
  <si>
    <t>MONTALVAN AGUSTEX INT 106198 (19919)</t>
  </si>
  <si>
    <t>T4 GLAMUR INT 106614 (19920)</t>
  </si>
  <si>
    <t>T4 LUSQ INT 106661 (19927)</t>
  </si>
  <si>
    <t>MONTALVAN MIDING INT 106782 (19930)</t>
  </si>
  <si>
    <t>t4 FRIGORIFICAS INT 106489 (19934)</t>
  </si>
  <si>
    <t>T4 MURESCO INT 106923 (19935)</t>
  </si>
  <si>
    <t>EXOLGAN MIDING INT 106677 (19937)</t>
  </si>
  <si>
    <t>EXOLGAN MIDING INT 106675 (19938)</t>
  </si>
  <si>
    <t>MONTALVN COPPEL INT 106901 (19958)</t>
  </si>
  <si>
    <t>T4 MURESCO INT 105995 (19955)</t>
  </si>
  <si>
    <t>T4 SISFIRENDS INT 107088 (19963)</t>
  </si>
  <si>
    <t>40 BVCIO</t>
  </si>
  <si>
    <t>MONTALVN AGUSTEX INT 107212 (19964)</t>
  </si>
  <si>
    <t>EXOLGAN LADY INT 107070 (19966)</t>
  </si>
  <si>
    <t>T4 NYR INT 106700 (19970)</t>
  </si>
  <si>
    <t>T4 N&amp;R INT 106703 (19973)</t>
  </si>
  <si>
    <t>MONTALVAN VICBOR INT 107096 (19975)</t>
  </si>
  <si>
    <t>TRP CDI INT 106563 (19980)</t>
  </si>
  <si>
    <t>TRP GIM INT 106844 (19981)</t>
  </si>
  <si>
    <t>MOREIRO THE ASIA INT 106607 (19982)</t>
  </si>
  <si>
    <t>MOREIRO THE ASIA INT 101038 (19983)</t>
  </si>
  <si>
    <t>EXOLGAN TEXTIL FEDERAL INT 106706 (19985)</t>
  </si>
  <si>
    <t>MONTALVAN MIDING INT 107337 (20000)</t>
  </si>
  <si>
    <t>MONTALVAN MIDING INT 107339 (20001)</t>
  </si>
  <si>
    <t>MONTALVAN VICBOR INT 107089 (20002)</t>
  </si>
  <si>
    <t>MONTALVAN THAG INT 105683 (20005)</t>
  </si>
  <si>
    <t>MONTALVAN MIDIN INT 107338 (20014)</t>
  </si>
  <si>
    <t>montalvan the asia INT 97597 (20015)</t>
  </si>
  <si>
    <t>THE ASIA MOREIRO INT 101044 (20025)</t>
  </si>
  <si>
    <t>TRP SUN SOL INT 107418 (20026)</t>
  </si>
  <si>
    <t>MONTALVAN TF INT 106239 (20054)</t>
  </si>
  <si>
    <t>TRP COPPEL INR 107365 (20056)</t>
  </si>
  <si>
    <t>TRP TF INT 106698 (20061)</t>
  </si>
  <si>
    <t>TRP TOKEMA INT 107413 (20068)</t>
  </si>
  <si>
    <t>EXOLGAN VICBOR INT 106669 (20081)</t>
  </si>
  <si>
    <t>MONTALVAN VICBOR INT 107077 (20093)</t>
  </si>
  <si>
    <t>MONTALVAN MEGA BABY INT 107583 (20096)</t>
  </si>
  <si>
    <t>T4 KUKI INT 106753 (20101)</t>
  </si>
  <si>
    <t>T4 MIDING INT 106688 (20102)</t>
  </si>
  <si>
    <t>MONTALVAN COPPEL INT 107442 (20136)</t>
  </si>
  <si>
    <t>MONTALVAN TF INT 106234 (20137)</t>
  </si>
  <si>
    <t>MONTALVAN COPPEL INT 107382 (20147)</t>
  </si>
  <si>
    <t>EXOLGAN LADY INT 107802 (20157)</t>
  </si>
  <si>
    <t>MONTALVAN GIM INT 107870 (20164)</t>
  </si>
  <si>
    <t>MONTALVAN GIM INT 107780 (20165)</t>
  </si>
  <si>
    <t>GEMEZ OUTMALL INT 107547 (20169)</t>
  </si>
  <si>
    <t>MONTALVAN COPPEL INT 107516 (20170)</t>
  </si>
  <si>
    <t>MONTALVAN MURESCO INT 105074 (20173)</t>
  </si>
  <si>
    <t>LO PRIMO 2 COPPEL INT 107515 (20198)</t>
  </si>
  <si>
    <t>tefasa MONTAGNE INT 107527 (20175)</t>
  </si>
  <si>
    <t>MONTALVAN KUKI INT 107885 (20177)</t>
  </si>
  <si>
    <t>MONTALVAN TF INT 106154 (20180)</t>
  </si>
  <si>
    <t>MONTALVAN GIM INT 107888 (20182)</t>
  </si>
  <si>
    <t>MONTALVAN FDS INT 106040 (20186)</t>
  </si>
  <si>
    <t>MONTALVAN TF INT 107304 (20187)</t>
  </si>
  <si>
    <t>MONTALVAN TF INT 106112 (20188)</t>
  </si>
  <si>
    <t>T4 GIM INT 107965 (20191)</t>
  </si>
  <si>
    <t>MOREIRO THE ASIA INT 102800 (20192)</t>
  </si>
  <si>
    <t>MONTALVAN ISAKITO INT 107903 (20200)</t>
  </si>
  <si>
    <t>EXOLGAN GIM INT 107984 (20205)</t>
  </si>
  <si>
    <t>MONTALVAN LADY INT 107450 (20208)</t>
  </si>
  <si>
    <t>MONTALVAN VICBORR INT 107900 (20209)</t>
  </si>
  <si>
    <t>montalvan only INT 107262 (20212)</t>
  </si>
  <si>
    <t>exolgan gim int 107983 (20219)</t>
  </si>
  <si>
    <t>OBVS</t>
  </si>
  <si>
    <t>ADICIONAL X HORA DE CARGA</t>
  </si>
  <si>
    <t>ADICIONAL X HORA DE DESCARGA</t>
  </si>
  <si>
    <t>STOP CELL</t>
  </si>
  <si>
    <t>DORINCA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</si>
</sst>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d/m/yyyy"/>
    <numFmt numFmtId="165" formatCode="&quot;$&quot;#,##0.00"/>
    <numFmt numFmtId="166" formatCode="#,##0.00_);\-#,##0.00"/>
    <numFmt numFmtId="167" formatCode="d\/m\/yyyy"/>
    <numFmt numFmtId="168" formatCode="dd\-mm\-yy;@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000000"/>
      <name val="Times New Roman"/>
      <family val="1"/>
    </font>
    <font>
      <sz val="11"/>
      <color rgb="FF000000"/>
      <name val="Calibri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6"/>
      <color rgb="FF000000"/>
      <name val="Times New Roman"/>
      <family val="1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b/>
      <sz val="14"/>
      <color theme="1"/>
      <name val="Calibri"/>
      <family val="2"/>
    </font>
    <font>
      <sz val="6.95"/>
      <color indexed="8"/>
      <name val="Times New Roman"/>
      <family val="1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DADADA"/>
        <bgColor rgb="FFDADADA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B4C6E7"/>
      </patternFill>
    </fill>
    <fill>
      <patternFill patternType="solid">
        <fgColor theme="4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0">
    <xf numFmtId="0" fontId="0" fillId="0" borderId="0" xfId="0"/>
    <xf numFmtId="164" fontId="2" fillId="0" borderId="0" xfId="0" applyNumberFormat="1" applyFont="1" applyAlignment="1">
      <alignment horizontal="left"/>
    </xf>
    <xf numFmtId="165" fontId="2" fillId="0" borderId="0" xfId="0" applyNumberFormat="1" applyFont="1"/>
    <xf numFmtId="165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right" vertical="center"/>
    </xf>
    <xf numFmtId="0" fontId="2" fillId="2" borderId="1" xfId="0" applyFont="1" applyFill="1" applyBorder="1"/>
    <xf numFmtId="2" fontId="2" fillId="2" borderId="1" xfId="0" applyNumberFormat="1" applyFont="1" applyFill="1" applyBorder="1" applyAlignment="1">
      <alignment horizontal="right"/>
    </xf>
    <xf numFmtId="0" fontId="4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left" vertical="top" shrinkToFit="1"/>
    </xf>
    <xf numFmtId="0" fontId="6" fillId="0" borderId="0" xfId="0" applyFont="1" applyAlignment="1">
      <alignment horizontal="left" vertical="top" shrinkToFit="1"/>
    </xf>
    <xf numFmtId="0" fontId="2" fillId="0" borderId="0" xfId="0" applyFont="1"/>
    <xf numFmtId="0" fontId="2" fillId="3" borderId="2" xfId="0" applyFont="1" applyFill="1" applyBorder="1"/>
    <xf numFmtId="0" fontId="2" fillId="3" borderId="3" xfId="0" applyFont="1" applyFill="1" applyBorder="1"/>
    <xf numFmtId="0" fontId="7" fillId="0" borderId="0" xfId="0" applyFont="1" applyAlignment="1">
      <alignment vertical="center"/>
    </xf>
    <xf numFmtId="164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center"/>
    </xf>
    <xf numFmtId="165" fontId="7" fillId="0" borderId="4" xfId="0" applyNumberFormat="1" applyFont="1" applyBorder="1" applyAlignment="1">
      <alignment horizontal="center" vertical="center"/>
    </xf>
    <xf numFmtId="164" fontId="7" fillId="3" borderId="4" xfId="0" applyNumberFormat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center" vertical="center"/>
    </xf>
    <xf numFmtId="2" fontId="7" fillId="3" borderId="4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top" wrapText="1"/>
    </xf>
    <xf numFmtId="0" fontId="9" fillId="0" borderId="4" xfId="0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center" vertical="top" wrapText="1"/>
    </xf>
    <xf numFmtId="2" fontId="9" fillId="0" borderId="4" xfId="0" applyNumberFormat="1" applyFont="1" applyBorder="1" applyAlignment="1">
      <alignment horizontal="center" vertical="top" wrapText="1"/>
    </xf>
    <xf numFmtId="2" fontId="9" fillId="0" borderId="4" xfId="0" applyNumberFormat="1" applyFont="1" applyBorder="1" applyAlignment="1">
      <alignment horizontal="right" vertical="top" wrapText="1"/>
    </xf>
    <xf numFmtId="164" fontId="9" fillId="0" borderId="4" xfId="0" applyNumberFormat="1" applyFont="1" applyBorder="1" applyAlignment="1">
      <alignment horizontal="right" vertical="top" wrapText="1"/>
    </xf>
    <xf numFmtId="0" fontId="9" fillId="0" borderId="4" xfId="0" applyFont="1" applyBorder="1" applyAlignment="1">
      <alignment horizontal="right" vertical="top" wrapText="1"/>
    </xf>
    <xf numFmtId="165" fontId="9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164" fontId="9" fillId="0" borderId="4" xfId="0" applyNumberFormat="1" applyFont="1" applyBorder="1" applyAlignment="1">
      <alignment horizontal="left" vertical="top" wrapText="1"/>
    </xf>
    <xf numFmtId="2" fontId="7" fillId="0" borderId="4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7" fillId="0" borderId="4" xfId="0" applyFont="1" applyBorder="1" applyAlignment="1">
      <alignment horizontal="right" vertical="center"/>
    </xf>
    <xf numFmtId="2" fontId="7" fillId="0" borderId="4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top"/>
    </xf>
    <xf numFmtId="2" fontId="7" fillId="4" borderId="4" xfId="0" applyNumberFormat="1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top" wrapText="1"/>
    </xf>
    <xf numFmtId="164" fontId="9" fillId="3" borderId="4" xfId="0" applyNumberFormat="1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left" vertical="top" wrapText="1"/>
    </xf>
    <xf numFmtId="2" fontId="9" fillId="3" borderId="4" xfId="0" applyNumberFormat="1" applyFont="1" applyFill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2" fontId="9" fillId="0" borderId="6" xfId="0" applyNumberFormat="1" applyFont="1" applyBorder="1" applyAlignment="1">
      <alignment horizontal="center" vertical="top" wrapText="1"/>
    </xf>
    <xf numFmtId="164" fontId="9" fillId="0" borderId="7" xfId="0" applyNumberFormat="1" applyFont="1" applyBorder="1" applyAlignment="1">
      <alignment horizontal="center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center" vertical="top" wrapText="1"/>
    </xf>
    <xf numFmtId="2" fontId="9" fillId="0" borderId="7" xfId="0" applyNumberFormat="1" applyFont="1" applyBorder="1" applyAlignment="1">
      <alignment horizontal="center" vertical="top" wrapText="1"/>
    </xf>
    <xf numFmtId="2" fontId="9" fillId="0" borderId="8" xfId="0" applyNumberFormat="1" applyFont="1" applyBorder="1" applyAlignment="1">
      <alignment horizontal="center" vertical="top" wrapText="1"/>
    </xf>
    <xf numFmtId="0" fontId="9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left"/>
    </xf>
    <xf numFmtId="0" fontId="7" fillId="0" borderId="0" xfId="0" applyFont="1" applyAlignment="1">
      <alignment horizontal="left" vertical="center"/>
    </xf>
    <xf numFmtId="164" fontId="7" fillId="0" borderId="4" xfId="0" applyNumberFormat="1" applyFont="1" applyBorder="1" applyAlignment="1">
      <alignment horizontal="right" vertical="center"/>
    </xf>
    <xf numFmtId="2" fontId="9" fillId="0" borderId="6" xfId="0" applyNumberFormat="1" applyFont="1" applyBorder="1" applyAlignment="1">
      <alignment horizontal="right" vertical="top" wrapText="1"/>
    </xf>
    <xf numFmtId="165" fontId="9" fillId="0" borderId="4" xfId="0" applyNumberFormat="1" applyFont="1" applyBorder="1" applyAlignment="1">
      <alignment horizontal="center" vertical="top" wrapText="1"/>
    </xf>
    <xf numFmtId="0" fontId="7" fillId="0" borderId="4" xfId="0" applyFont="1" applyBorder="1" applyAlignment="1">
      <alignment vertical="center"/>
    </xf>
    <xf numFmtId="164" fontId="9" fillId="0" borderId="4" xfId="0" applyNumberFormat="1" applyFont="1" applyBorder="1" applyAlignment="1">
      <alignment vertical="top" wrapText="1"/>
    </xf>
    <xf numFmtId="2" fontId="7" fillId="0" borderId="4" xfId="0" applyNumberFormat="1" applyFont="1" applyBorder="1" applyAlignment="1">
      <alignment vertical="center"/>
    </xf>
    <xf numFmtId="0" fontId="9" fillId="0" borderId="4" xfId="0" applyFont="1" applyBorder="1" applyAlignment="1">
      <alignment vertical="top" wrapText="1"/>
    </xf>
    <xf numFmtId="2" fontId="9" fillId="0" borderId="4" xfId="0" applyNumberFormat="1" applyFont="1" applyBorder="1" applyAlignment="1">
      <alignment vertical="top" wrapText="1"/>
    </xf>
    <xf numFmtId="2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/>
    </xf>
    <xf numFmtId="0" fontId="2" fillId="0" borderId="4" xfId="0" applyFont="1" applyBorder="1"/>
    <xf numFmtId="164" fontId="9" fillId="0" borderId="7" xfId="0" applyNumberFormat="1" applyFont="1" applyBorder="1" applyAlignment="1">
      <alignment horizontal="right" vertical="top" wrapText="1"/>
    </xf>
    <xf numFmtId="0" fontId="7" fillId="0" borderId="7" xfId="0" applyFont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" fontId="2" fillId="0" borderId="9" xfId="0" applyNumberFormat="1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165" fontId="2" fillId="0" borderId="10" xfId="0" applyNumberFormat="1" applyFont="1" applyBorder="1" applyAlignment="1">
      <alignment horizontal="left"/>
    </xf>
    <xf numFmtId="16" fontId="2" fillId="0" borderId="11" xfId="0" applyNumberFormat="1" applyFont="1" applyBorder="1" applyAlignment="1">
      <alignment horizontal="left"/>
    </xf>
    <xf numFmtId="16" fontId="2" fillId="0" borderId="12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165" fontId="2" fillId="0" borderId="13" xfId="0" applyNumberFormat="1" applyFont="1" applyBorder="1" applyAlignment="1">
      <alignment horizontal="left"/>
    </xf>
    <xf numFmtId="16" fontId="2" fillId="0" borderId="0" xfId="0" applyNumberFormat="1" applyFont="1" applyAlignment="1">
      <alignment horizontal="left"/>
    </xf>
    <xf numFmtId="0" fontId="10" fillId="0" borderId="0" xfId="0" applyFont="1"/>
    <xf numFmtId="2" fontId="2" fillId="0" borderId="1" xfId="0" applyNumberFormat="1" applyFont="1" applyBorder="1" applyAlignment="1">
      <alignment horizontal="right"/>
    </xf>
    <xf numFmtId="2" fontId="2" fillId="6" borderId="1" xfId="0" applyNumberFormat="1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2" fontId="2" fillId="0" borderId="1" xfId="0" applyNumberFormat="1" applyFont="1" applyBorder="1"/>
    <xf numFmtId="0" fontId="2" fillId="0" borderId="2" xfId="0" applyFont="1" applyBorder="1"/>
    <xf numFmtId="2" fontId="9" fillId="3" borderId="6" xfId="0" applyNumberFormat="1" applyFont="1" applyFill="1" applyBorder="1" applyAlignment="1">
      <alignment horizontal="center" vertical="top" wrapText="1"/>
    </xf>
    <xf numFmtId="164" fontId="9" fillId="3" borderId="7" xfId="0" applyNumberFormat="1" applyFont="1" applyFill="1" applyBorder="1" applyAlignment="1">
      <alignment horizontal="center" vertical="top" wrapText="1"/>
    </xf>
    <xf numFmtId="0" fontId="9" fillId="3" borderId="7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center" vertical="top" wrapText="1"/>
    </xf>
    <xf numFmtId="2" fontId="9" fillId="3" borderId="7" xfId="0" applyNumberFormat="1" applyFont="1" applyFill="1" applyBorder="1" applyAlignment="1">
      <alignment horizontal="center" vertical="top" wrapText="1"/>
    </xf>
    <xf numFmtId="2" fontId="9" fillId="3" borderId="8" xfId="0" applyNumberFormat="1" applyFont="1" applyFill="1" applyBorder="1" applyAlignment="1">
      <alignment horizontal="center" vertical="top" wrapText="1"/>
    </xf>
    <xf numFmtId="16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6" fontId="11" fillId="0" borderId="0" xfId="0" applyNumberFormat="1" applyFont="1" applyAlignment="1">
      <alignment horizontal="right" vertical="center"/>
    </xf>
    <xf numFmtId="165" fontId="7" fillId="0" borderId="4" xfId="0" applyNumberFormat="1" applyFont="1" applyBorder="1" applyAlignment="1">
      <alignment horizontal="right" vertical="center"/>
    </xf>
    <xf numFmtId="165" fontId="9" fillId="3" borderId="4" xfId="0" applyNumberFormat="1" applyFont="1" applyFill="1" applyBorder="1" applyAlignment="1">
      <alignment horizontal="center" vertical="top" wrapText="1"/>
    </xf>
    <xf numFmtId="165" fontId="9" fillId="3" borderId="7" xfId="0" applyNumberFormat="1" applyFont="1" applyFill="1" applyBorder="1" applyAlignment="1">
      <alignment horizontal="center" vertical="top" wrapText="1"/>
    </xf>
    <xf numFmtId="165" fontId="9" fillId="0" borderId="6" xfId="0" applyNumberFormat="1" applyFont="1" applyBorder="1" applyAlignment="1">
      <alignment horizontal="center" vertical="top" wrapText="1"/>
    </xf>
    <xf numFmtId="165" fontId="9" fillId="0" borderId="8" xfId="0" applyNumberFormat="1" applyFont="1" applyBorder="1" applyAlignment="1">
      <alignment horizontal="center" vertical="top" wrapText="1"/>
    </xf>
    <xf numFmtId="165" fontId="7" fillId="0" borderId="4" xfId="0" applyNumberFormat="1" applyFont="1" applyBorder="1" applyAlignment="1">
      <alignment vertical="center"/>
    </xf>
    <xf numFmtId="165" fontId="9" fillId="0" borderId="4" xfId="0" applyNumberFormat="1" applyFont="1" applyBorder="1" applyAlignment="1">
      <alignment vertical="top" wrapText="1"/>
    </xf>
    <xf numFmtId="165" fontId="7" fillId="0" borderId="0" xfId="0" applyNumberFormat="1" applyFont="1" applyAlignment="1">
      <alignment horizontal="right" vertical="center"/>
    </xf>
    <xf numFmtId="165" fontId="9" fillId="0" borderId="7" xfId="0" applyNumberFormat="1" applyFont="1" applyBorder="1" applyAlignment="1">
      <alignment horizontal="center" vertical="top" wrapText="1"/>
    </xf>
    <xf numFmtId="165" fontId="0" fillId="0" borderId="0" xfId="0" applyNumberFormat="1"/>
    <xf numFmtId="167" fontId="11" fillId="3" borderId="14" xfId="0" applyNumberFormat="1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vertical="center"/>
    </xf>
    <xf numFmtId="166" fontId="11" fillId="3" borderId="14" xfId="0" applyNumberFormat="1" applyFont="1" applyFill="1" applyBorder="1" applyAlignment="1">
      <alignment horizontal="right" vertical="center"/>
    </xf>
    <xf numFmtId="165" fontId="11" fillId="3" borderId="14" xfId="0" applyNumberFormat="1" applyFont="1" applyFill="1" applyBorder="1" applyAlignment="1">
      <alignment horizontal="right" vertical="center"/>
    </xf>
    <xf numFmtId="0" fontId="9" fillId="0" borderId="14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2" fontId="7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4" fontId="9" fillId="0" borderId="5" xfId="0" applyNumberFormat="1" applyFont="1" applyBorder="1" applyAlignment="1">
      <alignment horizontal="center" vertical="top" wrapText="1"/>
    </xf>
    <xf numFmtId="164" fontId="9" fillId="0" borderId="14" xfId="0" applyNumberFormat="1" applyFont="1" applyBorder="1" applyAlignment="1">
      <alignment horizontal="center" vertical="top" wrapText="1"/>
    </xf>
    <xf numFmtId="0" fontId="7" fillId="0" borderId="14" xfId="0" applyFont="1" applyBorder="1" applyAlignment="1">
      <alignment horizontal="center" vertical="center"/>
    </xf>
    <xf numFmtId="2" fontId="7" fillId="0" borderId="14" xfId="0" applyNumberFormat="1" applyFont="1" applyBorder="1" applyAlignment="1">
      <alignment horizontal="center" vertical="center"/>
    </xf>
    <xf numFmtId="165" fontId="7" fillId="0" borderId="14" xfId="0" applyNumberFormat="1" applyFont="1" applyBorder="1" applyAlignment="1">
      <alignment horizontal="center" vertical="center"/>
    </xf>
    <xf numFmtId="165" fontId="7" fillId="5" borderId="14" xfId="0" applyNumberFormat="1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164" fontId="9" fillId="0" borderId="5" xfId="0" applyNumberFormat="1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top" wrapText="1"/>
    </xf>
    <xf numFmtId="2" fontId="7" fillId="4" borderId="7" xfId="0" applyNumberFormat="1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top" wrapText="1"/>
    </xf>
    <xf numFmtId="2" fontId="7" fillId="0" borderId="7" xfId="0" applyNumberFormat="1" applyFont="1" applyBorder="1" applyAlignment="1">
      <alignment horizontal="right" vertical="center"/>
    </xf>
    <xf numFmtId="165" fontId="7" fillId="0" borderId="7" xfId="0" applyNumberFormat="1" applyFont="1" applyBorder="1" applyAlignment="1">
      <alignment horizontal="right" vertical="center"/>
    </xf>
    <xf numFmtId="164" fontId="9" fillId="0" borderId="15" xfId="0" applyNumberFormat="1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center"/>
    </xf>
    <xf numFmtId="2" fontId="7" fillId="0" borderId="15" xfId="0" applyNumberFormat="1" applyFont="1" applyBorder="1" applyAlignment="1">
      <alignment horizontal="center" vertical="center"/>
    </xf>
    <xf numFmtId="165" fontId="7" fillId="0" borderId="15" xfId="0" applyNumberFormat="1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top" wrapText="1"/>
    </xf>
    <xf numFmtId="165" fontId="7" fillId="5" borderId="15" xfId="0" applyNumberFormat="1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top" wrapText="1"/>
    </xf>
    <xf numFmtId="2" fontId="9" fillId="0" borderId="5" xfId="0" applyNumberFormat="1" applyFont="1" applyBorder="1" applyAlignment="1">
      <alignment horizontal="center" vertical="top" wrapText="1"/>
    </xf>
    <xf numFmtId="165" fontId="9" fillId="0" borderId="5" xfId="0" applyNumberFormat="1" applyFont="1" applyBorder="1" applyAlignment="1">
      <alignment horizontal="right" vertical="top" wrapText="1"/>
    </xf>
    <xf numFmtId="2" fontId="9" fillId="0" borderId="16" xfId="0" applyNumberFormat="1" applyFont="1" applyBorder="1" applyAlignment="1">
      <alignment horizontal="center" vertical="top" wrapText="1"/>
    </xf>
    <xf numFmtId="164" fontId="9" fillId="0" borderId="5" xfId="0" applyNumberFormat="1" applyFont="1" applyBorder="1" applyAlignment="1">
      <alignment horizontal="right" vertical="top" wrapText="1"/>
    </xf>
    <xf numFmtId="0" fontId="7" fillId="0" borderId="5" xfId="0" applyFont="1" applyBorder="1" applyAlignment="1">
      <alignment horizontal="right" vertical="center"/>
    </xf>
    <xf numFmtId="2" fontId="7" fillId="0" borderId="5" xfId="0" applyNumberFormat="1" applyFont="1" applyBorder="1" applyAlignment="1">
      <alignment horizontal="right" vertical="center"/>
    </xf>
    <xf numFmtId="165" fontId="7" fillId="0" borderId="5" xfId="0" applyNumberFormat="1" applyFont="1" applyBorder="1" applyAlignment="1">
      <alignment horizontal="right" vertical="center"/>
    </xf>
    <xf numFmtId="0" fontId="9" fillId="0" borderId="5" xfId="0" applyFont="1" applyBorder="1" applyAlignment="1">
      <alignment horizontal="right" vertical="top" wrapText="1"/>
    </xf>
    <xf numFmtId="0" fontId="7" fillId="0" borderId="5" xfId="0" applyFont="1" applyBorder="1" applyAlignment="1">
      <alignment vertical="center"/>
    </xf>
    <xf numFmtId="2" fontId="7" fillId="0" borderId="5" xfId="0" applyNumberFormat="1" applyFont="1" applyBorder="1" applyAlignment="1">
      <alignment vertical="center"/>
    </xf>
    <xf numFmtId="165" fontId="7" fillId="0" borderId="5" xfId="0" applyNumberFormat="1" applyFont="1" applyBorder="1" applyAlignment="1">
      <alignment vertical="center"/>
    </xf>
    <xf numFmtId="164" fontId="9" fillId="0" borderId="17" xfId="0" applyNumberFormat="1" applyFont="1" applyBorder="1" applyAlignment="1">
      <alignment horizontal="center" vertical="top" wrapText="1"/>
    </xf>
    <xf numFmtId="165" fontId="9" fillId="0" borderId="5" xfId="0" applyNumberFormat="1" applyFont="1" applyBorder="1" applyAlignment="1">
      <alignment horizontal="center" vertical="top" wrapText="1"/>
    </xf>
    <xf numFmtId="164" fontId="7" fillId="0" borderId="14" xfId="0" applyNumberFormat="1" applyFont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top" wrapText="1"/>
    </xf>
    <xf numFmtId="165" fontId="9" fillId="0" borderId="14" xfId="0" applyNumberFormat="1" applyFont="1" applyBorder="1" applyAlignment="1">
      <alignment horizontal="center" vertical="top" wrapText="1"/>
    </xf>
    <xf numFmtId="166" fontId="7" fillId="0" borderId="14" xfId="0" applyNumberFormat="1" applyFont="1" applyBorder="1" applyAlignment="1">
      <alignment horizontal="center" vertical="center"/>
    </xf>
    <xf numFmtId="167" fontId="11" fillId="7" borderId="14" xfId="0" applyNumberFormat="1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166" fontId="11" fillId="7" borderId="14" xfId="0" applyNumberFormat="1" applyFont="1" applyFill="1" applyBorder="1" applyAlignment="1">
      <alignment horizontal="center" vertical="center"/>
    </xf>
    <xf numFmtId="165" fontId="11" fillId="7" borderId="14" xfId="0" applyNumberFormat="1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11" fillId="7" borderId="14" xfId="0" applyFont="1" applyFill="1" applyBorder="1" applyAlignment="1">
      <alignment vertical="center"/>
    </xf>
    <xf numFmtId="166" fontId="11" fillId="7" borderId="14" xfId="0" applyNumberFormat="1" applyFont="1" applyFill="1" applyBorder="1" applyAlignment="1">
      <alignment horizontal="right" vertical="center"/>
    </xf>
    <xf numFmtId="165" fontId="11" fillId="7" borderId="14" xfId="0" applyNumberFormat="1" applyFont="1" applyFill="1" applyBorder="1" applyAlignment="1">
      <alignment horizontal="right" vertical="center"/>
    </xf>
    <xf numFmtId="0" fontId="0" fillId="7" borderId="14" xfId="0" applyFill="1" applyBorder="1"/>
    <xf numFmtId="0" fontId="1" fillId="7" borderId="14" xfId="0" applyFont="1" applyFill="1" applyBorder="1"/>
    <xf numFmtId="0" fontId="1" fillId="3" borderId="14" xfId="0" applyFont="1" applyFill="1" applyBorder="1"/>
    <xf numFmtId="0" fontId="9" fillId="8" borderId="14" xfId="0" applyFont="1" applyFill="1" applyBorder="1" applyAlignment="1">
      <alignment horizontal="center" vertical="top" wrapText="1"/>
    </xf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left" vertical="top" wrapText="1"/>
    </xf>
    <xf numFmtId="0" fontId="7" fillId="0" borderId="14" xfId="0" applyFont="1" applyBorder="1" applyAlignment="1">
      <alignment vertical="center"/>
    </xf>
    <xf numFmtId="166" fontId="7" fillId="0" borderId="14" xfId="0" applyNumberFormat="1" applyFont="1" applyBorder="1" applyAlignment="1">
      <alignment horizontal="right" vertical="center"/>
    </xf>
    <xf numFmtId="165" fontId="7" fillId="0" borderId="14" xfId="0" applyNumberFormat="1" applyFont="1" applyBorder="1" applyAlignment="1">
      <alignment horizontal="right" vertical="center"/>
    </xf>
    <xf numFmtId="166" fontId="11" fillId="3" borderId="14" xfId="0" applyNumberFormat="1" applyFont="1" applyFill="1" applyBorder="1" applyAlignment="1">
      <alignment horizontal="center" vertical="center"/>
    </xf>
    <xf numFmtId="165" fontId="11" fillId="3" borderId="14" xfId="0" applyNumberFormat="1" applyFont="1" applyFill="1" applyBorder="1" applyAlignment="1">
      <alignment horizontal="center" vertical="center"/>
    </xf>
    <xf numFmtId="0" fontId="0" fillId="3" borderId="14" xfId="0" applyFill="1" applyBorder="1"/>
    <xf numFmtId="165" fontId="11" fillId="7" borderId="14" xfId="0" applyNumberFormat="1" applyFont="1" applyFill="1" applyBorder="1" applyAlignment="1">
      <alignment vertical="center"/>
    </xf>
    <xf numFmtId="165" fontId="0" fillId="6" borderId="0" xfId="0" applyNumberFormat="1" applyFill="1"/>
    <xf numFmtId="165" fontId="11" fillId="0" borderId="0" xfId="0" applyNumberFormat="1" applyFont="1" applyAlignment="1">
      <alignment horizontal="right" vertical="center"/>
    </xf>
    <xf numFmtId="165" fontId="2" fillId="0" borderId="1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right" vertical="top" shrinkToFit="1"/>
    </xf>
    <xf numFmtId="165" fontId="1" fillId="0" borderId="0" xfId="0" applyNumberFormat="1" applyFont="1"/>
    <xf numFmtId="22" fontId="0" fillId="0" borderId="0" xfId="0" applyNumberFormat="1"/>
    <xf numFmtId="0" fontId="12" fillId="0" borderId="1" xfId="0" applyFont="1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14" fontId="0" fillId="0" borderId="22" xfId="0" applyNumberFormat="1" applyBorder="1"/>
    <xf numFmtId="0" fontId="0" fillId="0" borderId="22" xfId="0" applyBorder="1"/>
    <xf numFmtId="22" fontId="0" fillId="0" borderId="22" xfId="0" applyNumberFormat="1" applyBorder="1"/>
    <xf numFmtId="0" fontId="0" fillId="0" borderId="23" xfId="0" applyBorder="1"/>
    <xf numFmtId="14" fontId="0" fillId="0" borderId="1" xfId="0" applyNumberFormat="1" applyBorder="1"/>
    <xf numFmtId="0" fontId="0" fillId="0" borderId="1" xfId="0" applyBorder="1"/>
    <xf numFmtId="22" fontId="0" fillId="0" borderId="1" xfId="0" applyNumberFormat="1" applyBorder="1"/>
    <xf numFmtId="0" fontId="0" fillId="0" borderId="24" xfId="0" applyBorder="1"/>
    <xf numFmtId="14" fontId="0" fillId="0" borderId="25" xfId="0" applyNumberFormat="1" applyBorder="1"/>
    <xf numFmtId="0" fontId="0" fillId="0" borderId="25" xfId="0" applyBorder="1"/>
    <xf numFmtId="22" fontId="0" fillId="0" borderId="25" xfId="0" applyNumberFormat="1" applyBorder="1"/>
    <xf numFmtId="0" fontId="0" fillId="0" borderId="26" xfId="0" applyBorder="1"/>
    <xf numFmtId="0" fontId="0" fillId="6" borderId="24" xfId="0" applyFill="1" applyBorder="1"/>
    <xf numFmtId="14" fontId="0" fillId="6" borderId="25" xfId="0" applyNumberFormat="1" applyFill="1" applyBorder="1"/>
    <xf numFmtId="0" fontId="0" fillId="6" borderId="25" xfId="0" applyFill="1" applyBorder="1"/>
    <xf numFmtId="22" fontId="0" fillId="6" borderId="25" xfId="0" applyNumberFormat="1" applyFill="1" applyBorder="1"/>
    <xf numFmtId="0" fontId="0" fillId="6" borderId="26" xfId="0" applyFill="1" applyBorder="1"/>
    <xf numFmtId="0" fontId="0" fillId="6" borderId="23" xfId="0" applyFill="1" applyBorder="1"/>
    <xf numFmtId="14" fontId="0" fillId="6" borderId="1" xfId="0" applyNumberFormat="1" applyFill="1" applyBorder="1"/>
    <xf numFmtId="0" fontId="0" fillId="6" borderId="1" xfId="0" applyFill="1" applyBorder="1"/>
    <xf numFmtId="22" fontId="0" fillId="6" borderId="1" xfId="0" applyNumberFormat="1" applyFill="1" applyBorder="1"/>
    <xf numFmtId="0" fontId="0" fillId="6" borderId="19" xfId="0" applyFill="1" applyBorder="1"/>
    <xf numFmtId="0" fontId="0" fillId="0" borderId="27" xfId="0" applyBorder="1"/>
    <xf numFmtId="14" fontId="0" fillId="0" borderId="28" xfId="0" applyNumberFormat="1" applyBorder="1"/>
    <xf numFmtId="0" fontId="0" fillId="0" borderId="28" xfId="0" applyBorder="1"/>
    <xf numFmtId="22" fontId="0" fillId="0" borderId="28" xfId="0" applyNumberFormat="1" applyBorder="1"/>
    <xf numFmtId="0" fontId="0" fillId="0" borderId="20" xfId="0" applyBorder="1"/>
    <xf numFmtId="165" fontId="0" fillId="0" borderId="1" xfId="0" applyNumberFormat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4" fillId="0" borderId="14" xfId="0" applyFont="1" applyBorder="1" applyAlignment="1">
      <alignment horizontal="left"/>
    </xf>
    <xf numFmtId="0" fontId="14" fillId="0" borderId="14" xfId="0" applyFont="1" applyBorder="1" applyAlignment="1">
      <alignment horizontal="left" vertical="center"/>
    </xf>
    <xf numFmtId="0" fontId="0" fillId="0" borderId="14" xfId="0" applyBorder="1" applyAlignment="1">
      <alignment horizontal="left"/>
    </xf>
    <xf numFmtId="165" fontId="4" fillId="0" borderId="30" xfId="0" applyNumberFormat="1" applyFont="1" applyBorder="1" applyAlignment="1">
      <alignment horizontal="right" vertical="center"/>
    </xf>
    <xf numFmtId="165" fontId="4" fillId="0" borderId="31" xfId="0" applyNumberFormat="1" applyFont="1" applyBorder="1" applyAlignment="1">
      <alignment horizontal="right" vertical="center"/>
    </xf>
    <xf numFmtId="165" fontId="4" fillId="0" borderId="32" xfId="0" applyNumberFormat="1" applyFont="1" applyBorder="1" applyAlignment="1">
      <alignment horizontal="right" vertical="center"/>
    </xf>
    <xf numFmtId="168" fontId="0" fillId="0" borderId="19" xfId="0" applyNumberFormat="1" applyBorder="1"/>
    <xf numFmtId="0" fontId="15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5" fillId="0" borderId="19" xfId="0" applyFont="1" applyBorder="1"/>
  </cellXfs>
  <cellStyles count="1">
    <cellStyle name="Normal" xfId="0" builtinId="0"/>
  </cellStyles>
  <dxfs count="47">
    <dxf>
      <numFmt numFmtId="0" formatCode="General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7" formatCode="m/d/yyyy\ h:mm"/>
    </dxf>
    <dxf>
      <numFmt numFmtId="19" formatCode="m/d/yyyy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168" formatCode="dd\-mm\-yy;@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65" formatCode="&quot;$&quot;#,##0.00"/>
    </dxf>
    <dxf>
      <alignment horizontal="center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GASTOS-style" pivot="0" count="3" xr9:uid="{00000000-0011-0000-FFFF-FFFF00000000}">
      <tableStyleElement type="headerRow" dxfId="46"/>
      <tableStyleElement type="firstRowStripe" dxfId="45"/>
      <tableStyleElement type="secondRowStripe" dxfId="44"/>
    </tableStyle>
    <tableStyle name="INGRESOS-style" pivot="0" count="3" xr9:uid="{00000000-0011-0000-FFFF-FFFF01000000}">
      <tableStyleElement type="headerRow" dxfId="43"/>
      <tableStyleElement type="firstRowStripe" dxfId="42"/>
      <tableStyleElement type="secondRowStripe" dxfId="41"/>
    </tableStyle>
    <tableStyle name="INGRESO X AREA-style" pivot="0" count="3" xr9:uid="{00000000-0011-0000-FFFF-FFFF02000000}">
      <tableStyleElement type="headerRow" dxfId="40"/>
      <tableStyleElement type="firstRowStripe" dxfId="39"/>
      <tableStyleElement type="secondRowStripe" dxfId="38"/>
    </tableStyle>
    <tableStyle name="LOGISTICA-style" pivot="0" count="3" xr9:uid="{00000000-0011-0000-FFFF-FFFF03000000}">
      <tableStyleElement type="headerRow" dxfId="37"/>
      <tableStyleElement type="firstRowStripe" dxfId="36"/>
      <tableStyleElement type="secondRowStripe" dxfId="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5" xr16:uid="{2A5F3D14-4B1F-4867-B8D4-77DA30249E7A}" autoFormatId="16" applyNumberFormats="0" applyBorderFormats="0" applyFontFormats="0" applyPatternFormats="0" applyAlignmentFormats="0" applyWidthHeightFormats="0">
  <queryTableRefresh nextId="25" unboundColumnsRight="6">
    <queryTableFields count="24">
      <queryTableField id="1" name=" " tableColumnId="1"/>
      <queryTableField id="2" name="FECHA" tableColumnId="2"/>
      <queryTableField id="3" name="TIPO DE OPERACION" tableColumnId="3"/>
      <queryTableField id="4" name="CLIENTE" tableColumnId="4"/>
      <queryTableField id="5" name="TIP.VEHICULO" tableColumnId="5"/>
      <queryTableField id="6" name="ORIGEN" tableColumnId="6"/>
      <queryTableField id="7" name="DESTINO" tableColumnId="7"/>
      <queryTableField id="8" name="ADCICIONALES" tableColumnId="8"/>
      <queryTableField id="9" name="2UNDO ADICIONAL" tableColumnId="9"/>
      <queryTableField id="10" name="DIA DESCARGA" tableColumnId="10"/>
      <queryTableField id="11" name="3ER ADICIONAL" tableColumnId="11"/>
      <queryTableField id="12" name="N# CONTENEDOR" tableColumnId="12"/>
      <queryTableField id="13" name="HORARIO" tableColumnId="13"/>
      <queryTableField id="14" name="CHOFER" tableColumnId="14"/>
      <queryTableField id="15" name="CAMION" tableColumnId="15"/>
      <queryTableField id="16" name="OBVSERVACIONES" tableColumnId="16"/>
      <queryTableField id="17" name="PEAJES" tableColumnId="17"/>
      <queryTableField id="18" name="N# REMITO" tableColumnId="18"/>
      <queryTableField id="19" dataBound="0" tableColumnId="19"/>
      <queryTableField id="20" dataBound="0" tableColumnId="20"/>
      <queryTableField id="21" dataBound="0" tableColumnId="21"/>
      <queryTableField id="23" dataBound="0" tableColumnId="23"/>
      <queryTableField id="24" dataBound="0" tableColumnId="24"/>
      <queryTableField id="22" dataBound="0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B25F7B-FD51-4999-8F7D-C335110F1B43}" autoFormatId="16" applyNumberFormats="0" applyBorderFormats="0" applyFontFormats="0" applyPatternFormats="0" applyAlignmentFormats="0" applyWidthHeightFormats="0">
  <queryTableRefresh nextId="21" unboundColumnsRight="2">
    <queryTableFields count="20">
      <queryTableField id="1" name="REMITO" tableColumnId="1"/>
      <queryTableField id="2" name="DESTINO" tableColumnId="2"/>
      <queryTableField id="3" name="DIRECCION" tableColumnId="3"/>
      <queryTableField id="4" name="LOCALIDAD" tableColumnId="4"/>
      <queryTableField id="5" name="CANT." tableColumnId="5"/>
      <queryTableField id="6" name="M3" tableColumnId="6"/>
      <queryTableField id="7" name="CLIENTE" tableColumnId="7"/>
      <queryTableField id="8" name="OBSERVACIONES" tableColumnId="8"/>
      <queryTableField id="9" name="TRANSPORTE" tableColumnId="9"/>
      <queryTableField id="10" name="DIRECION TTE." tableColumnId="10"/>
      <queryTableField id="11" name="ZONA" tableColumnId="11"/>
      <queryTableField id="12" name="FECHA" tableColumnId="12"/>
      <queryTableField id="13" name="CHOFER" tableColumnId="13"/>
      <queryTableField id="14" name="ESTADO" tableColumnId="14"/>
      <queryTableField id="15" name="LATITUD" tableColumnId="15"/>
      <queryTableField id="16" name="LONGITUD" tableColumnId="16"/>
      <queryTableField id="17" name="FECHA DE CARGA" tableColumnId="17"/>
      <queryTableField id="18" name="DEMORA" tableColumnId="18"/>
      <queryTableField id="19" dataBound="0" tableColumnId="19"/>
      <queryTableField id="20" dataBound="0" tableColumnId="2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3099">
  <autoFilter ref="A1:J3099" xr:uid="{00000000-000C-0000-FFFF-FFFF00000000}"/>
  <tableColumns count="10">
    <tableColumn id="1" xr3:uid="{00000000-0010-0000-0000-000001000000}" name="FECHA"/>
    <tableColumn id="2" xr3:uid="{00000000-0010-0000-0000-000002000000}" name="COMPROBANTE"/>
    <tableColumn id="3" xr3:uid="{00000000-0010-0000-0000-000003000000}" name="CLIENTE_NOMBRE"/>
    <tableColumn id="4" xr3:uid="{00000000-0010-0000-0000-000004000000}" name="CUIT"/>
    <tableColumn id="5" xr3:uid="{00000000-0010-0000-0000-000005000000}" name="NO GRAV"/>
    <tableColumn id="6" xr3:uid="{00000000-0010-0000-0000-000006000000}" name="NETO GRAVADO"/>
    <tableColumn id="7" xr3:uid="{00000000-0010-0000-0000-000007000000}" name="IVA"/>
    <tableColumn id="8" xr3:uid="{00000000-0010-0000-0000-000008000000}" name="TOTAL"/>
    <tableColumn id="9" xr3:uid="{00000000-0010-0000-0000-000009000000}" name="CATEGORIA"/>
    <tableColumn id="10" xr3:uid="{00000000-0010-0000-0000-00000A000000}" name="AREA CORRESPONDIENTE"/>
  </tableColumns>
  <tableStyleInfo name="GAST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16ED40-A4FA-411F-AB2D-4E727A1412CA}" name="Hoja1" displayName="Hoja1" ref="A1:X2001" tableType="queryTable" totalsRowShown="0">
  <autoFilter ref="A1:X2001" xr:uid="{0C16ED40-A4FA-411F-AB2D-4E727A1412CA}">
    <filterColumn colId="1">
      <filters>
        <dateGroupItem year="2024" month="3" dateTimeGrouping="month"/>
      </filters>
    </filterColumn>
    <filterColumn colId="2">
      <filters>
        <filter val="DEV.VACIO"/>
        <filter val="TRASLADO"/>
        <filter val="YAD"/>
      </filters>
    </filterColumn>
  </autoFilter>
  <tableColumns count="24">
    <tableColumn id="1" xr3:uid="{C3872957-02BD-4CA1-BF18-306CB870CA5F}" uniqueName="1" name=" " queryTableFieldId="1"/>
    <tableColumn id="2" xr3:uid="{C089E5C8-968A-407E-80C6-855A34CB07F8}" uniqueName="2" name="FECHA" queryTableFieldId="2" dataDxfId="3"/>
    <tableColumn id="3" xr3:uid="{A9CD6DF2-DB3F-4545-9F7E-21A00B509AE1}" uniqueName="3" name="TIPO DE OPERACION" queryTableFieldId="3" dataDxfId="34"/>
    <tableColumn id="4" xr3:uid="{60076FF0-D405-4CD8-B2A2-B88A6DD43A2E}" uniqueName="4" name="CLIENTE" queryTableFieldId="4" dataDxfId="33"/>
    <tableColumn id="5" xr3:uid="{AC461710-1AF5-46F1-8DF9-BCDBE1549434}" uniqueName="5" name="TIP.VEHICULO" queryTableFieldId="5" dataDxfId="32"/>
    <tableColumn id="6" xr3:uid="{60648BC0-AA4F-4152-A528-FBD2ADF2AF17}" uniqueName="6" name="ORIGEN" queryTableFieldId="6" dataDxfId="31"/>
    <tableColumn id="7" xr3:uid="{CF5897CB-DC09-408D-B92D-F824DF80B4A6}" uniqueName="7" name="DESTINO" queryTableFieldId="7" dataDxfId="30"/>
    <tableColumn id="8" xr3:uid="{5D6236C6-EBEC-4F50-ABD1-903CACA894A4}" uniqueName="8" name="ADCICIONALES" queryTableFieldId="8" dataDxfId="29"/>
    <tableColumn id="9" xr3:uid="{B088FDC7-12C1-4817-8D73-9F88D9D68911}" uniqueName="9" name="2UNDO ADICIONAL" queryTableFieldId="9" dataDxfId="28"/>
    <tableColumn id="10" xr3:uid="{F8EF6B73-77F5-4F0A-BD6F-77FF4BFC1697}" uniqueName="10" name="DIA DESCARGA" queryTableFieldId="10" dataDxfId="2"/>
    <tableColumn id="11" xr3:uid="{4F8C1417-A53A-4105-A654-8EF5268CE19F}" uniqueName="11" name="3ER ADICIONAL" queryTableFieldId="11" dataDxfId="27"/>
    <tableColumn id="12" xr3:uid="{5746D159-BDB7-4FC5-BC52-A723B5B58C38}" uniqueName="12" name="N# CONTENEDOR" queryTableFieldId="12" dataDxfId="26"/>
    <tableColumn id="13" xr3:uid="{8FB21CFC-CA6B-4ADC-828A-C8518013B3FC}" uniqueName="13" name="HORARIO" queryTableFieldId="13" dataDxfId="1"/>
    <tableColumn id="14" xr3:uid="{A6AB6B65-FEDD-47BC-BFC3-42D606ECA8A1}" uniqueName="14" name="CHOFER" queryTableFieldId="14" dataDxfId="25"/>
    <tableColumn id="15" xr3:uid="{92A2CCC3-DFC9-4B7B-B5B6-196DF7E4960F}" uniqueName="15" name="CAMION" queryTableFieldId="15" dataDxfId="24"/>
    <tableColumn id="16" xr3:uid="{3925006B-1C86-4920-86D3-B4A8F0B43EFF}" uniqueName="16" name="OBVSERVACIONES" queryTableFieldId="16" dataDxfId="23"/>
    <tableColumn id="17" xr3:uid="{CFBD1929-B516-42A2-AA90-1E31848F43B2}" uniqueName="17" name="PEAJES" queryTableFieldId="17"/>
    <tableColumn id="18" xr3:uid="{0F21D46E-15A4-498E-B766-DB2BE7E0245C}" uniqueName="18" name="N# REMITO" queryTableFieldId="18"/>
    <tableColumn id="19" xr3:uid="{73DCB851-3025-42BC-8A62-2AB7D786EEDD}" uniqueName="19" name="$ X TIP VEHICUL" queryTableFieldId="19" dataDxfId="22">
      <calculatedColumnFormula>IFERROR(VLOOKUP(E2,'VALORES VIAJES'!$A$2:$B$13,2,FALSE),"")</calculatedColumnFormula>
    </tableColumn>
    <tableColumn id="20" xr3:uid="{98EA2221-A127-4B03-A862-8F0DB56E3589}" uniqueName="20" name="$ ADICIONAL" queryTableFieldId="20" dataDxfId="21">
      <calculatedColumnFormula>IFERROR(VLOOKUP(H2,'VALORES VIAJES'!$A$2:$B$24,2,FALSE),"")</calculatedColumnFormula>
    </tableColumn>
    <tableColumn id="21" xr3:uid="{96E938AC-B269-433D-8BC3-2440E8B9071C}" uniqueName="21" name="$2undo Adicional" queryTableFieldId="21" dataDxfId="20">
      <calculatedColumnFormula>IFERROR(VLOOKUP(I2,'VALORES VIAJES'!$A$2:$B$24,2,FALSE),"")</calculatedColumnFormula>
    </tableColumn>
    <tableColumn id="23" xr3:uid="{ED2F81E2-EC1A-419D-B1BB-0AFEF68AC95A}" uniqueName="23" name="3er Adicional2" queryTableFieldId="23" dataDxfId="19">
      <calculatedColumnFormula>IFERROR(VLOOKUP(K2,'VALORES VIAJES'!$A$2:$B$24,2,FALSE),"")</calculatedColumnFormula>
    </tableColumn>
    <tableColumn id="24" xr3:uid="{331867A9-5349-43B6-975F-9AC0D8CF4B47}" uniqueName="24" name="AGREGADO" queryTableFieldId="24"/>
    <tableColumn id="22" xr3:uid="{16647F46-61E4-4AFF-9092-BECFD2DB5C52}" uniqueName="22" name="TOTAL" queryTableFieldId="22" dataDxfId="0">
      <calculatedColumnFormula>SUM(Hoja1[[#This Row],[$ X TIP VEHICUL]:[AGREGADO]])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I3646" headerRowDxfId="18">
  <autoFilter ref="A1:I3646" xr:uid="{00000000-000C-0000-FFFF-FFFF01000000}">
    <filterColumn colId="0">
      <filters>
        <dateGroupItem year="2024" month="3" dateTimeGrouping="month"/>
      </filters>
    </filterColumn>
    <filterColumn colId="8">
      <filters>
        <filter val="DEPOSITO"/>
      </filters>
    </filterColumn>
  </autoFilter>
  <tableColumns count="9">
    <tableColumn id="1" xr3:uid="{00000000-0010-0000-0100-000001000000}" name="FECHA"/>
    <tableColumn id="2" xr3:uid="{00000000-0010-0000-0100-000002000000}" name="COMPROBANTE"/>
    <tableColumn id="3" xr3:uid="{00000000-0010-0000-0100-000003000000}" name="CLIENTE_NOMBRE"/>
    <tableColumn id="4" xr3:uid="{00000000-0010-0000-0100-000004000000}" name="CUIT"/>
    <tableColumn id="5" xr3:uid="{00000000-0010-0000-0100-000005000000}" name="GASTOS NO GRAV"/>
    <tableColumn id="6" xr3:uid="{00000000-0010-0000-0100-000006000000}" name="GRAVADOS" dataDxfId="17"/>
    <tableColumn id="7" xr3:uid="{00000000-0010-0000-0100-000007000000}" name="IVA"/>
    <tableColumn id="8" xr3:uid="{00000000-0010-0000-0100-000008000000}" name="TOTAL"/>
    <tableColumn id="9" xr3:uid="{00000000-0010-0000-0100-000009000000}" name="AREA"/>
  </tableColumns>
  <tableStyleInfo name="INGRESOS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J243">
  <autoFilter ref="A1:J243" xr:uid="{00000000-000C-0000-FFFF-FFFF02000000}">
    <filterColumn colId="0">
      <filters>
        <dateGroupItem year="2024" month="3" dateTimeGrouping="month"/>
      </filters>
    </filterColumn>
  </autoFilter>
  <tableColumns count="10">
    <tableColumn id="1" xr3:uid="{00000000-0010-0000-0200-000001000000}" name="FECHA"/>
    <tableColumn id="2" xr3:uid="{00000000-0010-0000-0200-000002000000}" name="CLIENTES"/>
    <tableColumn id="3" xr3:uid="{00000000-0010-0000-0200-000003000000}" name="ALMACENAMIENTO"/>
    <tableColumn id="4" xr3:uid="{00000000-0010-0000-0200-000004000000}" name="DESCONSOLIDADO"/>
    <tableColumn id="5" xr3:uid="{00000000-0010-0000-0200-000005000000}" name="PICKING X M3"/>
    <tableColumn id="6" xr3:uid="{00000000-0010-0000-0200-000006000000}" name="DISTRIBUCION"/>
    <tableColumn id="7" xr3:uid="{00000000-0010-0000-0200-000007000000}" name="ESTAMPILLADO"/>
    <tableColumn id="8" xr3:uid="{00000000-0010-0000-0200-000008000000}" name="TOTAL"/>
    <tableColumn id="9" xr3:uid="{00000000-0010-0000-0200-000009000000}" name="IVA"/>
    <tableColumn id="10" xr3:uid="{00000000-0010-0000-0200-00000A000000}" name="TOTAL2"/>
  </tableColumns>
  <tableStyleInfo name="INGRESO X AREA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3C220A-D81C-49F4-9DAA-63EFC7859929}" name="HOJA_DE_RUTA__3" displayName="HOJA_DE_RUTA__3" ref="A1:T508" tableType="queryTable" totalsRowShown="0">
  <autoFilter ref="A1:T508" xr:uid="{8C3C220A-D81C-49F4-9DAA-63EFC7859929}"/>
  <tableColumns count="20">
    <tableColumn id="1" xr3:uid="{DF829C32-18A4-4D50-AFB2-95A1283763F5}" uniqueName="1" name="REMITO" queryTableFieldId="1"/>
    <tableColumn id="2" xr3:uid="{DA89BD58-023F-4DED-9664-8988ECFC4A00}" uniqueName="2" name="DESTINO" queryTableFieldId="2" dataDxfId="16"/>
    <tableColumn id="3" xr3:uid="{57DEFBEF-4E2C-4529-80AC-EA1F4631E93F}" uniqueName="3" name="DIRECCION" queryTableFieldId="3"/>
    <tableColumn id="4" xr3:uid="{EAB5103D-573F-4FFE-BD69-D6008A427A66}" uniqueName="4" name="LOCALIDAD" queryTableFieldId="4"/>
    <tableColumn id="5" xr3:uid="{4FF829F2-89A4-4EF9-8F75-A35739736FE6}" uniqueName="5" name="CANT." queryTableFieldId="5"/>
    <tableColumn id="6" xr3:uid="{6247F45C-41A1-401C-A4A7-6AE87D98C9C8}" uniqueName="6" name="M3" queryTableFieldId="6"/>
    <tableColumn id="7" xr3:uid="{FCCCB7BE-A38B-41AE-AA8C-DD1B51B76CCF}" uniqueName="7" name="CLIENTE" queryTableFieldId="7" dataDxfId="15"/>
    <tableColumn id="8" xr3:uid="{9C5908BE-6A4D-43D6-8088-353CB1814077}" uniqueName="8" name="OBSERVACIONES" queryTableFieldId="8"/>
    <tableColumn id="9" xr3:uid="{3797BAAB-0825-464C-B127-8B4A70C8CA55}" uniqueName="9" name="TRANSPORTE" queryTableFieldId="9"/>
    <tableColumn id="10" xr3:uid="{6DAFCFF4-237A-44D1-84D3-ADD4E1804D41}" uniqueName="10" name="DIRECION TTE." queryTableFieldId="10"/>
    <tableColumn id="11" xr3:uid="{2E155E46-2371-4321-8FA8-01BFB52B719B}" uniqueName="11" name="ZONA" queryTableFieldId="11"/>
    <tableColumn id="12" xr3:uid="{364713A2-11A9-4510-8738-55E6803F3431}" uniqueName="12" name="FECHA" queryTableFieldId="12" dataDxfId="14"/>
    <tableColumn id="13" xr3:uid="{40F6E2CB-BB7D-4FD5-A1FC-B507D04973A7}" uniqueName="13" name="CHOFER" queryTableFieldId="13" dataDxfId="13"/>
    <tableColumn id="14" xr3:uid="{2C9D64C6-8EC7-4BEE-B46C-69B3F994C8B4}" uniqueName="14" name="ESTADO" queryTableFieldId="14" dataDxfId="12"/>
    <tableColumn id="15" xr3:uid="{FB52DBA8-D27B-4B4A-9466-5E0518B75044}" uniqueName="15" name="LATITUD" queryTableFieldId="15"/>
    <tableColumn id="16" xr3:uid="{E5DC7E6C-4D0C-4FBA-A5D5-1152013B5752}" uniqueName="16" name="LONGITUD" queryTableFieldId="16"/>
    <tableColumn id="17" xr3:uid="{95ED9EB3-DF8F-4321-A8BB-F248735B60B3}" uniqueName="17" name="FECHA DE CARGA" queryTableFieldId="17"/>
    <tableColumn id="18" xr3:uid="{7A40B1B6-E655-4560-BD5F-AC99A366A01A}" uniqueName="18" name="DEMORA" queryTableFieldId="18"/>
    <tableColumn id="19" xr3:uid="{8C8AE9F8-04A3-49FA-8D0D-0C361B7A6BA6}" uniqueName="19" name="$XM3" queryTableFieldId="19" dataDxfId="11">
      <calculatedColumnFormula>VLOOKUP(F2,'VALORES DIST'!$A$3:$B$27,2,TRUE)</calculatedColumnFormula>
    </tableColumn>
    <tableColumn id="20" xr3:uid="{B89AAAF1-1707-4BFA-B712-22E6B446A7BC}" uniqueName="20" name="$Xfijo" queryTableFieldId="2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9AC27-AB8D-412D-B8C2-13DC76202DAA}" name="Tabla6" displayName="Tabla6" ref="A1:F178" totalsRowShown="0" dataDxfId="10">
  <autoFilter ref="A1:F178" xr:uid="{4619AC27-AB8D-412D-B8C2-13DC76202DAA}">
    <filterColumn colId="0">
      <filters>
        <dateGroupItem year="2024" month="2" dateTimeGrouping="month"/>
      </filters>
    </filterColumn>
  </autoFilter>
  <tableColumns count="6">
    <tableColumn id="1" xr3:uid="{F07D6764-3438-4979-8924-EC797E3ADE6A}" name="FECHA" dataDxfId="9"/>
    <tableColumn id="2" xr3:uid="{8A6BC556-354D-4955-A284-B800C275D84F}" name="OBVS" dataDxfId="8"/>
    <tableColumn id="3" xr3:uid="{244D7761-6165-4D9A-BD04-C4F1DC9D82EE}" name="TIPO" dataDxfId="7"/>
    <tableColumn id="4" xr3:uid="{8B03F62B-E758-4507-9390-97B5C3359E99}" name="$" dataDxfId="6"/>
    <tableColumn id="5" xr3:uid="{9E627C72-E19B-4900-82B2-B9926B7A3E0E}" name="PEAJES" dataDxfId="5"/>
    <tableColumn id="6" xr3:uid="{B44C3824-0D14-417E-859B-B19F739A8191}" name="CAMION" dataDxfId="4"/>
  </tableColumns>
  <tableStyleInfo name="GASTO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99"/>
  <sheetViews>
    <sheetView workbookViewId="0">
      <pane ySplit="1" topLeftCell="A3066" activePane="bottomLeft" state="frozen"/>
      <selection pane="bottomLeft" activeCell="K3087" sqref="K3087"/>
    </sheetView>
  </sheetViews>
  <sheetFormatPr baseColWidth="10" defaultColWidth="14.42578125" defaultRowHeight="15" customHeight="1" x14ac:dyDescent="0.25"/>
  <cols>
    <col min="1" max="1" width="12.5703125" customWidth="1"/>
    <col min="2" max="2" width="17.140625" customWidth="1"/>
    <col min="3" max="3" width="88.5703125" customWidth="1"/>
    <col min="4" max="4" width="13.42578125" customWidth="1"/>
    <col min="5" max="5" width="11.7109375" style="116" customWidth="1"/>
    <col min="6" max="6" width="15.42578125" style="116" customWidth="1"/>
    <col min="7" max="7" width="12.7109375" customWidth="1"/>
    <col min="8" max="8" width="13.7109375" customWidth="1"/>
    <col min="9" max="9" width="14.7109375" customWidth="1"/>
    <col min="10" max="10" width="25.85546875" customWidth="1"/>
  </cols>
  <sheetData>
    <row r="1" spans="1:10" ht="15.75" customHeight="1" x14ac:dyDescent="0.25">
      <c r="A1" s="1" t="s">
        <v>0</v>
      </c>
      <c r="B1" s="188" t="s">
        <v>1</v>
      </c>
      <c r="C1" s="188" t="s">
        <v>2</v>
      </c>
      <c r="D1" s="188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188" t="s">
        <v>8</v>
      </c>
      <c r="J1" s="188" t="s">
        <v>9</v>
      </c>
    </row>
    <row r="2" spans="1:10" x14ac:dyDescent="0.25">
      <c r="A2" s="1">
        <v>44927</v>
      </c>
      <c r="B2" s="188" t="s">
        <v>10</v>
      </c>
      <c r="C2" s="188" t="s">
        <v>11</v>
      </c>
      <c r="D2" s="188" t="s">
        <v>12</v>
      </c>
      <c r="E2" s="4">
        <v>0</v>
      </c>
      <c r="F2" s="5">
        <v>92302.36</v>
      </c>
      <c r="G2" s="4">
        <v>19383.5</v>
      </c>
      <c r="H2" s="4">
        <v>111685.86</v>
      </c>
      <c r="I2" s="188" t="str">
        <f>VLOOKUP(C2,CATEGORIZACION!$A$1:$C$269,2,FALSE)</f>
        <v>PROOVEDORES</v>
      </c>
      <c r="J2" s="188" t="str">
        <f>VLOOKUP(C2,CATEGORIZACION!$A$1:$C$269,3,FALSE)</f>
        <v>LOGISTICA</v>
      </c>
    </row>
    <row r="3" spans="1:10" x14ac:dyDescent="0.25">
      <c r="A3" s="1">
        <v>44928</v>
      </c>
      <c r="B3" s="188" t="s">
        <v>13</v>
      </c>
      <c r="C3" s="188" t="s">
        <v>14</v>
      </c>
      <c r="D3" s="188" t="s">
        <v>15</v>
      </c>
      <c r="E3" s="4">
        <v>0</v>
      </c>
      <c r="F3" s="3">
        <v>22170</v>
      </c>
      <c r="G3" s="4">
        <v>4655.7</v>
      </c>
      <c r="H3" s="4">
        <v>26825.7</v>
      </c>
      <c r="I3" s="188" t="str">
        <f>VLOOKUP(C3,CATEGORIZACION!$A$1:$C$269,2,FALSE)</f>
        <v>PROOVEDORES</v>
      </c>
      <c r="J3" s="188" t="str">
        <f>VLOOKUP(C3,CATEGORIZACION!$A$1:$C$269,3,FALSE)</f>
        <v>DEPOSITO</v>
      </c>
    </row>
    <row r="4" spans="1:10" x14ac:dyDescent="0.25">
      <c r="A4" s="1">
        <v>44928</v>
      </c>
      <c r="B4" s="188" t="s">
        <v>16</v>
      </c>
      <c r="C4" s="188" t="s">
        <v>17</v>
      </c>
      <c r="D4" s="188" t="s">
        <v>18</v>
      </c>
      <c r="E4" s="4">
        <v>17170</v>
      </c>
      <c r="F4" s="5">
        <v>225450</v>
      </c>
      <c r="G4" s="4">
        <v>47344.5</v>
      </c>
      <c r="H4" s="4">
        <v>289964.5</v>
      </c>
      <c r="I4" s="188" t="str">
        <f>VLOOKUP(C4,CATEGORIZACION!$A$1:$C$269,2,FALSE)</f>
        <v>TRANSPORTE</v>
      </c>
      <c r="J4" s="188" t="s">
        <v>19</v>
      </c>
    </row>
    <row r="5" spans="1:10" x14ac:dyDescent="0.25">
      <c r="A5" s="1">
        <v>44928</v>
      </c>
      <c r="B5" s="188" t="s">
        <v>20</v>
      </c>
      <c r="C5" s="188" t="s">
        <v>21</v>
      </c>
      <c r="D5" s="188" t="s">
        <v>22</v>
      </c>
      <c r="E5" s="4">
        <v>14940</v>
      </c>
      <c r="F5" s="5">
        <v>302200</v>
      </c>
      <c r="G5" s="4">
        <v>63462</v>
      </c>
      <c r="H5" s="4">
        <v>380602</v>
      </c>
      <c r="I5" s="188" t="str">
        <f>VLOOKUP(C5,CATEGORIZACION!$A$1:$C$269,2,FALSE)</f>
        <v>TRANSPORTE</v>
      </c>
      <c r="J5" s="188" t="s">
        <v>19</v>
      </c>
    </row>
    <row r="6" spans="1:10" x14ac:dyDescent="0.25">
      <c r="A6" s="1">
        <v>44928</v>
      </c>
      <c r="B6" s="188" t="s">
        <v>23</v>
      </c>
      <c r="C6" s="188" t="s">
        <v>21</v>
      </c>
      <c r="D6" s="188" t="s">
        <v>22</v>
      </c>
      <c r="E6" s="4">
        <v>9960</v>
      </c>
      <c r="F6" s="5">
        <v>288450</v>
      </c>
      <c r="G6" s="4">
        <v>60574.5</v>
      </c>
      <c r="H6" s="4">
        <v>358984.5</v>
      </c>
      <c r="I6" s="188" t="str">
        <f>VLOOKUP(C6,CATEGORIZACION!$A$1:$C$269,2,FALSE)</f>
        <v>TRANSPORTE</v>
      </c>
      <c r="J6" s="188" t="s">
        <v>19</v>
      </c>
    </row>
    <row r="7" spans="1:10" x14ac:dyDescent="0.25">
      <c r="A7" s="1">
        <v>44928</v>
      </c>
      <c r="B7" s="188" t="s">
        <v>24</v>
      </c>
      <c r="C7" s="188" t="s">
        <v>21</v>
      </c>
      <c r="D7" s="188" t="s">
        <v>22</v>
      </c>
      <c r="E7" s="4">
        <v>8550</v>
      </c>
      <c r="F7" s="5">
        <v>158000</v>
      </c>
      <c r="G7" s="4">
        <v>33180</v>
      </c>
      <c r="H7" s="4">
        <v>199730</v>
      </c>
      <c r="I7" s="188" t="str">
        <f>VLOOKUP(C7,CATEGORIZACION!$A$1:$C$269,2,FALSE)</f>
        <v>TRANSPORTE</v>
      </c>
      <c r="J7" s="188" t="s">
        <v>19</v>
      </c>
    </row>
    <row r="8" spans="1:10" x14ac:dyDescent="0.25">
      <c r="A8" s="1">
        <v>44928</v>
      </c>
      <c r="B8" s="188" t="s">
        <v>25</v>
      </c>
      <c r="C8" s="188" t="s">
        <v>21</v>
      </c>
      <c r="D8" s="188" t="s">
        <v>22</v>
      </c>
      <c r="E8" s="4">
        <v>18160</v>
      </c>
      <c r="F8" s="5">
        <v>463200</v>
      </c>
      <c r="G8" s="4">
        <v>97272</v>
      </c>
      <c r="H8" s="4">
        <v>578632</v>
      </c>
      <c r="I8" s="188" t="str">
        <f>VLOOKUP(C8,CATEGORIZACION!$A$1:$C$269,2,FALSE)</f>
        <v>TRANSPORTE</v>
      </c>
      <c r="J8" s="188" t="s">
        <v>19</v>
      </c>
    </row>
    <row r="9" spans="1:10" x14ac:dyDescent="0.25">
      <c r="A9" s="1">
        <v>44928</v>
      </c>
      <c r="B9" s="188" t="s">
        <v>26</v>
      </c>
      <c r="C9" s="188" t="s">
        <v>21</v>
      </c>
      <c r="D9" s="188" t="s">
        <v>22</v>
      </c>
      <c r="E9" s="4">
        <v>25700</v>
      </c>
      <c r="F9" s="5">
        <v>463200</v>
      </c>
      <c r="G9" s="4">
        <v>97272</v>
      </c>
      <c r="H9" s="4">
        <v>586172</v>
      </c>
      <c r="I9" s="188" t="str">
        <f>VLOOKUP(C9,CATEGORIZACION!$A$1:$C$269,2,FALSE)</f>
        <v>TRANSPORTE</v>
      </c>
      <c r="J9" s="188" t="s">
        <v>19</v>
      </c>
    </row>
    <row r="10" spans="1:10" x14ac:dyDescent="0.25">
      <c r="A10" s="1">
        <v>44928</v>
      </c>
      <c r="B10" s="188" t="s">
        <v>27</v>
      </c>
      <c r="C10" s="188" t="s">
        <v>21</v>
      </c>
      <c r="D10" s="188" t="s">
        <v>22</v>
      </c>
      <c r="E10" s="4">
        <v>17430</v>
      </c>
      <c r="F10" s="5">
        <v>381150</v>
      </c>
      <c r="G10" s="4">
        <v>80041.5</v>
      </c>
      <c r="H10" s="4">
        <v>478621.5</v>
      </c>
      <c r="I10" s="188" t="str">
        <f>VLOOKUP(C10,CATEGORIZACION!$A$1:$C$269,2,FALSE)</f>
        <v>TRANSPORTE</v>
      </c>
      <c r="J10" s="188" t="s">
        <v>19</v>
      </c>
    </row>
    <row r="11" spans="1:10" x14ac:dyDescent="0.25">
      <c r="A11" s="1">
        <v>44928</v>
      </c>
      <c r="B11" s="188" t="s">
        <v>28</v>
      </c>
      <c r="C11" s="188" t="s">
        <v>21</v>
      </c>
      <c r="D11" s="188" t="s">
        <v>22</v>
      </c>
      <c r="E11" s="4">
        <v>16250</v>
      </c>
      <c r="F11" s="5">
        <v>296600</v>
      </c>
      <c r="G11" s="4">
        <v>62286</v>
      </c>
      <c r="H11" s="4">
        <v>375136</v>
      </c>
      <c r="I11" s="188" t="str">
        <f>VLOOKUP(C11,CATEGORIZACION!$A$1:$C$269,2,FALSE)</f>
        <v>TRANSPORTE</v>
      </c>
      <c r="J11" s="188" t="s">
        <v>19</v>
      </c>
    </row>
    <row r="12" spans="1:10" x14ac:dyDescent="0.25">
      <c r="A12" s="1">
        <v>44928</v>
      </c>
      <c r="B12" s="188" t="s">
        <v>29</v>
      </c>
      <c r="C12" s="188" t="s">
        <v>21</v>
      </c>
      <c r="D12" s="188" t="s">
        <v>22</v>
      </c>
      <c r="E12" s="4">
        <v>19920</v>
      </c>
      <c r="F12" s="5">
        <v>423350</v>
      </c>
      <c r="G12" s="4">
        <v>88903.5</v>
      </c>
      <c r="H12" s="4">
        <v>532173.5</v>
      </c>
      <c r="I12" s="188" t="str">
        <f>VLOOKUP(C12,CATEGORIZACION!$A$1:$C$269,2,FALSE)</f>
        <v>TRANSPORTE</v>
      </c>
      <c r="J12" s="188" t="s">
        <v>19</v>
      </c>
    </row>
    <row r="13" spans="1:10" x14ac:dyDescent="0.25">
      <c r="A13" s="1">
        <v>44928</v>
      </c>
      <c r="B13" s="188" t="s">
        <v>30</v>
      </c>
      <c r="C13" s="188" t="s">
        <v>21</v>
      </c>
      <c r="D13" s="188" t="s">
        <v>22</v>
      </c>
      <c r="E13" s="4">
        <v>17940</v>
      </c>
      <c r="F13" s="5">
        <v>394500</v>
      </c>
      <c r="G13" s="4">
        <v>82845</v>
      </c>
      <c r="H13" s="4">
        <v>495285</v>
      </c>
      <c r="I13" s="188" t="str">
        <f>VLOOKUP(C13,CATEGORIZACION!$A$1:$C$269,2,FALSE)</f>
        <v>TRANSPORTE</v>
      </c>
      <c r="J13" s="188" t="s">
        <v>19</v>
      </c>
    </row>
    <row r="14" spans="1:10" x14ac:dyDescent="0.25">
      <c r="A14" s="1">
        <v>44928</v>
      </c>
      <c r="B14" s="188" t="s">
        <v>31</v>
      </c>
      <c r="C14" s="188" t="s">
        <v>21</v>
      </c>
      <c r="D14" s="188" t="s">
        <v>22</v>
      </c>
      <c r="E14" s="4">
        <v>8410</v>
      </c>
      <c r="F14" s="5">
        <v>156900</v>
      </c>
      <c r="G14" s="4">
        <v>32949</v>
      </c>
      <c r="H14" s="4">
        <v>198259</v>
      </c>
      <c r="I14" s="188" t="str">
        <f>VLOOKUP(C14,CATEGORIZACION!$A$1:$C$269,2,FALSE)</f>
        <v>TRANSPORTE</v>
      </c>
      <c r="J14" s="188" t="s">
        <v>19</v>
      </c>
    </row>
    <row r="15" spans="1:10" x14ac:dyDescent="0.25">
      <c r="A15" s="1">
        <v>44929</v>
      </c>
      <c r="B15" s="188" t="s">
        <v>32</v>
      </c>
      <c r="C15" s="188" t="s">
        <v>33</v>
      </c>
      <c r="D15" s="188" t="s">
        <v>34</v>
      </c>
      <c r="E15" s="4">
        <v>0</v>
      </c>
      <c r="F15" s="3">
        <v>67007.64</v>
      </c>
      <c r="G15" s="4">
        <v>14071.6</v>
      </c>
      <c r="H15" s="4">
        <v>81079.240000000005</v>
      </c>
      <c r="I15" s="188" t="str">
        <f>VLOOKUP(C15,CATEGORIZACION!$A$1:$C$269,2,FALSE)</f>
        <v>PROOVEDORES</v>
      </c>
      <c r="J15" s="188" t="str">
        <f>VLOOKUP(C15,CATEGORIZACION!$A$1:$C$269,3,FALSE)</f>
        <v>DEPOSITO</v>
      </c>
    </row>
    <row r="16" spans="1:10" x14ac:dyDescent="0.25">
      <c r="A16" s="1">
        <v>44931</v>
      </c>
      <c r="B16" s="188" t="s">
        <v>35</v>
      </c>
      <c r="C16" s="188" t="s">
        <v>36</v>
      </c>
      <c r="D16" s="188" t="s">
        <v>37</v>
      </c>
      <c r="E16" s="4">
        <v>6500</v>
      </c>
      <c r="F16" s="5">
        <v>118400</v>
      </c>
      <c r="G16" s="4">
        <v>24864</v>
      </c>
      <c r="H16" s="4">
        <v>149764</v>
      </c>
      <c r="I16" s="188" t="str">
        <f>VLOOKUP(C16,CATEGORIZACION!$A$1:$C$269,2,FALSE)</f>
        <v>TRANSPORTE</v>
      </c>
      <c r="J16" s="188" t="s">
        <v>19</v>
      </c>
    </row>
    <row r="17" spans="1:10" x14ac:dyDescent="0.25">
      <c r="A17" s="1">
        <v>44931</v>
      </c>
      <c r="B17" s="188" t="s">
        <v>38</v>
      </c>
      <c r="C17" s="188" t="s">
        <v>36</v>
      </c>
      <c r="D17" s="188" t="s">
        <v>37</v>
      </c>
      <c r="E17" s="4">
        <v>5700</v>
      </c>
      <c r="F17" s="5">
        <v>44165</v>
      </c>
      <c r="G17" s="4">
        <v>9274.65</v>
      </c>
      <c r="H17" s="4">
        <v>59139.65</v>
      </c>
      <c r="I17" s="188" t="str">
        <f>VLOOKUP(C17,CATEGORIZACION!$A$1:$C$269,2,FALSE)</f>
        <v>TRANSPORTE</v>
      </c>
      <c r="J17" s="188" t="s">
        <v>19</v>
      </c>
    </row>
    <row r="18" spans="1:10" x14ac:dyDescent="0.25">
      <c r="A18" s="1">
        <v>44931</v>
      </c>
      <c r="B18" s="188" t="s">
        <v>39</v>
      </c>
      <c r="C18" s="188" t="s">
        <v>36</v>
      </c>
      <c r="D18" s="188" t="s">
        <v>37</v>
      </c>
      <c r="E18" s="4">
        <v>6500</v>
      </c>
      <c r="F18" s="5">
        <v>73350</v>
      </c>
      <c r="G18" s="4">
        <v>15403.5</v>
      </c>
      <c r="H18" s="4">
        <v>95253.5</v>
      </c>
      <c r="I18" s="188" t="str">
        <f>VLOOKUP(C18,CATEGORIZACION!$A$1:$C$269,2,FALSE)</f>
        <v>TRANSPORTE</v>
      </c>
      <c r="J18" s="188" t="s">
        <v>19</v>
      </c>
    </row>
    <row r="19" spans="1:10" x14ac:dyDescent="0.25">
      <c r="A19" s="1">
        <v>44931</v>
      </c>
      <c r="B19" s="188" t="s">
        <v>40</v>
      </c>
      <c r="C19" s="188" t="s">
        <v>36</v>
      </c>
      <c r="D19" s="188" t="s">
        <v>37</v>
      </c>
      <c r="E19" s="4">
        <v>2800</v>
      </c>
      <c r="F19" s="5">
        <v>33250</v>
      </c>
      <c r="G19" s="4">
        <v>6982.5</v>
      </c>
      <c r="H19" s="4">
        <v>43032.5</v>
      </c>
      <c r="I19" s="188" t="str">
        <f>VLOOKUP(C19,CATEGORIZACION!$A$1:$C$269,2,FALSE)</f>
        <v>TRANSPORTE</v>
      </c>
      <c r="J19" s="188" t="s">
        <v>19</v>
      </c>
    </row>
    <row r="20" spans="1:10" x14ac:dyDescent="0.25">
      <c r="A20" s="1">
        <v>44931</v>
      </c>
      <c r="B20" s="188" t="s">
        <v>41</v>
      </c>
      <c r="C20" s="188" t="s">
        <v>36</v>
      </c>
      <c r="D20" s="188" t="s">
        <v>37</v>
      </c>
      <c r="E20" s="4">
        <v>3200</v>
      </c>
      <c r="F20" s="5">
        <v>41550</v>
      </c>
      <c r="G20" s="4">
        <v>8725.5</v>
      </c>
      <c r="H20" s="4">
        <v>53475.5</v>
      </c>
      <c r="I20" s="188" t="str">
        <f>VLOOKUP(C20,CATEGORIZACION!$A$1:$C$269,2,FALSE)</f>
        <v>TRANSPORTE</v>
      </c>
      <c r="J20" s="188" t="s">
        <v>19</v>
      </c>
    </row>
    <row r="21" spans="1:10" ht="15.75" customHeight="1" x14ac:dyDescent="0.25">
      <c r="A21" s="1">
        <v>44931</v>
      </c>
      <c r="B21" s="188" t="s">
        <v>42</v>
      </c>
      <c r="C21" s="188" t="s">
        <v>36</v>
      </c>
      <c r="D21" s="188" t="s">
        <v>37</v>
      </c>
      <c r="E21" s="4">
        <v>2200</v>
      </c>
      <c r="F21" s="5">
        <v>42700</v>
      </c>
      <c r="G21" s="4">
        <v>8967</v>
      </c>
      <c r="H21" s="4">
        <v>53867</v>
      </c>
      <c r="I21" s="188" t="str">
        <f>VLOOKUP(C21,CATEGORIZACION!$A$1:$C$269,2,FALSE)</f>
        <v>TRANSPORTE</v>
      </c>
      <c r="J21" s="188" t="s">
        <v>19</v>
      </c>
    </row>
    <row r="22" spans="1:10" ht="15.75" customHeight="1" x14ac:dyDescent="0.25">
      <c r="A22" s="1">
        <v>44931</v>
      </c>
      <c r="B22" s="188" t="s">
        <v>43</v>
      </c>
      <c r="C22" s="188" t="s">
        <v>36</v>
      </c>
      <c r="D22" s="188" t="s">
        <v>37</v>
      </c>
      <c r="E22" s="4">
        <v>2500</v>
      </c>
      <c r="F22" s="5">
        <v>94000</v>
      </c>
      <c r="G22" s="4">
        <v>19740</v>
      </c>
      <c r="H22" s="4">
        <v>116240</v>
      </c>
      <c r="I22" s="188" t="str">
        <f>VLOOKUP(C22,CATEGORIZACION!$A$1:$C$269,2,FALSE)</f>
        <v>TRANSPORTE</v>
      </c>
      <c r="J22" s="188" t="s">
        <v>19</v>
      </c>
    </row>
    <row r="23" spans="1:10" ht="15.75" customHeight="1" x14ac:dyDescent="0.25">
      <c r="A23" s="1">
        <v>44931</v>
      </c>
      <c r="B23" s="188" t="s">
        <v>44</v>
      </c>
      <c r="C23" s="188" t="s">
        <v>36</v>
      </c>
      <c r="D23" s="188" t="s">
        <v>37</v>
      </c>
      <c r="E23" s="4">
        <v>2500</v>
      </c>
      <c r="F23" s="5">
        <v>94000</v>
      </c>
      <c r="G23" s="4">
        <v>19740</v>
      </c>
      <c r="H23" s="4">
        <v>116240</v>
      </c>
      <c r="I23" s="188" t="str">
        <f>VLOOKUP(C23,CATEGORIZACION!$A$1:$C$269,2,FALSE)</f>
        <v>TRANSPORTE</v>
      </c>
      <c r="J23" s="188" t="s">
        <v>19</v>
      </c>
    </row>
    <row r="24" spans="1:10" ht="15.75" customHeight="1" x14ac:dyDescent="0.25">
      <c r="A24" s="1">
        <v>44932</v>
      </c>
      <c r="B24" s="188" t="s">
        <v>45</v>
      </c>
      <c r="C24" s="188" t="s">
        <v>46</v>
      </c>
      <c r="D24" s="188" t="s">
        <v>47</v>
      </c>
      <c r="E24" s="4">
        <v>0</v>
      </c>
      <c r="F24" s="5">
        <v>219245</v>
      </c>
      <c r="G24" s="4">
        <v>46041.45</v>
      </c>
      <c r="H24" s="4">
        <v>265286.45</v>
      </c>
      <c r="I24" s="188" t="str">
        <f>VLOOKUP(C24,CATEGORIZACION!$A$1:$C$269,2,FALSE)</f>
        <v>TRANSPORTE</v>
      </c>
      <c r="J24" s="188" t="s">
        <v>19</v>
      </c>
    </row>
    <row r="25" spans="1:10" ht="15.75" customHeight="1" x14ac:dyDescent="0.25">
      <c r="A25" s="1">
        <v>44932</v>
      </c>
      <c r="B25" s="188" t="s">
        <v>48</v>
      </c>
      <c r="C25" s="188" t="s">
        <v>49</v>
      </c>
      <c r="D25" s="188" t="s">
        <v>50</v>
      </c>
      <c r="E25" s="4">
        <v>0</v>
      </c>
      <c r="F25" s="3">
        <v>89470</v>
      </c>
      <c r="G25" s="4">
        <v>18788.7</v>
      </c>
      <c r="H25" s="4">
        <v>108258.7</v>
      </c>
      <c r="I25" s="188" t="str">
        <f>VLOOKUP(C25,CATEGORIZACION!$A$1:$C$269,2,FALSE)</f>
        <v>PROOVEDORES</v>
      </c>
      <c r="J25" s="188" t="str">
        <f>VLOOKUP(C25,CATEGORIZACION!$A$1:$C$269,3,FALSE)</f>
        <v>DEPOSITO</v>
      </c>
    </row>
    <row r="26" spans="1:10" ht="15.75" customHeight="1" x14ac:dyDescent="0.25">
      <c r="A26" s="1">
        <v>44932</v>
      </c>
      <c r="B26" s="188" t="s">
        <v>51</v>
      </c>
      <c r="C26" s="188" t="s">
        <v>52</v>
      </c>
      <c r="D26" s="188" t="s">
        <v>53</v>
      </c>
      <c r="E26" s="4">
        <v>0</v>
      </c>
      <c r="F26" s="3">
        <v>15173.52</v>
      </c>
      <c r="G26" s="4">
        <v>3186.44</v>
      </c>
      <c r="H26" s="4">
        <v>18359.96</v>
      </c>
      <c r="I26" s="188" t="str">
        <f>VLOOKUP(C26,CATEGORIZACION!$A$1:$C$269,2,FALSE)</f>
        <v>PROOVEDORES</v>
      </c>
      <c r="J26" s="188" t="str">
        <f>VLOOKUP(C26,CATEGORIZACION!$A$1:$C$269,3,FALSE)</f>
        <v>DEPOSITO</v>
      </c>
    </row>
    <row r="27" spans="1:10" ht="15.75" customHeight="1" x14ac:dyDescent="0.25">
      <c r="A27" s="1">
        <v>44932</v>
      </c>
      <c r="B27" s="188" t="s">
        <v>54</v>
      </c>
      <c r="C27" s="188" t="s">
        <v>21</v>
      </c>
      <c r="D27" s="188" t="s">
        <v>22</v>
      </c>
      <c r="E27" s="4">
        <v>2490</v>
      </c>
      <c r="F27" s="5">
        <v>42200</v>
      </c>
      <c r="G27" s="4">
        <v>8862</v>
      </c>
      <c r="H27" s="4">
        <v>53552</v>
      </c>
      <c r="I27" s="188" t="str">
        <f>VLOOKUP(C27,CATEGORIZACION!$A$1:$C$269,2,FALSE)</f>
        <v>TRANSPORTE</v>
      </c>
      <c r="J27" s="188" t="s">
        <v>19</v>
      </c>
    </row>
    <row r="28" spans="1:10" ht="15.75" customHeight="1" x14ac:dyDescent="0.25">
      <c r="A28" s="1">
        <v>44932</v>
      </c>
      <c r="B28" s="188" t="s">
        <v>55</v>
      </c>
      <c r="C28" s="188" t="s">
        <v>56</v>
      </c>
      <c r="D28" s="188" t="s">
        <v>57</v>
      </c>
      <c r="E28" s="4">
        <v>0</v>
      </c>
      <c r="F28" s="5">
        <v>12314.05</v>
      </c>
      <c r="G28" s="4">
        <v>2585.9499999999998</v>
      </c>
      <c r="H28" s="4">
        <v>14900</v>
      </c>
      <c r="I28" s="188" t="str">
        <f>VLOOKUP(C28,CATEGORIZACION!$A$1:$C$269,2,FALSE)</f>
        <v>PROOVEDORES</v>
      </c>
      <c r="J28" s="188" t="str">
        <f>VLOOKUP(C28,CATEGORIZACION!$A$1:$C$269,3,FALSE)</f>
        <v>LOGISTICA</v>
      </c>
    </row>
    <row r="29" spans="1:10" ht="15.75" customHeight="1" x14ac:dyDescent="0.25">
      <c r="A29" s="1">
        <v>44935</v>
      </c>
      <c r="B29" s="188" t="s">
        <v>58</v>
      </c>
      <c r="C29" s="188" t="s">
        <v>59</v>
      </c>
      <c r="D29" s="188" t="s">
        <v>60</v>
      </c>
      <c r="E29" s="4">
        <v>0</v>
      </c>
      <c r="F29" s="3">
        <v>119145.60000000001</v>
      </c>
      <c r="G29" s="4">
        <v>25020.58</v>
      </c>
      <c r="H29" s="4">
        <v>144166.18</v>
      </c>
      <c r="I29" s="188" t="str">
        <f>VLOOKUP(C29,CATEGORIZACION!$A$1:$C$269,2,FALSE)</f>
        <v>PROOVEDORES</v>
      </c>
      <c r="J29" s="188" t="str">
        <f>VLOOKUP(C29,CATEGORIZACION!$A$1:$C$269,3,FALSE)</f>
        <v>DEPOSITO</v>
      </c>
    </row>
    <row r="30" spans="1:10" ht="15.75" customHeight="1" x14ac:dyDescent="0.25">
      <c r="A30" s="1">
        <v>44935</v>
      </c>
      <c r="B30" s="188" t="s">
        <v>61</v>
      </c>
      <c r="C30" s="188" t="s">
        <v>36</v>
      </c>
      <c r="D30" s="188" t="s">
        <v>37</v>
      </c>
      <c r="E30" s="4">
        <v>5700</v>
      </c>
      <c r="F30" s="5">
        <v>44165</v>
      </c>
      <c r="G30" s="4">
        <v>9274.65</v>
      </c>
      <c r="H30" s="4">
        <v>59139.65</v>
      </c>
      <c r="I30" s="188" t="str">
        <f>VLOOKUP(C30,CATEGORIZACION!$A$1:$C$269,2,FALSE)</f>
        <v>TRANSPORTE</v>
      </c>
      <c r="J30" s="188" t="s">
        <v>19</v>
      </c>
    </row>
    <row r="31" spans="1:10" ht="15.75" customHeight="1" x14ac:dyDescent="0.25">
      <c r="A31" s="1">
        <v>44935</v>
      </c>
      <c r="B31" s="188" t="s">
        <v>62</v>
      </c>
      <c r="C31" s="188" t="s">
        <v>36</v>
      </c>
      <c r="D31" s="188" t="s">
        <v>37</v>
      </c>
      <c r="E31" s="4">
        <v>5700</v>
      </c>
      <c r="F31" s="5">
        <v>44165</v>
      </c>
      <c r="G31" s="4">
        <v>9274.65</v>
      </c>
      <c r="H31" s="4">
        <v>59139.65</v>
      </c>
      <c r="I31" s="188" t="str">
        <f>VLOOKUP(C31,CATEGORIZACION!$A$1:$C$269,2,FALSE)</f>
        <v>TRANSPORTE</v>
      </c>
      <c r="J31" s="188" t="s">
        <v>19</v>
      </c>
    </row>
    <row r="32" spans="1:10" ht="15.75" customHeight="1" x14ac:dyDescent="0.25">
      <c r="A32" s="1">
        <v>44935</v>
      </c>
      <c r="B32" s="188" t="s">
        <v>63</v>
      </c>
      <c r="C32" s="188" t="s">
        <v>36</v>
      </c>
      <c r="D32" s="188" t="s">
        <v>37</v>
      </c>
      <c r="E32" s="4">
        <v>5700</v>
      </c>
      <c r="F32" s="5">
        <v>44165</v>
      </c>
      <c r="G32" s="4">
        <v>9274.65</v>
      </c>
      <c r="H32" s="4">
        <v>59139.65</v>
      </c>
      <c r="I32" s="188" t="str">
        <f>VLOOKUP(C32,CATEGORIZACION!$A$1:$C$269,2,FALSE)</f>
        <v>TRANSPORTE</v>
      </c>
      <c r="J32" s="188" t="s">
        <v>19</v>
      </c>
    </row>
    <row r="33" spans="1:10" ht="15.75" customHeight="1" x14ac:dyDescent="0.25">
      <c r="A33" s="1">
        <v>44935</v>
      </c>
      <c r="B33" s="188" t="s">
        <v>64</v>
      </c>
      <c r="C33" s="188" t="s">
        <v>36</v>
      </c>
      <c r="D33" s="188" t="s">
        <v>37</v>
      </c>
      <c r="E33" s="4">
        <v>6500</v>
      </c>
      <c r="F33" s="5">
        <v>88020</v>
      </c>
      <c r="G33" s="4">
        <v>18484.2</v>
      </c>
      <c r="H33" s="4">
        <v>113004.2</v>
      </c>
      <c r="I33" s="188" t="str">
        <f>VLOOKUP(C33,CATEGORIZACION!$A$1:$C$269,2,FALSE)</f>
        <v>TRANSPORTE</v>
      </c>
      <c r="J33" s="188" t="s">
        <v>19</v>
      </c>
    </row>
    <row r="34" spans="1:10" ht="15.75" customHeight="1" x14ac:dyDescent="0.25">
      <c r="A34" s="1">
        <v>44935</v>
      </c>
      <c r="B34" s="188" t="s">
        <v>65</v>
      </c>
      <c r="C34" s="188" t="s">
        <v>36</v>
      </c>
      <c r="D34" s="188" t="s">
        <v>37</v>
      </c>
      <c r="E34" s="4">
        <v>8500</v>
      </c>
      <c r="F34" s="5">
        <v>94000</v>
      </c>
      <c r="G34" s="4">
        <v>19740</v>
      </c>
      <c r="H34" s="4">
        <v>122240</v>
      </c>
      <c r="I34" s="188" t="str">
        <f>VLOOKUP(C34,CATEGORIZACION!$A$1:$C$269,2,FALSE)</f>
        <v>TRANSPORTE</v>
      </c>
      <c r="J34" s="188" t="s">
        <v>19</v>
      </c>
    </row>
    <row r="35" spans="1:10" ht="15.75" customHeight="1" x14ac:dyDescent="0.25">
      <c r="A35" s="1">
        <v>44935</v>
      </c>
      <c r="B35" s="188" t="s">
        <v>66</v>
      </c>
      <c r="C35" s="188" t="s">
        <v>36</v>
      </c>
      <c r="D35" s="188" t="s">
        <v>37</v>
      </c>
      <c r="E35" s="4">
        <v>1800</v>
      </c>
      <c r="F35" s="5">
        <v>33250</v>
      </c>
      <c r="G35" s="4">
        <v>6982.5</v>
      </c>
      <c r="H35" s="4">
        <v>42032.5</v>
      </c>
      <c r="I35" s="188" t="str">
        <f>VLOOKUP(C35,CATEGORIZACION!$A$1:$C$269,2,FALSE)</f>
        <v>TRANSPORTE</v>
      </c>
      <c r="J35" s="188" t="s">
        <v>19</v>
      </c>
    </row>
    <row r="36" spans="1:10" ht="15.75" customHeight="1" x14ac:dyDescent="0.25">
      <c r="A36" s="1">
        <v>44935</v>
      </c>
      <c r="B36" s="188" t="s">
        <v>67</v>
      </c>
      <c r="C36" s="188" t="s">
        <v>36</v>
      </c>
      <c r="D36" s="188" t="s">
        <v>37</v>
      </c>
      <c r="E36" s="4">
        <v>3500</v>
      </c>
      <c r="F36" s="5">
        <v>55500</v>
      </c>
      <c r="G36" s="4">
        <v>11655</v>
      </c>
      <c r="H36" s="4">
        <v>70655</v>
      </c>
      <c r="I36" s="188" t="str">
        <f>VLOOKUP(C36,CATEGORIZACION!$A$1:$C$269,2,FALSE)</f>
        <v>TRANSPORTE</v>
      </c>
      <c r="J36" s="188" t="s">
        <v>19</v>
      </c>
    </row>
    <row r="37" spans="1:10" ht="15.75" customHeight="1" x14ac:dyDescent="0.25">
      <c r="A37" s="1">
        <v>44935</v>
      </c>
      <c r="B37" s="188" t="s">
        <v>68</v>
      </c>
      <c r="C37" s="188" t="s">
        <v>36</v>
      </c>
      <c r="D37" s="188" t="s">
        <v>37</v>
      </c>
      <c r="E37" s="4">
        <v>2500</v>
      </c>
      <c r="F37" s="5">
        <v>34050</v>
      </c>
      <c r="G37" s="4">
        <v>7150.5</v>
      </c>
      <c r="H37" s="4">
        <v>43700.5</v>
      </c>
      <c r="I37" s="188" t="str">
        <f>VLOOKUP(C37,CATEGORIZACION!$A$1:$C$269,2,FALSE)</f>
        <v>TRANSPORTE</v>
      </c>
      <c r="J37" s="188" t="s">
        <v>19</v>
      </c>
    </row>
    <row r="38" spans="1:10" ht="15.75" customHeight="1" x14ac:dyDescent="0.25">
      <c r="A38" s="1">
        <v>44935</v>
      </c>
      <c r="B38" s="188" t="s">
        <v>69</v>
      </c>
      <c r="C38" s="188" t="s">
        <v>36</v>
      </c>
      <c r="D38" s="188" t="s">
        <v>37</v>
      </c>
      <c r="E38" s="4">
        <v>3800</v>
      </c>
      <c r="F38" s="5">
        <v>32900</v>
      </c>
      <c r="G38" s="4">
        <v>6909</v>
      </c>
      <c r="H38" s="4">
        <v>43609</v>
      </c>
      <c r="I38" s="188" t="str">
        <f>VLOOKUP(C38,CATEGORIZACION!$A$1:$C$269,2,FALSE)</f>
        <v>TRANSPORTE</v>
      </c>
      <c r="J38" s="188" t="s">
        <v>19</v>
      </c>
    </row>
    <row r="39" spans="1:10" ht="15.75" customHeight="1" x14ac:dyDescent="0.25">
      <c r="A39" s="1">
        <v>44935</v>
      </c>
      <c r="B39" s="188" t="s">
        <v>70</v>
      </c>
      <c r="C39" s="188" t="s">
        <v>36</v>
      </c>
      <c r="D39" s="188" t="s">
        <v>37</v>
      </c>
      <c r="E39" s="4">
        <v>3800</v>
      </c>
      <c r="F39" s="5">
        <v>32900</v>
      </c>
      <c r="G39" s="4">
        <v>6909</v>
      </c>
      <c r="H39" s="4">
        <v>43609</v>
      </c>
      <c r="I39" s="188" t="str">
        <f>VLOOKUP(C39,CATEGORIZACION!$A$1:$C$269,2,FALSE)</f>
        <v>TRANSPORTE</v>
      </c>
      <c r="J39" s="188" t="s">
        <v>19</v>
      </c>
    </row>
    <row r="40" spans="1:10" ht="15.75" customHeight="1" x14ac:dyDescent="0.25">
      <c r="A40" s="1">
        <v>44935</v>
      </c>
      <c r="B40" s="188" t="s">
        <v>71</v>
      </c>
      <c r="C40" s="188" t="s">
        <v>36</v>
      </c>
      <c r="D40" s="188" t="s">
        <v>37</v>
      </c>
      <c r="E40" s="4">
        <v>3800</v>
      </c>
      <c r="F40" s="5">
        <v>32900</v>
      </c>
      <c r="G40" s="4">
        <v>6909</v>
      </c>
      <c r="H40" s="4">
        <v>43609</v>
      </c>
      <c r="I40" s="188" t="str">
        <f>VLOOKUP(C40,CATEGORIZACION!$A$1:$C$269,2,FALSE)</f>
        <v>TRANSPORTE</v>
      </c>
      <c r="J40" s="188" t="s">
        <v>19</v>
      </c>
    </row>
    <row r="41" spans="1:10" ht="15.75" customHeight="1" x14ac:dyDescent="0.25">
      <c r="A41" s="1">
        <v>44935</v>
      </c>
      <c r="B41" s="188" t="s">
        <v>72</v>
      </c>
      <c r="C41" s="188" t="s">
        <v>36</v>
      </c>
      <c r="D41" s="188" t="s">
        <v>37</v>
      </c>
      <c r="E41" s="4">
        <v>6600</v>
      </c>
      <c r="F41" s="5">
        <v>102600</v>
      </c>
      <c r="G41" s="4">
        <v>21546</v>
      </c>
      <c r="H41" s="4">
        <v>130746</v>
      </c>
      <c r="I41" s="188" t="str">
        <f>VLOOKUP(C41,CATEGORIZACION!$A$1:$C$269,2,FALSE)</f>
        <v>TRANSPORTE</v>
      </c>
      <c r="J41" s="188" t="s">
        <v>19</v>
      </c>
    </row>
    <row r="42" spans="1:10" ht="15.75" customHeight="1" x14ac:dyDescent="0.25">
      <c r="A42" s="1">
        <v>44935</v>
      </c>
      <c r="B42" s="188" t="s">
        <v>73</v>
      </c>
      <c r="C42" s="188" t="s">
        <v>36</v>
      </c>
      <c r="D42" s="188" t="s">
        <v>37</v>
      </c>
      <c r="E42" s="4">
        <v>6500</v>
      </c>
      <c r="F42" s="5">
        <v>123120</v>
      </c>
      <c r="G42" s="4">
        <v>25855.200000000001</v>
      </c>
      <c r="H42" s="4">
        <v>155475.20000000001</v>
      </c>
      <c r="I42" s="188" t="str">
        <f>VLOOKUP(C42,CATEGORIZACION!$A$1:$C$269,2,FALSE)</f>
        <v>TRANSPORTE</v>
      </c>
      <c r="J42" s="188" t="s">
        <v>19</v>
      </c>
    </row>
    <row r="43" spans="1:10" ht="15.75" customHeight="1" x14ac:dyDescent="0.25">
      <c r="A43" s="1">
        <v>44935</v>
      </c>
      <c r="B43" s="188" t="s">
        <v>74</v>
      </c>
      <c r="C43" s="188" t="s">
        <v>36</v>
      </c>
      <c r="D43" s="188" t="s">
        <v>37</v>
      </c>
      <c r="E43" s="4">
        <v>6500</v>
      </c>
      <c r="F43" s="5">
        <v>123120</v>
      </c>
      <c r="G43" s="4">
        <v>25855.200000000001</v>
      </c>
      <c r="H43" s="4">
        <v>155475.20000000001</v>
      </c>
      <c r="I43" s="188" t="str">
        <f>VLOOKUP(C43,CATEGORIZACION!$A$1:$C$269,2,FALSE)</f>
        <v>TRANSPORTE</v>
      </c>
      <c r="J43" s="188" t="s">
        <v>19</v>
      </c>
    </row>
    <row r="44" spans="1:10" ht="15.75" customHeight="1" x14ac:dyDescent="0.25">
      <c r="A44" s="1">
        <v>44935</v>
      </c>
      <c r="B44" s="188" t="s">
        <v>75</v>
      </c>
      <c r="C44" s="188" t="s">
        <v>36</v>
      </c>
      <c r="D44" s="188" t="s">
        <v>37</v>
      </c>
      <c r="E44" s="4">
        <v>6500</v>
      </c>
      <c r="F44" s="5">
        <v>123120</v>
      </c>
      <c r="G44" s="4">
        <v>25855.200000000001</v>
      </c>
      <c r="H44" s="4">
        <v>155475.20000000001</v>
      </c>
      <c r="I44" s="188" t="str">
        <f>VLOOKUP(C44,CATEGORIZACION!$A$1:$C$269,2,FALSE)</f>
        <v>TRANSPORTE</v>
      </c>
      <c r="J44" s="188" t="s">
        <v>19</v>
      </c>
    </row>
    <row r="45" spans="1:10" ht="15.75" customHeight="1" x14ac:dyDescent="0.25">
      <c r="A45" s="1">
        <v>44935</v>
      </c>
      <c r="B45" s="188" t="s">
        <v>76</v>
      </c>
      <c r="C45" s="188" t="s">
        <v>36</v>
      </c>
      <c r="D45" s="188" t="s">
        <v>37</v>
      </c>
      <c r="E45" s="4">
        <v>3800</v>
      </c>
      <c r="F45" s="5">
        <v>32900</v>
      </c>
      <c r="G45" s="4">
        <v>6909</v>
      </c>
      <c r="H45" s="4">
        <v>43609</v>
      </c>
      <c r="I45" s="188" t="str">
        <f>VLOOKUP(C45,CATEGORIZACION!$A$1:$C$269,2,FALSE)</f>
        <v>TRANSPORTE</v>
      </c>
      <c r="J45" s="188" t="s">
        <v>19</v>
      </c>
    </row>
    <row r="46" spans="1:10" ht="15.75" customHeight="1" x14ac:dyDescent="0.25">
      <c r="A46" s="1">
        <v>44935</v>
      </c>
      <c r="B46" s="188" t="s">
        <v>77</v>
      </c>
      <c r="C46" s="188" t="s">
        <v>36</v>
      </c>
      <c r="D46" s="188" t="s">
        <v>37</v>
      </c>
      <c r="E46" s="4">
        <v>2500</v>
      </c>
      <c r="F46" s="5">
        <v>42000</v>
      </c>
      <c r="G46" s="4">
        <v>8820</v>
      </c>
      <c r="H46" s="4">
        <v>53320</v>
      </c>
      <c r="I46" s="188" t="str">
        <f>VLOOKUP(C46,CATEGORIZACION!$A$1:$C$269,2,FALSE)</f>
        <v>TRANSPORTE</v>
      </c>
      <c r="J46" s="188" t="s">
        <v>19</v>
      </c>
    </row>
    <row r="47" spans="1:10" ht="15.75" customHeight="1" x14ac:dyDescent="0.25">
      <c r="A47" s="1">
        <v>44935</v>
      </c>
      <c r="B47" s="188" t="s">
        <v>78</v>
      </c>
      <c r="C47" s="188" t="s">
        <v>36</v>
      </c>
      <c r="D47" s="188" t="s">
        <v>37</v>
      </c>
      <c r="E47" s="4">
        <v>5700</v>
      </c>
      <c r="F47" s="5">
        <v>40150</v>
      </c>
      <c r="G47" s="4">
        <v>8431.5</v>
      </c>
      <c r="H47" s="4">
        <v>54281.5</v>
      </c>
      <c r="I47" s="188" t="str">
        <f>VLOOKUP(C47,CATEGORIZACION!$A$1:$C$269,2,FALSE)</f>
        <v>TRANSPORTE</v>
      </c>
      <c r="J47" s="188" t="s">
        <v>19</v>
      </c>
    </row>
    <row r="48" spans="1:10" ht="15.75" customHeight="1" x14ac:dyDescent="0.25">
      <c r="A48" s="1">
        <v>44935</v>
      </c>
      <c r="B48" s="188" t="s">
        <v>79</v>
      </c>
      <c r="C48" s="188" t="s">
        <v>80</v>
      </c>
      <c r="D48" s="188" t="s">
        <v>81</v>
      </c>
      <c r="E48" s="4">
        <v>1848</v>
      </c>
      <c r="F48" s="5">
        <v>19547.11</v>
      </c>
      <c r="G48" s="4">
        <v>4104.8900000000003</v>
      </c>
      <c r="H48" s="4">
        <v>25500</v>
      </c>
      <c r="I48" s="188" t="str">
        <f>VLOOKUP(C48,CATEGORIZACION!$A$1:$C$269,2,FALSE)</f>
        <v>PROOVEDORES</v>
      </c>
      <c r="J48" s="188" t="str">
        <f>VLOOKUP(C48,CATEGORIZACION!$A$1:$C$269,3,FALSE)</f>
        <v>LOGISTICA</v>
      </c>
    </row>
    <row r="49" spans="1:10" ht="15.75" customHeight="1" x14ac:dyDescent="0.25">
      <c r="A49" s="1">
        <v>44937</v>
      </c>
      <c r="B49" s="188" t="s">
        <v>82</v>
      </c>
      <c r="C49" s="188" t="s">
        <v>52</v>
      </c>
      <c r="D49" s="188" t="s">
        <v>53</v>
      </c>
      <c r="E49" s="4">
        <v>0</v>
      </c>
      <c r="F49" s="3">
        <v>22760.28</v>
      </c>
      <c r="G49" s="4">
        <v>4779.66</v>
      </c>
      <c r="H49" s="4">
        <v>27539.94</v>
      </c>
      <c r="I49" s="188" t="str">
        <f>VLOOKUP(C49,CATEGORIZACION!$A$1:$C$269,2,FALSE)</f>
        <v>PROOVEDORES</v>
      </c>
      <c r="J49" s="188" t="str">
        <f>VLOOKUP(C49,CATEGORIZACION!$A$1:$C$269,3,FALSE)</f>
        <v>DEPOSITO</v>
      </c>
    </row>
    <row r="50" spans="1:10" ht="15.75" customHeight="1" x14ac:dyDescent="0.25">
      <c r="A50" s="1">
        <v>44939</v>
      </c>
      <c r="B50" s="188" t="s">
        <v>83</v>
      </c>
      <c r="C50" s="188" t="s">
        <v>84</v>
      </c>
      <c r="D50" s="188" t="s">
        <v>85</v>
      </c>
      <c r="E50" s="4">
        <v>31202.58</v>
      </c>
      <c r="F50" s="5">
        <v>281965.64</v>
      </c>
      <c r="G50" s="4">
        <v>59212.78</v>
      </c>
      <c r="H50" s="4">
        <v>372381</v>
      </c>
      <c r="I50" s="188" t="str">
        <f>VLOOKUP(C50,CATEGORIZACION!$A$1:$C$269,2,FALSE)</f>
        <v>PROOVEDORES</v>
      </c>
      <c r="J50" s="188" t="str">
        <f>VLOOKUP(C50,CATEGORIZACION!$A$1:$C$269,3,FALSE)</f>
        <v>LOGISTICA</v>
      </c>
    </row>
    <row r="51" spans="1:10" ht="15.75" customHeight="1" x14ac:dyDescent="0.25">
      <c r="A51" s="1">
        <v>44939</v>
      </c>
      <c r="B51" s="188" t="s">
        <v>86</v>
      </c>
      <c r="C51" s="188" t="s">
        <v>87</v>
      </c>
      <c r="D51" s="188" t="s">
        <v>88</v>
      </c>
      <c r="E51" s="4">
        <v>0</v>
      </c>
      <c r="F51" s="5">
        <v>17299</v>
      </c>
      <c r="G51" s="4">
        <v>3632.79</v>
      </c>
      <c r="H51" s="4">
        <v>20931.79</v>
      </c>
      <c r="I51" s="188" t="str">
        <f>VLOOKUP(C51,CATEGORIZACION!$A$1:$C$269,2,FALSE)</f>
        <v>PROOVEDORES</v>
      </c>
      <c r="J51" s="188" t="str">
        <f>VLOOKUP(C51,CATEGORIZACION!$A$1:$C$269,3,FALSE)</f>
        <v>LOGISTICA</v>
      </c>
    </row>
    <row r="52" spans="1:10" ht="15.75" customHeight="1" x14ac:dyDescent="0.25">
      <c r="A52" s="1">
        <v>44939</v>
      </c>
      <c r="B52" s="188" t="s">
        <v>89</v>
      </c>
      <c r="C52" s="188" t="s">
        <v>36</v>
      </c>
      <c r="D52" s="188" t="s">
        <v>37</v>
      </c>
      <c r="E52" s="4">
        <v>6500</v>
      </c>
      <c r="F52" s="5">
        <v>88020</v>
      </c>
      <c r="G52" s="4">
        <v>18484.2</v>
      </c>
      <c r="H52" s="4">
        <v>113004.2</v>
      </c>
      <c r="I52" s="188" t="str">
        <f>VLOOKUP(C52,CATEGORIZACION!$A$1:$C$269,2,FALSE)</f>
        <v>TRANSPORTE</v>
      </c>
      <c r="J52" s="188" t="s">
        <v>19</v>
      </c>
    </row>
    <row r="53" spans="1:10" ht="15.75" customHeight="1" x14ac:dyDescent="0.25">
      <c r="A53" s="1">
        <v>44939</v>
      </c>
      <c r="B53" s="188" t="s">
        <v>90</v>
      </c>
      <c r="C53" s="188" t="s">
        <v>36</v>
      </c>
      <c r="D53" s="188" t="s">
        <v>37</v>
      </c>
      <c r="E53" s="4">
        <v>10500</v>
      </c>
      <c r="F53" s="5">
        <v>120100</v>
      </c>
      <c r="G53" s="4">
        <v>25221</v>
      </c>
      <c r="H53" s="4">
        <v>155821</v>
      </c>
      <c r="I53" s="188" t="str">
        <f>VLOOKUP(C53,CATEGORIZACION!$A$1:$C$269,2,FALSE)</f>
        <v>TRANSPORTE</v>
      </c>
      <c r="J53" s="188" t="s">
        <v>19</v>
      </c>
    </row>
    <row r="54" spans="1:10" ht="15.75" customHeight="1" x14ac:dyDescent="0.25">
      <c r="A54" s="1">
        <v>44939</v>
      </c>
      <c r="B54" s="188" t="s">
        <v>91</v>
      </c>
      <c r="C54" s="188" t="s">
        <v>36</v>
      </c>
      <c r="D54" s="188" t="s">
        <v>37</v>
      </c>
      <c r="E54" s="4">
        <v>10500</v>
      </c>
      <c r="F54" s="5">
        <v>120100</v>
      </c>
      <c r="G54" s="4">
        <v>25221</v>
      </c>
      <c r="H54" s="4">
        <v>155821</v>
      </c>
      <c r="I54" s="188" t="str">
        <f>VLOOKUP(C54,CATEGORIZACION!$A$1:$C$269,2,FALSE)</f>
        <v>TRANSPORTE</v>
      </c>
      <c r="J54" s="188" t="s">
        <v>19</v>
      </c>
    </row>
    <row r="55" spans="1:10" ht="15.75" customHeight="1" x14ac:dyDescent="0.25">
      <c r="A55" s="1">
        <v>44939</v>
      </c>
      <c r="B55" s="188" t="s">
        <v>92</v>
      </c>
      <c r="C55" s="188" t="s">
        <v>36</v>
      </c>
      <c r="D55" s="188" t="s">
        <v>37</v>
      </c>
      <c r="E55" s="4">
        <v>10500</v>
      </c>
      <c r="F55" s="5">
        <v>120100</v>
      </c>
      <c r="G55" s="4">
        <v>25221</v>
      </c>
      <c r="H55" s="4">
        <v>155821</v>
      </c>
      <c r="I55" s="188" t="str">
        <f>VLOOKUP(C55,CATEGORIZACION!$A$1:$C$269,2,FALSE)</f>
        <v>TRANSPORTE</v>
      </c>
      <c r="J55" s="188" t="s">
        <v>19</v>
      </c>
    </row>
    <row r="56" spans="1:10" ht="15.75" customHeight="1" x14ac:dyDescent="0.25">
      <c r="A56" s="1">
        <v>44939</v>
      </c>
      <c r="B56" s="188" t="s">
        <v>93</v>
      </c>
      <c r="C56" s="188" t="s">
        <v>36</v>
      </c>
      <c r="D56" s="188" t="s">
        <v>37</v>
      </c>
      <c r="E56" s="4">
        <v>13500</v>
      </c>
      <c r="F56" s="5">
        <v>154975</v>
      </c>
      <c r="G56" s="4">
        <v>32544.75</v>
      </c>
      <c r="H56" s="4">
        <v>201019.75</v>
      </c>
      <c r="I56" s="188" t="str">
        <f>VLOOKUP(C56,CATEGORIZACION!$A$1:$C$269,2,FALSE)</f>
        <v>TRANSPORTE</v>
      </c>
      <c r="J56" s="188" t="s">
        <v>19</v>
      </c>
    </row>
    <row r="57" spans="1:10" ht="15.75" customHeight="1" x14ac:dyDescent="0.25">
      <c r="A57" s="1">
        <v>44939</v>
      </c>
      <c r="B57" s="188" t="s">
        <v>94</v>
      </c>
      <c r="C57" s="188" t="s">
        <v>36</v>
      </c>
      <c r="D57" s="188" t="s">
        <v>37</v>
      </c>
      <c r="E57" s="4">
        <v>15500</v>
      </c>
      <c r="F57" s="5">
        <v>171400</v>
      </c>
      <c r="G57" s="4">
        <v>35994</v>
      </c>
      <c r="H57" s="4">
        <v>222894</v>
      </c>
      <c r="I57" s="188" t="str">
        <f>VLOOKUP(C57,CATEGORIZACION!$A$1:$C$269,2,FALSE)</f>
        <v>TRANSPORTE</v>
      </c>
      <c r="J57" s="188" t="s">
        <v>19</v>
      </c>
    </row>
    <row r="58" spans="1:10" ht="15.75" customHeight="1" x14ac:dyDescent="0.25">
      <c r="A58" s="1">
        <v>44939</v>
      </c>
      <c r="B58" s="188" t="s">
        <v>95</v>
      </c>
      <c r="C58" s="188" t="s">
        <v>36</v>
      </c>
      <c r="D58" s="188" t="s">
        <v>37</v>
      </c>
      <c r="E58" s="4">
        <v>15500</v>
      </c>
      <c r="F58" s="5">
        <v>171400</v>
      </c>
      <c r="G58" s="4">
        <v>35994</v>
      </c>
      <c r="H58" s="4">
        <v>222894</v>
      </c>
      <c r="I58" s="188" t="str">
        <f>VLOOKUP(C58,CATEGORIZACION!$A$1:$C$269,2,FALSE)</f>
        <v>TRANSPORTE</v>
      </c>
      <c r="J58" s="188" t="s">
        <v>19</v>
      </c>
    </row>
    <row r="59" spans="1:10" ht="15.75" customHeight="1" x14ac:dyDescent="0.25">
      <c r="A59" s="1">
        <v>44939</v>
      </c>
      <c r="B59" s="188" t="s">
        <v>96</v>
      </c>
      <c r="C59" s="188" t="s">
        <v>36</v>
      </c>
      <c r="D59" s="188" t="s">
        <v>37</v>
      </c>
      <c r="E59" s="4">
        <v>15500</v>
      </c>
      <c r="F59" s="5">
        <v>171400</v>
      </c>
      <c r="G59" s="4">
        <v>35994</v>
      </c>
      <c r="H59" s="4">
        <v>222894</v>
      </c>
      <c r="I59" s="188" t="str">
        <f>VLOOKUP(C59,CATEGORIZACION!$A$1:$C$269,2,FALSE)</f>
        <v>TRANSPORTE</v>
      </c>
      <c r="J59" s="188" t="s">
        <v>19</v>
      </c>
    </row>
    <row r="60" spans="1:10" ht="15.75" customHeight="1" x14ac:dyDescent="0.25">
      <c r="A60" s="1">
        <v>44939</v>
      </c>
      <c r="B60" s="188" t="s">
        <v>97</v>
      </c>
      <c r="C60" s="188" t="s">
        <v>36</v>
      </c>
      <c r="D60" s="188" t="s">
        <v>37</v>
      </c>
      <c r="E60" s="4">
        <v>5700</v>
      </c>
      <c r="F60" s="5">
        <v>40150</v>
      </c>
      <c r="G60" s="4">
        <v>8431.5</v>
      </c>
      <c r="H60" s="4">
        <v>54281.5</v>
      </c>
      <c r="I60" s="188" t="str">
        <f>VLOOKUP(C60,CATEGORIZACION!$A$1:$C$269,2,FALSE)</f>
        <v>TRANSPORTE</v>
      </c>
      <c r="J60" s="188" t="s">
        <v>19</v>
      </c>
    </row>
    <row r="61" spans="1:10" ht="15.75" customHeight="1" x14ac:dyDescent="0.25">
      <c r="A61" s="1">
        <v>44939</v>
      </c>
      <c r="B61" s="188" t="s">
        <v>98</v>
      </c>
      <c r="C61" s="188" t="s">
        <v>36</v>
      </c>
      <c r="D61" s="188" t="s">
        <v>37</v>
      </c>
      <c r="E61" s="4">
        <v>6500</v>
      </c>
      <c r="F61" s="5">
        <v>51300</v>
      </c>
      <c r="G61" s="4">
        <v>10773</v>
      </c>
      <c r="H61" s="4">
        <v>68573</v>
      </c>
      <c r="I61" s="188" t="str">
        <f>VLOOKUP(C61,CATEGORIZACION!$A$1:$C$269,2,FALSE)</f>
        <v>TRANSPORTE</v>
      </c>
      <c r="J61" s="188" t="s">
        <v>19</v>
      </c>
    </row>
    <row r="62" spans="1:10" ht="15.75" customHeight="1" x14ac:dyDescent="0.25">
      <c r="A62" s="1">
        <v>44940</v>
      </c>
      <c r="B62" s="188" t="s">
        <v>99</v>
      </c>
      <c r="C62" s="188" t="s">
        <v>21</v>
      </c>
      <c r="D62" s="188" t="s">
        <v>22</v>
      </c>
      <c r="E62" s="4">
        <v>14250</v>
      </c>
      <c r="F62" s="5">
        <v>444700</v>
      </c>
      <c r="G62" s="4">
        <v>93387</v>
      </c>
      <c r="H62" s="4">
        <v>552337</v>
      </c>
      <c r="I62" s="188" t="str">
        <f>VLOOKUP(C62,CATEGORIZACION!$A$1:$C$269,2,FALSE)</f>
        <v>TRANSPORTE</v>
      </c>
      <c r="J62" s="188" t="s">
        <v>19</v>
      </c>
    </row>
    <row r="63" spans="1:10" ht="15.75" customHeight="1" x14ac:dyDescent="0.25">
      <c r="A63" s="1">
        <v>44942</v>
      </c>
      <c r="B63" s="188" t="s">
        <v>100</v>
      </c>
      <c r="C63" s="188" t="s">
        <v>101</v>
      </c>
      <c r="D63" s="188" t="s">
        <v>102</v>
      </c>
      <c r="E63" s="4">
        <v>5976</v>
      </c>
      <c r="F63" s="3">
        <v>747000</v>
      </c>
      <c r="G63" s="4">
        <v>156870</v>
      </c>
      <c r="H63" s="4">
        <v>909846</v>
      </c>
      <c r="I63" s="188" t="str">
        <f>VLOOKUP(C63,CATEGORIZACION!$A$1:$C$269,2,FALSE)</f>
        <v>ALQUILER</v>
      </c>
      <c r="J63" s="188" t="s">
        <v>103</v>
      </c>
    </row>
    <row r="64" spans="1:10" ht="15.75" customHeight="1" x14ac:dyDescent="0.25">
      <c r="A64" s="1">
        <v>44942</v>
      </c>
      <c r="B64" s="188" t="s">
        <v>104</v>
      </c>
      <c r="C64" s="188" t="s">
        <v>17</v>
      </c>
      <c r="D64" s="188" t="s">
        <v>18</v>
      </c>
      <c r="E64" s="4">
        <v>8910</v>
      </c>
      <c r="F64" s="5">
        <v>190250</v>
      </c>
      <c r="G64" s="4">
        <v>39952.5</v>
      </c>
      <c r="H64" s="4">
        <v>239112.5</v>
      </c>
      <c r="I64" s="188" t="str">
        <f>VLOOKUP(C64,CATEGORIZACION!$A$1:$C$269,2,FALSE)</f>
        <v>TRANSPORTE</v>
      </c>
      <c r="J64" s="188" t="s">
        <v>19</v>
      </c>
    </row>
    <row r="65" spans="1:10" ht="15.75" customHeight="1" x14ac:dyDescent="0.25">
      <c r="A65" s="1">
        <v>44942</v>
      </c>
      <c r="B65" s="188" t="s">
        <v>105</v>
      </c>
      <c r="C65" s="188" t="s">
        <v>17</v>
      </c>
      <c r="D65" s="188" t="s">
        <v>18</v>
      </c>
      <c r="E65" s="4">
        <v>25350</v>
      </c>
      <c r="F65" s="5">
        <v>483000</v>
      </c>
      <c r="G65" s="4">
        <v>101430</v>
      </c>
      <c r="H65" s="4">
        <v>609780</v>
      </c>
      <c r="I65" s="188" t="str">
        <f>VLOOKUP(C65,CATEGORIZACION!$A$1:$C$269,2,FALSE)</f>
        <v>TRANSPORTE</v>
      </c>
      <c r="J65" s="188" t="s">
        <v>19</v>
      </c>
    </row>
    <row r="66" spans="1:10" ht="15.75" customHeight="1" x14ac:dyDescent="0.25">
      <c r="A66" s="1">
        <v>44942</v>
      </c>
      <c r="B66" s="188" t="s">
        <v>106</v>
      </c>
      <c r="C66" s="188" t="s">
        <v>17</v>
      </c>
      <c r="D66" s="188" t="s">
        <v>18</v>
      </c>
      <c r="E66" s="4">
        <v>36450</v>
      </c>
      <c r="F66" s="5">
        <v>462000</v>
      </c>
      <c r="G66" s="4">
        <v>97020</v>
      </c>
      <c r="H66" s="4">
        <v>595470</v>
      </c>
      <c r="I66" s="188" t="str">
        <f>VLOOKUP(C66,CATEGORIZACION!$A$1:$C$269,2,FALSE)</f>
        <v>TRANSPORTE</v>
      </c>
      <c r="J66" s="188" t="s">
        <v>19</v>
      </c>
    </row>
    <row r="67" spans="1:10" ht="15.75" customHeight="1" x14ac:dyDescent="0.25">
      <c r="A67" s="1">
        <v>44942</v>
      </c>
      <c r="B67" s="188" t="s">
        <v>107</v>
      </c>
      <c r="C67" s="188" t="s">
        <v>36</v>
      </c>
      <c r="D67" s="188" t="s">
        <v>37</v>
      </c>
      <c r="E67" s="4">
        <v>0</v>
      </c>
      <c r="F67" s="5">
        <v>35000</v>
      </c>
      <c r="G67" s="4">
        <v>7350</v>
      </c>
      <c r="H67" s="4">
        <v>42350</v>
      </c>
      <c r="I67" s="188" t="str">
        <f>VLOOKUP(C67,CATEGORIZACION!$A$1:$C$269,2,FALSE)</f>
        <v>TRANSPORTE</v>
      </c>
      <c r="J67" s="188" t="s">
        <v>19</v>
      </c>
    </row>
    <row r="68" spans="1:10" ht="15.75" customHeight="1" x14ac:dyDescent="0.25">
      <c r="A68" s="1">
        <v>44942</v>
      </c>
      <c r="B68" s="188" t="s">
        <v>108</v>
      </c>
      <c r="C68" s="188" t="s">
        <v>36</v>
      </c>
      <c r="D68" s="188" t="s">
        <v>37</v>
      </c>
      <c r="E68" s="4">
        <v>3800</v>
      </c>
      <c r="F68" s="5">
        <v>32900</v>
      </c>
      <c r="G68" s="4">
        <v>6909</v>
      </c>
      <c r="H68" s="4">
        <v>43609</v>
      </c>
      <c r="I68" s="188" t="str">
        <f>VLOOKUP(C68,CATEGORIZACION!$A$1:$C$269,2,FALSE)</f>
        <v>TRANSPORTE</v>
      </c>
      <c r="J68" s="188" t="s">
        <v>19</v>
      </c>
    </row>
    <row r="69" spans="1:10" ht="15.75" customHeight="1" x14ac:dyDescent="0.25">
      <c r="A69" s="1">
        <v>44942</v>
      </c>
      <c r="B69" s="188" t="s">
        <v>109</v>
      </c>
      <c r="C69" s="188" t="s">
        <v>36</v>
      </c>
      <c r="D69" s="188" t="s">
        <v>37</v>
      </c>
      <c r="E69" s="4">
        <v>3800</v>
      </c>
      <c r="F69" s="5">
        <v>32900</v>
      </c>
      <c r="G69" s="4">
        <v>6909</v>
      </c>
      <c r="H69" s="4">
        <v>43609</v>
      </c>
      <c r="I69" s="188" t="str">
        <f>VLOOKUP(C69,CATEGORIZACION!$A$1:$C$269,2,FALSE)</f>
        <v>TRANSPORTE</v>
      </c>
      <c r="J69" s="188" t="s">
        <v>19</v>
      </c>
    </row>
    <row r="70" spans="1:10" ht="15.75" customHeight="1" x14ac:dyDescent="0.25">
      <c r="A70" s="1">
        <v>44942</v>
      </c>
      <c r="B70" s="188" t="s">
        <v>110</v>
      </c>
      <c r="C70" s="188" t="s">
        <v>36</v>
      </c>
      <c r="D70" s="188" t="s">
        <v>37</v>
      </c>
      <c r="E70" s="4">
        <v>3800</v>
      </c>
      <c r="F70" s="5">
        <v>32900</v>
      </c>
      <c r="G70" s="4">
        <v>6909</v>
      </c>
      <c r="H70" s="4">
        <v>43609</v>
      </c>
      <c r="I70" s="188" t="str">
        <f>VLOOKUP(C70,CATEGORIZACION!$A$1:$C$269,2,FALSE)</f>
        <v>TRANSPORTE</v>
      </c>
      <c r="J70" s="188" t="s">
        <v>19</v>
      </c>
    </row>
    <row r="71" spans="1:10" ht="15.75" customHeight="1" x14ac:dyDescent="0.25">
      <c r="A71" s="1">
        <v>44942</v>
      </c>
      <c r="B71" s="188" t="s">
        <v>111</v>
      </c>
      <c r="C71" s="188" t="s">
        <v>36</v>
      </c>
      <c r="D71" s="188" t="s">
        <v>37</v>
      </c>
      <c r="E71" s="4">
        <v>4250</v>
      </c>
      <c r="F71" s="5">
        <v>112800</v>
      </c>
      <c r="G71" s="4">
        <v>23688</v>
      </c>
      <c r="H71" s="4">
        <v>140738</v>
      </c>
      <c r="I71" s="188" t="str">
        <f>VLOOKUP(C71,CATEGORIZACION!$A$1:$C$269,2,FALSE)</f>
        <v>TRANSPORTE</v>
      </c>
      <c r="J71" s="188" t="s">
        <v>19</v>
      </c>
    </row>
    <row r="72" spans="1:10" ht="15.75" customHeight="1" x14ac:dyDescent="0.25">
      <c r="A72" s="1">
        <v>44942</v>
      </c>
      <c r="B72" s="188" t="s">
        <v>112</v>
      </c>
      <c r="C72" s="188" t="s">
        <v>36</v>
      </c>
      <c r="D72" s="188" t="s">
        <v>37</v>
      </c>
      <c r="E72" s="4">
        <v>4250</v>
      </c>
      <c r="F72" s="5">
        <v>112800</v>
      </c>
      <c r="G72" s="4">
        <v>23688</v>
      </c>
      <c r="H72" s="4">
        <v>140738</v>
      </c>
      <c r="I72" s="188" t="str">
        <f>VLOOKUP(C72,CATEGORIZACION!$A$1:$C$269,2,FALSE)</f>
        <v>TRANSPORTE</v>
      </c>
      <c r="J72" s="188" t="s">
        <v>19</v>
      </c>
    </row>
    <row r="73" spans="1:10" ht="15.75" customHeight="1" x14ac:dyDescent="0.25">
      <c r="A73" s="1">
        <v>44942</v>
      </c>
      <c r="B73" s="188" t="s">
        <v>113</v>
      </c>
      <c r="C73" s="188" t="s">
        <v>36</v>
      </c>
      <c r="D73" s="188" t="s">
        <v>37</v>
      </c>
      <c r="E73" s="4">
        <v>4250</v>
      </c>
      <c r="F73" s="5">
        <v>112800</v>
      </c>
      <c r="G73" s="4">
        <v>23688</v>
      </c>
      <c r="H73" s="4">
        <v>140738</v>
      </c>
      <c r="I73" s="188" t="str">
        <f>VLOOKUP(C73,CATEGORIZACION!$A$1:$C$269,2,FALSE)</f>
        <v>TRANSPORTE</v>
      </c>
      <c r="J73" s="188" t="s">
        <v>19</v>
      </c>
    </row>
    <row r="74" spans="1:10" ht="15.75" customHeight="1" x14ac:dyDescent="0.25">
      <c r="A74" s="1">
        <v>44942</v>
      </c>
      <c r="B74" s="188" t="s">
        <v>114</v>
      </c>
      <c r="C74" s="188" t="s">
        <v>36</v>
      </c>
      <c r="D74" s="188" t="s">
        <v>37</v>
      </c>
      <c r="E74" s="4">
        <v>8500</v>
      </c>
      <c r="F74" s="5">
        <v>94000</v>
      </c>
      <c r="G74" s="4">
        <v>19740</v>
      </c>
      <c r="H74" s="4">
        <v>122240</v>
      </c>
      <c r="I74" s="188" t="str">
        <f>VLOOKUP(C74,CATEGORIZACION!$A$1:$C$269,2,FALSE)</f>
        <v>TRANSPORTE</v>
      </c>
      <c r="J74" s="188" t="s">
        <v>19</v>
      </c>
    </row>
    <row r="75" spans="1:10" ht="15.75" customHeight="1" x14ac:dyDescent="0.25">
      <c r="A75" s="1">
        <v>44942</v>
      </c>
      <c r="B75" s="188" t="s">
        <v>115</v>
      </c>
      <c r="C75" s="188" t="s">
        <v>36</v>
      </c>
      <c r="D75" s="188" t="s">
        <v>37</v>
      </c>
      <c r="E75" s="4">
        <v>5700</v>
      </c>
      <c r="F75" s="5">
        <v>40150</v>
      </c>
      <c r="G75" s="4">
        <v>8431.5</v>
      </c>
      <c r="H75" s="4">
        <v>54281.5</v>
      </c>
      <c r="I75" s="188" t="str">
        <f>VLOOKUP(C75,CATEGORIZACION!$A$1:$C$269,2,FALSE)</f>
        <v>TRANSPORTE</v>
      </c>
      <c r="J75" s="188" t="s">
        <v>19</v>
      </c>
    </row>
    <row r="76" spans="1:10" ht="15.75" customHeight="1" x14ac:dyDescent="0.25">
      <c r="A76" s="1">
        <v>44942</v>
      </c>
      <c r="B76" s="188" t="s">
        <v>116</v>
      </c>
      <c r="C76" s="188" t="s">
        <v>36</v>
      </c>
      <c r="D76" s="188" t="s">
        <v>37</v>
      </c>
      <c r="E76" s="4">
        <v>5700</v>
      </c>
      <c r="F76" s="5">
        <v>40150</v>
      </c>
      <c r="G76" s="4">
        <v>8431.5</v>
      </c>
      <c r="H76" s="4">
        <v>54281.5</v>
      </c>
      <c r="I76" s="188" t="str">
        <f>VLOOKUP(C76,CATEGORIZACION!$A$1:$C$269,2,FALSE)</f>
        <v>TRANSPORTE</v>
      </c>
      <c r="J76" s="188" t="s">
        <v>19</v>
      </c>
    </row>
    <row r="77" spans="1:10" ht="15.75" customHeight="1" x14ac:dyDescent="0.25">
      <c r="A77" s="1">
        <v>44942</v>
      </c>
      <c r="B77" s="188" t="s">
        <v>117</v>
      </c>
      <c r="C77" s="188" t="s">
        <v>36</v>
      </c>
      <c r="D77" s="188" t="s">
        <v>37</v>
      </c>
      <c r="E77" s="4">
        <v>6500</v>
      </c>
      <c r="F77" s="5">
        <v>73350</v>
      </c>
      <c r="G77" s="4">
        <v>15403.5</v>
      </c>
      <c r="H77" s="4">
        <v>95253.5</v>
      </c>
      <c r="I77" s="188" t="str">
        <f>VLOOKUP(C77,CATEGORIZACION!$A$1:$C$269,2,FALSE)</f>
        <v>TRANSPORTE</v>
      </c>
      <c r="J77" s="188" t="s">
        <v>19</v>
      </c>
    </row>
    <row r="78" spans="1:10" ht="15.75" customHeight="1" x14ac:dyDescent="0.25">
      <c r="A78" s="1">
        <v>44942</v>
      </c>
      <c r="B78" s="188" t="s">
        <v>118</v>
      </c>
      <c r="C78" s="188" t="s">
        <v>36</v>
      </c>
      <c r="D78" s="188" t="s">
        <v>37</v>
      </c>
      <c r="E78" s="4">
        <v>5700</v>
      </c>
      <c r="F78" s="5">
        <v>40150</v>
      </c>
      <c r="G78" s="4">
        <v>8431.5</v>
      </c>
      <c r="H78" s="4">
        <v>54281.5</v>
      </c>
      <c r="I78" s="188" t="str">
        <f>VLOOKUP(C78,CATEGORIZACION!$A$1:$C$269,2,FALSE)</f>
        <v>TRANSPORTE</v>
      </c>
      <c r="J78" s="188" t="s">
        <v>19</v>
      </c>
    </row>
    <row r="79" spans="1:10" ht="15.75" customHeight="1" x14ac:dyDescent="0.25">
      <c r="A79" s="1">
        <v>44942</v>
      </c>
      <c r="B79" s="188" t="s">
        <v>119</v>
      </c>
      <c r="C79" s="188" t="s">
        <v>36</v>
      </c>
      <c r="D79" s="188" t="s">
        <v>37</v>
      </c>
      <c r="E79" s="4">
        <v>5700</v>
      </c>
      <c r="F79" s="5">
        <v>44165</v>
      </c>
      <c r="G79" s="4">
        <v>9274.65</v>
      </c>
      <c r="H79" s="4">
        <v>59139.65</v>
      </c>
      <c r="I79" s="188" t="str">
        <f>VLOOKUP(C79,CATEGORIZACION!$A$1:$C$269,2,FALSE)</f>
        <v>TRANSPORTE</v>
      </c>
      <c r="J79" s="188" t="s">
        <v>19</v>
      </c>
    </row>
    <row r="80" spans="1:10" ht="15.75" customHeight="1" x14ac:dyDescent="0.25">
      <c r="A80" s="1">
        <v>44942</v>
      </c>
      <c r="B80" s="188" t="s">
        <v>120</v>
      </c>
      <c r="C80" s="188" t="s">
        <v>36</v>
      </c>
      <c r="D80" s="188" t="s">
        <v>37</v>
      </c>
      <c r="E80" s="4">
        <v>5700</v>
      </c>
      <c r="F80" s="5">
        <v>40150</v>
      </c>
      <c r="G80" s="4">
        <v>8431.5</v>
      </c>
      <c r="H80" s="4">
        <v>54281.5</v>
      </c>
      <c r="I80" s="188" t="str">
        <f>VLOOKUP(C80,CATEGORIZACION!$A$1:$C$269,2,FALSE)</f>
        <v>TRANSPORTE</v>
      </c>
      <c r="J80" s="188" t="s">
        <v>19</v>
      </c>
    </row>
    <row r="81" spans="1:10" ht="15.75" customHeight="1" x14ac:dyDescent="0.25">
      <c r="A81" s="1">
        <v>44942</v>
      </c>
      <c r="B81" s="188" t="s">
        <v>121</v>
      </c>
      <c r="C81" s="188" t="s">
        <v>36</v>
      </c>
      <c r="D81" s="188" t="s">
        <v>37</v>
      </c>
      <c r="E81" s="4">
        <v>5700</v>
      </c>
      <c r="F81" s="5">
        <v>40150</v>
      </c>
      <c r="G81" s="4">
        <v>8431.5</v>
      </c>
      <c r="H81" s="4">
        <v>54281.5</v>
      </c>
      <c r="I81" s="188" t="str">
        <f>VLOOKUP(C81,CATEGORIZACION!$A$1:$C$269,2,FALSE)</f>
        <v>TRANSPORTE</v>
      </c>
      <c r="J81" s="188" t="s">
        <v>19</v>
      </c>
    </row>
    <row r="82" spans="1:10" ht="15.75" customHeight="1" x14ac:dyDescent="0.25">
      <c r="A82" s="1">
        <v>44942</v>
      </c>
      <c r="B82" s="188" t="s">
        <v>122</v>
      </c>
      <c r="C82" s="188" t="s">
        <v>36</v>
      </c>
      <c r="D82" s="188" t="s">
        <v>37</v>
      </c>
      <c r="E82" s="4">
        <v>8500</v>
      </c>
      <c r="F82" s="5">
        <v>90850</v>
      </c>
      <c r="G82" s="4">
        <v>19078.5</v>
      </c>
      <c r="H82" s="4">
        <v>118428.5</v>
      </c>
      <c r="I82" s="188" t="str">
        <f>VLOOKUP(C82,CATEGORIZACION!$A$1:$C$269,2,FALSE)</f>
        <v>TRANSPORTE</v>
      </c>
      <c r="J82" s="188" t="s">
        <v>19</v>
      </c>
    </row>
    <row r="83" spans="1:10" ht="15.75" customHeight="1" x14ac:dyDescent="0.25">
      <c r="A83" s="1">
        <v>44942</v>
      </c>
      <c r="B83" s="188" t="s">
        <v>123</v>
      </c>
      <c r="C83" s="188" t="s">
        <v>36</v>
      </c>
      <c r="D83" s="188" t="s">
        <v>37</v>
      </c>
      <c r="E83" s="4">
        <v>10700</v>
      </c>
      <c r="F83" s="5">
        <v>102600</v>
      </c>
      <c r="G83" s="4">
        <v>21546</v>
      </c>
      <c r="H83" s="4">
        <v>134846</v>
      </c>
      <c r="I83" s="188" t="str">
        <f>VLOOKUP(C83,CATEGORIZACION!$A$1:$C$269,2,FALSE)</f>
        <v>TRANSPORTE</v>
      </c>
      <c r="J83" s="188" t="s">
        <v>19</v>
      </c>
    </row>
    <row r="84" spans="1:10" ht="15.75" customHeight="1" x14ac:dyDescent="0.25">
      <c r="A84" s="1">
        <v>44944</v>
      </c>
      <c r="B84" s="188" t="s">
        <v>124</v>
      </c>
      <c r="C84" s="188" t="s">
        <v>125</v>
      </c>
      <c r="D84" s="188" t="s">
        <v>126</v>
      </c>
      <c r="E84" s="4">
        <v>0</v>
      </c>
      <c r="F84" s="5">
        <v>15566.73</v>
      </c>
      <c r="G84" s="4">
        <v>3269.01</v>
      </c>
      <c r="H84" s="4">
        <v>18835.740000000002</v>
      </c>
      <c r="I84" s="188" t="str">
        <f>VLOOKUP(C84,CATEGORIZACION!$A$1:$C$269,2,FALSE)</f>
        <v>PROOVEDORES</v>
      </c>
      <c r="J84" s="188" t="str">
        <f>VLOOKUP(C84,CATEGORIZACION!$A$1:$C$269,3,FALSE)</f>
        <v>LOGISTICA</v>
      </c>
    </row>
    <row r="85" spans="1:10" ht="15.75" customHeight="1" x14ac:dyDescent="0.25">
      <c r="A85" s="1">
        <v>44944</v>
      </c>
      <c r="B85" s="188" t="s">
        <v>127</v>
      </c>
      <c r="C85" s="188" t="s">
        <v>36</v>
      </c>
      <c r="D85" s="188" t="s">
        <v>37</v>
      </c>
      <c r="E85" s="4">
        <v>10700</v>
      </c>
      <c r="F85" s="5">
        <v>102600</v>
      </c>
      <c r="G85" s="4">
        <v>21546</v>
      </c>
      <c r="H85" s="4">
        <v>134846</v>
      </c>
      <c r="I85" s="188" t="str">
        <f>VLOOKUP(C85,CATEGORIZACION!$A$1:$C$269,2,FALSE)</f>
        <v>TRANSPORTE</v>
      </c>
      <c r="J85" s="188" t="s">
        <v>19</v>
      </c>
    </row>
    <row r="86" spans="1:10" ht="15.75" customHeight="1" x14ac:dyDescent="0.25">
      <c r="A86" s="1">
        <v>44945</v>
      </c>
      <c r="B86" s="188" t="s">
        <v>128</v>
      </c>
      <c r="C86" s="188" t="s">
        <v>129</v>
      </c>
      <c r="D86" s="188" t="s">
        <v>130</v>
      </c>
      <c r="E86" s="4">
        <v>688</v>
      </c>
      <c r="F86" s="3">
        <v>86000</v>
      </c>
      <c r="G86" s="4">
        <v>18060</v>
      </c>
      <c r="H86" s="4">
        <v>104748</v>
      </c>
      <c r="I86" s="188" t="str">
        <f>VLOOKUP(C86,CATEGORIZACION!$A$1:$C$269,2,FALSE)</f>
        <v>PROOVEDORES</v>
      </c>
      <c r="J86" s="188" t="str">
        <f>VLOOKUP(C86,CATEGORIZACION!$A$1:$C$269,3,FALSE)</f>
        <v>DEPOSITO</v>
      </c>
    </row>
    <row r="87" spans="1:10" ht="15.75" customHeight="1" x14ac:dyDescent="0.25">
      <c r="A87" s="1">
        <v>44946</v>
      </c>
      <c r="B87" s="188" t="s">
        <v>131</v>
      </c>
      <c r="C87" s="188" t="s">
        <v>132</v>
      </c>
      <c r="D87" s="188" t="s">
        <v>133</v>
      </c>
      <c r="E87" s="4">
        <v>0</v>
      </c>
      <c r="F87" s="5">
        <v>206611.58</v>
      </c>
      <c r="G87" s="4">
        <v>43388.43</v>
      </c>
      <c r="H87" s="4">
        <v>250000.01</v>
      </c>
      <c r="I87" s="188" t="str">
        <f>VLOOKUP(C87,CATEGORIZACION!$A$1:$C$269,2,FALSE)</f>
        <v>PROOVEDORES</v>
      </c>
      <c r="J87" s="188" t="str">
        <f>VLOOKUP(C87,CATEGORIZACION!$A$1:$C$269,3,FALSE)</f>
        <v>LOGISTICA</v>
      </c>
    </row>
    <row r="88" spans="1:10" ht="15.75" customHeight="1" x14ac:dyDescent="0.25">
      <c r="A88" s="1">
        <v>44946</v>
      </c>
      <c r="B88" s="188" t="s">
        <v>134</v>
      </c>
      <c r="C88" s="188" t="s">
        <v>36</v>
      </c>
      <c r="D88" s="188" t="s">
        <v>37</v>
      </c>
      <c r="E88" s="4">
        <v>6500</v>
      </c>
      <c r="F88" s="5">
        <v>91450</v>
      </c>
      <c r="G88" s="4">
        <v>19204.5</v>
      </c>
      <c r="H88" s="4">
        <v>117154.5</v>
      </c>
      <c r="I88" s="188" t="str">
        <f>VLOOKUP(C88,CATEGORIZACION!$A$1:$C$269,2,FALSE)</f>
        <v>TRANSPORTE</v>
      </c>
      <c r="J88" s="188" t="s">
        <v>19</v>
      </c>
    </row>
    <row r="89" spans="1:10" ht="15.75" customHeight="1" x14ac:dyDescent="0.25">
      <c r="A89" s="1">
        <v>44946</v>
      </c>
      <c r="B89" s="188" t="s">
        <v>135</v>
      </c>
      <c r="C89" s="188" t="s">
        <v>36</v>
      </c>
      <c r="D89" s="188" t="s">
        <v>37</v>
      </c>
      <c r="E89" s="4">
        <v>6200</v>
      </c>
      <c r="F89" s="5">
        <v>166725</v>
      </c>
      <c r="G89" s="4">
        <v>35012.25</v>
      </c>
      <c r="H89" s="4">
        <v>207937.25</v>
      </c>
      <c r="I89" s="188" t="str">
        <f>VLOOKUP(C89,CATEGORIZACION!$A$1:$C$269,2,FALSE)</f>
        <v>TRANSPORTE</v>
      </c>
      <c r="J89" s="188" t="s">
        <v>19</v>
      </c>
    </row>
    <row r="90" spans="1:10" ht="15.75" customHeight="1" x14ac:dyDescent="0.25">
      <c r="A90" s="1">
        <v>44946</v>
      </c>
      <c r="B90" s="188" t="s">
        <v>136</v>
      </c>
      <c r="C90" s="188" t="s">
        <v>36</v>
      </c>
      <c r="D90" s="188" t="s">
        <v>37</v>
      </c>
      <c r="E90" s="4">
        <v>5700</v>
      </c>
      <c r="F90" s="5">
        <v>40150</v>
      </c>
      <c r="G90" s="4">
        <v>8431.5</v>
      </c>
      <c r="H90" s="4">
        <v>54281.5</v>
      </c>
      <c r="I90" s="188" t="str">
        <f>VLOOKUP(C90,CATEGORIZACION!$A$1:$C$269,2,FALSE)</f>
        <v>TRANSPORTE</v>
      </c>
      <c r="J90" s="188" t="s">
        <v>19</v>
      </c>
    </row>
    <row r="91" spans="1:10" ht="15.75" customHeight="1" x14ac:dyDescent="0.25">
      <c r="A91" s="1">
        <v>44946</v>
      </c>
      <c r="B91" s="188" t="s">
        <v>137</v>
      </c>
      <c r="C91" s="188" t="s">
        <v>36</v>
      </c>
      <c r="D91" s="188" t="s">
        <v>37</v>
      </c>
      <c r="E91" s="4">
        <v>5700</v>
      </c>
      <c r="F91" s="5">
        <v>40150</v>
      </c>
      <c r="G91" s="4">
        <v>8431.5</v>
      </c>
      <c r="H91" s="4">
        <v>54281.5</v>
      </c>
      <c r="I91" s="188" t="str">
        <f>VLOOKUP(C91,CATEGORIZACION!$A$1:$C$269,2,FALSE)</f>
        <v>TRANSPORTE</v>
      </c>
      <c r="J91" s="188" t="s">
        <v>19</v>
      </c>
    </row>
    <row r="92" spans="1:10" ht="15.75" customHeight="1" x14ac:dyDescent="0.25">
      <c r="A92" s="1">
        <v>44946</v>
      </c>
      <c r="B92" s="188" t="s">
        <v>138</v>
      </c>
      <c r="C92" s="188" t="s">
        <v>36</v>
      </c>
      <c r="D92" s="188" t="s">
        <v>37</v>
      </c>
      <c r="E92" s="4">
        <v>5700</v>
      </c>
      <c r="F92" s="5">
        <v>44165</v>
      </c>
      <c r="G92" s="4">
        <v>9274.65</v>
      </c>
      <c r="H92" s="4">
        <v>59139.65</v>
      </c>
      <c r="I92" s="188" t="str">
        <f>VLOOKUP(C92,CATEGORIZACION!$A$1:$C$269,2,FALSE)</f>
        <v>TRANSPORTE</v>
      </c>
      <c r="J92" s="188" t="s">
        <v>19</v>
      </c>
    </row>
    <row r="93" spans="1:10" ht="15.75" customHeight="1" x14ac:dyDescent="0.25">
      <c r="A93" s="1">
        <v>44946</v>
      </c>
      <c r="B93" s="188" t="s">
        <v>139</v>
      </c>
      <c r="C93" s="188" t="s">
        <v>36</v>
      </c>
      <c r="D93" s="188" t="s">
        <v>37</v>
      </c>
      <c r="E93" s="4">
        <v>6500</v>
      </c>
      <c r="F93" s="5">
        <v>91450</v>
      </c>
      <c r="G93" s="4">
        <v>19204.5</v>
      </c>
      <c r="H93" s="4">
        <v>117154.5</v>
      </c>
      <c r="I93" s="188" t="str">
        <f>VLOOKUP(C93,CATEGORIZACION!$A$1:$C$269,2,FALSE)</f>
        <v>TRANSPORTE</v>
      </c>
      <c r="J93" s="188" t="s">
        <v>19</v>
      </c>
    </row>
    <row r="94" spans="1:10" ht="15.75" customHeight="1" x14ac:dyDescent="0.25">
      <c r="A94" s="1">
        <v>44946</v>
      </c>
      <c r="B94" s="188" t="s">
        <v>140</v>
      </c>
      <c r="C94" s="188" t="s">
        <v>36</v>
      </c>
      <c r="D94" s="188" t="s">
        <v>37</v>
      </c>
      <c r="E94" s="4">
        <v>6500</v>
      </c>
      <c r="F94" s="5">
        <v>91450</v>
      </c>
      <c r="G94" s="4">
        <v>19204.5</v>
      </c>
      <c r="H94" s="4">
        <v>117154.5</v>
      </c>
      <c r="I94" s="188" t="str">
        <f>VLOOKUP(C94,CATEGORIZACION!$A$1:$C$269,2,FALSE)</f>
        <v>TRANSPORTE</v>
      </c>
      <c r="J94" s="188" t="s">
        <v>19</v>
      </c>
    </row>
    <row r="95" spans="1:10" ht="15.75" customHeight="1" x14ac:dyDescent="0.25">
      <c r="A95" s="1">
        <v>44946</v>
      </c>
      <c r="B95" s="188" t="s">
        <v>141</v>
      </c>
      <c r="C95" s="188" t="s">
        <v>36</v>
      </c>
      <c r="D95" s="188" t="s">
        <v>37</v>
      </c>
      <c r="E95" s="4">
        <v>6500</v>
      </c>
      <c r="F95" s="5">
        <v>51300</v>
      </c>
      <c r="G95" s="4">
        <v>10773</v>
      </c>
      <c r="H95" s="4">
        <v>68573</v>
      </c>
      <c r="I95" s="188" t="str">
        <f>VLOOKUP(C95,CATEGORIZACION!$A$1:$C$269,2,FALSE)</f>
        <v>TRANSPORTE</v>
      </c>
      <c r="J95" s="188" t="s">
        <v>19</v>
      </c>
    </row>
    <row r="96" spans="1:10" ht="15.75" customHeight="1" x14ac:dyDescent="0.25">
      <c r="A96" s="1">
        <v>44946</v>
      </c>
      <c r="B96" s="188" t="s">
        <v>142</v>
      </c>
      <c r="C96" s="188" t="s">
        <v>36</v>
      </c>
      <c r="D96" s="188" t="s">
        <v>37</v>
      </c>
      <c r="E96" s="4">
        <v>6500</v>
      </c>
      <c r="F96" s="5">
        <v>123120</v>
      </c>
      <c r="G96" s="4">
        <v>25855.200000000001</v>
      </c>
      <c r="H96" s="4">
        <v>155475.20000000001</v>
      </c>
      <c r="I96" s="188" t="str">
        <f>VLOOKUP(C96,CATEGORIZACION!$A$1:$C$269,2,FALSE)</f>
        <v>TRANSPORTE</v>
      </c>
      <c r="J96" s="188" t="s">
        <v>19</v>
      </c>
    </row>
    <row r="97" spans="1:10" ht="15.75" customHeight="1" x14ac:dyDescent="0.25">
      <c r="A97" s="1">
        <v>44946</v>
      </c>
      <c r="B97" s="188" t="s">
        <v>143</v>
      </c>
      <c r="C97" s="188" t="s">
        <v>36</v>
      </c>
      <c r="D97" s="188" t="s">
        <v>37</v>
      </c>
      <c r="E97" s="4">
        <v>6500</v>
      </c>
      <c r="F97" s="5">
        <v>123120</v>
      </c>
      <c r="G97" s="4">
        <v>25855.200000000001</v>
      </c>
      <c r="H97" s="4">
        <v>155475.20000000001</v>
      </c>
      <c r="I97" s="188" t="str">
        <f>VLOOKUP(C97,CATEGORIZACION!$A$1:$C$269,2,FALSE)</f>
        <v>TRANSPORTE</v>
      </c>
      <c r="J97" s="188" t="s">
        <v>19</v>
      </c>
    </row>
    <row r="98" spans="1:10" ht="15.75" customHeight="1" x14ac:dyDescent="0.25">
      <c r="A98" s="1">
        <v>44946</v>
      </c>
      <c r="B98" s="188" t="s">
        <v>144</v>
      </c>
      <c r="C98" s="188" t="s">
        <v>36</v>
      </c>
      <c r="D98" s="188" t="s">
        <v>37</v>
      </c>
      <c r="E98" s="4">
        <v>5700</v>
      </c>
      <c r="F98" s="5">
        <v>51300</v>
      </c>
      <c r="G98" s="4">
        <v>10773</v>
      </c>
      <c r="H98" s="4">
        <v>67773</v>
      </c>
      <c r="I98" s="188" t="str">
        <f>VLOOKUP(C98,CATEGORIZACION!$A$1:$C$269,2,FALSE)</f>
        <v>TRANSPORTE</v>
      </c>
      <c r="J98" s="188" t="s">
        <v>19</v>
      </c>
    </row>
    <row r="99" spans="1:10" ht="15.75" customHeight="1" x14ac:dyDescent="0.25">
      <c r="A99" s="1">
        <v>44946</v>
      </c>
      <c r="B99" s="188" t="s">
        <v>145</v>
      </c>
      <c r="C99" s="188" t="s">
        <v>36</v>
      </c>
      <c r="D99" s="188" t="s">
        <v>37</v>
      </c>
      <c r="E99" s="4">
        <v>6500</v>
      </c>
      <c r="F99" s="5">
        <v>51300</v>
      </c>
      <c r="G99" s="4">
        <v>10773</v>
      </c>
      <c r="H99" s="4">
        <v>68573</v>
      </c>
      <c r="I99" s="188" t="str">
        <f>VLOOKUP(C99,CATEGORIZACION!$A$1:$C$269,2,FALSE)</f>
        <v>TRANSPORTE</v>
      </c>
      <c r="J99" s="188" t="s">
        <v>19</v>
      </c>
    </row>
    <row r="100" spans="1:10" ht="15.75" customHeight="1" x14ac:dyDescent="0.25">
      <c r="A100" s="1">
        <v>44947</v>
      </c>
      <c r="B100" s="188" t="s">
        <v>146</v>
      </c>
      <c r="C100" s="188" t="s">
        <v>21</v>
      </c>
      <c r="D100" s="188" t="s">
        <v>22</v>
      </c>
      <c r="E100" s="4">
        <v>7470</v>
      </c>
      <c r="F100" s="5">
        <v>150000</v>
      </c>
      <c r="G100" s="4">
        <v>31500</v>
      </c>
      <c r="H100" s="4">
        <v>188970</v>
      </c>
      <c r="I100" s="188" t="str">
        <f>VLOOKUP(C100,CATEGORIZACION!$A$1:$C$269,2,FALSE)</f>
        <v>TRANSPORTE</v>
      </c>
      <c r="J100" s="188" t="s">
        <v>19</v>
      </c>
    </row>
    <row r="101" spans="1:10" ht="15.75" customHeight="1" x14ac:dyDescent="0.25">
      <c r="A101" s="1">
        <v>44947</v>
      </c>
      <c r="B101" s="188" t="s">
        <v>147</v>
      </c>
      <c r="C101" s="188" t="s">
        <v>21</v>
      </c>
      <c r="D101" s="188" t="s">
        <v>22</v>
      </c>
      <c r="E101" s="4">
        <v>9720</v>
      </c>
      <c r="F101" s="5">
        <v>311300</v>
      </c>
      <c r="G101" s="4">
        <v>65373</v>
      </c>
      <c r="H101" s="4">
        <v>386393</v>
      </c>
      <c r="I101" s="188" t="str">
        <f>VLOOKUP(C101,CATEGORIZACION!$A$1:$C$269,2,FALSE)</f>
        <v>TRANSPORTE</v>
      </c>
      <c r="J101" s="188" t="s">
        <v>19</v>
      </c>
    </row>
    <row r="102" spans="1:10" ht="15.75" customHeight="1" x14ac:dyDescent="0.25">
      <c r="A102" s="1">
        <v>44947</v>
      </c>
      <c r="B102" s="188" t="s">
        <v>148</v>
      </c>
      <c r="C102" s="188" t="s">
        <v>21</v>
      </c>
      <c r="D102" s="188" t="s">
        <v>22</v>
      </c>
      <c r="E102" s="4">
        <v>12080</v>
      </c>
      <c r="F102" s="5">
        <v>255950</v>
      </c>
      <c r="G102" s="4">
        <v>53749.5</v>
      </c>
      <c r="H102" s="4">
        <v>321779.5</v>
      </c>
      <c r="I102" s="188" t="str">
        <f>VLOOKUP(C102,CATEGORIZACION!$A$1:$C$269,2,FALSE)</f>
        <v>TRANSPORTE</v>
      </c>
      <c r="J102" s="188" t="s">
        <v>19</v>
      </c>
    </row>
    <row r="103" spans="1:10" ht="15.75" customHeight="1" x14ac:dyDescent="0.25">
      <c r="A103" s="1">
        <v>44947</v>
      </c>
      <c r="B103" s="188" t="s">
        <v>149</v>
      </c>
      <c r="C103" s="188" t="s">
        <v>21</v>
      </c>
      <c r="D103" s="188" t="s">
        <v>22</v>
      </c>
      <c r="E103" s="4">
        <v>12880</v>
      </c>
      <c r="F103" s="5">
        <v>210100</v>
      </c>
      <c r="G103" s="4">
        <v>44121</v>
      </c>
      <c r="H103" s="4">
        <v>267101</v>
      </c>
      <c r="I103" s="188" t="str">
        <f>VLOOKUP(C103,CATEGORIZACION!$A$1:$C$269,2,FALSE)</f>
        <v>TRANSPORTE</v>
      </c>
      <c r="J103" s="188" t="s">
        <v>19</v>
      </c>
    </row>
    <row r="104" spans="1:10" ht="15.75" customHeight="1" x14ac:dyDescent="0.25">
      <c r="A104" s="1">
        <v>44947</v>
      </c>
      <c r="B104" s="188" t="s">
        <v>150</v>
      </c>
      <c r="C104" s="188" t="s">
        <v>21</v>
      </c>
      <c r="D104" s="188" t="s">
        <v>22</v>
      </c>
      <c r="E104" s="4">
        <v>12450</v>
      </c>
      <c r="F104" s="5">
        <v>261000</v>
      </c>
      <c r="G104" s="4">
        <v>54810</v>
      </c>
      <c r="H104" s="4">
        <v>328260</v>
      </c>
      <c r="I104" s="188" t="str">
        <f>VLOOKUP(C104,CATEGORIZACION!$A$1:$C$269,2,FALSE)</f>
        <v>TRANSPORTE</v>
      </c>
      <c r="J104" s="188" t="s">
        <v>19</v>
      </c>
    </row>
    <row r="105" spans="1:10" ht="15.75" customHeight="1" x14ac:dyDescent="0.25">
      <c r="A105" s="1">
        <v>44947</v>
      </c>
      <c r="B105" s="188" t="s">
        <v>151</v>
      </c>
      <c r="C105" s="188" t="s">
        <v>21</v>
      </c>
      <c r="D105" s="188" t="s">
        <v>22</v>
      </c>
      <c r="E105" s="4">
        <v>22410</v>
      </c>
      <c r="F105" s="5">
        <v>493500</v>
      </c>
      <c r="G105" s="4">
        <v>103635</v>
      </c>
      <c r="H105" s="4">
        <v>619545</v>
      </c>
      <c r="I105" s="188" t="str">
        <f>VLOOKUP(C105,CATEGORIZACION!$A$1:$C$269,2,FALSE)</f>
        <v>TRANSPORTE</v>
      </c>
      <c r="J105" s="188" t="s">
        <v>19</v>
      </c>
    </row>
    <row r="106" spans="1:10" ht="15.75" customHeight="1" x14ac:dyDescent="0.25">
      <c r="A106" s="1">
        <v>44949</v>
      </c>
      <c r="B106" s="188">
        <v>0</v>
      </c>
      <c r="C106" s="188" t="s">
        <v>36</v>
      </c>
      <c r="D106" s="188" t="s">
        <v>37</v>
      </c>
      <c r="E106" s="4">
        <v>850000</v>
      </c>
      <c r="F106" s="5">
        <v>0</v>
      </c>
      <c r="G106" s="4">
        <v>0</v>
      </c>
      <c r="H106" s="4">
        <v>850000</v>
      </c>
      <c r="I106" s="188" t="str">
        <f>VLOOKUP(C106,CATEGORIZACION!$A$1:$C$269,2,FALSE)</f>
        <v>TRANSPORTE</v>
      </c>
      <c r="J106" s="188" t="s">
        <v>19</v>
      </c>
    </row>
    <row r="107" spans="1:10" ht="15.75" customHeight="1" x14ac:dyDescent="0.25">
      <c r="A107" s="1">
        <v>44949</v>
      </c>
      <c r="B107" s="188" t="s">
        <v>152</v>
      </c>
      <c r="C107" s="188" t="s">
        <v>153</v>
      </c>
      <c r="D107" s="188" t="s">
        <v>154</v>
      </c>
      <c r="E107" s="4">
        <v>190.48</v>
      </c>
      <c r="F107" s="3">
        <v>23810</v>
      </c>
      <c r="G107" s="4">
        <v>5000.1000000000004</v>
      </c>
      <c r="H107" s="4">
        <v>29000.58</v>
      </c>
      <c r="I107" s="188" t="str">
        <f>VLOOKUP(C107,CATEGORIZACION!$A$1:$C$269,2,FALSE)</f>
        <v>PROOVEDORES</v>
      </c>
      <c r="J107" s="188" t="str">
        <f>VLOOKUP(C107,CATEGORIZACION!$A$1:$C$269,3,FALSE)</f>
        <v>DEPOSITO</v>
      </c>
    </row>
    <row r="108" spans="1:10" ht="15.75" customHeight="1" x14ac:dyDescent="0.25">
      <c r="A108" s="1">
        <v>44949</v>
      </c>
      <c r="B108" s="188" t="s">
        <v>155</v>
      </c>
      <c r="C108" s="188" t="s">
        <v>36</v>
      </c>
      <c r="D108" s="188" t="s">
        <v>37</v>
      </c>
      <c r="E108" s="4">
        <v>5700</v>
      </c>
      <c r="F108" s="5">
        <v>44165</v>
      </c>
      <c r="G108" s="4">
        <v>9274.65</v>
      </c>
      <c r="H108" s="4">
        <v>59139.65</v>
      </c>
      <c r="I108" s="188" t="str">
        <f>VLOOKUP(C108,CATEGORIZACION!$A$1:$C$269,2,FALSE)</f>
        <v>TRANSPORTE</v>
      </c>
      <c r="J108" s="188" t="s">
        <v>19</v>
      </c>
    </row>
    <row r="109" spans="1:10" ht="15.75" customHeight="1" x14ac:dyDescent="0.25">
      <c r="A109" s="1">
        <v>44949</v>
      </c>
      <c r="B109" s="188" t="s">
        <v>156</v>
      </c>
      <c r="C109" s="188" t="s">
        <v>36</v>
      </c>
      <c r="D109" s="188" t="s">
        <v>37</v>
      </c>
      <c r="E109" s="4">
        <v>5700</v>
      </c>
      <c r="F109" s="5">
        <v>40150</v>
      </c>
      <c r="G109" s="4">
        <v>8431.5</v>
      </c>
      <c r="H109" s="4">
        <v>54281.5</v>
      </c>
      <c r="I109" s="188" t="str">
        <f>VLOOKUP(C109,CATEGORIZACION!$A$1:$C$269,2,FALSE)</f>
        <v>TRANSPORTE</v>
      </c>
      <c r="J109" s="188" t="s">
        <v>19</v>
      </c>
    </row>
    <row r="110" spans="1:10" ht="15.75" customHeight="1" x14ac:dyDescent="0.25">
      <c r="A110" s="1">
        <v>44949</v>
      </c>
      <c r="B110" s="188" t="s">
        <v>157</v>
      </c>
      <c r="C110" s="188" t="s">
        <v>36</v>
      </c>
      <c r="D110" s="188" t="s">
        <v>37</v>
      </c>
      <c r="E110" s="4">
        <v>5700</v>
      </c>
      <c r="F110" s="5">
        <v>40150</v>
      </c>
      <c r="G110" s="4">
        <v>8431.5</v>
      </c>
      <c r="H110" s="4">
        <v>54281.5</v>
      </c>
      <c r="I110" s="188" t="str">
        <f>VLOOKUP(C110,CATEGORIZACION!$A$1:$C$269,2,FALSE)</f>
        <v>TRANSPORTE</v>
      </c>
      <c r="J110" s="188" t="s">
        <v>19</v>
      </c>
    </row>
    <row r="111" spans="1:10" ht="15.75" customHeight="1" x14ac:dyDescent="0.25">
      <c r="A111" s="1">
        <v>44949</v>
      </c>
      <c r="B111" s="188" t="s">
        <v>158</v>
      </c>
      <c r="C111" s="188" t="s">
        <v>36</v>
      </c>
      <c r="D111" s="188" t="s">
        <v>37</v>
      </c>
      <c r="E111" s="4">
        <v>5700</v>
      </c>
      <c r="F111" s="5">
        <v>40150</v>
      </c>
      <c r="G111" s="4">
        <v>8431.5</v>
      </c>
      <c r="H111" s="4">
        <v>54281.5</v>
      </c>
      <c r="I111" s="188" t="str">
        <f>VLOOKUP(C111,CATEGORIZACION!$A$1:$C$269,2,FALSE)</f>
        <v>TRANSPORTE</v>
      </c>
      <c r="J111" s="188" t="s">
        <v>19</v>
      </c>
    </row>
    <row r="112" spans="1:10" ht="15.75" customHeight="1" x14ac:dyDescent="0.25">
      <c r="A112" s="1">
        <v>44949</v>
      </c>
      <c r="B112" s="188" t="s">
        <v>159</v>
      </c>
      <c r="C112" s="188" t="s">
        <v>36</v>
      </c>
      <c r="D112" s="188" t="s">
        <v>37</v>
      </c>
      <c r="E112" s="4">
        <v>5700</v>
      </c>
      <c r="F112" s="5">
        <v>40150</v>
      </c>
      <c r="G112" s="4">
        <v>8431.5</v>
      </c>
      <c r="H112" s="4">
        <v>54281.5</v>
      </c>
      <c r="I112" s="188" t="str">
        <f>VLOOKUP(C112,CATEGORIZACION!$A$1:$C$269,2,FALSE)</f>
        <v>TRANSPORTE</v>
      </c>
      <c r="J112" s="188" t="s">
        <v>19</v>
      </c>
    </row>
    <row r="113" spans="1:10" ht="15.75" customHeight="1" x14ac:dyDescent="0.25">
      <c r="A113" s="1">
        <v>44949</v>
      </c>
      <c r="B113" s="188" t="s">
        <v>160</v>
      </c>
      <c r="C113" s="188" t="s">
        <v>36</v>
      </c>
      <c r="D113" s="188" t="s">
        <v>37</v>
      </c>
      <c r="E113" s="4">
        <v>6500</v>
      </c>
      <c r="F113" s="5">
        <v>103410</v>
      </c>
      <c r="G113" s="4">
        <v>21716.1</v>
      </c>
      <c r="H113" s="4">
        <v>131626.1</v>
      </c>
      <c r="I113" s="188" t="str">
        <f>VLOOKUP(C113,CATEGORIZACION!$A$1:$C$269,2,FALSE)</f>
        <v>TRANSPORTE</v>
      </c>
      <c r="J113" s="188" t="s">
        <v>19</v>
      </c>
    </row>
    <row r="114" spans="1:10" ht="15.75" customHeight="1" x14ac:dyDescent="0.25">
      <c r="A114" s="1">
        <v>44949</v>
      </c>
      <c r="B114" s="188" t="s">
        <v>161</v>
      </c>
      <c r="C114" s="188" t="s">
        <v>36</v>
      </c>
      <c r="D114" s="188" t="s">
        <v>37</v>
      </c>
      <c r="E114" s="4">
        <v>3500</v>
      </c>
      <c r="F114" s="5">
        <v>113600</v>
      </c>
      <c r="G114" s="4">
        <v>23856</v>
      </c>
      <c r="H114" s="4">
        <v>140956</v>
      </c>
      <c r="I114" s="188" t="str">
        <f>VLOOKUP(C114,CATEGORIZACION!$A$1:$C$269,2,FALSE)</f>
        <v>TRANSPORTE</v>
      </c>
      <c r="J114" s="188" t="s">
        <v>19</v>
      </c>
    </row>
    <row r="115" spans="1:10" ht="15.75" customHeight="1" x14ac:dyDescent="0.25">
      <c r="A115" s="1">
        <v>44950</v>
      </c>
      <c r="B115" s="188" t="s">
        <v>162</v>
      </c>
      <c r="C115" s="188" t="s">
        <v>163</v>
      </c>
      <c r="D115" s="188" t="s">
        <v>164</v>
      </c>
      <c r="E115" s="4">
        <v>0</v>
      </c>
      <c r="F115" s="5">
        <v>59500</v>
      </c>
      <c r="G115" s="4">
        <v>12495</v>
      </c>
      <c r="H115" s="4">
        <v>71995</v>
      </c>
      <c r="I115" s="188" t="str">
        <f>VLOOKUP(C115,CATEGORIZACION!$A$1:$C$269,2,FALSE)</f>
        <v>PROOVEDORES</v>
      </c>
      <c r="J115" s="188" t="str">
        <f>VLOOKUP(C115,CATEGORIZACION!$A$1:$C$269,3,FALSE)</f>
        <v>LOGISTICA</v>
      </c>
    </row>
    <row r="116" spans="1:10" ht="15.75" customHeight="1" x14ac:dyDescent="0.25">
      <c r="A116" s="1">
        <v>44950</v>
      </c>
      <c r="B116" s="188" t="s">
        <v>165</v>
      </c>
      <c r="C116" s="188" t="s">
        <v>166</v>
      </c>
      <c r="D116" s="188" t="s">
        <v>167</v>
      </c>
      <c r="E116" s="4">
        <v>11900</v>
      </c>
      <c r="F116" s="5">
        <v>0</v>
      </c>
      <c r="G116" s="4">
        <v>0</v>
      </c>
      <c r="H116" s="4">
        <v>11900</v>
      </c>
      <c r="I116" s="188" t="str">
        <f>VLOOKUP(C116,CATEGORIZACION!$A$1:$C$269,2,FALSE)</f>
        <v>PROOVEDORES</v>
      </c>
      <c r="J116" s="188" t="str">
        <f>VLOOKUP(C116,CATEGORIZACION!$A$1:$C$269,3,FALSE)</f>
        <v>LOGISTICA</v>
      </c>
    </row>
    <row r="117" spans="1:10" ht="15.75" customHeight="1" x14ac:dyDescent="0.25">
      <c r="A117" s="1">
        <v>44951</v>
      </c>
      <c r="B117" s="188">
        <v>0</v>
      </c>
      <c r="C117" s="188" t="s">
        <v>36</v>
      </c>
      <c r="D117" s="188" t="s">
        <v>37</v>
      </c>
      <c r="E117" s="4">
        <v>70000</v>
      </c>
      <c r="F117" s="5">
        <v>0</v>
      </c>
      <c r="G117" s="4">
        <v>0</v>
      </c>
      <c r="H117" s="4">
        <v>70000</v>
      </c>
      <c r="I117" s="188" t="str">
        <f>VLOOKUP(C117,CATEGORIZACION!$A$1:$C$269,2,FALSE)</f>
        <v>TRANSPORTE</v>
      </c>
      <c r="J117" s="188" t="s">
        <v>19</v>
      </c>
    </row>
    <row r="118" spans="1:10" ht="15.75" customHeight="1" x14ac:dyDescent="0.25">
      <c r="A118" s="1">
        <v>44951</v>
      </c>
      <c r="B118" s="188" t="s">
        <v>168</v>
      </c>
      <c r="C118" s="188" t="s">
        <v>21</v>
      </c>
      <c r="D118" s="188" t="s">
        <v>22</v>
      </c>
      <c r="E118" s="4">
        <v>19920</v>
      </c>
      <c r="F118" s="5">
        <v>429000</v>
      </c>
      <c r="G118" s="4">
        <v>90090</v>
      </c>
      <c r="H118" s="4">
        <v>539010</v>
      </c>
      <c r="I118" s="188" t="str">
        <f>VLOOKUP(C118,CATEGORIZACION!$A$1:$C$269,2,FALSE)</f>
        <v>TRANSPORTE</v>
      </c>
      <c r="J118" s="188" t="s">
        <v>19</v>
      </c>
    </row>
    <row r="119" spans="1:10" ht="15.75" customHeight="1" x14ac:dyDescent="0.25">
      <c r="A119" s="1">
        <v>44951</v>
      </c>
      <c r="B119" s="188" t="s">
        <v>169</v>
      </c>
      <c r="C119" s="188" t="s">
        <v>21</v>
      </c>
      <c r="D119" s="188" t="s">
        <v>22</v>
      </c>
      <c r="E119" s="4">
        <v>19920</v>
      </c>
      <c r="F119" s="5">
        <v>372000</v>
      </c>
      <c r="G119" s="4">
        <v>78120</v>
      </c>
      <c r="H119" s="4">
        <v>470040</v>
      </c>
      <c r="I119" s="188" t="str">
        <f>VLOOKUP(C119,CATEGORIZACION!$A$1:$C$269,2,FALSE)</f>
        <v>TRANSPORTE</v>
      </c>
      <c r="J119" s="188" t="s">
        <v>19</v>
      </c>
    </row>
    <row r="120" spans="1:10" ht="15.75" customHeight="1" x14ac:dyDescent="0.25">
      <c r="A120" s="1">
        <v>44951</v>
      </c>
      <c r="B120" s="188" t="s">
        <v>170</v>
      </c>
      <c r="C120" s="188" t="s">
        <v>21</v>
      </c>
      <c r="D120" s="188" t="s">
        <v>22</v>
      </c>
      <c r="E120" s="4">
        <v>26380</v>
      </c>
      <c r="F120" s="5">
        <v>419800</v>
      </c>
      <c r="G120" s="4">
        <v>88158</v>
      </c>
      <c r="H120" s="4">
        <v>534338</v>
      </c>
      <c r="I120" s="188" t="str">
        <f>VLOOKUP(C120,CATEGORIZACION!$A$1:$C$269,2,FALSE)</f>
        <v>TRANSPORTE</v>
      </c>
      <c r="J120" s="188" t="s">
        <v>19</v>
      </c>
    </row>
    <row r="121" spans="1:10" ht="15.75" customHeight="1" x14ac:dyDescent="0.25">
      <c r="A121" s="1">
        <v>44951</v>
      </c>
      <c r="B121" s="188" t="s">
        <v>171</v>
      </c>
      <c r="C121" s="188" t="s">
        <v>36</v>
      </c>
      <c r="D121" s="188" t="s">
        <v>37</v>
      </c>
      <c r="E121" s="4">
        <v>5700</v>
      </c>
      <c r="F121" s="5">
        <v>40150</v>
      </c>
      <c r="G121" s="4">
        <v>8431.5</v>
      </c>
      <c r="H121" s="4">
        <v>54281.5</v>
      </c>
      <c r="I121" s="188" t="str">
        <f>VLOOKUP(C121,CATEGORIZACION!$A$1:$C$269,2,FALSE)</f>
        <v>TRANSPORTE</v>
      </c>
      <c r="J121" s="188" t="s">
        <v>19</v>
      </c>
    </row>
    <row r="122" spans="1:10" ht="15.75" customHeight="1" x14ac:dyDescent="0.25">
      <c r="A122" s="1">
        <v>44954</v>
      </c>
      <c r="B122" s="188" t="s">
        <v>172</v>
      </c>
      <c r="C122" s="188" t="s">
        <v>173</v>
      </c>
      <c r="D122" s="188" t="s">
        <v>174</v>
      </c>
      <c r="E122" s="4">
        <v>0</v>
      </c>
      <c r="F122" s="5">
        <v>77400</v>
      </c>
      <c r="G122" s="4">
        <v>16254</v>
      </c>
      <c r="H122" s="4">
        <v>93654</v>
      </c>
      <c r="I122" s="188" t="str">
        <f>VLOOKUP(C122,CATEGORIZACION!$A$1:$C$269,2,FALSE)</f>
        <v>TRANSPORTE</v>
      </c>
      <c r="J122" s="188" t="s">
        <v>19</v>
      </c>
    </row>
    <row r="123" spans="1:10" ht="15.75" customHeight="1" x14ac:dyDescent="0.25">
      <c r="A123" s="1">
        <v>44955</v>
      </c>
      <c r="B123" s="188" t="s">
        <v>175</v>
      </c>
      <c r="C123" s="188" t="s">
        <v>173</v>
      </c>
      <c r="D123" s="188" t="s">
        <v>174</v>
      </c>
      <c r="E123" s="4">
        <v>0</v>
      </c>
      <c r="F123" s="5">
        <v>68700</v>
      </c>
      <c r="G123" s="4">
        <v>14427</v>
      </c>
      <c r="H123" s="4">
        <v>83127</v>
      </c>
      <c r="I123" s="188" t="str">
        <f>VLOOKUP(C123,CATEGORIZACION!$A$1:$C$269,2,FALSE)</f>
        <v>TRANSPORTE</v>
      </c>
      <c r="J123" s="188" t="s">
        <v>19</v>
      </c>
    </row>
    <row r="124" spans="1:10" ht="15.75" customHeight="1" x14ac:dyDescent="0.25">
      <c r="A124" s="1">
        <v>44956</v>
      </c>
      <c r="B124" s="188" t="s">
        <v>176</v>
      </c>
      <c r="C124" s="188" t="s">
        <v>36</v>
      </c>
      <c r="D124" s="188" t="s">
        <v>37</v>
      </c>
      <c r="E124" s="4">
        <v>6500</v>
      </c>
      <c r="F124" s="5">
        <v>73350</v>
      </c>
      <c r="G124" s="4">
        <v>15403.5</v>
      </c>
      <c r="H124" s="4">
        <v>95253.5</v>
      </c>
      <c r="I124" s="188" t="str">
        <f>VLOOKUP(C124,CATEGORIZACION!$A$1:$C$269,2,FALSE)</f>
        <v>TRANSPORTE</v>
      </c>
      <c r="J124" s="188" t="s">
        <v>19</v>
      </c>
    </row>
    <row r="125" spans="1:10" ht="15.75" customHeight="1" x14ac:dyDescent="0.25">
      <c r="A125" s="1">
        <v>44957</v>
      </c>
      <c r="B125" s="188" t="s">
        <v>177</v>
      </c>
      <c r="C125" s="188" t="s">
        <v>84</v>
      </c>
      <c r="D125" s="188" t="s">
        <v>85</v>
      </c>
      <c r="E125" s="4">
        <v>37725.81</v>
      </c>
      <c r="F125" s="5">
        <v>340006.34</v>
      </c>
      <c r="G125" s="4">
        <v>71401.33</v>
      </c>
      <c r="H125" s="4">
        <v>449133.48</v>
      </c>
      <c r="I125" s="188" t="str">
        <f>VLOOKUP(C125,CATEGORIZACION!$A$1:$C$269,2,FALSE)</f>
        <v>PROOVEDORES</v>
      </c>
      <c r="J125" s="188" t="str">
        <f>VLOOKUP(C125,CATEGORIZACION!$A$1:$C$269,3,FALSE)</f>
        <v>LOGISTICA</v>
      </c>
    </row>
    <row r="126" spans="1:10" ht="15.75" customHeight="1" x14ac:dyDescent="0.25">
      <c r="A126" s="1">
        <v>44957</v>
      </c>
      <c r="B126" s="188" t="s">
        <v>178</v>
      </c>
      <c r="C126" s="188" t="s">
        <v>84</v>
      </c>
      <c r="D126" s="188" t="s">
        <v>85</v>
      </c>
      <c r="E126" s="5">
        <v>29443.3</v>
      </c>
      <c r="F126" s="5">
        <v>22610</v>
      </c>
      <c r="G126" s="5">
        <v>73372.399999999994</v>
      </c>
      <c r="H126" s="5">
        <v>22610</v>
      </c>
      <c r="I126" s="188" t="str">
        <f>VLOOKUP(C126,CATEGORIZACION!$A$1:$C$269,2,FALSE)</f>
        <v>PROOVEDORES</v>
      </c>
      <c r="J126" s="188" t="str">
        <f>VLOOKUP(C126,CATEGORIZACION!$A$1:$C$269,3,FALSE)</f>
        <v>LOGISTICA</v>
      </c>
    </row>
    <row r="127" spans="1:10" ht="15.75" customHeight="1" x14ac:dyDescent="0.25">
      <c r="A127" s="1">
        <v>44957</v>
      </c>
      <c r="B127" s="188" t="s">
        <v>179</v>
      </c>
      <c r="C127" s="188" t="s">
        <v>52</v>
      </c>
      <c r="D127" s="188" t="s">
        <v>53</v>
      </c>
      <c r="E127" s="4">
        <v>0</v>
      </c>
      <c r="F127" s="3">
        <v>64792</v>
      </c>
      <c r="G127" s="4">
        <v>13606.32</v>
      </c>
      <c r="H127" s="4">
        <v>78398.320000000007</v>
      </c>
      <c r="I127" s="188" t="str">
        <f>VLOOKUP(C127,CATEGORIZACION!$A$1:$C$269,2,FALSE)</f>
        <v>PROOVEDORES</v>
      </c>
      <c r="J127" s="188" t="str">
        <f>VLOOKUP(C127,CATEGORIZACION!$A$1:$C$269,3,FALSE)</f>
        <v>DEPOSITO</v>
      </c>
    </row>
    <row r="128" spans="1:10" ht="15.75" customHeight="1" x14ac:dyDescent="0.25">
      <c r="A128" s="1">
        <v>44957</v>
      </c>
      <c r="B128" s="188" t="s">
        <v>180</v>
      </c>
      <c r="C128" s="188" t="s">
        <v>21</v>
      </c>
      <c r="D128" s="188" t="s">
        <v>22</v>
      </c>
      <c r="E128" s="4">
        <v>8520</v>
      </c>
      <c r="F128" s="5">
        <v>186800</v>
      </c>
      <c r="G128" s="4">
        <v>39228</v>
      </c>
      <c r="H128" s="4">
        <v>234548</v>
      </c>
      <c r="I128" s="188" t="str">
        <f>VLOOKUP(C128,CATEGORIZACION!$A$1:$C$269,2,FALSE)</f>
        <v>TRANSPORTE</v>
      </c>
      <c r="J128" s="188" t="s">
        <v>19</v>
      </c>
    </row>
    <row r="129" spans="1:10" ht="15.75" customHeight="1" x14ac:dyDescent="0.25">
      <c r="A129" s="1">
        <v>44957</v>
      </c>
      <c r="B129" s="188" t="s">
        <v>181</v>
      </c>
      <c r="C129" s="188" t="s">
        <v>182</v>
      </c>
      <c r="D129" s="188" t="s">
        <v>183</v>
      </c>
      <c r="E129" s="4">
        <v>0</v>
      </c>
      <c r="F129" s="5">
        <v>116198.35</v>
      </c>
      <c r="G129" s="4">
        <v>24401.65</v>
      </c>
      <c r="H129" s="4">
        <v>140600</v>
      </c>
      <c r="I129" s="188" t="str">
        <f>VLOOKUP(C129,CATEGORIZACION!$A$1:$C$269,2,FALSE)</f>
        <v>PROOVEDORES</v>
      </c>
      <c r="J129" s="188" t="str">
        <f>VLOOKUP(C129,CATEGORIZACION!$A$1:$C$269,3,FALSE)</f>
        <v>LOGISTICA</v>
      </c>
    </row>
    <row r="130" spans="1:10" ht="15.75" customHeight="1" x14ac:dyDescent="0.25">
      <c r="A130" s="1">
        <v>44957</v>
      </c>
      <c r="B130" s="188" t="s">
        <v>184</v>
      </c>
      <c r="C130" s="188" t="s">
        <v>36</v>
      </c>
      <c r="D130" s="188" t="s">
        <v>37</v>
      </c>
      <c r="E130" s="4">
        <v>5700</v>
      </c>
      <c r="F130" s="5">
        <v>40150</v>
      </c>
      <c r="G130" s="4">
        <v>8431.5</v>
      </c>
      <c r="H130" s="4">
        <v>54281.5</v>
      </c>
      <c r="I130" s="188" t="str">
        <f>VLOOKUP(C130,CATEGORIZACION!$A$1:$C$269,2,FALSE)</f>
        <v>TRANSPORTE</v>
      </c>
      <c r="J130" s="188" t="s">
        <v>19</v>
      </c>
    </row>
    <row r="131" spans="1:10" ht="15.75" customHeight="1" x14ac:dyDescent="0.25">
      <c r="A131" s="1">
        <v>44957</v>
      </c>
      <c r="B131" s="188" t="s">
        <v>185</v>
      </c>
      <c r="C131" s="188" t="s">
        <v>36</v>
      </c>
      <c r="D131" s="188" t="s">
        <v>37</v>
      </c>
      <c r="E131" s="4">
        <v>6500</v>
      </c>
      <c r="F131" s="5">
        <v>51300</v>
      </c>
      <c r="G131" s="4">
        <v>10773</v>
      </c>
      <c r="H131" s="4">
        <v>68573</v>
      </c>
      <c r="I131" s="188" t="str">
        <f>VLOOKUP(C131,CATEGORIZACION!$A$1:$C$269,2,FALSE)</f>
        <v>TRANSPORTE</v>
      </c>
      <c r="J131" s="188" t="s">
        <v>19</v>
      </c>
    </row>
    <row r="132" spans="1:10" ht="15.75" customHeight="1" x14ac:dyDescent="0.25">
      <c r="A132" s="1">
        <v>44957</v>
      </c>
      <c r="B132" s="188" t="s">
        <v>186</v>
      </c>
      <c r="C132" s="188" t="s">
        <v>36</v>
      </c>
      <c r="D132" s="188" t="s">
        <v>37</v>
      </c>
      <c r="E132" s="4">
        <v>5700</v>
      </c>
      <c r="F132" s="5">
        <v>49800</v>
      </c>
      <c r="G132" s="4">
        <v>10458</v>
      </c>
      <c r="H132" s="4">
        <v>65958</v>
      </c>
      <c r="I132" s="188" t="str">
        <f>VLOOKUP(C132,CATEGORIZACION!$A$1:$C$269,2,FALSE)</f>
        <v>TRANSPORTE</v>
      </c>
      <c r="J132" s="188" t="s">
        <v>19</v>
      </c>
    </row>
    <row r="133" spans="1:10" ht="15.75" customHeight="1" x14ac:dyDescent="0.25">
      <c r="A133" s="1">
        <v>44957</v>
      </c>
      <c r="B133" s="188" t="s">
        <v>187</v>
      </c>
      <c r="C133" s="188" t="s">
        <v>36</v>
      </c>
      <c r="D133" s="188" t="s">
        <v>37</v>
      </c>
      <c r="E133" s="4">
        <v>5700</v>
      </c>
      <c r="F133" s="5">
        <v>49800</v>
      </c>
      <c r="G133" s="4">
        <v>10458</v>
      </c>
      <c r="H133" s="4">
        <v>65958</v>
      </c>
      <c r="I133" s="188" t="str">
        <f>VLOOKUP(C133,CATEGORIZACION!$A$1:$C$269,2,FALSE)</f>
        <v>TRANSPORTE</v>
      </c>
      <c r="J133" s="188" t="s">
        <v>19</v>
      </c>
    </row>
    <row r="134" spans="1:10" ht="15.75" customHeight="1" x14ac:dyDescent="0.25">
      <c r="A134" s="1">
        <v>44957</v>
      </c>
      <c r="B134" s="188" t="s">
        <v>82</v>
      </c>
      <c r="C134" s="188" t="s">
        <v>188</v>
      </c>
      <c r="D134" s="188">
        <v>0</v>
      </c>
      <c r="E134" s="4">
        <v>0</v>
      </c>
      <c r="F134" s="3">
        <v>922716</v>
      </c>
      <c r="G134" s="4">
        <v>0</v>
      </c>
      <c r="H134" s="4">
        <v>922716</v>
      </c>
      <c r="I134" s="188" t="str">
        <f>VLOOKUP(C134,CATEGORIZACION!$A$1:$C$269,2,FALSE)</f>
        <v>SUELDOS</v>
      </c>
      <c r="J134" s="188" t="s">
        <v>103</v>
      </c>
    </row>
    <row r="135" spans="1:10" ht="15.75" customHeight="1" x14ac:dyDescent="0.25">
      <c r="A135" s="1">
        <v>44957</v>
      </c>
      <c r="B135" s="188" t="s">
        <v>82</v>
      </c>
      <c r="C135" s="188" t="s">
        <v>189</v>
      </c>
      <c r="D135" s="188">
        <v>0</v>
      </c>
      <c r="E135" s="4">
        <v>0</v>
      </c>
      <c r="F135" s="3">
        <v>344500</v>
      </c>
      <c r="G135" s="4">
        <v>0</v>
      </c>
      <c r="H135" s="4">
        <v>344500</v>
      </c>
      <c r="I135" s="188" t="str">
        <f>VLOOKUP(C135,CATEGORIZACION!$A$1:$C$269,2,FALSE)</f>
        <v>SUELDOS</v>
      </c>
      <c r="J135" s="188" t="s">
        <v>103</v>
      </c>
    </row>
    <row r="136" spans="1:10" ht="15.75" customHeight="1" x14ac:dyDescent="0.25">
      <c r="A136" s="1">
        <v>44957</v>
      </c>
      <c r="B136" s="188" t="s">
        <v>82</v>
      </c>
      <c r="C136" s="188" t="s">
        <v>190</v>
      </c>
      <c r="D136" s="188">
        <v>0</v>
      </c>
      <c r="E136" s="4">
        <v>0</v>
      </c>
      <c r="F136" s="5">
        <v>1551109</v>
      </c>
      <c r="G136" s="4">
        <v>0</v>
      </c>
      <c r="H136" s="4">
        <v>1551109</v>
      </c>
      <c r="I136" s="188" t="str">
        <f>VLOOKUP(C136,CATEGORIZACION!$A$1:$C$269,2,FALSE)</f>
        <v>SUELDOS</v>
      </c>
      <c r="J136" s="188" t="s">
        <v>19</v>
      </c>
    </row>
    <row r="137" spans="1:10" ht="15.75" customHeight="1" x14ac:dyDescent="0.25">
      <c r="A137" s="1">
        <v>44957</v>
      </c>
      <c r="B137" s="188" t="s">
        <v>82</v>
      </c>
      <c r="C137" s="188" t="s">
        <v>191</v>
      </c>
      <c r="D137" s="188">
        <v>0</v>
      </c>
      <c r="E137" s="4">
        <v>0</v>
      </c>
      <c r="F137" s="5">
        <v>209550</v>
      </c>
      <c r="G137" s="4">
        <v>0</v>
      </c>
      <c r="H137" s="4">
        <v>209550</v>
      </c>
      <c r="I137" s="188" t="str">
        <f>VLOOKUP(C137,CATEGORIZACION!$A$1:$C$269,2,FALSE)</f>
        <v>SUELDOS</v>
      </c>
      <c r="J137" s="188" t="s">
        <v>19</v>
      </c>
    </row>
    <row r="138" spans="1:10" ht="15.75" customHeight="1" x14ac:dyDescent="0.25">
      <c r="A138" s="1">
        <v>44957</v>
      </c>
      <c r="B138" s="188" t="s">
        <v>82</v>
      </c>
      <c r="C138" s="188" t="s">
        <v>192</v>
      </c>
      <c r="D138" s="188">
        <v>0</v>
      </c>
      <c r="E138" s="4">
        <v>0</v>
      </c>
      <c r="F138" s="3">
        <v>0</v>
      </c>
      <c r="G138" s="4">
        <v>0</v>
      </c>
      <c r="H138" s="4">
        <v>0</v>
      </c>
      <c r="I138" s="188" t="str">
        <f>VLOOKUP(C138,CATEGORIZACION!$A$1:$C$269,2,FALSE)</f>
        <v>SUELDOS</v>
      </c>
      <c r="J138" s="188" t="s">
        <v>103</v>
      </c>
    </row>
    <row r="139" spans="1:10" ht="15.75" customHeight="1" x14ac:dyDescent="0.25">
      <c r="A139" s="1">
        <v>44957</v>
      </c>
      <c r="B139" s="188" t="s">
        <v>82</v>
      </c>
      <c r="C139" s="188" t="s">
        <v>193</v>
      </c>
      <c r="D139" s="188">
        <v>0</v>
      </c>
      <c r="E139" s="4">
        <v>0</v>
      </c>
      <c r="F139" s="5">
        <v>0</v>
      </c>
      <c r="G139" s="4">
        <v>0</v>
      </c>
      <c r="H139" s="4">
        <v>0</v>
      </c>
      <c r="I139" s="188" t="str">
        <f>VLOOKUP(C139,CATEGORIZACION!$A$1:$C$269,2,FALSE)</f>
        <v>SUELDOS</v>
      </c>
      <c r="J139" s="188" t="s">
        <v>19</v>
      </c>
    </row>
    <row r="140" spans="1:10" ht="15.75" customHeight="1" x14ac:dyDescent="0.25">
      <c r="A140" s="1">
        <v>44957</v>
      </c>
      <c r="B140" s="188" t="s">
        <v>82</v>
      </c>
      <c r="C140" s="188" t="s">
        <v>194</v>
      </c>
      <c r="D140" s="188">
        <v>0</v>
      </c>
      <c r="E140" s="4">
        <v>0</v>
      </c>
      <c r="F140" s="3">
        <v>747000</v>
      </c>
      <c r="G140" s="4">
        <v>0</v>
      </c>
      <c r="H140" s="4">
        <v>747000</v>
      </c>
      <c r="I140" s="188" t="str">
        <f>VLOOKUP(C140,CATEGORIZACION!$A$1:$C$269,2,FALSE)</f>
        <v>ALQUILER</v>
      </c>
      <c r="J140" s="188" t="s">
        <v>103</v>
      </c>
    </row>
    <row r="141" spans="1:10" ht="15.75" customHeight="1" x14ac:dyDescent="0.25">
      <c r="A141" s="1">
        <v>44957</v>
      </c>
      <c r="B141" s="188" t="s">
        <v>82</v>
      </c>
      <c r="C141" s="188" t="s">
        <v>195</v>
      </c>
      <c r="D141" s="188">
        <v>0</v>
      </c>
      <c r="E141" s="4">
        <v>0</v>
      </c>
      <c r="F141" s="3">
        <v>0</v>
      </c>
      <c r="G141" s="4">
        <v>0</v>
      </c>
      <c r="H141" s="4">
        <v>0</v>
      </c>
      <c r="I141" s="188" t="str">
        <f>VLOOKUP(C141,CATEGORIZACION!$A$1:$C$269,2,FALSE)</f>
        <v>ALQUILER</v>
      </c>
      <c r="J141" s="188" t="s">
        <v>103</v>
      </c>
    </row>
    <row r="142" spans="1:10" ht="15.75" customHeight="1" x14ac:dyDescent="0.25">
      <c r="A142" s="1">
        <v>44957</v>
      </c>
      <c r="B142" s="188" t="s">
        <v>82</v>
      </c>
      <c r="C142" s="188" t="s">
        <v>196</v>
      </c>
      <c r="D142" s="188">
        <v>0</v>
      </c>
      <c r="E142" s="4">
        <v>0</v>
      </c>
      <c r="F142" s="3">
        <v>141717</v>
      </c>
      <c r="G142" s="4">
        <v>0</v>
      </c>
      <c r="H142" s="4">
        <v>141717</v>
      </c>
      <c r="I142" s="188" t="str">
        <f>VLOOKUP(C142,CATEGORIZACION!$A$1:$C$269,2,FALSE)</f>
        <v>ALQUILER</v>
      </c>
      <c r="J142" s="188" t="s">
        <v>103</v>
      </c>
    </row>
    <row r="143" spans="1:10" ht="15.75" customHeight="1" x14ac:dyDescent="0.25">
      <c r="A143" s="1">
        <v>44957</v>
      </c>
      <c r="B143" s="188" t="s">
        <v>82</v>
      </c>
      <c r="C143" s="188" t="s">
        <v>197</v>
      </c>
      <c r="D143" s="188">
        <v>0</v>
      </c>
      <c r="E143" s="4">
        <v>0</v>
      </c>
      <c r="F143" s="3">
        <v>55832</v>
      </c>
      <c r="G143" s="4">
        <v>0</v>
      </c>
      <c r="H143" s="4">
        <v>55832</v>
      </c>
      <c r="I143" s="188" t="str">
        <f>VLOOKUP(C143,CATEGORIZACION!$A$1:$C$269,2,FALSE)</f>
        <v>ALQUILER</v>
      </c>
      <c r="J143" s="188" t="s">
        <v>103</v>
      </c>
    </row>
    <row r="144" spans="1:10" ht="15.75" customHeight="1" x14ac:dyDescent="0.25">
      <c r="A144" s="1">
        <v>44957</v>
      </c>
      <c r="B144" s="188" t="s">
        <v>82</v>
      </c>
      <c r="C144" s="188" t="s">
        <v>198</v>
      </c>
      <c r="D144" s="188">
        <v>0</v>
      </c>
      <c r="E144" s="4">
        <v>0</v>
      </c>
      <c r="F144" s="5">
        <v>160000</v>
      </c>
      <c r="G144" s="4">
        <v>0</v>
      </c>
      <c r="H144" s="4">
        <v>160000</v>
      </c>
      <c r="I144" s="188" t="str">
        <f>VLOOKUP(C144,CATEGORIZACION!$A$1:$C$269,2,FALSE)</f>
        <v>ALQUILER</v>
      </c>
      <c r="J144" s="188" t="s">
        <v>19</v>
      </c>
    </row>
    <row r="145" spans="1:10" ht="15.75" customHeight="1" x14ac:dyDescent="0.25">
      <c r="A145" s="1">
        <v>44957</v>
      </c>
      <c r="B145" s="188" t="s">
        <v>82</v>
      </c>
      <c r="C145" s="188" t="s">
        <v>199</v>
      </c>
      <c r="D145" s="188">
        <v>0</v>
      </c>
      <c r="E145" s="4">
        <v>0</v>
      </c>
      <c r="F145" s="3">
        <v>18510</v>
      </c>
      <c r="G145" s="4">
        <v>0</v>
      </c>
      <c r="H145" s="4">
        <v>248665</v>
      </c>
      <c r="I145" s="188" t="str">
        <f>VLOOKUP(C145,CATEGORIZACION!$A$1:$C$269,2,FALSE)</f>
        <v>PROOVEDORES</v>
      </c>
      <c r="J145" s="188" t="str">
        <f>VLOOKUP(C145,CATEGORIZACION!$A$1:$C$269,3,FALSE)</f>
        <v>DEPOSITO</v>
      </c>
    </row>
    <row r="146" spans="1:10" ht="15.75" customHeight="1" x14ac:dyDescent="0.25">
      <c r="A146" s="1">
        <v>44957</v>
      </c>
      <c r="B146" s="188" t="s">
        <v>82</v>
      </c>
      <c r="C146" s="188" t="s">
        <v>200</v>
      </c>
      <c r="D146" s="188">
        <v>0</v>
      </c>
      <c r="E146" s="4">
        <v>0</v>
      </c>
      <c r="F146" s="5">
        <v>331400</v>
      </c>
      <c r="G146" s="4">
        <v>0</v>
      </c>
      <c r="H146" s="4">
        <v>331400</v>
      </c>
      <c r="I146" s="188" t="str">
        <f>VLOOKUP(C146,CATEGORIZACION!$A$1:$C$269,2,FALSE)</f>
        <v>PROOVEDORES</v>
      </c>
      <c r="J146" s="188" t="str">
        <f>VLOOKUP(C146,CATEGORIZACION!$A$1:$C$269,3,FALSE)</f>
        <v>LOGISTICA</v>
      </c>
    </row>
    <row r="147" spans="1:10" ht="15.75" customHeight="1" x14ac:dyDescent="0.25">
      <c r="A147" s="1">
        <v>44957</v>
      </c>
      <c r="B147" s="188" t="s">
        <v>82</v>
      </c>
      <c r="C147" s="188" t="s">
        <v>201</v>
      </c>
      <c r="D147" s="188">
        <v>0</v>
      </c>
      <c r="E147" s="4">
        <v>0</v>
      </c>
      <c r="F147" s="5">
        <v>157759</v>
      </c>
      <c r="G147" s="4">
        <v>0</v>
      </c>
      <c r="H147" s="4">
        <v>157759</v>
      </c>
      <c r="I147" s="188" t="str">
        <f>VLOOKUP(C147,CATEGORIZACION!$A$1:$C$269,2,FALSE)</f>
        <v>PROOVEDORES</v>
      </c>
      <c r="J147" s="188" t="str">
        <f>VLOOKUP(C147,CATEGORIZACION!$A$1:$C$269,3,FALSE)</f>
        <v>LOGISTICA</v>
      </c>
    </row>
    <row r="148" spans="1:10" ht="15.75" customHeight="1" x14ac:dyDescent="0.25">
      <c r="A148" s="1">
        <v>44957</v>
      </c>
      <c r="B148" s="188" t="s">
        <v>82</v>
      </c>
      <c r="C148" s="188" t="s">
        <v>202</v>
      </c>
      <c r="D148" s="188">
        <v>0</v>
      </c>
      <c r="E148" s="4">
        <v>0</v>
      </c>
      <c r="F148" s="5">
        <v>395503</v>
      </c>
      <c r="G148" s="4">
        <v>0</v>
      </c>
      <c r="H148" s="4">
        <v>395503</v>
      </c>
      <c r="I148" s="188" t="str">
        <f>VLOOKUP(C148,CATEGORIZACION!$A$1:$C$269,2,FALSE)</f>
        <v>PROOVEDORES</v>
      </c>
      <c r="J148" s="188" t="str">
        <f>VLOOKUP(C148,CATEGORIZACION!$A$1:$C$269,3,FALSE)</f>
        <v>LOGISTICA</v>
      </c>
    </row>
    <row r="149" spans="1:10" ht="15.75" customHeight="1" x14ac:dyDescent="0.25">
      <c r="A149" s="1">
        <v>44957</v>
      </c>
      <c r="B149" s="188" t="s">
        <v>82</v>
      </c>
      <c r="C149" s="188" t="s">
        <v>203</v>
      </c>
      <c r="D149" s="188">
        <v>0</v>
      </c>
      <c r="E149" s="4">
        <v>0</v>
      </c>
      <c r="F149" s="5">
        <v>134770.87</v>
      </c>
      <c r="G149" s="4">
        <v>0</v>
      </c>
      <c r="H149" s="4">
        <v>134770.87</v>
      </c>
      <c r="I149" s="188" t="str">
        <f>VLOOKUP(C149,CATEGORIZACION!$A$1:$C$269,2,FALSE)</f>
        <v>PROOVEDORES</v>
      </c>
      <c r="J149" s="188" t="str">
        <f>VLOOKUP(C149,CATEGORIZACION!$A$1:$C$269,3,FALSE)</f>
        <v>LOGISTICA</v>
      </c>
    </row>
    <row r="150" spans="1:10" ht="15.75" customHeight="1" x14ac:dyDescent="0.25">
      <c r="A150" s="1">
        <v>44957</v>
      </c>
      <c r="B150" s="188" t="s">
        <v>82</v>
      </c>
      <c r="C150" s="188" t="s">
        <v>204</v>
      </c>
      <c r="D150" s="188">
        <v>0</v>
      </c>
      <c r="E150" s="4">
        <v>0</v>
      </c>
      <c r="F150" s="5">
        <v>302263</v>
      </c>
      <c r="G150" s="4">
        <v>0</v>
      </c>
      <c r="H150" s="4">
        <v>302263</v>
      </c>
      <c r="I150" s="188" t="str">
        <f>VLOOKUP(C150,CATEGORIZACION!$A$1:$C$269,2,FALSE)</f>
        <v>PROOVEDORES</v>
      </c>
      <c r="J150" s="188" t="str">
        <f>VLOOKUP(C150,CATEGORIZACION!$A$1:$C$269,3,FALSE)</f>
        <v>LOGISTICA</v>
      </c>
    </row>
    <row r="151" spans="1:10" ht="15.75" customHeight="1" x14ac:dyDescent="0.25">
      <c r="A151" s="1">
        <v>44957</v>
      </c>
      <c r="B151" s="188" t="s">
        <v>82</v>
      </c>
      <c r="C151" s="188" t="s">
        <v>205</v>
      </c>
      <c r="D151" s="188">
        <v>0</v>
      </c>
      <c r="E151" s="4">
        <v>0</v>
      </c>
      <c r="F151" s="5">
        <v>149270</v>
      </c>
      <c r="G151" s="4">
        <v>0</v>
      </c>
      <c r="H151" s="4">
        <v>149270</v>
      </c>
      <c r="I151" s="188" t="str">
        <f>VLOOKUP(C151,CATEGORIZACION!$A$1:$C$269,2,FALSE)</f>
        <v>AFIP</v>
      </c>
      <c r="J151" s="188" t="s">
        <v>19</v>
      </c>
    </row>
    <row r="152" spans="1:10" ht="15.75" customHeight="1" x14ac:dyDescent="0.25">
      <c r="A152" s="1">
        <v>44957</v>
      </c>
      <c r="B152" s="188" t="s">
        <v>82</v>
      </c>
      <c r="C152" s="188" t="s">
        <v>206</v>
      </c>
      <c r="D152" s="188">
        <v>0</v>
      </c>
      <c r="E152" s="4">
        <v>0</v>
      </c>
      <c r="F152" s="5">
        <v>481964</v>
      </c>
      <c r="G152" s="4">
        <v>0</v>
      </c>
      <c r="H152" s="4">
        <v>803272</v>
      </c>
      <c r="I152" s="188" t="str">
        <f>VLOOKUP(C152,CATEGORIZACION!$A$1:$C$269,2,FALSE)</f>
        <v>AFIP</v>
      </c>
      <c r="J152" s="188" t="s">
        <v>19</v>
      </c>
    </row>
    <row r="153" spans="1:10" ht="15.75" customHeight="1" x14ac:dyDescent="0.25">
      <c r="A153" s="1">
        <v>44957</v>
      </c>
      <c r="B153" s="188" t="s">
        <v>82</v>
      </c>
      <c r="C153" s="188" t="s">
        <v>207</v>
      </c>
      <c r="D153" s="188">
        <v>0</v>
      </c>
      <c r="E153" s="4">
        <v>0</v>
      </c>
      <c r="F153" s="5">
        <v>143857</v>
      </c>
      <c r="G153" s="4">
        <v>0</v>
      </c>
      <c r="H153" s="4">
        <v>143857</v>
      </c>
      <c r="I153" s="188" t="str">
        <f>VLOOKUP(C153,CATEGORIZACION!$A$1:$C$269,2,FALSE)</f>
        <v>AFIP</v>
      </c>
      <c r="J153" s="188" t="s">
        <v>19</v>
      </c>
    </row>
    <row r="154" spans="1:10" ht="15.75" customHeight="1" x14ac:dyDescent="0.25">
      <c r="A154" s="1">
        <v>44957</v>
      </c>
      <c r="B154" s="188" t="s">
        <v>82</v>
      </c>
      <c r="C154" s="188" t="s">
        <v>208</v>
      </c>
      <c r="D154" s="188">
        <v>0</v>
      </c>
      <c r="E154" s="4">
        <v>0</v>
      </c>
      <c r="F154" s="5">
        <v>0</v>
      </c>
      <c r="G154" s="4">
        <v>0</v>
      </c>
      <c r="H154" s="4">
        <v>0</v>
      </c>
      <c r="I154" s="188" t="str">
        <f>VLOOKUP(C154,CATEGORIZACION!$A$1:$C$269,2,FALSE)</f>
        <v>AFIP</v>
      </c>
      <c r="J154" s="188" t="s">
        <v>19</v>
      </c>
    </row>
    <row r="155" spans="1:10" ht="15.75" customHeight="1" x14ac:dyDescent="0.25">
      <c r="A155" s="1">
        <v>44957</v>
      </c>
      <c r="B155" s="188" t="s">
        <v>82</v>
      </c>
      <c r="C155" s="188" t="s">
        <v>209</v>
      </c>
      <c r="D155" s="188">
        <v>0</v>
      </c>
      <c r="E155" s="4">
        <v>0</v>
      </c>
      <c r="F155" s="5">
        <v>20233</v>
      </c>
      <c r="G155" s="4">
        <v>0</v>
      </c>
      <c r="H155" s="4">
        <v>20233</v>
      </c>
      <c r="I155" s="188" t="str">
        <f>VLOOKUP(C155,CATEGORIZACION!$A$1:$C$269,2,FALSE)</f>
        <v>PROOVEDORES</v>
      </c>
      <c r="J155" s="188" t="str">
        <f>VLOOKUP(C155,CATEGORIZACION!$A$1:$C$269,3,FALSE)</f>
        <v>LOGISTICA</v>
      </c>
    </row>
    <row r="156" spans="1:10" ht="15.75" customHeight="1" x14ac:dyDescent="0.25">
      <c r="A156" s="1">
        <v>44957</v>
      </c>
      <c r="B156" s="188" t="s">
        <v>82</v>
      </c>
      <c r="C156" s="188" t="s">
        <v>210</v>
      </c>
      <c r="D156" s="188">
        <v>0</v>
      </c>
      <c r="E156" s="4">
        <v>0</v>
      </c>
      <c r="F156" s="5">
        <v>113208</v>
      </c>
      <c r="G156" s="4">
        <v>0</v>
      </c>
      <c r="H156" s="4">
        <v>113208</v>
      </c>
      <c r="I156" s="188" t="str">
        <f>VLOOKUP(C156,CATEGORIZACION!$A$1:$C$269,2,FALSE)</f>
        <v>PROOVEDORES</v>
      </c>
      <c r="J156" s="188" t="str">
        <f>VLOOKUP(C156,CATEGORIZACION!$A$1:$C$269,3,FALSE)</f>
        <v>LOGISTICA</v>
      </c>
    </row>
    <row r="157" spans="1:10" ht="15.75" customHeight="1" x14ac:dyDescent="0.25">
      <c r="A157" s="1">
        <v>44957</v>
      </c>
      <c r="B157" s="188" t="s">
        <v>82</v>
      </c>
      <c r="C157" s="188" t="s">
        <v>211</v>
      </c>
      <c r="D157" s="188">
        <v>0</v>
      </c>
      <c r="E157" s="4">
        <v>0</v>
      </c>
      <c r="F157" s="5">
        <v>11035</v>
      </c>
      <c r="G157" s="4">
        <v>0</v>
      </c>
      <c r="H157" s="4">
        <v>11035</v>
      </c>
      <c r="I157" s="188" t="str">
        <f>VLOOKUP(C157,CATEGORIZACION!$A$1:$C$269,2,FALSE)</f>
        <v>PROOVEDORES</v>
      </c>
      <c r="J157" s="188" t="str">
        <f>VLOOKUP(C157,CATEGORIZACION!$A$1:$C$269,3,FALSE)</f>
        <v>LOGISTICA</v>
      </c>
    </row>
    <row r="158" spans="1:10" ht="15.75" customHeight="1" x14ac:dyDescent="0.25">
      <c r="A158" s="1">
        <v>44957</v>
      </c>
      <c r="B158" s="188" t="s">
        <v>82</v>
      </c>
      <c r="C158" s="188" t="s">
        <v>212</v>
      </c>
      <c r="D158" s="188">
        <v>0</v>
      </c>
      <c r="E158" s="4">
        <v>0</v>
      </c>
      <c r="F158" s="5">
        <v>63187</v>
      </c>
      <c r="G158" s="4">
        <v>0</v>
      </c>
      <c r="H158" s="4">
        <v>63187</v>
      </c>
      <c r="I158" s="188" t="str">
        <f>VLOOKUP(C158,CATEGORIZACION!$A$1:$C$269,2,FALSE)</f>
        <v>PROOVEDORES</v>
      </c>
      <c r="J158" s="188" t="str">
        <f>VLOOKUP(C158,CATEGORIZACION!$A$1:$C$269,3,FALSE)</f>
        <v>LOGISTICA</v>
      </c>
    </row>
    <row r="159" spans="1:10" ht="15.75" customHeight="1" x14ac:dyDescent="0.25">
      <c r="A159" s="1">
        <v>44957</v>
      </c>
      <c r="B159" s="188" t="s">
        <v>82</v>
      </c>
      <c r="C159" s="188" t="s">
        <v>213</v>
      </c>
      <c r="D159" s="188">
        <v>0</v>
      </c>
      <c r="E159" s="4">
        <v>0</v>
      </c>
      <c r="F159" s="5">
        <v>39000</v>
      </c>
      <c r="G159" s="4">
        <v>0</v>
      </c>
      <c r="H159" s="4">
        <v>39000</v>
      </c>
      <c r="I159" s="188" t="str">
        <f>VLOOKUP(C159,CATEGORIZACION!$A$1:$C$269,2,FALSE)</f>
        <v>AFIP</v>
      </c>
      <c r="J159" s="188" t="s">
        <v>19</v>
      </c>
    </row>
    <row r="160" spans="1:10" ht="15.75" customHeight="1" x14ac:dyDescent="0.25">
      <c r="A160" s="1">
        <v>44957</v>
      </c>
      <c r="B160" s="188" t="s">
        <v>82</v>
      </c>
      <c r="C160" s="188" t="s">
        <v>214</v>
      </c>
      <c r="D160" s="188">
        <v>0</v>
      </c>
      <c r="E160" s="4">
        <v>0</v>
      </c>
      <c r="F160" s="5">
        <v>45000</v>
      </c>
      <c r="G160" s="4">
        <v>0</v>
      </c>
      <c r="H160" s="4">
        <v>45000</v>
      </c>
      <c r="I160" s="188" t="str">
        <f>VLOOKUP(C160,CATEGORIZACION!$A$1:$C$269,2,FALSE)</f>
        <v>PROOVEDORES</v>
      </c>
      <c r="J160" s="188" t="str">
        <f>VLOOKUP(C160,CATEGORIZACION!$A$1:$C$269,3,FALSE)</f>
        <v>LOGISTICA</v>
      </c>
    </row>
    <row r="161" spans="1:10" ht="15.75" customHeight="1" x14ac:dyDescent="0.25">
      <c r="A161" s="1">
        <v>44958</v>
      </c>
      <c r="B161" s="188" t="s">
        <v>215</v>
      </c>
      <c r="C161" s="188" t="s">
        <v>14</v>
      </c>
      <c r="D161" s="188" t="s">
        <v>15</v>
      </c>
      <c r="E161" s="4">
        <v>0</v>
      </c>
      <c r="F161" s="3">
        <v>23280</v>
      </c>
      <c r="G161" s="4">
        <v>4888.8</v>
      </c>
      <c r="H161" s="4">
        <v>28168.799999999999</v>
      </c>
      <c r="I161" s="188" t="str">
        <f>VLOOKUP(C161,CATEGORIZACION!$A$1:$C$269,2,FALSE)</f>
        <v>PROOVEDORES</v>
      </c>
      <c r="J161" s="188" t="str">
        <f>VLOOKUP(C161,CATEGORIZACION!$A$1:$C$269,3,FALSE)</f>
        <v>DEPOSITO</v>
      </c>
    </row>
    <row r="162" spans="1:10" ht="15.75" customHeight="1" x14ac:dyDescent="0.25">
      <c r="A162" s="1">
        <v>44958</v>
      </c>
      <c r="B162" s="188" t="s">
        <v>216</v>
      </c>
      <c r="C162" s="188" t="s">
        <v>17</v>
      </c>
      <c r="D162" s="188" t="s">
        <v>18</v>
      </c>
      <c r="E162" s="4">
        <v>25560</v>
      </c>
      <c r="F162" s="5">
        <v>235000</v>
      </c>
      <c r="G162" s="4">
        <v>49350</v>
      </c>
      <c r="H162" s="4">
        <v>309910</v>
      </c>
      <c r="I162" s="188" t="str">
        <f>VLOOKUP(C162,CATEGORIZACION!$A$1:$C$269,2,FALSE)</f>
        <v>TRANSPORTE</v>
      </c>
      <c r="J162" s="188" t="s">
        <v>19</v>
      </c>
    </row>
    <row r="163" spans="1:10" ht="15.75" customHeight="1" x14ac:dyDescent="0.25">
      <c r="A163" s="1">
        <v>44958</v>
      </c>
      <c r="B163" s="188" t="s">
        <v>217</v>
      </c>
      <c r="C163" s="188" t="s">
        <v>218</v>
      </c>
      <c r="D163" s="188" t="s">
        <v>219</v>
      </c>
      <c r="E163" s="4">
        <v>0</v>
      </c>
      <c r="F163" s="5">
        <v>92302.36</v>
      </c>
      <c r="G163" s="4">
        <v>19383.5</v>
      </c>
      <c r="H163" s="4">
        <v>111685.86</v>
      </c>
      <c r="I163" s="188" t="str">
        <f>VLOOKUP(C163,CATEGORIZACION!$A$1:$C$269,2,FALSE)</f>
        <v>PROOVEDORES</v>
      </c>
      <c r="J163" s="188" t="str">
        <f>VLOOKUP(C163,CATEGORIZACION!$A$1:$C$269,3,FALSE)</f>
        <v>LOGISTICA</v>
      </c>
    </row>
    <row r="164" spans="1:10" ht="15.75" customHeight="1" x14ac:dyDescent="0.25">
      <c r="A164" s="1">
        <v>44959</v>
      </c>
      <c r="B164" s="188" t="s">
        <v>220</v>
      </c>
      <c r="C164" s="188" t="s">
        <v>49</v>
      </c>
      <c r="D164" s="188" t="s">
        <v>50</v>
      </c>
      <c r="E164" s="4">
        <v>0</v>
      </c>
      <c r="F164" s="3">
        <v>93645</v>
      </c>
      <c r="G164" s="4">
        <v>19665.45</v>
      </c>
      <c r="H164" s="4">
        <v>113310.45</v>
      </c>
      <c r="I164" s="188" t="str">
        <f>VLOOKUP(C164,CATEGORIZACION!$A$1:$C$269,2,FALSE)</f>
        <v>PROOVEDORES</v>
      </c>
      <c r="J164" s="188" t="str">
        <f>VLOOKUP(C164,CATEGORIZACION!$A$1:$C$269,3,FALSE)</f>
        <v>DEPOSITO</v>
      </c>
    </row>
    <row r="165" spans="1:10" ht="15.75" customHeight="1" x14ac:dyDescent="0.25">
      <c r="A165" s="1">
        <v>44959</v>
      </c>
      <c r="B165" s="188" t="s">
        <v>221</v>
      </c>
      <c r="C165" s="188" t="s">
        <v>222</v>
      </c>
      <c r="D165" s="188" t="s">
        <v>223</v>
      </c>
      <c r="E165" s="4">
        <v>0</v>
      </c>
      <c r="F165" s="5">
        <v>35200</v>
      </c>
      <c r="G165" s="4">
        <v>7392</v>
      </c>
      <c r="H165" s="4">
        <v>42592</v>
      </c>
      <c r="I165" s="188" t="str">
        <f>VLOOKUP(C165,CATEGORIZACION!$A$1:$C$269,2,FALSE)</f>
        <v>PROOVEDORES</v>
      </c>
      <c r="J165" s="188" t="str">
        <f>VLOOKUP(C165,CATEGORIZACION!$A$1:$C$269,3,FALSE)</f>
        <v>LOGISTICA</v>
      </c>
    </row>
    <row r="166" spans="1:10" ht="15.75" customHeight="1" x14ac:dyDescent="0.25">
      <c r="A166" s="1">
        <v>44960</v>
      </c>
      <c r="B166" s="188" t="s">
        <v>224</v>
      </c>
      <c r="C166" s="188" t="s">
        <v>21</v>
      </c>
      <c r="D166" s="188" t="s">
        <v>22</v>
      </c>
      <c r="E166" s="4">
        <v>22400</v>
      </c>
      <c r="F166" s="5">
        <v>529000</v>
      </c>
      <c r="G166" s="4">
        <v>111090</v>
      </c>
      <c r="H166" s="4">
        <v>662490</v>
      </c>
      <c r="I166" s="188" t="str">
        <f>VLOOKUP(C166,CATEGORIZACION!$A$1:$C$269,2,FALSE)</f>
        <v>TRANSPORTE</v>
      </c>
      <c r="J166" s="188" t="s">
        <v>19</v>
      </c>
    </row>
    <row r="167" spans="1:10" ht="15.75" customHeight="1" x14ac:dyDescent="0.25">
      <c r="A167" s="1">
        <v>44960</v>
      </c>
      <c r="B167" s="188" t="s">
        <v>225</v>
      </c>
      <c r="C167" s="188" t="s">
        <v>36</v>
      </c>
      <c r="D167" s="188" t="s">
        <v>37</v>
      </c>
      <c r="E167" s="4">
        <v>5700</v>
      </c>
      <c r="F167" s="5">
        <v>44165</v>
      </c>
      <c r="G167" s="4">
        <v>9274.65</v>
      </c>
      <c r="H167" s="4">
        <v>59139.65</v>
      </c>
      <c r="I167" s="188" t="str">
        <f>VLOOKUP(C167,CATEGORIZACION!$A$1:$C$269,2,FALSE)</f>
        <v>TRANSPORTE</v>
      </c>
      <c r="J167" s="188" t="s">
        <v>19</v>
      </c>
    </row>
    <row r="168" spans="1:10" ht="15.75" customHeight="1" x14ac:dyDescent="0.25">
      <c r="A168" s="1">
        <v>44960</v>
      </c>
      <c r="B168" s="188" t="s">
        <v>226</v>
      </c>
      <c r="C168" s="188" t="s">
        <v>36</v>
      </c>
      <c r="D168" s="188" t="s">
        <v>37</v>
      </c>
      <c r="E168" s="4">
        <v>5700</v>
      </c>
      <c r="F168" s="5">
        <v>40150</v>
      </c>
      <c r="G168" s="4">
        <v>8431.5</v>
      </c>
      <c r="H168" s="4">
        <v>54281.5</v>
      </c>
      <c r="I168" s="188" t="str">
        <f>VLOOKUP(C168,CATEGORIZACION!$A$1:$C$269,2,FALSE)</f>
        <v>TRANSPORTE</v>
      </c>
      <c r="J168" s="188" t="s">
        <v>19</v>
      </c>
    </row>
    <row r="169" spans="1:10" ht="15.75" customHeight="1" x14ac:dyDescent="0.25">
      <c r="A169" s="1">
        <v>44960</v>
      </c>
      <c r="B169" s="188" t="s">
        <v>227</v>
      </c>
      <c r="C169" s="188" t="s">
        <v>36</v>
      </c>
      <c r="D169" s="188" t="s">
        <v>37</v>
      </c>
      <c r="E169" s="4">
        <v>3800</v>
      </c>
      <c r="F169" s="5">
        <v>33800</v>
      </c>
      <c r="G169" s="4">
        <v>7098</v>
      </c>
      <c r="H169" s="4">
        <v>44698</v>
      </c>
      <c r="I169" s="188" t="str">
        <f>VLOOKUP(C169,CATEGORIZACION!$A$1:$C$269,2,FALSE)</f>
        <v>TRANSPORTE</v>
      </c>
      <c r="J169" s="188" t="s">
        <v>19</v>
      </c>
    </row>
    <row r="170" spans="1:10" ht="15.75" customHeight="1" x14ac:dyDescent="0.25">
      <c r="A170" s="1">
        <v>44960</v>
      </c>
      <c r="B170" s="188" t="s">
        <v>228</v>
      </c>
      <c r="C170" s="188" t="s">
        <v>36</v>
      </c>
      <c r="D170" s="188" t="s">
        <v>37</v>
      </c>
      <c r="E170" s="4">
        <v>5700</v>
      </c>
      <c r="F170" s="5">
        <v>40150</v>
      </c>
      <c r="G170" s="4">
        <v>8431.5</v>
      </c>
      <c r="H170" s="4">
        <v>54281.5</v>
      </c>
      <c r="I170" s="188" t="str">
        <f>VLOOKUP(C170,CATEGORIZACION!$A$1:$C$269,2,FALSE)</f>
        <v>TRANSPORTE</v>
      </c>
      <c r="J170" s="188" t="s">
        <v>19</v>
      </c>
    </row>
    <row r="171" spans="1:10" ht="15.75" customHeight="1" x14ac:dyDescent="0.25">
      <c r="A171" s="1">
        <v>44960</v>
      </c>
      <c r="B171" s="188" t="s">
        <v>229</v>
      </c>
      <c r="C171" s="188" t="s">
        <v>36</v>
      </c>
      <c r="D171" s="188" t="s">
        <v>37</v>
      </c>
      <c r="E171" s="4">
        <v>5700</v>
      </c>
      <c r="F171" s="5">
        <v>40150</v>
      </c>
      <c r="G171" s="4">
        <v>8431.5</v>
      </c>
      <c r="H171" s="4">
        <v>54281.5</v>
      </c>
      <c r="I171" s="188" t="str">
        <f>VLOOKUP(C171,CATEGORIZACION!$A$1:$C$269,2,FALSE)</f>
        <v>TRANSPORTE</v>
      </c>
      <c r="J171" s="188" t="s">
        <v>19</v>
      </c>
    </row>
    <row r="172" spans="1:10" ht="15.75" customHeight="1" x14ac:dyDescent="0.25">
      <c r="A172" s="1">
        <v>44960</v>
      </c>
      <c r="B172" s="188" t="s">
        <v>230</v>
      </c>
      <c r="C172" s="188" t="s">
        <v>36</v>
      </c>
      <c r="D172" s="188" t="s">
        <v>37</v>
      </c>
      <c r="E172" s="4">
        <v>3800</v>
      </c>
      <c r="F172" s="5">
        <v>33800</v>
      </c>
      <c r="G172" s="4">
        <v>7098</v>
      </c>
      <c r="H172" s="4">
        <v>44698</v>
      </c>
      <c r="I172" s="188" t="str">
        <f>VLOOKUP(C172,CATEGORIZACION!$A$1:$C$269,2,FALSE)</f>
        <v>TRANSPORTE</v>
      </c>
      <c r="J172" s="188" t="s">
        <v>19</v>
      </c>
    </row>
    <row r="173" spans="1:10" ht="15.75" customHeight="1" x14ac:dyDescent="0.25">
      <c r="A173" s="1">
        <v>44960</v>
      </c>
      <c r="B173" s="188" t="s">
        <v>231</v>
      </c>
      <c r="C173" s="188" t="s">
        <v>36</v>
      </c>
      <c r="D173" s="188" t="s">
        <v>37</v>
      </c>
      <c r="E173" s="4">
        <v>6500</v>
      </c>
      <c r="F173" s="5">
        <v>230700</v>
      </c>
      <c r="G173" s="4">
        <v>48447</v>
      </c>
      <c r="H173" s="4">
        <v>285647</v>
      </c>
      <c r="I173" s="188" t="str">
        <f>VLOOKUP(C173,CATEGORIZACION!$A$1:$C$269,2,FALSE)</f>
        <v>TRANSPORTE</v>
      </c>
      <c r="J173" s="188" t="s">
        <v>19</v>
      </c>
    </row>
    <row r="174" spans="1:10" ht="15.75" customHeight="1" x14ac:dyDescent="0.25">
      <c r="A174" s="1">
        <v>44960</v>
      </c>
      <c r="B174" s="188" t="s">
        <v>232</v>
      </c>
      <c r="C174" s="188" t="s">
        <v>36</v>
      </c>
      <c r="D174" s="188" t="s">
        <v>37</v>
      </c>
      <c r="E174" s="4">
        <v>6500</v>
      </c>
      <c r="F174" s="5">
        <v>230700</v>
      </c>
      <c r="G174" s="4">
        <v>48447</v>
      </c>
      <c r="H174" s="4">
        <v>285647</v>
      </c>
      <c r="I174" s="188" t="str">
        <f>VLOOKUP(C174,CATEGORIZACION!$A$1:$C$269,2,FALSE)</f>
        <v>TRANSPORTE</v>
      </c>
      <c r="J174" s="188" t="s">
        <v>19</v>
      </c>
    </row>
    <row r="175" spans="1:10" ht="15.75" customHeight="1" x14ac:dyDescent="0.25">
      <c r="A175" s="1">
        <v>44960</v>
      </c>
      <c r="B175" s="188" t="s">
        <v>233</v>
      </c>
      <c r="C175" s="188" t="s">
        <v>36</v>
      </c>
      <c r="D175" s="188" t="s">
        <v>37</v>
      </c>
      <c r="E175" s="4">
        <v>6500</v>
      </c>
      <c r="F175" s="5">
        <v>230700</v>
      </c>
      <c r="G175" s="4">
        <v>48447</v>
      </c>
      <c r="H175" s="4">
        <v>285647</v>
      </c>
      <c r="I175" s="188" t="str">
        <f>VLOOKUP(C175,CATEGORIZACION!$A$1:$C$269,2,FALSE)</f>
        <v>TRANSPORTE</v>
      </c>
      <c r="J175" s="188" t="s">
        <v>19</v>
      </c>
    </row>
    <row r="176" spans="1:10" ht="15.75" customHeight="1" x14ac:dyDescent="0.25">
      <c r="A176" s="1">
        <v>44963</v>
      </c>
      <c r="B176" s="188" t="s">
        <v>234</v>
      </c>
      <c r="C176" s="188" t="s">
        <v>36</v>
      </c>
      <c r="D176" s="188" t="s">
        <v>37</v>
      </c>
      <c r="E176" s="4">
        <v>5700</v>
      </c>
      <c r="F176" s="5">
        <v>44165</v>
      </c>
      <c r="G176" s="4">
        <v>9274.65</v>
      </c>
      <c r="H176" s="4">
        <v>59139.65</v>
      </c>
      <c r="I176" s="188" t="str">
        <f>VLOOKUP(C176,CATEGORIZACION!$A$1:$C$269,2,FALSE)</f>
        <v>TRANSPORTE</v>
      </c>
      <c r="J176" s="188" t="s">
        <v>19</v>
      </c>
    </row>
    <row r="177" spans="1:10" ht="15.75" customHeight="1" x14ac:dyDescent="0.25">
      <c r="A177" s="1">
        <v>44963</v>
      </c>
      <c r="B177" s="188" t="s">
        <v>235</v>
      </c>
      <c r="C177" s="188" t="s">
        <v>36</v>
      </c>
      <c r="D177" s="188" t="s">
        <v>37</v>
      </c>
      <c r="E177" s="4">
        <v>5700</v>
      </c>
      <c r="F177" s="5">
        <v>40150</v>
      </c>
      <c r="G177" s="4">
        <v>8431.5</v>
      </c>
      <c r="H177" s="4">
        <v>54281.5</v>
      </c>
      <c r="I177" s="188" t="str">
        <f>VLOOKUP(C177,CATEGORIZACION!$A$1:$C$269,2,FALSE)</f>
        <v>TRANSPORTE</v>
      </c>
      <c r="J177" s="188" t="s">
        <v>19</v>
      </c>
    </row>
    <row r="178" spans="1:10" ht="15.75" customHeight="1" x14ac:dyDescent="0.25">
      <c r="A178" s="1">
        <v>44963</v>
      </c>
      <c r="B178" s="188" t="s">
        <v>236</v>
      </c>
      <c r="C178" s="188" t="s">
        <v>36</v>
      </c>
      <c r="D178" s="188" t="s">
        <v>37</v>
      </c>
      <c r="E178" s="4">
        <v>5700</v>
      </c>
      <c r="F178" s="5">
        <v>44165</v>
      </c>
      <c r="G178" s="4">
        <v>9274.65</v>
      </c>
      <c r="H178" s="4">
        <v>59139.65</v>
      </c>
      <c r="I178" s="188" t="str">
        <f>VLOOKUP(C178,CATEGORIZACION!$A$1:$C$269,2,FALSE)</f>
        <v>TRANSPORTE</v>
      </c>
      <c r="J178" s="188" t="s">
        <v>19</v>
      </c>
    </row>
    <row r="179" spans="1:10" ht="15.75" customHeight="1" x14ac:dyDescent="0.25">
      <c r="A179" s="1">
        <v>44963</v>
      </c>
      <c r="B179" s="188" t="s">
        <v>237</v>
      </c>
      <c r="C179" s="188" t="s">
        <v>36</v>
      </c>
      <c r="D179" s="188" t="s">
        <v>37</v>
      </c>
      <c r="E179" s="4">
        <v>3800</v>
      </c>
      <c r="F179" s="5">
        <v>33800</v>
      </c>
      <c r="G179" s="4">
        <v>7098</v>
      </c>
      <c r="H179" s="4">
        <v>44698</v>
      </c>
      <c r="I179" s="188" t="str">
        <f>VLOOKUP(C179,CATEGORIZACION!$A$1:$C$269,2,FALSE)</f>
        <v>TRANSPORTE</v>
      </c>
      <c r="J179" s="188" t="s">
        <v>19</v>
      </c>
    </row>
    <row r="180" spans="1:10" ht="15.75" customHeight="1" x14ac:dyDescent="0.25">
      <c r="A180" s="1">
        <v>44963</v>
      </c>
      <c r="B180" s="188" t="s">
        <v>238</v>
      </c>
      <c r="C180" s="188" t="s">
        <v>36</v>
      </c>
      <c r="D180" s="188" t="s">
        <v>37</v>
      </c>
      <c r="E180" s="4">
        <v>6500</v>
      </c>
      <c r="F180" s="5">
        <v>77000</v>
      </c>
      <c r="G180" s="4">
        <v>16170</v>
      </c>
      <c r="H180" s="4">
        <v>99670</v>
      </c>
      <c r="I180" s="188" t="str">
        <f>VLOOKUP(C180,CATEGORIZACION!$A$1:$C$269,2,FALSE)</f>
        <v>TRANSPORTE</v>
      </c>
      <c r="J180" s="188" t="s">
        <v>19</v>
      </c>
    </row>
    <row r="181" spans="1:10" ht="15.75" customHeight="1" x14ac:dyDescent="0.25">
      <c r="A181" s="1">
        <v>44963</v>
      </c>
      <c r="B181" s="188" t="s">
        <v>239</v>
      </c>
      <c r="C181" s="188" t="s">
        <v>36</v>
      </c>
      <c r="D181" s="188" t="s">
        <v>37</v>
      </c>
      <c r="E181" s="4">
        <v>5700</v>
      </c>
      <c r="F181" s="5">
        <v>40150</v>
      </c>
      <c r="G181" s="4">
        <v>8431.5</v>
      </c>
      <c r="H181" s="4">
        <v>54281.5</v>
      </c>
      <c r="I181" s="188" t="str">
        <f>VLOOKUP(C181,CATEGORIZACION!$A$1:$C$269,2,FALSE)</f>
        <v>TRANSPORTE</v>
      </c>
      <c r="J181" s="188" t="s">
        <v>19</v>
      </c>
    </row>
    <row r="182" spans="1:10" ht="15.75" customHeight="1" x14ac:dyDescent="0.25">
      <c r="A182" s="1">
        <v>44963</v>
      </c>
      <c r="B182" s="188" t="s">
        <v>240</v>
      </c>
      <c r="C182" s="188" t="s">
        <v>36</v>
      </c>
      <c r="D182" s="188" t="s">
        <v>37</v>
      </c>
      <c r="E182" s="4">
        <v>3800</v>
      </c>
      <c r="F182" s="5">
        <v>33800</v>
      </c>
      <c r="G182" s="4">
        <v>7098</v>
      </c>
      <c r="H182" s="4">
        <v>44698</v>
      </c>
      <c r="I182" s="188" t="str">
        <f>VLOOKUP(C182,CATEGORIZACION!$A$1:$C$269,2,FALSE)</f>
        <v>TRANSPORTE</v>
      </c>
      <c r="J182" s="188" t="s">
        <v>19</v>
      </c>
    </row>
    <row r="183" spans="1:10" ht="15.75" customHeight="1" x14ac:dyDescent="0.25">
      <c r="A183" s="1">
        <v>44963</v>
      </c>
      <c r="B183" s="188" t="s">
        <v>241</v>
      </c>
      <c r="C183" s="188" t="s">
        <v>36</v>
      </c>
      <c r="D183" s="188" t="s">
        <v>37</v>
      </c>
      <c r="E183" s="4">
        <v>5700</v>
      </c>
      <c r="F183" s="5">
        <v>40150</v>
      </c>
      <c r="G183" s="4">
        <v>8431.5</v>
      </c>
      <c r="H183" s="4">
        <v>54281.5</v>
      </c>
      <c r="I183" s="188" t="str">
        <f>VLOOKUP(C183,CATEGORIZACION!$A$1:$C$269,2,FALSE)</f>
        <v>TRANSPORTE</v>
      </c>
      <c r="J183" s="188" t="s">
        <v>19</v>
      </c>
    </row>
    <row r="184" spans="1:10" ht="15.75" customHeight="1" x14ac:dyDescent="0.25">
      <c r="A184" s="1">
        <v>44963</v>
      </c>
      <c r="B184" s="188" t="s">
        <v>242</v>
      </c>
      <c r="C184" s="188" t="s">
        <v>36</v>
      </c>
      <c r="D184" s="188" t="s">
        <v>37</v>
      </c>
      <c r="E184" s="4">
        <v>3800</v>
      </c>
      <c r="F184" s="5">
        <v>33800</v>
      </c>
      <c r="G184" s="4">
        <v>7098</v>
      </c>
      <c r="H184" s="4">
        <v>44698</v>
      </c>
      <c r="I184" s="188" t="str">
        <f>VLOOKUP(C184,CATEGORIZACION!$A$1:$C$269,2,FALSE)</f>
        <v>TRANSPORTE</v>
      </c>
      <c r="J184" s="188" t="s">
        <v>19</v>
      </c>
    </row>
    <row r="185" spans="1:10" ht="15.75" customHeight="1" x14ac:dyDescent="0.25">
      <c r="A185" s="1">
        <v>44963</v>
      </c>
      <c r="B185" s="188" t="s">
        <v>243</v>
      </c>
      <c r="C185" s="188" t="s">
        <v>36</v>
      </c>
      <c r="D185" s="188" t="s">
        <v>37</v>
      </c>
      <c r="E185" s="4">
        <v>5700</v>
      </c>
      <c r="F185" s="5">
        <v>40150</v>
      </c>
      <c r="G185" s="4">
        <v>8431.5</v>
      </c>
      <c r="H185" s="4">
        <v>54281.5</v>
      </c>
      <c r="I185" s="188" t="str">
        <f>VLOOKUP(C185,CATEGORIZACION!$A$1:$C$269,2,FALSE)</f>
        <v>TRANSPORTE</v>
      </c>
      <c r="J185" s="188" t="s">
        <v>19</v>
      </c>
    </row>
    <row r="186" spans="1:10" ht="15.75" customHeight="1" x14ac:dyDescent="0.25">
      <c r="A186" s="1">
        <v>44963</v>
      </c>
      <c r="B186" s="188" t="s">
        <v>244</v>
      </c>
      <c r="C186" s="188" t="s">
        <v>36</v>
      </c>
      <c r="D186" s="188" t="s">
        <v>37</v>
      </c>
      <c r="E186" s="4">
        <v>3800</v>
      </c>
      <c r="F186" s="5">
        <v>33800</v>
      </c>
      <c r="G186" s="4">
        <v>7098</v>
      </c>
      <c r="H186" s="4">
        <v>44698</v>
      </c>
      <c r="I186" s="188" t="str">
        <f>VLOOKUP(C186,CATEGORIZACION!$A$1:$C$269,2,FALSE)</f>
        <v>TRANSPORTE</v>
      </c>
      <c r="J186" s="188" t="s">
        <v>19</v>
      </c>
    </row>
    <row r="187" spans="1:10" ht="15.75" customHeight="1" x14ac:dyDescent="0.25">
      <c r="A187" s="1">
        <v>44963</v>
      </c>
      <c r="B187" s="188" t="s">
        <v>245</v>
      </c>
      <c r="C187" s="188" t="s">
        <v>36</v>
      </c>
      <c r="D187" s="188" t="s">
        <v>37</v>
      </c>
      <c r="E187" s="4">
        <v>5700</v>
      </c>
      <c r="F187" s="5">
        <v>40150</v>
      </c>
      <c r="G187" s="4">
        <v>8431.5</v>
      </c>
      <c r="H187" s="4">
        <v>54281.5</v>
      </c>
      <c r="I187" s="188" t="str">
        <f>VLOOKUP(C187,CATEGORIZACION!$A$1:$C$269,2,FALSE)</f>
        <v>TRANSPORTE</v>
      </c>
      <c r="J187" s="188" t="s">
        <v>19</v>
      </c>
    </row>
    <row r="188" spans="1:10" ht="15.75" customHeight="1" x14ac:dyDescent="0.25">
      <c r="A188" s="1">
        <v>44964</v>
      </c>
      <c r="B188" s="188" t="s">
        <v>246</v>
      </c>
      <c r="C188" s="188" t="s">
        <v>101</v>
      </c>
      <c r="D188" s="188" t="s">
        <v>102</v>
      </c>
      <c r="E188" s="4">
        <v>7171.2</v>
      </c>
      <c r="F188" s="3">
        <v>896400</v>
      </c>
      <c r="G188" s="4">
        <v>188244</v>
      </c>
      <c r="H188" s="4">
        <v>1091815.2</v>
      </c>
      <c r="I188" s="188" t="str">
        <f>VLOOKUP(C188,CATEGORIZACION!$A$1:$C$269,2,FALSE)</f>
        <v>ALQUILER</v>
      </c>
      <c r="J188" s="188" t="s">
        <v>103</v>
      </c>
    </row>
    <row r="189" spans="1:10" ht="15.75" customHeight="1" x14ac:dyDescent="0.25">
      <c r="A189" s="1">
        <v>44964</v>
      </c>
      <c r="B189" s="188" t="s">
        <v>247</v>
      </c>
      <c r="C189" s="188" t="s">
        <v>248</v>
      </c>
      <c r="D189" s="188" t="s">
        <v>249</v>
      </c>
      <c r="E189" s="4">
        <v>0</v>
      </c>
      <c r="F189" s="5">
        <v>177076</v>
      </c>
      <c r="G189" s="4">
        <v>37185.96</v>
      </c>
      <c r="H189" s="4">
        <v>214261.96</v>
      </c>
      <c r="I189" s="188" t="str">
        <f>VLOOKUP(C189,CATEGORIZACION!$A$1:$C$269,2,FALSE)</f>
        <v>PROOVEDORES</v>
      </c>
      <c r="J189" s="188" t="str">
        <f>VLOOKUP(C189,CATEGORIZACION!$A$1:$C$269,3,FALSE)</f>
        <v>LOGISTICA</v>
      </c>
    </row>
    <row r="190" spans="1:10" ht="15.75" customHeight="1" x14ac:dyDescent="0.25">
      <c r="A190" s="1">
        <v>44965</v>
      </c>
      <c r="B190" s="188" t="s">
        <v>250</v>
      </c>
      <c r="C190" s="188" t="s">
        <v>21</v>
      </c>
      <c r="D190" s="188" t="s">
        <v>22</v>
      </c>
      <c r="E190" s="4">
        <v>36750</v>
      </c>
      <c r="F190" s="5">
        <v>783600</v>
      </c>
      <c r="G190" s="4">
        <v>164556</v>
      </c>
      <c r="H190" s="4">
        <v>984906</v>
      </c>
      <c r="I190" s="188" t="str">
        <f>VLOOKUP(C190,CATEGORIZACION!$A$1:$C$269,2,FALSE)</f>
        <v>TRANSPORTE</v>
      </c>
      <c r="J190" s="188" t="s">
        <v>19</v>
      </c>
    </row>
    <row r="191" spans="1:10" ht="15.75" customHeight="1" x14ac:dyDescent="0.25">
      <c r="A191" s="1">
        <v>44965</v>
      </c>
      <c r="B191" s="188" t="s">
        <v>251</v>
      </c>
      <c r="C191" s="188" t="s">
        <v>21</v>
      </c>
      <c r="D191" s="188" t="s">
        <v>22</v>
      </c>
      <c r="E191" s="4">
        <v>10500</v>
      </c>
      <c r="F191" s="5">
        <v>322600</v>
      </c>
      <c r="G191" s="4">
        <v>67746</v>
      </c>
      <c r="H191" s="4">
        <v>400846</v>
      </c>
      <c r="I191" s="188" t="str">
        <f>VLOOKUP(C191,CATEGORIZACION!$A$1:$C$269,2,FALSE)</f>
        <v>TRANSPORTE</v>
      </c>
      <c r="J191" s="188" t="s">
        <v>19</v>
      </c>
    </row>
    <row r="192" spans="1:10" ht="15.75" customHeight="1" x14ac:dyDescent="0.25">
      <c r="A192" s="1">
        <v>44965</v>
      </c>
      <c r="B192" s="188" t="s">
        <v>252</v>
      </c>
      <c r="C192" s="188" t="s">
        <v>253</v>
      </c>
      <c r="D192" s="188" t="s">
        <v>57</v>
      </c>
      <c r="E192" s="4">
        <v>0</v>
      </c>
      <c r="F192" s="5">
        <v>1388.43</v>
      </c>
      <c r="G192" s="4">
        <v>291.57</v>
      </c>
      <c r="H192" s="4">
        <v>1680</v>
      </c>
      <c r="I192" s="188" t="str">
        <f>VLOOKUP(C192,CATEGORIZACION!$A$1:$C$269,2,FALSE)</f>
        <v>PROOVEDORES</v>
      </c>
      <c r="J192" s="188" t="str">
        <f>VLOOKUP(C192,CATEGORIZACION!$A$1:$C$269,3,FALSE)</f>
        <v>LOGISTICA</v>
      </c>
    </row>
    <row r="193" spans="1:10" ht="15.75" customHeight="1" x14ac:dyDescent="0.25">
      <c r="A193" s="1">
        <v>44967</v>
      </c>
      <c r="B193" s="188" t="s">
        <v>254</v>
      </c>
      <c r="C193" s="188" t="s">
        <v>17</v>
      </c>
      <c r="D193" s="188" t="s">
        <v>18</v>
      </c>
      <c r="E193" s="4">
        <v>25850</v>
      </c>
      <c r="F193" s="5">
        <v>292750</v>
      </c>
      <c r="G193" s="4">
        <v>61477.5</v>
      </c>
      <c r="H193" s="4">
        <v>380077.5</v>
      </c>
      <c r="I193" s="188" t="str">
        <f>VLOOKUP(C193,CATEGORIZACION!$A$1:$C$269,2,FALSE)</f>
        <v>TRANSPORTE</v>
      </c>
      <c r="J193" s="188" t="s">
        <v>19</v>
      </c>
    </row>
    <row r="194" spans="1:10" ht="15.75" customHeight="1" x14ac:dyDescent="0.25">
      <c r="A194" s="1">
        <v>44967</v>
      </c>
      <c r="B194" s="188" t="s">
        <v>255</v>
      </c>
      <c r="C194" s="188" t="s">
        <v>17</v>
      </c>
      <c r="D194" s="188" t="s">
        <v>18</v>
      </c>
      <c r="E194" s="4">
        <v>19280</v>
      </c>
      <c r="F194" s="5">
        <v>192500</v>
      </c>
      <c r="G194" s="4">
        <v>40425</v>
      </c>
      <c r="H194" s="4">
        <v>252205</v>
      </c>
      <c r="I194" s="188" t="str">
        <f>VLOOKUP(C194,CATEGORIZACION!$A$1:$C$269,2,FALSE)</f>
        <v>TRANSPORTE</v>
      </c>
      <c r="J194" s="188" t="s">
        <v>19</v>
      </c>
    </row>
    <row r="195" spans="1:10" ht="15.75" customHeight="1" x14ac:dyDescent="0.25">
      <c r="A195" s="1">
        <v>44967</v>
      </c>
      <c r="B195" s="188" t="s">
        <v>256</v>
      </c>
      <c r="C195" s="188" t="s">
        <v>36</v>
      </c>
      <c r="D195" s="188" t="s">
        <v>37</v>
      </c>
      <c r="E195" s="4">
        <v>10500</v>
      </c>
      <c r="F195" s="5">
        <v>138850</v>
      </c>
      <c r="G195" s="4">
        <v>29158.5</v>
      </c>
      <c r="H195" s="4">
        <v>178508.5</v>
      </c>
      <c r="I195" s="188" t="str">
        <f>VLOOKUP(C195,CATEGORIZACION!$A$1:$C$269,2,FALSE)</f>
        <v>TRANSPORTE</v>
      </c>
      <c r="J195" s="188" t="s">
        <v>19</v>
      </c>
    </row>
    <row r="196" spans="1:10" ht="15.75" customHeight="1" x14ac:dyDescent="0.25">
      <c r="A196" s="1">
        <v>44967</v>
      </c>
      <c r="B196" s="188" t="s">
        <v>257</v>
      </c>
      <c r="C196" s="188" t="s">
        <v>36</v>
      </c>
      <c r="D196" s="188" t="s">
        <v>37</v>
      </c>
      <c r="E196" s="4">
        <v>6500</v>
      </c>
      <c r="F196" s="5">
        <v>117900</v>
      </c>
      <c r="G196" s="4">
        <v>24759</v>
      </c>
      <c r="H196" s="4">
        <v>149159</v>
      </c>
      <c r="I196" s="188" t="str">
        <f>VLOOKUP(C196,CATEGORIZACION!$A$1:$C$269,2,FALSE)</f>
        <v>TRANSPORTE</v>
      </c>
      <c r="J196" s="188" t="s">
        <v>19</v>
      </c>
    </row>
    <row r="197" spans="1:10" ht="15.75" customHeight="1" x14ac:dyDescent="0.25">
      <c r="A197" s="1">
        <v>44967</v>
      </c>
      <c r="B197" s="188" t="s">
        <v>258</v>
      </c>
      <c r="C197" s="188" t="s">
        <v>36</v>
      </c>
      <c r="D197" s="188" t="s">
        <v>37</v>
      </c>
      <c r="E197" s="4">
        <v>5700</v>
      </c>
      <c r="F197" s="5">
        <v>40150</v>
      </c>
      <c r="G197" s="4">
        <v>8431.5</v>
      </c>
      <c r="H197" s="4">
        <v>54281.5</v>
      </c>
      <c r="I197" s="188" t="str">
        <f>VLOOKUP(C197,CATEGORIZACION!$A$1:$C$269,2,FALSE)</f>
        <v>TRANSPORTE</v>
      </c>
      <c r="J197" s="188" t="s">
        <v>19</v>
      </c>
    </row>
    <row r="198" spans="1:10" ht="15.75" customHeight="1" x14ac:dyDescent="0.25">
      <c r="A198" s="1">
        <v>44967</v>
      </c>
      <c r="B198" s="188" t="s">
        <v>259</v>
      </c>
      <c r="C198" s="188" t="s">
        <v>36</v>
      </c>
      <c r="D198" s="188" t="s">
        <v>37</v>
      </c>
      <c r="E198" s="4">
        <v>2200</v>
      </c>
      <c r="F198" s="5">
        <v>89670</v>
      </c>
      <c r="G198" s="4">
        <v>18830.7</v>
      </c>
      <c r="H198" s="4">
        <v>110700.7</v>
      </c>
      <c r="I198" s="188" t="str">
        <f>VLOOKUP(C198,CATEGORIZACION!$A$1:$C$269,2,FALSE)</f>
        <v>TRANSPORTE</v>
      </c>
      <c r="J198" s="188" t="s">
        <v>19</v>
      </c>
    </row>
    <row r="199" spans="1:10" ht="15.75" customHeight="1" x14ac:dyDescent="0.25">
      <c r="A199" s="1">
        <v>44967</v>
      </c>
      <c r="B199" s="188" t="s">
        <v>260</v>
      </c>
      <c r="C199" s="188" t="s">
        <v>36</v>
      </c>
      <c r="D199" s="188" t="s">
        <v>37</v>
      </c>
      <c r="E199" s="4">
        <v>2200</v>
      </c>
      <c r="F199" s="5">
        <v>89670</v>
      </c>
      <c r="G199" s="4">
        <v>18830.7</v>
      </c>
      <c r="H199" s="4">
        <v>110700.7</v>
      </c>
      <c r="I199" s="188" t="str">
        <f>VLOOKUP(C199,CATEGORIZACION!$A$1:$C$269,2,FALSE)</f>
        <v>TRANSPORTE</v>
      </c>
      <c r="J199" s="188" t="s">
        <v>19</v>
      </c>
    </row>
    <row r="200" spans="1:10" ht="15.75" customHeight="1" x14ac:dyDescent="0.25">
      <c r="A200" s="1">
        <v>44967</v>
      </c>
      <c r="B200" s="188" t="s">
        <v>261</v>
      </c>
      <c r="C200" s="188" t="s">
        <v>36</v>
      </c>
      <c r="D200" s="188" t="s">
        <v>37</v>
      </c>
      <c r="E200" s="4">
        <v>2200</v>
      </c>
      <c r="F200" s="5">
        <v>89670</v>
      </c>
      <c r="G200" s="4">
        <v>18830.7</v>
      </c>
      <c r="H200" s="4">
        <v>110700.7</v>
      </c>
      <c r="I200" s="188" t="str">
        <f>VLOOKUP(C200,CATEGORIZACION!$A$1:$C$269,2,FALSE)</f>
        <v>TRANSPORTE</v>
      </c>
      <c r="J200" s="188" t="s">
        <v>19</v>
      </c>
    </row>
    <row r="201" spans="1:10" ht="15.75" customHeight="1" x14ac:dyDescent="0.25">
      <c r="A201" s="1">
        <v>44967</v>
      </c>
      <c r="B201" s="188" t="s">
        <v>262</v>
      </c>
      <c r="C201" s="188" t="s">
        <v>36</v>
      </c>
      <c r="D201" s="188" t="s">
        <v>37</v>
      </c>
      <c r="E201" s="4">
        <v>2200</v>
      </c>
      <c r="F201" s="5">
        <v>89670</v>
      </c>
      <c r="G201" s="4">
        <v>18830.7</v>
      </c>
      <c r="H201" s="4">
        <v>110700.7</v>
      </c>
      <c r="I201" s="188" t="str">
        <f>VLOOKUP(C201,CATEGORIZACION!$A$1:$C$269,2,FALSE)</f>
        <v>TRANSPORTE</v>
      </c>
      <c r="J201" s="188" t="s">
        <v>19</v>
      </c>
    </row>
    <row r="202" spans="1:10" ht="15.75" customHeight="1" x14ac:dyDescent="0.25">
      <c r="A202" s="1">
        <v>44967</v>
      </c>
      <c r="B202" s="188" t="s">
        <v>263</v>
      </c>
      <c r="C202" s="188" t="s">
        <v>36</v>
      </c>
      <c r="D202" s="188" t="s">
        <v>37</v>
      </c>
      <c r="E202" s="4">
        <v>5700</v>
      </c>
      <c r="F202" s="5">
        <v>52200</v>
      </c>
      <c r="G202" s="4">
        <v>10962</v>
      </c>
      <c r="H202" s="4">
        <v>68862</v>
      </c>
      <c r="I202" s="188" t="str">
        <f>VLOOKUP(C202,CATEGORIZACION!$A$1:$C$269,2,FALSE)</f>
        <v>TRANSPORTE</v>
      </c>
      <c r="J202" s="188" t="s">
        <v>19</v>
      </c>
    </row>
    <row r="203" spans="1:10" ht="15.75" customHeight="1" x14ac:dyDescent="0.25">
      <c r="A203" s="1">
        <v>44967</v>
      </c>
      <c r="B203" s="188" t="s">
        <v>264</v>
      </c>
      <c r="C203" s="188" t="s">
        <v>36</v>
      </c>
      <c r="D203" s="188" t="s">
        <v>37</v>
      </c>
      <c r="E203" s="4">
        <v>5700</v>
      </c>
      <c r="F203" s="5">
        <v>52200</v>
      </c>
      <c r="G203" s="4">
        <v>10962</v>
      </c>
      <c r="H203" s="4">
        <v>68862</v>
      </c>
      <c r="I203" s="188" t="str">
        <f>VLOOKUP(C203,CATEGORIZACION!$A$1:$C$269,2,FALSE)</f>
        <v>TRANSPORTE</v>
      </c>
      <c r="J203" s="188" t="s">
        <v>19</v>
      </c>
    </row>
    <row r="204" spans="1:10" ht="15.75" customHeight="1" x14ac:dyDescent="0.25">
      <c r="A204" s="1">
        <v>44967</v>
      </c>
      <c r="B204" s="188" t="s">
        <v>265</v>
      </c>
      <c r="C204" s="188" t="s">
        <v>36</v>
      </c>
      <c r="D204" s="188" t="s">
        <v>37</v>
      </c>
      <c r="E204" s="4">
        <v>5700</v>
      </c>
      <c r="F204" s="5">
        <v>40150</v>
      </c>
      <c r="G204" s="4">
        <v>8431.5</v>
      </c>
      <c r="H204" s="4">
        <v>54281.5</v>
      </c>
      <c r="I204" s="188" t="str">
        <f>VLOOKUP(C204,CATEGORIZACION!$A$1:$C$269,2,FALSE)</f>
        <v>TRANSPORTE</v>
      </c>
      <c r="J204" s="188" t="s">
        <v>19</v>
      </c>
    </row>
    <row r="205" spans="1:10" ht="15.75" customHeight="1" x14ac:dyDescent="0.25">
      <c r="A205" s="1">
        <v>44967</v>
      </c>
      <c r="B205" s="188" t="s">
        <v>266</v>
      </c>
      <c r="C205" s="188" t="s">
        <v>36</v>
      </c>
      <c r="D205" s="188" t="s">
        <v>37</v>
      </c>
      <c r="E205" s="4">
        <v>5700</v>
      </c>
      <c r="F205" s="5">
        <v>40150</v>
      </c>
      <c r="G205" s="4">
        <v>8431.5</v>
      </c>
      <c r="H205" s="4">
        <v>54281.5</v>
      </c>
      <c r="I205" s="188" t="str">
        <f>VLOOKUP(C205,CATEGORIZACION!$A$1:$C$269,2,FALSE)</f>
        <v>TRANSPORTE</v>
      </c>
      <c r="J205" s="188" t="s">
        <v>19</v>
      </c>
    </row>
    <row r="206" spans="1:10" ht="15.75" customHeight="1" x14ac:dyDescent="0.25">
      <c r="A206" s="1">
        <v>44967</v>
      </c>
      <c r="B206" s="188" t="s">
        <v>267</v>
      </c>
      <c r="C206" s="188" t="s">
        <v>36</v>
      </c>
      <c r="D206" s="188" t="s">
        <v>37</v>
      </c>
      <c r="E206" s="4">
        <v>5700</v>
      </c>
      <c r="F206" s="5">
        <v>44165</v>
      </c>
      <c r="G206" s="4">
        <v>9274.65</v>
      </c>
      <c r="H206" s="4">
        <v>59139.65</v>
      </c>
      <c r="I206" s="188" t="str">
        <f>VLOOKUP(C206,CATEGORIZACION!$A$1:$C$269,2,FALSE)</f>
        <v>TRANSPORTE</v>
      </c>
      <c r="J206" s="188" t="s">
        <v>19</v>
      </c>
    </row>
    <row r="207" spans="1:10" ht="15.75" customHeight="1" x14ac:dyDescent="0.25">
      <c r="A207" s="1">
        <v>44967</v>
      </c>
      <c r="B207" s="188" t="s">
        <v>268</v>
      </c>
      <c r="C207" s="188" t="s">
        <v>36</v>
      </c>
      <c r="D207" s="188" t="s">
        <v>37</v>
      </c>
      <c r="E207" s="4">
        <v>6500</v>
      </c>
      <c r="F207" s="5">
        <v>107700</v>
      </c>
      <c r="G207" s="4">
        <v>22617</v>
      </c>
      <c r="H207" s="4">
        <v>136817</v>
      </c>
      <c r="I207" s="188" t="str">
        <f>VLOOKUP(C207,CATEGORIZACION!$A$1:$C$269,2,FALSE)</f>
        <v>TRANSPORTE</v>
      </c>
      <c r="J207" s="188" t="s">
        <v>19</v>
      </c>
    </row>
    <row r="208" spans="1:10" ht="15.75" customHeight="1" x14ac:dyDescent="0.25">
      <c r="A208" s="1">
        <v>44967</v>
      </c>
      <c r="B208" s="188" t="s">
        <v>269</v>
      </c>
      <c r="C208" s="188" t="s">
        <v>36</v>
      </c>
      <c r="D208" s="188" t="s">
        <v>37</v>
      </c>
      <c r="E208" s="4">
        <v>6500</v>
      </c>
      <c r="F208" s="5">
        <v>77000</v>
      </c>
      <c r="G208" s="4">
        <v>16170</v>
      </c>
      <c r="H208" s="4">
        <v>99670</v>
      </c>
      <c r="I208" s="188" t="str">
        <f>VLOOKUP(C208,CATEGORIZACION!$A$1:$C$269,2,FALSE)</f>
        <v>TRANSPORTE</v>
      </c>
      <c r="J208" s="188" t="s">
        <v>19</v>
      </c>
    </row>
    <row r="209" spans="1:10" ht="15.75" customHeight="1" x14ac:dyDescent="0.25">
      <c r="A209" s="1">
        <v>44967</v>
      </c>
      <c r="B209" s="188" t="s">
        <v>270</v>
      </c>
      <c r="C209" s="188" t="s">
        <v>36</v>
      </c>
      <c r="D209" s="188" t="s">
        <v>37</v>
      </c>
      <c r="E209" s="4">
        <v>6500</v>
      </c>
      <c r="F209" s="5">
        <v>53850</v>
      </c>
      <c r="G209" s="4">
        <v>11308.5</v>
      </c>
      <c r="H209" s="4">
        <v>71658.5</v>
      </c>
      <c r="I209" s="188" t="str">
        <f>VLOOKUP(C209,CATEGORIZACION!$A$1:$C$269,2,FALSE)</f>
        <v>TRANSPORTE</v>
      </c>
      <c r="J209" s="188" t="s">
        <v>19</v>
      </c>
    </row>
    <row r="210" spans="1:10" ht="15.75" customHeight="1" x14ac:dyDescent="0.25">
      <c r="A210" s="1">
        <v>44967</v>
      </c>
      <c r="B210" s="188" t="s">
        <v>271</v>
      </c>
      <c r="C210" s="188" t="s">
        <v>36</v>
      </c>
      <c r="D210" s="188" t="s">
        <v>37</v>
      </c>
      <c r="E210" s="4">
        <v>5700</v>
      </c>
      <c r="F210" s="5">
        <v>40150</v>
      </c>
      <c r="G210" s="4">
        <v>8431.5</v>
      </c>
      <c r="H210" s="4">
        <v>54281.5</v>
      </c>
      <c r="I210" s="188" t="str">
        <f>VLOOKUP(C210,CATEGORIZACION!$A$1:$C$269,2,FALSE)</f>
        <v>TRANSPORTE</v>
      </c>
      <c r="J210" s="188" t="s">
        <v>19</v>
      </c>
    </row>
    <row r="211" spans="1:10" ht="15.75" customHeight="1" x14ac:dyDescent="0.25">
      <c r="A211" s="1">
        <v>44967</v>
      </c>
      <c r="B211" s="188" t="s">
        <v>272</v>
      </c>
      <c r="C211" s="188" t="s">
        <v>36</v>
      </c>
      <c r="D211" s="188" t="s">
        <v>37</v>
      </c>
      <c r="E211" s="4">
        <v>5700</v>
      </c>
      <c r="F211" s="5">
        <v>40150</v>
      </c>
      <c r="G211" s="4">
        <v>8431.5</v>
      </c>
      <c r="H211" s="4">
        <v>54281.5</v>
      </c>
      <c r="I211" s="188" t="str">
        <f>VLOOKUP(C211,CATEGORIZACION!$A$1:$C$269,2,FALSE)</f>
        <v>TRANSPORTE</v>
      </c>
      <c r="J211" s="188" t="s">
        <v>19</v>
      </c>
    </row>
    <row r="212" spans="1:10" ht="15.75" customHeight="1" x14ac:dyDescent="0.25">
      <c r="A212" s="1">
        <v>44967</v>
      </c>
      <c r="B212" s="188" t="s">
        <v>273</v>
      </c>
      <c r="C212" s="188" t="s">
        <v>36</v>
      </c>
      <c r="D212" s="188" t="s">
        <v>37</v>
      </c>
      <c r="E212" s="4">
        <v>3800</v>
      </c>
      <c r="F212" s="5">
        <v>33800</v>
      </c>
      <c r="G212" s="4">
        <v>7098</v>
      </c>
      <c r="H212" s="4">
        <v>44698</v>
      </c>
      <c r="I212" s="188" t="str">
        <f>VLOOKUP(C212,CATEGORIZACION!$A$1:$C$269,2,FALSE)</f>
        <v>TRANSPORTE</v>
      </c>
      <c r="J212" s="188" t="s">
        <v>19</v>
      </c>
    </row>
    <row r="213" spans="1:10" ht="15.75" customHeight="1" x14ac:dyDescent="0.25">
      <c r="A213" s="1">
        <v>44967</v>
      </c>
      <c r="B213" s="188" t="s">
        <v>274</v>
      </c>
      <c r="C213" s="188" t="s">
        <v>36</v>
      </c>
      <c r="D213" s="188" t="s">
        <v>37</v>
      </c>
      <c r="E213" s="4">
        <v>5700</v>
      </c>
      <c r="F213" s="5">
        <v>40150</v>
      </c>
      <c r="G213" s="4">
        <v>8431.5</v>
      </c>
      <c r="H213" s="4">
        <v>54281.5</v>
      </c>
      <c r="I213" s="188" t="str">
        <f>VLOOKUP(C213,CATEGORIZACION!$A$1:$C$269,2,FALSE)</f>
        <v>TRANSPORTE</v>
      </c>
      <c r="J213" s="188" t="s">
        <v>19</v>
      </c>
    </row>
    <row r="214" spans="1:10" ht="15.75" customHeight="1" x14ac:dyDescent="0.25">
      <c r="A214" s="1">
        <v>44967</v>
      </c>
      <c r="B214" s="188" t="s">
        <v>275</v>
      </c>
      <c r="C214" s="188" t="s">
        <v>36</v>
      </c>
      <c r="D214" s="188" t="s">
        <v>37</v>
      </c>
      <c r="E214" s="4">
        <v>5700</v>
      </c>
      <c r="F214" s="5">
        <v>40150</v>
      </c>
      <c r="G214" s="4">
        <v>8431.5</v>
      </c>
      <c r="H214" s="4">
        <v>54281.5</v>
      </c>
      <c r="I214" s="188" t="str">
        <f>VLOOKUP(C214,CATEGORIZACION!$A$1:$C$269,2,FALSE)</f>
        <v>TRANSPORTE</v>
      </c>
      <c r="J214" s="188" t="s">
        <v>19</v>
      </c>
    </row>
    <row r="215" spans="1:10" ht="15.75" customHeight="1" x14ac:dyDescent="0.25">
      <c r="A215" s="1">
        <v>44967</v>
      </c>
      <c r="B215" s="188" t="s">
        <v>276</v>
      </c>
      <c r="C215" s="188" t="s">
        <v>36</v>
      </c>
      <c r="D215" s="188" t="s">
        <v>37</v>
      </c>
      <c r="E215" s="4">
        <v>5700</v>
      </c>
      <c r="F215" s="5">
        <v>40150</v>
      </c>
      <c r="G215" s="4">
        <v>8431.5</v>
      </c>
      <c r="H215" s="4">
        <v>54281.5</v>
      </c>
      <c r="I215" s="188" t="str">
        <f>VLOOKUP(C215,CATEGORIZACION!$A$1:$C$269,2,FALSE)</f>
        <v>TRANSPORTE</v>
      </c>
      <c r="J215" s="188" t="s">
        <v>19</v>
      </c>
    </row>
    <row r="216" spans="1:10" ht="15.75" customHeight="1" x14ac:dyDescent="0.25">
      <c r="A216" s="1">
        <v>44967</v>
      </c>
      <c r="B216" s="188" t="s">
        <v>277</v>
      </c>
      <c r="C216" s="188" t="s">
        <v>36</v>
      </c>
      <c r="D216" s="188" t="s">
        <v>37</v>
      </c>
      <c r="E216" s="4">
        <v>5700</v>
      </c>
      <c r="F216" s="5">
        <v>40150</v>
      </c>
      <c r="G216" s="4">
        <v>8431.5</v>
      </c>
      <c r="H216" s="4">
        <v>54281.5</v>
      </c>
      <c r="I216" s="188" t="str">
        <f>VLOOKUP(C216,CATEGORIZACION!$A$1:$C$269,2,FALSE)</f>
        <v>TRANSPORTE</v>
      </c>
      <c r="J216" s="188" t="s">
        <v>19</v>
      </c>
    </row>
    <row r="217" spans="1:10" ht="15.75" customHeight="1" x14ac:dyDescent="0.25">
      <c r="A217" s="1">
        <v>44967</v>
      </c>
      <c r="B217" s="188" t="s">
        <v>278</v>
      </c>
      <c r="C217" s="188" t="s">
        <v>36</v>
      </c>
      <c r="D217" s="188" t="s">
        <v>37</v>
      </c>
      <c r="E217" s="4">
        <v>5700</v>
      </c>
      <c r="F217" s="5">
        <v>40150</v>
      </c>
      <c r="G217" s="4">
        <v>8431.5</v>
      </c>
      <c r="H217" s="4">
        <v>54281.5</v>
      </c>
      <c r="I217" s="188" t="str">
        <f>VLOOKUP(C217,CATEGORIZACION!$A$1:$C$269,2,FALSE)</f>
        <v>TRANSPORTE</v>
      </c>
      <c r="J217" s="188" t="s">
        <v>19</v>
      </c>
    </row>
    <row r="218" spans="1:10" ht="15.75" customHeight="1" x14ac:dyDescent="0.25">
      <c r="A218" s="1">
        <v>44967</v>
      </c>
      <c r="B218" s="188" t="s">
        <v>279</v>
      </c>
      <c r="C218" s="188" t="s">
        <v>36</v>
      </c>
      <c r="D218" s="188" t="s">
        <v>37</v>
      </c>
      <c r="E218" s="4">
        <v>5700</v>
      </c>
      <c r="F218" s="5">
        <v>44165</v>
      </c>
      <c r="G218" s="4">
        <v>9274.65</v>
      </c>
      <c r="H218" s="4">
        <v>59139.65</v>
      </c>
      <c r="I218" s="188" t="str">
        <f>VLOOKUP(C218,CATEGORIZACION!$A$1:$C$269,2,FALSE)</f>
        <v>TRANSPORTE</v>
      </c>
      <c r="J218" s="188" t="s">
        <v>19</v>
      </c>
    </row>
    <row r="219" spans="1:10" ht="15.75" customHeight="1" x14ac:dyDescent="0.25">
      <c r="A219" s="1">
        <v>44967</v>
      </c>
      <c r="B219" s="188" t="s">
        <v>280</v>
      </c>
      <c r="C219" s="188" t="s">
        <v>36</v>
      </c>
      <c r="D219" s="188" t="s">
        <v>37</v>
      </c>
      <c r="E219" s="4">
        <v>6500</v>
      </c>
      <c r="F219" s="5">
        <v>92400</v>
      </c>
      <c r="G219" s="4">
        <v>19404</v>
      </c>
      <c r="H219" s="4">
        <v>118304</v>
      </c>
      <c r="I219" s="188" t="str">
        <f>VLOOKUP(C219,CATEGORIZACION!$A$1:$C$269,2,FALSE)</f>
        <v>TRANSPORTE</v>
      </c>
      <c r="J219" s="188" t="s">
        <v>19</v>
      </c>
    </row>
    <row r="220" spans="1:10" ht="15.75" customHeight="1" x14ac:dyDescent="0.25">
      <c r="A220" s="1">
        <v>44967</v>
      </c>
      <c r="B220" s="188" t="s">
        <v>281</v>
      </c>
      <c r="C220" s="188" t="s">
        <v>36</v>
      </c>
      <c r="D220" s="188" t="s">
        <v>37</v>
      </c>
      <c r="E220" s="4">
        <v>5800</v>
      </c>
      <c r="F220" s="5">
        <v>77000</v>
      </c>
      <c r="G220" s="4">
        <v>16170</v>
      </c>
      <c r="H220" s="4">
        <v>98970</v>
      </c>
      <c r="I220" s="188" t="str">
        <f>VLOOKUP(C220,CATEGORIZACION!$A$1:$C$269,2,FALSE)</f>
        <v>TRANSPORTE</v>
      </c>
      <c r="J220" s="188" t="s">
        <v>19</v>
      </c>
    </row>
    <row r="221" spans="1:10" ht="15.75" customHeight="1" x14ac:dyDescent="0.25">
      <c r="A221" s="1">
        <v>44970</v>
      </c>
      <c r="B221" s="188" t="s">
        <v>282</v>
      </c>
      <c r="C221" s="188" t="s">
        <v>36</v>
      </c>
      <c r="D221" s="188" t="s">
        <v>37</v>
      </c>
      <c r="E221" s="4">
        <v>5700</v>
      </c>
      <c r="F221" s="5">
        <v>49800</v>
      </c>
      <c r="G221" s="4">
        <v>10458</v>
      </c>
      <c r="H221" s="4">
        <v>65958</v>
      </c>
      <c r="I221" s="188" t="str">
        <f>VLOOKUP(C221,CATEGORIZACION!$A$1:$C$269,2,FALSE)</f>
        <v>TRANSPORTE</v>
      </c>
      <c r="J221" s="188" t="s">
        <v>19</v>
      </c>
    </row>
    <row r="222" spans="1:10" ht="15.75" customHeight="1" x14ac:dyDescent="0.25">
      <c r="A222" s="1">
        <v>44970</v>
      </c>
      <c r="B222" s="188" t="s">
        <v>283</v>
      </c>
      <c r="C222" s="188" t="s">
        <v>36</v>
      </c>
      <c r="D222" s="188" t="s">
        <v>37</v>
      </c>
      <c r="E222" s="4">
        <v>0</v>
      </c>
      <c r="F222" s="5">
        <v>43250</v>
      </c>
      <c r="G222" s="4">
        <v>9082.5</v>
      </c>
      <c r="H222" s="4">
        <v>52332.5</v>
      </c>
      <c r="I222" s="188" t="str">
        <f>VLOOKUP(C222,CATEGORIZACION!$A$1:$C$269,2,FALSE)</f>
        <v>TRANSPORTE</v>
      </c>
      <c r="J222" s="188" t="s">
        <v>19</v>
      </c>
    </row>
    <row r="223" spans="1:10" ht="15.75" customHeight="1" x14ac:dyDescent="0.25">
      <c r="A223" s="1">
        <v>44970</v>
      </c>
      <c r="B223" s="188" t="s">
        <v>284</v>
      </c>
      <c r="C223" s="188" t="s">
        <v>36</v>
      </c>
      <c r="D223" s="188" t="s">
        <v>37</v>
      </c>
      <c r="E223" s="4">
        <v>5700</v>
      </c>
      <c r="F223" s="5">
        <v>44165</v>
      </c>
      <c r="G223" s="4">
        <v>9274.65</v>
      </c>
      <c r="H223" s="4">
        <v>59139.65</v>
      </c>
      <c r="I223" s="188" t="str">
        <f>VLOOKUP(C223,CATEGORIZACION!$A$1:$C$269,2,FALSE)</f>
        <v>TRANSPORTE</v>
      </c>
      <c r="J223" s="188" t="s">
        <v>19</v>
      </c>
    </row>
    <row r="224" spans="1:10" ht="15.75" customHeight="1" x14ac:dyDescent="0.25">
      <c r="A224" s="1">
        <v>44970</v>
      </c>
      <c r="B224" s="188" t="s">
        <v>285</v>
      </c>
      <c r="C224" s="188" t="s">
        <v>36</v>
      </c>
      <c r="D224" s="188" t="s">
        <v>37</v>
      </c>
      <c r="E224" s="4">
        <v>5800</v>
      </c>
      <c r="F224" s="5">
        <v>92400</v>
      </c>
      <c r="G224" s="4">
        <v>19404</v>
      </c>
      <c r="H224" s="4">
        <v>117604</v>
      </c>
      <c r="I224" s="188" t="str">
        <f>VLOOKUP(C224,CATEGORIZACION!$A$1:$C$269,2,FALSE)</f>
        <v>TRANSPORTE</v>
      </c>
      <c r="J224" s="188" t="s">
        <v>19</v>
      </c>
    </row>
    <row r="225" spans="1:10" ht="15.75" customHeight="1" x14ac:dyDescent="0.25">
      <c r="A225" s="1">
        <v>44970</v>
      </c>
      <c r="B225" s="188" t="s">
        <v>286</v>
      </c>
      <c r="C225" s="188" t="s">
        <v>36</v>
      </c>
      <c r="D225" s="188" t="s">
        <v>37</v>
      </c>
      <c r="E225" s="4">
        <v>6500</v>
      </c>
      <c r="F225" s="5">
        <v>64620</v>
      </c>
      <c r="G225" s="4">
        <v>13570.2</v>
      </c>
      <c r="H225" s="4">
        <v>84690.2</v>
      </c>
      <c r="I225" s="188" t="str">
        <f>VLOOKUP(C225,CATEGORIZACION!$A$1:$C$269,2,FALSE)</f>
        <v>TRANSPORTE</v>
      </c>
      <c r="J225" s="188" t="s">
        <v>19</v>
      </c>
    </row>
    <row r="226" spans="1:10" ht="15.75" customHeight="1" x14ac:dyDescent="0.25">
      <c r="A226" s="1">
        <v>44970</v>
      </c>
      <c r="B226" s="188" t="s">
        <v>287</v>
      </c>
      <c r="C226" s="188" t="s">
        <v>36</v>
      </c>
      <c r="D226" s="188" t="s">
        <v>37</v>
      </c>
      <c r="E226" s="4">
        <v>6500</v>
      </c>
      <c r="F226" s="5">
        <v>69500</v>
      </c>
      <c r="G226" s="4">
        <v>14595</v>
      </c>
      <c r="H226" s="4">
        <v>90595</v>
      </c>
      <c r="I226" s="188" t="str">
        <f>VLOOKUP(C226,CATEGORIZACION!$A$1:$C$269,2,FALSE)</f>
        <v>TRANSPORTE</v>
      </c>
      <c r="J226" s="188" t="s">
        <v>19</v>
      </c>
    </row>
    <row r="227" spans="1:10" ht="15.75" customHeight="1" x14ac:dyDescent="0.25">
      <c r="A227" s="1">
        <v>44970</v>
      </c>
      <c r="B227" s="188" t="s">
        <v>288</v>
      </c>
      <c r="C227" s="188" t="s">
        <v>36</v>
      </c>
      <c r="D227" s="188" t="s">
        <v>37</v>
      </c>
      <c r="E227" s="4">
        <v>5700</v>
      </c>
      <c r="F227" s="5">
        <v>44165</v>
      </c>
      <c r="G227" s="4">
        <v>9274.65</v>
      </c>
      <c r="H227" s="4">
        <v>59139.65</v>
      </c>
      <c r="I227" s="188" t="str">
        <f>VLOOKUP(C227,CATEGORIZACION!$A$1:$C$269,2,FALSE)</f>
        <v>TRANSPORTE</v>
      </c>
      <c r="J227" s="188" t="s">
        <v>19</v>
      </c>
    </row>
    <row r="228" spans="1:10" ht="15.75" customHeight="1" x14ac:dyDescent="0.25">
      <c r="A228" s="1">
        <v>44970</v>
      </c>
      <c r="B228" s="188" t="s">
        <v>289</v>
      </c>
      <c r="C228" s="188" t="s">
        <v>36</v>
      </c>
      <c r="D228" s="188" t="s">
        <v>37</v>
      </c>
      <c r="E228" s="4">
        <v>5700</v>
      </c>
      <c r="F228" s="5">
        <v>44165</v>
      </c>
      <c r="G228" s="4">
        <v>9274.65</v>
      </c>
      <c r="H228" s="4">
        <v>59139.65</v>
      </c>
      <c r="I228" s="188" t="str">
        <f>VLOOKUP(C228,CATEGORIZACION!$A$1:$C$269,2,FALSE)</f>
        <v>TRANSPORTE</v>
      </c>
      <c r="J228" s="188" t="s">
        <v>19</v>
      </c>
    </row>
    <row r="229" spans="1:10" ht="15.75" customHeight="1" x14ac:dyDescent="0.25">
      <c r="A229" s="1">
        <v>44970</v>
      </c>
      <c r="B229" s="188" t="s">
        <v>290</v>
      </c>
      <c r="C229" s="188" t="s">
        <v>36</v>
      </c>
      <c r="D229" s="188" t="s">
        <v>37</v>
      </c>
      <c r="E229" s="4">
        <v>5700</v>
      </c>
      <c r="F229" s="5">
        <v>44165</v>
      </c>
      <c r="G229" s="4">
        <v>9274.65</v>
      </c>
      <c r="H229" s="4">
        <v>59139.65</v>
      </c>
      <c r="I229" s="188" t="str">
        <f>VLOOKUP(C229,CATEGORIZACION!$A$1:$C$269,2,FALSE)</f>
        <v>TRANSPORTE</v>
      </c>
      <c r="J229" s="188" t="s">
        <v>19</v>
      </c>
    </row>
    <row r="230" spans="1:10" ht="15.75" customHeight="1" x14ac:dyDescent="0.25">
      <c r="A230" s="1">
        <v>44970</v>
      </c>
      <c r="B230" s="188" t="s">
        <v>291</v>
      </c>
      <c r="C230" s="188" t="s">
        <v>36</v>
      </c>
      <c r="D230" s="188" t="s">
        <v>37</v>
      </c>
      <c r="E230" s="4">
        <v>5700</v>
      </c>
      <c r="F230" s="5">
        <v>44165</v>
      </c>
      <c r="G230" s="4">
        <v>9274.65</v>
      </c>
      <c r="H230" s="4">
        <v>59139.65</v>
      </c>
      <c r="I230" s="188" t="str">
        <f>VLOOKUP(C230,CATEGORIZACION!$A$1:$C$269,2,FALSE)</f>
        <v>TRANSPORTE</v>
      </c>
      <c r="J230" s="188" t="s">
        <v>19</v>
      </c>
    </row>
    <row r="231" spans="1:10" ht="15.75" customHeight="1" x14ac:dyDescent="0.25">
      <c r="A231" s="1">
        <v>44970</v>
      </c>
      <c r="B231" s="188" t="s">
        <v>292</v>
      </c>
      <c r="C231" s="188" t="s">
        <v>36</v>
      </c>
      <c r="D231" s="188" t="s">
        <v>37</v>
      </c>
      <c r="E231" s="4">
        <v>5700</v>
      </c>
      <c r="F231" s="5">
        <v>40150</v>
      </c>
      <c r="G231" s="4">
        <v>8431.5</v>
      </c>
      <c r="H231" s="4">
        <v>54281.5</v>
      </c>
      <c r="I231" s="188" t="str">
        <f>VLOOKUP(C231,CATEGORIZACION!$A$1:$C$269,2,FALSE)</f>
        <v>TRANSPORTE</v>
      </c>
      <c r="J231" s="188" t="s">
        <v>19</v>
      </c>
    </row>
    <row r="232" spans="1:10" ht="15.75" customHeight="1" x14ac:dyDescent="0.25">
      <c r="A232" s="1">
        <v>44970</v>
      </c>
      <c r="B232" s="188" t="s">
        <v>293</v>
      </c>
      <c r="C232" s="188" t="s">
        <v>36</v>
      </c>
      <c r="D232" s="188" t="s">
        <v>37</v>
      </c>
      <c r="E232" s="4">
        <v>5700</v>
      </c>
      <c r="F232" s="5">
        <v>40150</v>
      </c>
      <c r="G232" s="4">
        <v>8431.5</v>
      </c>
      <c r="H232" s="4">
        <v>54281.5</v>
      </c>
      <c r="I232" s="188" t="str">
        <f>VLOOKUP(C232,CATEGORIZACION!$A$1:$C$269,2,FALSE)</f>
        <v>TRANSPORTE</v>
      </c>
      <c r="J232" s="188" t="s">
        <v>19</v>
      </c>
    </row>
    <row r="233" spans="1:10" ht="15.75" customHeight="1" x14ac:dyDescent="0.25">
      <c r="A233" s="1">
        <v>44971</v>
      </c>
      <c r="B233" s="188" t="s">
        <v>294</v>
      </c>
      <c r="C233" s="188" t="s">
        <v>21</v>
      </c>
      <c r="D233" s="188" t="s">
        <v>22</v>
      </c>
      <c r="E233" s="4">
        <v>9670</v>
      </c>
      <c r="F233" s="5">
        <v>257000</v>
      </c>
      <c r="G233" s="4">
        <v>53970</v>
      </c>
      <c r="H233" s="4">
        <v>320640</v>
      </c>
      <c r="I233" s="188" t="str">
        <f>VLOOKUP(C233,CATEGORIZACION!$A$1:$C$269,2,FALSE)</f>
        <v>TRANSPORTE</v>
      </c>
      <c r="J233" s="188" t="s">
        <v>19</v>
      </c>
    </row>
    <row r="234" spans="1:10" ht="15.75" customHeight="1" x14ac:dyDescent="0.25">
      <c r="A234" s="1">
        <v>44971</v>
      </c>
      <c r="B234" s="188" t="s">
        <v>295</v>
      </c>
      <c r="C234" s="188" t="s">
        <v>21</v>
      </c>
      <c r="D234" s="188" t="s">
        <v>22</v>
      </c>
      <c r="E234" s="4">
        <v>17430</v>
      </c>
      <c r="F234" s="5">
        <v>350000</v>
      </c>
      <c r="G234" s="4">
        <v>73500</v>
      </c>
      <c r="H234" s="4">
        <v>440930</v>
      </c>
      <c r="I234" s="188" t="str">
        <f>VLOOKUP(C234,CATEGORIZACION!$A$1:$C$269,2,FALSE)</f>
        <v>TRANSPORTE</v>
      </c>
      <c r="J234" s="188" t="s">
        <v>19</v>
      </c>
    </row>
    <row r="235" spans="1:10" ht="15.75" customHeight="1" x14ac:dyDescent="0.25">
      <c r="A235" s="1">
        <v>44971</v>
      </c>
      <c r="B235" s="188" t="s">
        <v>296</v>
      </c>
      <c r="C235" s="188" t="s">
        <v>21</v>
      </c>
      <c r="D235" s="188" t="s">
        <v>22</v>
      </c>
      <c r="E235" s="4">
        <v>4980</v>
      </c>
      <c r="F235" s="5">
        <v>122000</v>
      </c>
      <c r="G235" s="4">
        <v>25620</v>
      </c>
      <c r="H235" s="4">
        <v>152600</v>
      </c>
      <c r="I235" s="188" t="str">
        <f>VLOOKUP(C235,CATEGORIZACION!$A$1:$C$269,2,FALSE)</f>
        <v>TRANSPORTE</v>
      </c>
      <c r="J235" s="188" t="s">
        <v>19</v>
      </c>
    </row>
    <row r="236" spans="1:10" ht="15.75" customHeight="1" x14ac:dyDescent="0.25">
      <c r="A236" s="1">
        <v>44971</v>
      </c>
      <c r="B236" s="188" t="s">
        <v>297</v>
      </c>
      <c r="C236" s="188" t="s">
        <v>21</v>
      </c>
      <c r="D236" s="188" t="s">
        <v>22</v>
      </c>
      <c r="E236" s="4">
        <v>19920</v>
      </c>
      <c r="F236" s="5">
        <v>344000</v>
      </c>
      <c r="G236" s="4">
        <v>72240</v>
      </c>
      <c r="H236" s="4">
        <v>436160</v>
      </c>
      <c r="I236" s="188" t="str">
        <f>VLOOKUP(C236,CATEGORIZACION!$A$1:$C$269,2,FALSE)</f>
        <v>TRANSPORTE</v>
      </c>
      <c r="J236" s="188" t="s">
        <v>19</v>
      </c>
    </row>
    <row r="237" spans="1:10" ht="15.75" customHeight="1" x14ac:dyDescent="0.25">
      <c r="A237" s="1">
        <v>44972</v>
      </c>
      <c r="B237" s="188" t="s">
        <v>298</v>
      </c>
      <c r="C237" s="188" t="s">
        <v>84</v>
      </c>
      <c r="D237" s="188" t="s">
        <v>85</v>
      </c>
      <c r="E237" s="4">
        <v>53424.07</v>
      </c>
      <c r="F237" s="5">
        <v>511909.52</v>
      </c>
      <c r="G237" s="4">
        <v>107501</v>
      </c>
      <c r="H237" s="4">
        <v>672834.59</v>
      </c>
      <c r="I237" s="188" t="str">
        <f>VLOOKUP(C237,CATEGORIZACION!$A$1:$C$269,2,FALSE)</f>
        <v>PROOVEDORES</v>
      </c>
      <c r="J237" s="188" t="str">
        <f>VLOOKUP(C237,CATEGORIZACION!$A$1:$C$269,3,FALSE)</f>
        <v>LOGISTICA</v>
      </c>
    </row>
    <row r="238" spans="1:10" ht="15.75" customHeight="1" x14ac:dyDescent="0.25">
      <c r="A238" s="1">
        <v>44972</v>
      </c>
      <c r="B238" s="188" t="s">
        <v>299</v>
      </c>
      <c r="C238" s="188" t="s">
        <v>300</v>
      </c>
      <c r="D238" s="188" t="s">
        <v>301</v>
      </c>
      <c r="E238" s="4">
        <v>35900</v>
      </c>
      <c r="F238" s="5">
        <v>0</v>
      </c>
      <c r="G238" s="4">
        <v>0</v>
      </c>
      <c r="H238" s="4">
        <v>35900</v>
      </c>
      <c r="I238" s="188" t="str">
        <f>VLOOKUP(C238,CATEGORIZACION!$A$1:$C$269,2,FALSE)</f>
        <v>PROOVEDORES</v>
      </c>
      <c r="J238" s="188" t="str">
        <f>VLOOKUP(C238,CATEGORIZACION!$A$1:$C$269,3,FALSE)</f>
        <v>LOGISTICA</v>
      </c>
    </row>
    <row r="239" spans="1:10" ht="15.75" customHeight="1" x14ac:dyDescent="0.25">
      <c r="A239" s="1">
        <v>44973</v>
      </c>
      <c r="B239" s="188" t="s">
        <v>302</v>
      </c>
      <c r="C239" s="188" t="s">
        <v>36</v>
      </c>
      <c r="D239" s="188" t="s">
        <v>37</v>
      </c>
      <c r="E239" s="4">
        <v>2500</v>
      </c>
      <c r="F239" s="5">
        <v>77000</v>
      </c>
      <c r="G239" s="4">
        <v>16170</v>
      </c>
      <c r="H239" s="4">
        <v>95670</v>
      </c>
      <c r="I239" s="188" t="str">
        <f>VLOOKUP(C239,CATEGORIZACION!$A$1:$C$269,2,FALSE)</f>
        <v>TRANSPORTE</v>
      </c>
      <c r="J239" s="188" t="s">
        <v>19</v>
      </c>
    </row>
    <row r="240" spans="1:10" ht="15.75" customHeight="1" x14ac:dyDescent="0.25">
      <c r="A240" s="1">
        <v>44973</v>
      </c>
      <c r="B240" s="188" t="s">
        <v>303</v>
      </c>
      <c r="C240" s="188" t="s">
        <v>36</v>
      </c>
      <c r="D240" s="188" t="s">
        <v>37</v>
      </c>
      <c r="E240" s="4">
        <v>5800</v>
      </c>
      <c r="F240" s="5">
        <v>77000</v>
      </c>
      <c r="G240" s="4">
        <v>16170</v>
      </c>
      <c r="H240" s="4">
        <v>98970</v>
      </c>
      <c r="I240" s="188" t="str">
        <f>VLOOKUP(C240,CATEGORIZACION!$A$1:$C$269,2,FALSE)</f>
        <v>TRANSPORTE</v>
      </c>
      <c r="J240" s="188" t="s">
        <v>19</v>
      </c>
    </row>
    <row r="241" spans="1:10" ht="15.75" customHeight="1" x14ac:dyDescent="0.25">
      <c r="A241" s="1">
        <v>44973</v>
      </c>
      <c r="B241" s="188" t="s">
        <v>304</v>
      </c>
      <c r="C241" s="188" t="s">
        <v>36</v>
      </c>
      <c r="D241" s="188" t="s">
        <v>37</v>
      </c>
      <c r="E241" s="4">
        <v>5700</v>
      </c>
      <c r="F241" s="5">
        <v>44165</v>
      </c>
      <c r="G241" s="4">
        <v>9274.65</v>
      </c>
      <c r="H241" s="4">
        <v>59139.65</v>
      </c>
      <c r="I241" s="188" t="str">
        <f>VLOOKUP(C241,CATEGORIZACION!$A$1:$C$269,2,FALSE)</f>
        <v>TRANSPORTE</v>
      </c>
      <c r="J241" s="188" t="s">
        <v>19</v>
      </c>
    </row>
    <row r="242" spans="1:10" ht="15.75" customHeight="1" x14ac:dyDescent="0.25">
      <c r="A242" s="1">
        <v>44973</v>
      </c>
      <c r="B242" s="188" t="s">
        <v>305</v>
      </c>
      <c r="C242" s="188" t="s">
        <v>36</v>
      </c>
      <c r="D242" s="188" t="s">
        <v>37</v>
      </c>
      <c r="E242" s="4">
        <v>5700</v>
      </c>
      <c r="F242" s="5">
        <v>40150</v>
      </c>
      <c r="G242" s="4">
        <v>8431.5</v>
      </c>
      <c r="H242" s="4">
        <v>54281.5</v>
      </c>
      <c r="I242" s="188" t="str">
        <f>VLOOKUP(C242,CATEGORIZACION!$A$1:$C$269,2,FALSE)</f>
        <v>TRANSPORTE</v>
      </c>
      <c r="J242" s="188" t="s">
        <v>19</v>
      </c>
    </row>
    <row r="243" spans="1:10" ht="15.75" customHeight="1" x14ac:dyDescent="0.25">
      <c r="A243" s="1">
        <v>44973</v>
      </c>
      <c r="B243" s="188" t="s">
        <v>306</v>
      </c>
      <c r="C243" s="188" t="s">
        <v>36</v>
      </c>
      <c r="D243" s="188" t="s">
        <v>37</v>
      </c>
      <c r="E243" s="4">
        <v>4800</v>
      </c>
      <c r="F243" s="5">
        <v>92400</v>
      </c>
      <c r="G243" s="4">
        <v>19404</v>
      </c>
      <c r="H243" s="4">
        <v>116604</v>
      </c>
      <c r="I243" s="188" t="str">
        <f>VLOOKUP(C243,CATEGORIZACION!$A$1:$C$269,2,FALSE)</f>
        <v>TRANSPORTE</v>
      </c>
      <c r="J243" s="188" t="s">
        <v>19</v>
      </c>
    </row>
    <row r="244" spans="1:10" ht="15.75" customHeight="1" x14ac:dyDescent="0.25">
      <c r="A244" s="1">
        <v>44974</v>
      </c>
      <c r="B244" s="188" t="s">
        <v>307</v>
      </c>
      <c r="C244" s="188" t="s">
        <v>21</v>
      </c>
      <c r="D244" s="188" t="s">
        <v>22</v>
      </c>
      <c r="E244" s="4">
        <v>9050</v>
      </c>
      <c r="F244" s="5">
        <v>189300</v>
      </c>
      <c r="G244" s="4">
        <v>39753</v>
      </c>
      <c r="H244" s="4">
        <v>238103</v>
      </c>
      <c r="I244" s="188" t="str">
        <f>VLOOKUP(C244,CATEGORIZACION!$A$1:$C$269,2,FALSE)</f>
        <v>TRANSPORTE</v>
      </c>
      <c r="J244" s="188" t="s">
        <v>19</v>
      </c>
    </row>
    <row r="245" spans="1:10" ht="15.75" customHeight="1" x14ac:dyDescent="0.25">
      <c r="A245" s="1">
        <v>44974</v>
      </c>
      <c r="B245" s="188" t="s">
        <v>308</v>
      </c>
      <c r="C245" s="188" t="s">
        <v>21</v>
      </c>
      <c r="D245" s="188" t="s">
        <v>22</v>
      </c>
      <c r="E245" s="4">
        <v>7470</v>
      </c>
      <c r="F245" s="5">
        <v>150000</v>
      </c>
      <c r="G245" s="4">
        <v>31500</v>
      </c>
      <c r="H245" s="4">
        <v>188970</v>
      </c>
      <c r="I245" s="188" t="str">
        <f>VLOOKUP(C245,CATEGORIZACION!$A$1:$C$269,2,FALSE)</f>
        <v>TRANSPORTE</v>
      </c>
      <c r="J245" s="188" t="s">
        <v>19</v>
      </c>
    </row>
    <row r="246" spans="1:10" ht="15.75" customHeight="1" x14ac:dyDescent="0.25">
      <c r="A246" s="1">
        <v>44974</v>
      </c>
      <c r="B246" s="188" t="s">
        <v>309</v>
      </c>
      <c r="C246" s="188" t="s">
        <v>21</v>
      </c>
      <c r="D246" s="188" t="s">
        <v>22</v>
      </c>
      <c r="E246" s="4">
        <v>9960</v>
      </c>
      <c r="F246" s="5">
        <v>200000</v>
      </c>
      <c r="G246" s="4">
        <v>42000</v>
      </c>
      <c r="H246" s="4">
        <v>251960</v>
      </c>
      <c r="I246" s="188" t="str">
        <f>VLOOKUP(C246,CATEGORIZACION!$A$1:$C$269,2,FALSE)</f>
        <v>TRANSPORTE</v>
      </c>
      <c r="J246" s="188" t="s">
        <v>19</v>
      </c>
    </row>
    <row r="247" spans="1:10" ht="15.75" customHeight="1" x14ac:dyDescent="0.25">
      <c r="A247" s="1">
        <v>44974</v>
      </c>
      <c r="B247" s="188" t="s">
        <v>310</v>
      </c>
      <c r="C247" s="188" t="s">
        <v>36</v>
      </c>
      <c r="D247" s="188" t="s">
        <v>37</v>
      </c>
      <c r="E247" s="4">
        <v>6500</v>
      </c>
      <c r="F247" s="5">
        <v>64620</v>
      </c>
      <c r="G247" s="4">
        <v>13570.2</v>
      </c>
      <c r="H247" s="4">
        <v>84690.2</v>
      </c>
      <c r="I247" s="188" t="str">
        <f>VLOOKUP(C247,CATEGORIZACION!$A$1:$C$269,2,FALSE)</f>
        <v>TRANSPORTE</v>
      </c>
      <c r="J247" s="188" t="s">
        <v>19</v>
      </c>
    </row>
    <row r="248" spans="1:10" ht="15.75" customHeight="1" x14ac:dyDescent="0.25">
      <c r="A248" s="1">
        <v>44974</v>
      </c>
      <c r="B248" s="188" t="s">
        <v>311</v>
      </c>
      <c r="C248" s="188" t="s">
        <v>36</v>
      </c>
      <c r="D248" s="188" t="s">
        <v>37</v>
      </c>
      <c r="E248" s="4">
        <v>6500</v>
      </c>
      <c r="F248" s="5">
        <v>77000</v>
      </c>
      <c r="G248" s="4">
        <v>16170</v>
      </c>
      <c r="H248" s="4">
        <v>99670</v>
      </c>
      <c r="I248" s="188" t="str">
        <f>VLOOKUP(C248,CATEGORIZACION!$A$1:$C$269,2,FALSE)</f>
        <v>TRANSPORTE</v>
      </c>
      <c r="J248" s="188" t="s">
        <v>19</v>
      </c>
    </row>
    <row r="249" spans="1:10" ht="15.75" customHeight="1" x14ac:dyDescent="0.25">
      <c r="A249" s="1">
        <v>44974</v>
      </c>
      <c r="B249" s="188" t="s">
        <v>312</v>
      </c>
      <c r="C249" s="188" t="s">
        <v>36</v>
      </c>
      <c r="D249" s="188" t="s">
        <v>37</v>
      </c>
      <c r="E249" s="4">
        <v>5800</v>
      </c>
      <c r="F249" s="5">
        <v>53850</v>
      </c>
      <c r="G249" s="4">
        <v>11308.5</v>
      </c>
      <c r="H249" s="4">
        <v>70958.5</v>
      </c>
      <c r="I249" s="188" t="str">
        <f>VLOOKUP(C249,CATEGORIZACION!$A$1:$C$269,2,FALSE)</f>
        <v>TRANSPORTE</v>
      </c>
      <c r="J249" s="188" t="s">
        <v>19</v>
      </c>
    </row>
    <row r="250" spans="1:10" ht="15.75" customHeight="1" x14ac:dyDescent="0.25">
      <c r="A250" s="1">
        <v>44979</v>
      </c>
      <c r="B250" s="188" t="s">
        <v>313</v>
      </c>
      <c r="C250" s="188" t="s">
        <v>36</v>
      </c>
      <c r="D250" s="188" t="s">
        <v>37</v>
      </c>
      <c r="E250" s="4">
        <v>3800</v>
      </c>
      <c r="F250" s="5">
        <v>33800</v>
      </c>
      <c r="G250" s="4">
        <v>7098</v>
      </c>
      <c r="H250" s="4">
        <v>44698</v>
      </c>
      <c r="I250" s="188" t="str">
        <f>VLOOKUP(C250,CATEGORIZACION!$A$1:$C$269,2,FALSE)</f>
        <v>TRANSPORTE</v>
      </c>
      <c r="J250" s="188" t="s">
        <v>19</v>
      </c>
    </row>
    <row r="251" spans="1:10" ht="15.75" customHeight="1" x14ac:dyDescent="0.25">
      <c r="A251" s="1">
        <v>44979</v>
      </c>
      <c r="B251" s="188" t="s">
        <v>314</v>
      </c>
      <c r="C251" s="188" t="s">
        <v>36</v>
      </c>
      <c r="D251" s="188" t="s">
        <v>37</v>
      </c>
      <c r="E251" s="4">
        <v>6500</v>
      </c>
      <c r="F251" s="5">
        <v>77000</v>
      </c>
      <c r="G251" s="4">
        <v>16170</v>
      </c>
      <c r="H251" s="4">
        <v>99670</v>
      </c>
      <c r="I251" s="188" t="str">
        <f>VLOOKUP(C251,CATEGORIZACION!$A$1:$C$269,2,FALSE)</f>
        <v>TRANSPORTE</v>
      </c>
      <c r="J251" s="188" t="s">
        <v>19</v>
      </c>
    </row>
    <row r="252" spans="1:10" ht="15.75" customHeight="1" x14ac:dyDescent="0.25">
      <c r="A252" s="1">
        <v>44979</v>
      </c>
      <c r="B252" s="188" t="s">
        <v>315</v>
      </c>
      <c r="C252" s="188" t="s">
        <v>36</v>
      </c>
      <c r="D252" s="188" t="s">
        <v>37</v>
      </c>
      <c r="E252" s="4">
        <v>7600</v>
      </c>
      <c r="F252" s="5">
        <v>107700</v>
      </c>
      <c r="G252" s="4">
        <v>22617</v>
      </c>
      <c r="H252" s="4">
        <v>137917</v>
      </c>
      <c r="I252" s="188" t="str">
        <f>VLOOKUP(C252,CATEGORIZACION!$A$1:$C$269,2,FALSE)</f>
        <v>TRANSPORTE</v>
      </c>
      <c r="J252" s="188" t="s">
        <v>19</v>
      </c>
    </row>
    <row r="253" spans="1:10" ht="15.75" customHeight="1" x14ac:dyDescent="0.25">
      <c r="A253" s="1">
        <v>44979</v>
      </c>
      <c r="B253" s="188" t="s">
        <v>316</v>
      </c>
      <c r="C253" s="188" t="s">
        <v>36</v>
      </c>
      <c r="D253" s="188" t="s">
        <v>37</v>
      </c>
      <c r="E253" s="4">
        <v>6500</v>
      </c>
      <c r="F253" s="5">
        <v>53850</v>
      </c>
      <c r="G253" s="4">
        <v>11308.5</v>
      </c>
      <c r="H253" s="4">
        <v>71658.5</v>
      </c>
      <c r="I253" s="188" t="str">
        <f>VLOOKUP(C253,CATEGORIZACION!$A$1:$C$269,2,FALSE)</f>
        <v>TRANSPORTE</v>
      </c>
      <c r="J253" s="188" t="s">
        <v>19</v>
      </c>
    </row>
    <row r="254" spans="1:10" ht="15.75" customHeight="1" x14ac:dyDescent="0.25">
      <c r="A254" s="1">
        <v>44979</v>
      </c>
      <c r="B254" s="188" t="s">
        <v>317</v>
      </c>
      <c r="C254" s="188" t="s">
        <v>36</v>
      </c>
      <c r="D254" s="188" t="s">
        <v>37</v>
      </c>
      <c r="E254" s="4">
        <v>5700</v>
      </c>
      <c r="F254" s="5">
        <v>40150</v>
      </c>
      <c r="G254" s="4">
        <v>8431.5</v>
      </c>
      <c r="H254" s="4">
        <v>54281.5</v>
      </c>
      <c r="I254" s="188" t="str">
        <f>VLOOKUP(C254,CATEGORIZACION!$A$1:$C$269,2,FALSE)</f>
        <v>TRANSPORTE</v>
      </c>
      <c r="J254" s="188" t="s">
        <v>19</v>
      </c>
    </row>
    <row r="255" spans="1:10" ht="15.75" customHeight="1" x14ac:dyDescent="0.25">
      <c r="A255" s="1">
        <v>44979</v>
      </c>
      <c r="B255" s="188" t="s">
        <v>318</v>
      </c>
      <c r="C255" s="188" t="s">
        <v>36</v>
      </c>
      <c r="D255" s="188" t="s">
        <v>37</v>
      </c>
      <c r="E255" s="4">
        <v>5700</v>
      </c>
      <c r="F255" s="5">
        <v>44165</v>
      </c>
      <c r="G255" s="4">
        <v>9274.65</v>
      </c>
      <c r="H255" s="4">
        <v>59139.65</v>
      </c>
      <c r="I255" s="188" t="str">
        <f>VLOOKUP(C255,CATEGORIZACION!$A$1:$C$269,2,FALSE)</f>
        <v>TRANSPORTE</v>
      </c>
      <c r="J255" s="188" t="s">
        <v>19</v>
      </c>
    </row>
    <row r="256" spans="1:10" ht="15.75" customHeight="1" x14ac:dyDescent="0.25">
      <c r="A256" s="1">
        <v>44979</v>
      </c>
      <c r="B256" s="188" t="s">
        <v>319</v>
      </c>
      <c r="C256" s="188" t="s">
        <v>36</v>
      </c>
      <c r="D256" s="188" t="s">
        <v>37</v>
      </c>
      <c r="E256" s="4">
        <v>5700</v>
      </c>
      <c r="F256" s="5">
        <v>44165</v>
      </c>
      <c r="G256" s="4">
        <v>9274.65</v>
      </c>
      <c r="H256" s="4">
        <v>59139.65</v>
      </c>
      <c r="I256" s="188" t="str">
        <f>VLOOKUP(C256,CATEGORIZACION!$A$1:$C$269,2,FALSE)</f>
        <v>TRANSPORTE</v>
      </c>
      <c r="J256" s="188" t="s">
        <v>19</v>
      </c>
    </row>
    <row r="257" spans="1:10" ht="15.75" customHeight="1" x14ac:dyDescent="0.25">
      <c r="A257" s="1">
        <v>44980</v>
      </c>
      <c r="B257" s="188" t="s">
        <v>320</v>
      </c>
      <c r="C257" s="188" t="s">
        <v>87</v>
      </c>
      <c r="D257" s="188" t="s">
        <v>88</v>
      </c>
      <c r="E257" s="4">
        <v>0</v>
      </c>
      <c r="F257" s="5">
        <v>34598</v>
      </c>
      <c r="G257" s="4">
        <v>7265.58</v>
      </c>
      <c r="H257" s="4">
        <v>41863.58</v>
      </c>
      <c r="I257" s="188" t="str">
        <f>VLOOKUP(C257,CATEGORIZACION!$A$1:$C$269,2,FALSE)</f>
        <v>PROOVEDORES</v>
      </c>
      <c r="J257" s="188" t="str">
        <f>VLOOKUP(C257,CATEGORIZACION!$A$1:$C$269,3,FALSE)</f>
        <v>LOGISTICA</v>
      </c>
    </row>
    <row r="258" spans="1:10" ht="15.75" customHeight="1" x14ac:dyDescent="0.25">
      <c r="A258" s="1">
        <v>44980</v>
      </c>
      <c r="B258" s="188" t="s">
        <v>321</v>
      </c>
      <c r="C258" s="188" t="s">
        <v>21</v>
      </c>
      <c r="D258" s="188" t="s">
        <v>22</v>
      </c>
      <c r="E258" s="4">
        <v>21272</v>
      </c>
      <c r="F258" s="5">
        <v>308850</v>
      </c>
      <c r="G258" s="4">
        <v>64858.5</v>
      </c>
      <c r="H258" s="4">
        <v>394980.5</v>
      </c>
      <c r="I258" s="188" t="str">
        <f>VLOOKUP(C258,CATEGORIZACION!$A$1:$C$269,2,FALSE)</f>
        <v>TRANSPORTE</v>
      </c>
      <c r="J258" s="188" t="s">
        <v>19</v>
      </c>
    </row>
    <row r="259" spans="1:10" ht="15.75" customHeight="1" x14ac:dyDescent="0.25">
      <c r="A259" s="1">
        <v>44981</v>
      </c>
      <c r="B259" s="188" t="s">
        <v>322</v>
      </c>
      <c r="C259" s="188" t="s">
        <v>36</v>
      </c>
      <c r="D259" s="188" t="s">
        <v>37</v>
      </c>
      <c r="E259" s="4">
        <v>800000</v>
      </c>
      <c r="F259" s="5">
        <v>0</v>
      </c>
      <c r="G259" s="4">
        <v>0</v>
      </c>
      <c r="H259" s="4">
        <v>800000</v>
      </c>
      <c r="I259" s="188" t="str">
        <f>VLOOKUP(C259,CATEGORIZACION!$A$1:$C$269,2,FALSE)</f>
        <v>TRANSPORTE</v>
      </c>
      <c r="J259" s="188" t="s">
        <v>19</v>
      </c>
    </row>
    <row r="260" spans="1:10" ht="15.75" customHeight="1" x14ac:dyDescent="0.25">
      <c r="A260" s="1">
        <v>44981</v>
      </c>
      <c r="B260" s="188" t="s">
        <v>323</v>
      </c>
      <c r="C260" s="188" t="s">
        <v>36</v>
      </c>
      <c r="D260" s="188" t="s">
        <v>37</v>
      </c>
      <c r="E260" s="4">
        <v>5700</v>
      </c>
      <c r="F260" s="5">
        <v>40150</v>
      </c>
      <c r="G260" s="4">
        <v>8431.5</v>
      </c>
      <c r="H260" s="4">
        <v>54281.5</v>
      </c>
      <c r="I260" s="188" t="str">
        <f>VLOOKUP(C260,CATEGORIZACION!$A$1:$C$269,2,FALSE)</f>
        <v>TRANSPORTE</v>
      </c>
      <c r="J260" s="188" t="s">
        <v>19</v>
      </c>
    </row>
    <row r="261" spans="1:10" ht="15.75" customHeight="1" x14ac:dyDescent="0.25">
      <c r="A261" s="1">
        <v>44981</v>
      </c>
      <c r="B261" s="188" t="s">
        <v>324</v>
      </c>
      <c r="C261" s="188" t="s">
        <v>36</v>
      </c>
      <c r="D261" s="188" t="s">
        <v>37</v>
      </c>
      <c r="E261" s="4">
        <v>5700</v>
      </c>
      <c r="F261" s="5">
        <v>44165</v>
      </c>
      <c r="G261" s="4">
        <v>9274.65</v>
      </c>
      <c r="H261" s="4">
        <v>59139.65</v>
      </c>
      <c r="I261" s="188" t="str">
        <f>VLOOKUP(C261,CATEGORIZACION!$A$1:$C$269,2,FALSE)</f>
        <v>TRANSPORTE</v>
      </c>
      <c r="J261" s="188" t="s">
        <v>19</v>
      </c>
    </row>
    <row r="262" spans="1:10" ht="15.75" customHeight="1" x14ac:dyDescent="0.25">
      <c r="A262" s="1">
        <v>44981</v>
      </c>
      <c r="B262" s="188" t="s">
        <v>325</v>
      </c>
      <c r="C262" s="188" t="s">
        <v>36</v>
      </c>
      <c r="D262" s="188" t="s">
        <v>37</v>
      </c>
      <c r="E262" s="4">
        <v>5700</v>
      </c>
      <c r="F262" s="5">
        <v>40150</v>
      </c>
      <c r="G262" s="4">
        <v>8431.5</v>
      </c>
      <c r="H262" s="4">
        <v>54281.5</v>
      </c>
      <c r="I262" s="188" t="str">
        <f>VLOOKUP(C262,CATEGORIZACION!$A$1:$C$269,2,FALSE)</f>
        <v>TRANSPORTE</v>
      </c>
      <c r="J262" s="188" t="s">
        <v>19</v>
      </c>
    </row>
    <row r="263" spans="1:10" ht="15.75" customHeight="1" x14ac:dyDescent="0.25">
      <c r="A263" s="1">
        <v>44981</v>
      </c>
      <c r="B263" s="188" t="s">
        <v>326</v>
      </c>
      <c r="C263" s="188" t="s">
        <v>36</v>
      </c>
      <c r="D263" s="188" t="s">
        <v>37</v>
      </c>
      <c r="E263" s="4">
        <v>5700</v>
      </c>
      <c r="F263" s="5">
        <v>40150</v>
      </c>
      <c r="G263" s="4">
        <v>8431.5</v>
      </c>
      <c r="H263" s="4">
        <v>54281.5</v>
      </c>
      <c r="I263" s="188" t="str">
        <f>VLOOKUP(C263,CATEGORIZACION!$A$1:$C$269,2,FALSE)</f>
        <v>TRANSPORTE</v>
      </c>
      <c r="J263" s="188" t="s">
        <v>19</v>
      </c>
    </row>
    <row r="264" spans="1:10" ht="15.75" customHeight="1" x14ac:dyDescent="0.25">
      <c r="A264" s="1">
        <v>44981</v>
      </c>
      <c r="B264" s="188" t="s">
        <v>327</v>
      </c>
      <c r="C264" s="188" t="s">
        <v>36</v>
      </c>
      <c r="D264" s="188" t="s">
        <v>37</v>
      </c>
      <c r="E264" s="4">
        <v>5700</v>
      </c>
      <c r="F264" s="5">
        <v>44165</v>
      </c>
      <c r="G264" s="4">
        <v>9274.65</v>
      </c>
      <c r="H264" s="4">
        <v>59139.65</v>
      </c>
      <c r="I264" s="188" t="str">
        <f>VLOOKUP(C264,CATEGORIZACION!$A$1:$C$269,2,FALSE)</f>
        <v>TRANSPORTE</v>
      </c>
      <c r="J264" s="188" t="s">
        <v>19</v>
      </c>
    </row>
    <row r="265" spans="1:10" ht="15.75" customHeight="1" x14ac:dyDescent="0.25">
      <c r="A265" s="1">
        <v>44981</v>
      </c>
      <c r="B265" s="188" t="s">
        <v>328</v>
      </c>
      <c r="C265" s="188" t="s">
        <v>36</v>
      </c>
      <c r="D265" s="188" t="s">
        <v>37</v>
      </c>
      <c r="E265" s="4">
        <v>5700</v>
      </c>
      <c r="F265" s="5">
        <v>40150</v>
      </c>
      <c r="G265" s="4">
        <v>8431.5</v>
      </c>
      <c r="H265" s="4">
        <v>54281.5</v>
      </c>
      <c r="I265" s="188" t="str">
        <f>VLOOKUP(C265,CATEGORIZACION!$A$1:$C$269,2,FALSE)</f>
        <v>TRANSPORTE</v>
      </c>
      <c r="J265" s="188" t="s">
        <v>19</v>
      </c>
    </row>
    <row r="266" spans="1:10" ht="15.75" customHeight="1" x14ac:dyDescent="0.25">
      <c r="A266" s="1">
        <v>44981</v>
      </c>
      <c r="B266" s="188" t="s">
        <v>329</v>
      </c>
      <c r="C266" s="188" t="s">
        <v>36</v>
      </c>
      <c r="D266" s="188" t="s">
        <v>37</v>
      </c>
      <c r="E266" s="4">
        <v>5700</v>
      </c>
      <c r="F266" s="5">
        <v>44165</v>
      </c>
      <c r="G266" s="4">
        <v>9274.65</v>
      </c>
      <c r="H266" s="4">
        <v>59139.65</v>
      </c>
      <c r="I266" s="188" t="str">
        <f>VLOOKUP(C266,CATEGORIZACION!$A$1:$C$269,2,FALSE)</f>
        <v>TRANSPORTE</v>
      </c>
      <c r="J266" s="188" t="s">
        <v>19</v>
      </c>
    </row>
    <row r="267" spans="1:10" ht="15.75" customHeight="1" x14ac:dyDescent="0.25">
      <c r="A267" s="1">
        <v>44981</v>
      </c>
      <c r="B267" s="188" t="s">
        <v>330</v>
      </c>
      <c r="C267" s="188" t="s">
        <v>36</v>
      </c>
      <c r="D267" s="188" t="s">
        <v>37</v>
      </c>
      <c r="E267" s="4">
        <v>5700</v>
      </c>
      <c r="F267" s="5">
        <v>52200</v>
      </c>
      <c r="G267" s="4">
        <v>10962</v>
      </c>
      <c r="H267" s="4">
        <v>68862</v>
      </c>
      <c r="I267" s="188" t="str">
        <f>VLOOKUP(C267,CATEGORIZACION!$A$1:$C$269,2,FALSE)</f>
        <v>TRANSPORTE</v>
      </c>
      <c r="J267" s="188" t="s">
        <v>19</v>
      </c>
    </row>
    <row r="268" spans="1:10" ht="15.75" customHeight="1" x14ac:dyDescent="0.25">
      <c r="A268" s="1">
        <v>44981</v>
      </c>
      <c r="B268" s="188" t="s">
        <v>331</v>
      </c>
      <c r="C268" s="188" t="s">
        <v>36</v>
      </c>
      <c r="D268" s="188" t="s">
        <v>37</v>
      </c>
      <c r="E268" s="4">
        <v>6500</v>
      </c>
      <c r="F268" s="5">
        <v>53850</v>
      </c>
      <c r="G268" s="4">
        <v>11308.5</v>
      </c>
      <c r="H268" s="4">
        <v>71658.5</v>
      </c>
      <c r="I268" s="188" t="str">
        <f>VLOOKUP(C268,CATEGORIZACION!$A$1:$C$269,2,FALSE)</f>
        <v>TRANSPORTE</v>
      </c>
      <c r="J268" s="188" t="s">
        <v>19</v>
      </c>
    </row>
    <row r="269" spans="1:10" ht="15.75" customHeight="1" x14ac:dyDescent="0.25">
      <c r="A269" s="1">
        <v>44981</v>
      </c>
      <c r="B269" s="188" t="s">
        <v>332</v>
      </c>
      <c r="C269" s="188" t="s">
        <v>17</v>
      </c>
      <c r="D269" s="188" t="s">
        <v>18</v>
      </c>
      <c r="E269" s="4">
        <v>13730</v>
      </c>
      <c r="F269" s="5">
        <v>209500</v>
      </c>
      <c r="G269" s="4">
        <v>43995</v>
      </c>
      <c r="H269" s="4">
        <v>267225</v>
      </c>
      <c r="I269" s="188" t="str">
        <f>VLOOKUP(C269,CATEGORIZACION!$A$1:$C$269,2,FALSE)</f>
        <v>TRANSPORTE</v>
      </c>
      <c r="J269" s="188" t="s">
        <v>19</v>
      </c>
    </row>
    <row r="270" spans="1:10" ht="15.75" customHeight="1" x14ac:dyDescent="0.25">
      <c r="A270" s="1">
        <v>44984</v>
      </c>
      <c r="B270" s="188" t="s">
        <v>333</v>
      </c>
      <c r="C270" s="188" t="s">
        <v>334</v>
      </c>
      <c r="D270" s="188" t="s">
        <v>335</v>
      </c>
      <c r="E270" s="4">
        <v>10231</v>
      </c>
      <c r="F270" s="5">
        <v>20500</v>
      </c>
      <c r="G270" s="4">
        <v>4305</v>
      </c>
      <c r="H270" s="4">
        <v>35036</v>
      </c>
      <c r="I270" s="188" t="str">
        <f>VLOOKUP(C270,CATEGORIZACION!$A$1:$C$269,2,FALSE)</f>
        <v>PROOVEDORES</v>
      </c>
      <c r="J270" s="188" t="str">
        <f>VLOOKUP(C270,CATEGORIZACION!$A$1:$C$269,3,FALSE)</f>
        <v>LOGISTICA</v>
      </c>
    </row>
    <row r="271" spans="1:10" ht="15.75" customHeight="1" x14ac:dyDescent="0.25">
      <c r="A271" s="1">
        <v>44984</v>
      </c>
      <c r="B271" s="188" t="s">
        <v>336</v>
      </c>
      <c r="C271" s="188" t="s">
        <v>337</v>
      </c>
      <c r="D271" s="188" t="s">
        <v>174</v>
      </c>
      <c r="E271" s="4">
        <v>0</v>
      </c>
      <c r="F271" s="5">
        <v>49100</v>
      </c>
      <c r="G271" s="4">
        <v>10311</v>
      </c>
      <c r="H271" s="4">
        <v>59411</v>
      </c>
      <c r="I271" s="188" t="str">
        <f>VLOOKUP(C271,CATEGORIZACION!$A$1:$C$269,2,FALSE)</f>
        <v>TRANSPORTE</v>
      </c>
      <c r="J271" s="188" t="s">
        <v>19</v>
      </c>
    </row>
    <row r="272" spans="1:10" ht="15.75" customHeight="1" x14ac:dyDescent="0.25">
      <c r="A272" s="1">
        <v>44984</v>
      </c>
      <c r="B272" s="188" t="s">
        <v>338</v>
      </c>
      <c r="C272" s="188" t="s">
        <v>339</v>
      </c>
      <c r="D272" s="188" t="s">
        <v>340</v>
      </c>
      <c r="E272" s="4">
        <v>0</v>
      </c>
      <c r="F272" s="5">
        <v>44290.99</v>
      </c>
      <c r="G272" s="4">
        <v>9301.11</v>
      </c>
      <c r="H272" s="4">
        <v>53592.1</v>
      </c>
      <c r="I272" s="188" t="str">
        <f>VLOOKUP(C272,CATEGORIZACION!$A$1:$C$269,2,FALSE)</f>
        <v>PROOVEDORES</v>
      </c>
      <c r="J272" s="188" t="str">
        <f>VLOOKUP(C272,CATEGORIZACION!$A$1:$C$269,3,FALSE)</f>
        <v>LOGISTICA</v>
      </c>
    </row>
    <row r="273" spans="1:10" ht="15.75" customHeight="1" x14ac:dyDescent="0.25">
      <c r="A273" s="1">
        <v>44984</v>
      </c>
      <c r="B273" s="188" t="s">
        <v>341</v>
      </c>
      <c r="C273" s="188" t="s">
        <v>36</v>
      </c>
      <c r="D273" s="188" t="s">
        <v>37</v>
      </c>
      <c r="E273" s="4">
        <v>5700</v>
      </c>
      <c r="F273" s="5">
        <v>40150</v>
      </c>
      <c r="G273" s="4">
        <v>8431.5</v>
      </c>
      <c r="H273" s="4">
        <v>54281.5</v>
      </c>
      <c r="I273" s="188" t="str">
        <f>VLOOKUP(C273,CATEGORIZACION!$A$1:$C$269,2,FALSE)</f>
        <v>TRANSPORTE</v>
      </c>
      <c r="J273" s="188" t="s">
        <v>19</v>
      </c>
    </row>
    <row r="274" spans="1:10" ht="15.75" customHeight="1" x14ac:dyDescent="0.25">
      <c r="A274" s="1">
        <v>44984</v>
      </c>
      <c r="B274" s="188" t="s">
        <v>342</v>
      </c>
      <c r="C274" s="188" t="s">
        <v>36</v>
      </c>
      <c r="D274" s="188" t="s">
        <v>37</v>
      </c>
      <c r="E274" s="4">
        <v>5700</v>
      </c>
      <c r="F274" s="5">
        <v>44165</v>
      </c>
      <c r="G274" s="4">
        <v>9274.65</v>
      </c>
      <c r="H274" s="4">
        <v>59139.65</v>
      </c>
      <c r="I274" s="188" t="str">
        <f>VLOOKUP(C274,CATEGORIZACION!$A$1:$C$269,2,FALSE)</f>
        <v>TRANSPORTE</v>
      </c>
      <c r="J274" s="188" t="s">
        <v>19</v>
      </c>
    </row>
    <row r="275" spans="1:10" ht="15.75" customHeight="1" x14ac:dyDescent="0.25">
      <c r="A275" s="1">
        <v>44984</v>
      </c>
      <c r="B275" s="188" t="s">
        <v>343</v>
      </c>
      <c r="C275" s="188" t="s">
        <v>36</v>
      </c>
      <c r="D275" s="188" t="s">
        <v>37</v>
      </c>
      <c r="E275" s="4">
        <v>5700</v>
      </c>
      <c r="F275" s="5">
        <v>44165</v>
      </c>
      <c r="G275" s="4">
        <v>9274.65</v>
      </c>
      <c r="H275" s="4">
        <v>59139.65</v>
      </c>
      <c r="I275" s="188" t="str">
        <f>VLOOKUP(C275,CATEGORIZACION!$A$1:$C$269,2,FALSE)</f>
        <v>TRANSPORTE</v>
      </c>
      <c r="J275" s="188" t="s">
        <v>19</v>
      </c>
    </row>
    <row r="276" spans="1:10" ht="15.75" customHeight="1" x14ac:dyDescent="0.25">
      <c r="A276" s="1">
        <v>44984</v>
      </c>
      <c r="B276" s="188" t="s">
        <v>344</v>
      </c>
      <c r="C276" s="188" t="s">
        <v>36</v>
      </c>
      <c r="D276" s="188" t="s">
        <v>37</v>
      </c>
      <c r="E276" s="4">
        <v>5700</v>
      </c>
      <c r="F276" s="5">
        <v>40150</v>
      </c>
      <c r="G276" s="4">
        <v>8431.5</v>
      </c>
      <c r="H276" s="4">
        <v>54281.5</v>
      </c>
      <c r="I276" s="188" t="str">
        <f>VLOOKUP(C276,CATEGORIZACION!$A$1:$C$269,2,FALSE)</f>
        <v>TRANSPORTE</v>
      </c>
      <c r="J276" s="188" t="s">
        <v>19</v>
      </c>
    </row>
    <row r="277" spans="1:10" ht="15.75" customHeight="1" x14ac:dyDescent="0.25">
      <c r="A277" s="1">
        <v>44984</v>
      </c>
      <c r="B277" s="188" t="s">
        <v>345</v>
      </c>
      <c r="C277" s="188" t="s">
        <v>36</v>
      </c>
      <c r="D277" s="188" t="s">
        <v>37</v>
      </c>
      <c r="E277" s="4">
        <v>3800</v>
      </c>
      <c r="F277" s="5">
        <v>33800</v>
      </c>
      <c r="G277" s="4">
        <v>7098</v>
      </c>
      <c r="H277" s="4">
        <v>44698</v>
      </c>
      <c r="I277" s="188" t="str">
        <f>VLOOKUP(C277,CATEGORIZACION!$A$1:$C$269,2,FALSE)</f>
        <v>TRANSPORTE</v>
      </c>
      <c r="J277" s="188" t="s">
        <v>19</v>
      </c>
    </row>
    <row r="278" spans="1:10" ht="15.75" customHeight="1" x14ac:dyDescent="0.25">
      <c r="A278" s="1">
        <v>44984</v>
      </c>
      <c r="B278" s="188" t="s">
        <v>346</v>
      </c>
      <c r="C278" s="188" t="s">
        <v>36</v>
      </c>
      <c r="D278" s="188" t="s">
        <v>37</v>
      </c>
      <c r="E278" s="4">
        <v>6500</v>
      </c>
      <c r="F278" s="5">
        <v>92400</v>
      </c>
      <c r="G278" s="4">
        <v>19404</v>
      </c>
      <c r="H278" s="4">
        <v>118304</v>
      </c>
      <c r="I278" s="188" t="str">
        <f>VLOOKUP(C278,CATEGORIZACION!$A$1:$C$269,2,FALSE)</f>
        <v>TRANSPORTE</v>
      </c>
      <c r="J278" s="188" t="s">
        <v>19</v>
      </c>
    </row>
    <row r="279" spans="1:10" ht="15.75" customHeight="1" x14ac:dyDescent="0.25">
      <c r="A279" s="1">
        <v>44984</v>
      </c>
      <c r="B279" s="188" t="s">
        <v>347</v>
      </c>
      <c r="C279" s="188" t="s">
        <v>36</v>
      </c>
      <c r="D279" s="188" t="s">
        <v>37</v>
      </c>
      <c r="E279" s="4">
        <v>5700</v>
      </c>
      <c r="F279" s="5">
        <v>40150</v>
      </c>
      <c r="G279" s="4">
        <v>8431.5</v>
      </c>
      <c r="H279" s="4">
        <v>54281.5</v>
      </c>
      <c r="I279" s="188" t="str">
        <f>VLOOKUP(C279,CATEGORIZACION!$A$1:$C$269,2,FALSE)</f>
        <v>TRANSPORTE</v>
      </c>
      <c r="J279" s="188" t="s">
        <v>19</v>
      </c>
    </row>
    <row r="280" spans="1:10" ht="15.75" customHeight="1" x14ac:dyDescent="0.25">
      <c r="A280" s="1">
        <v>44984</v>
      </c>
      <c r="B280" s="188" t="s">
        <v>348</v>
      </c>
      <c r="C280" s="188" t="s">
        <v>17</v>
      </c>
      <c r="D280" s="188" t="s">
        <v>18</v>
      </c>
      <c r="E280" s="4">
        <v>34080</v>
      </c>
      <c r="F280" s="5">
        <v>346500</v>
      </c>
      <c r="G280" s="4">
        <v>72765</v>
      </c>
      <c r="H280" s="4">
        <v>453345</v>
      </c>
      <c r="I280" s="188" t="str">
        <f>VLOOKUP(C280,CATEGORIZACION!$A$1:$C$269,2,FALSE)</f>
        <v>TRANSPORTE</v>
      </c>
      <c r="J280" s="188" t="s">
        <v>19</v>
      </c>
    </row>
    <row r="281" spans="1:10" ht="15.75" customHeight="1" x14ac:dyDescent="0.25">
      <c r="A281" s="1">
        <v>44985</v>
      </c>
      <c r="B281" s="188" t="s">
        <v>45</v>
      </c>
      <c r="C281" s="188" t="s">
        <v>349</v>
      </c>
      <c r="D281" s="188" t="s">
        <v>350</v>
      </c>
      <c r="E281" s="4">
        <v>0</v>
      </c>
      <c r="F281" s="5">
        <v>2231.4</v>
      </c>
      <c r="G281" s="4">
        <v>468.59</v>
      </c>
      <c r="H281" s="4">
        <v>2699.99</v>
      </c>
      <c r="I281" s="188" t="str">
        <f>VLOOKUP(C281,CATEGORIZACION!$A$1:$C$269,2,FALSE)</f>
        <v>PROOVEDORES</v>
      </c>
      <c r="J281" s="188" t="str">
        <f>VLOOKUP(C281,CATEGORIZACION!$A$1:$C$269,3,FALSE)</f>
        <v>LOGISTICA</v>
      </c>
    </row>
    <row r="282" spans="1:10" ht="15.75" customHeight="1" x14ac:dyDescent="0.25">
      <c r="A282" s="1">
        <v>44985</v>
      </c>
      <c r="B282" s="188" t="s">
        <v>45</v>
      </c>
      <c r="C282" s="188" t="s">
        <v>351</v>
      </c>
      <c r="D282" s="188" t="s">
        <v>350</v>
      </c>
      <c r="E282" s="4">
        <v>0</v>
      </c>
      <c r="F282" s="5">
        <v>2231.4</v>
      </c>
      <c r="G282" s="4">
        <v>468.59</v>
      </c>
      <c r="H282" s="4">
        <v>2699.99</v>
      </c>
      <c r="I282" s="188" t="str">
        <f>VLOOKUP(C282,CATEGORIZACION!$A$1:$C$269,2,FALSE)</f>
        <v>PROOVEDORES</v>
      </c>
      <c r="J282" s="188" t="str">
        <f>VLOOKUP(C282,CATEGORIZACION!$A$1:$C$269,3,FALSE)</f>
        <v>LOGISTICA</v>
      </c>
    </row>
    <row r="283" spans="1:10" ht="15.75" customHeight="1" x14ac:dyDescent="0.25">
      <c r="A283" s="1">
        <v>44985</v>
      </c>
      <c r="B283" s="188" t="s">
        <v>352</v>
      </c>
      <c r="C283" s="188" t="s">
        <v>84</v>
      </c>
      <c r="D283" s="188" t="s">
        <v>85</v>
      </c>
      <c r="E283" s="4">
        <v>34991.93</v>
      </c>
      <c r="F283" s="5">
        <v>333586.84000000003</v>
      </c>
      <c r="G283" s="4">
        <v>70053.240000000005</v>
      </c>
      <c r="H283" s="4">
        <v>438632.01</v>
      </c>
      <c r="I283" s="188" t="str">
        <f>VLOOKUP(C283,CATEGORIZACION!$A$1:$C$269,2,FALSE)</f>
        <v>PROOVEDORES</v>
      </c>
      <c r="J283" s="188" t="str">
        <f>VLOOKUP(C283,CATEGORIZACION!$A$1:$C$269,3,FALSE)</f>
        <v>LOGISTICA</v>
      </c>
    </row>
    <row r="284" spans="1:10" ht="15.75" customHeight="1" x14ac:dyDescent="0.25">
      <c r="A284" s="1">
        <v>44985</v>
      </c>
      <c r="B284" s="188" t="s">
        <v>353</v>
      </c>
      <c r="C284" s="188" t="s">
        <v>84</v>
      </c>
      <c r="D284" s="188" t="s">
        <v>85</v>
      </c>
      <c r="E284" s="5">
        <v>27634.29</v>
      </c>
      <c r="F284" s="5">
        <v>22503</v>
      </c>
      <c r="G284" s="5">
        <v>73316.509999999995</v>
      </c>
      <c r="H284" s="5">
        <v>3665.8</v>
      </c>
      <c r="I284" s="188" t="str">
        <f>VLOOKUP(C284,CATEGORIZACION!$A$1:$C$269,2,FALSE)</f>
        <v>PROOVEDORES</v>
      </c>
      <c r="J284" s="188" t="str">
        <f>VLOOKUP(C284,CATEGORIZACION!$A$1:$C$269,3,FALSE)</f>
        <v>LOGISTICA</v>
      </c>
    </row>
    <row r="285" spans="1:10" ht="15.75" customHeight="1" x14ac:dyDescent="0.25">
      <c r="A285" s="1">
        <v>44985</v>
      </c>
      <c r="B285" s="188" t="s">
        <v>354</v>
      </c>
      <c r="C285" s="188" t="s">
        <v>21</v>
      </c>
      <c r="D285" s="188" t="s">
        <v>22</v>
      </c>
      <c r="E285" s="4">
        <v>7230</v>
      </c>
      <c r="F285" s="5">
        <v>136500</v>
      </c>
      <c r="G285" s="4">
        <v>28665</v>
      </c>
      <c r="H285" s="4">
        <v>172395</v>
      </c>
      <c r="I285" s="188" t="str">
        <f>VLOOKUP(C285,CATEGORIZACION!$A$1:$C$269,2,FALSE)</f>
        <v>TRANSPORTE</v>
      </c>
      <c r="J285" s="188" t="s">
        <v>19</v>
      </c>
    </row>
    <row r="286" spans="1:10" ht="15.75" customHeight="1" x14ac:dyDescent="0.25">
      <c r="A286" s="1">
        <v>44985</v>
      </c>
      <c r="B286" s="188" t="s">
        <v>355</v>
      </c>
      <c r="C286" s="188" t="s">
        <v>21</v>
      </c>
      <c r="D286" s="188" t="s">
        <v>22</v>
      </c>
      <c r="E286" s="4">
        <v>14220</v>
      </c>
      <c r="F286" s="5">
        <v>226500</v>
      </c>
      <c r="G286" s="4">
        <v>47565</v>
      </c>
      <c r="H286" s="4">
        <v>288285</v>
      </c>
      <c r="I286" s="188" t="str">
        <f>VLOOKUP(C286,CATEGORIZACION!$A$1:$C$269,2,FALSE)</f>
        <v>TRANSPORTE</v>
      </c>
      <c r="J286" s="188" t="s">
        <v>19</v>
      </c>
    </row>
    <row r="287" spans="1:10" ht="15.75" customHeight="1" x14ac:dyDescent="0.25">
      <c r="A287" s="1">
        <v>44985</v>
      </c>
      <c r="B287" s="188" t="s">
        <v>356</v>
      </c>
      <c r="C287" s="188" t="s">
        <v>21</v>
      </c>
      <c r="D287" s="188" t="s">
        <v>22</v>
      </c>
      <c r="E287" s="4">
        <v>27390</v>
      </c>
      <c r="F287" s="5">
        <v>550000</v>
      </c>
      <c r="G287" s="4">
        <v>115500</v>
      </c>
      <c r="H287" s="4">
        <v>692890</v>
      </c>
      <c r="I287" s="188" t="str">
        <f>VLOOKUP(C287,CATEGORIZACION!$A$1:$C$269,2,FALSE)</f>
        <v>TRANSPORTE</v>
      </c>
      <c r="J287" s="188" t="s">
        <v>19</v>
      </c>
    </row>
    <row r="288" spans="1:10" ht="15.75" customHeight="1" x14ac:dyDescent="0.25">
      <c r="A288" s="1">
        <v>44985</v>
      </c>
      <c r="B288" s="188" t="s">
        <v>357</v>
      </c>
      <c r="C288" s="188" t="s">
        <v>21</v>
      </c>
      <c r="D288" s="188" t="s">
        <v>22</v>
      </c>
      <c r="E288" s="4">
        <v>11440</v>
      </c>
      <c r="F288" s="5">
        <v>294000</v>
      </c>
      <c r="G288" s="4">
        <v>61740</v>
      </c>
      <c r="H288" s="4">
        <v>367180</v>
      </c>
      <c r="I288" s="188" t="str">
        <f>VLOOKUP(C288,CATEGORIZACION!$A$1:$C$269,2,FALSE)</f>
        <v>TRANSPORTE</v>
      </c>
      <c r="J288" s="188" t="s">
        <v>19</v>
      </c>
    </row>
    <row r="289" spans="1:10" ht="15.75" customHeight="1" x14ac:dyDescent="0.25">
      <c r="A289" s="1">
        <v>44985</v>
      </c>
      <c r="B289" s="188" t="s">
        <v>358</v>
      </c>
      <c r="C289" s="188" t="s">
        <v>46</v>
      </c>
      <c r="D289" s="188" t="s">
        <v>47</v>
      </c>
      <c r="E289" s="4">
        <v>0</v>
      </c>
      <c r="F289" s="5">
        <v>312600</v>
      </c>
      <c r="G289" s="4">
        <v>65646</v>
      </c>
      <c r="H289" s="4">
        <v>378246</v>
      </c>
      <c r="I289" s="188" t="str">
        <f>VLOOKUP(C289,CATEGORIZACION!$A$1:$C$269,2,FALSE)</f>
        <v>TRANSPORTE</v>
      </c>
      <c r="J289" s="188" t="s">
        <v>19</v>
      </c>
    </row>
    <row r="290" spans="1:10" ht="15.75" customHeight="1" x14ac:dyDescent="0.25">
      <c r="A290" s="1">
        <v>44985</v>
      </c>
      <c r="B290" s="188" t="s">
        <v>359</v>
      </c>
      <c r="C290" s="188" t="s">
        <v>36</v>
      </c>
      <c r="D290" s="188" t="s">
        <v>37</v>
      </c>
      <c r="E290" s="4">
        <v>8200</v>
      </c>
      <c r="F290" s="5">
        <v>72000</v>
      </c>
      <c r="G290" s="4">
        <v>15120</v>
      </c>
      <c r="H290" s="4">
        <v>95320</v>
      </c>
      <c r="I290" s="188" t="str">
        <f>VLOOKUP(C290,CATEGORIZACION!$A$1:$C$269,2,FALSE)</f>
        <v>TRANSPORTE</v>
      </c>
      <c r="J290" s="188" t="s">
        <v>19</v>
      </c>
    </row>
    <row r="291" spans="1:10" ht="15.75" customHeight="1" x14ac:dyDescent="0.25">
      <c r="A291" s="1">
        <v>44985</v>
      </c>
      <c r="B291" s="188" t="s">
        <v>360</v>
      </c>
      <c r="C291" s="188" t="s">
        <v>36</v>
      </c>
      <c r="D291" s="188" t="s">
        <v>37</v>
      </c>
      <c r="E291" s="4">
        <v>6500</v>
      </c>
      <c r="F291" s="5">
        <v>53850</v>
      </c>
      <c r="G291" s="4">
        <v>11308.5</v>
      </c>
      <c r="H291" s="4">
        <v>71658.5</v>
      </c>
      <c r="I291" s="188" t="str">
        <f>VLOOKUP(C291,CATEGORIZACION!$A$1:$C$269,2,FALSE)</f>
        <v>TRANSPORTE</v>
      </c>
      <c r="J291" s="188" t="s">
        <v>19</v>
      </c>
    </row>
    <row r="292" spans="1:10" ht="15.75" customHeight="1" x14ac:dyDescent="0.25">
      <c r="A292" s="1">
        <v>44985</v>
      </c>
      <c r="B292" s="188" t="s">
        <v>361</v>
      </c>
      <c r="C292" s="188" t="s">
        <v>36</v>
      </c>
      <c r="D292" s="188" t="s">
        <v>37</v>
      </c>
      <c r="E292" s="4">
        <v>6500</v>
      </c>
      <c r="F292" s="5">
        <v>53850</v>
      </c>
      <c r="G292" s="4">
        <v>11308.5</v>
      </c>
      <c r="H292" s="4">
        <v>71658.5</v>
      </c>
      <c r="I292" s="188" t="str">
        <f>VLOOKUP(C292,CATEGORIZACION!$A$1:$C$269,2,FALSE)</f>
        <v>TRANSPORTE</v>
      </c>
      <c r="J292" s="188" t="s">
        <v>19</v>
      </c>
    </row>
    <row r="293" spans="1:10" ht="15.75" customHeight="1" x14ac:dyDescent="0.25">
      <c r="A293" s="1">
        <v>44985</v>
      </c>
      <c r="B293" s="188" t="s">
        <v>362</v>
      </c>
      <c r="C293" s="188" t="s">
        <v>36</v>
      </c>
      <c r="D293" s="188" t="s">
        <v>37</v>
      </c>
      <c r="E293" s="4">
        <v>6500</v>
      </c>
      <c r="F293" s="5">
        <v>53850</v>
      </c>
      <c r="G293" s="4">
        <v>11308.5</v>
      </c>
      <c r="H293" s="4">
        <v>71658.5</v>
      </c>
      <c r="I293" s="188" t="str">
        <f>VLOOKUP(C293,CATEGORIZACION!$A$1:$C$269,2,FALSE)</f>
        <v>TRANSPORTE</v>
      </c>
      <c r="J293" s="188" t="s">
        <v>19</v>
      </c>
    </row>
    <row r="294" spans="1:10" ht="15.75" customHeight="1" x14ac:dyDescent="0.25">
      <c r="A294" s="1">
        <v>44985</v>
      </c>
      <c r="B294" s="188" t="s">
        <v>82</v>
      </c>
      <c r="C294" s="188" t="s">
        <v>188</v>
      </c>
      <c r="D294" s="188">
        <v>0</v>
      </c>
      <c r="E294" s="4">
        <v>0</v>
      </c>
      <c r="F294" s="3">
        <v>1098920</v>
      </c>
      <c r="G294" s="4">
        <v>0</v>
      </c>
      <c r="H294" s="4">
        <v>1098920</v>
      </c>
      <c r="I294" s="188" t="str">
        <f>VLOOKUP(C294,CATEGORIZACION!$A$1:$C$269,2,FALSE)</f>
        <v>SUELDOS</v>
      </c>
      <c r="J294" s="188" t="s">
        <v>103</v>
      </c>
    </row>
    <row r="295" spans="1:10" ht="15.75" customHeight="1" x14ac:dyDescent="0.25">
      <c r="A295" s="1">
        <v>44985</v>
      </c>
      <c r="B295" s="188" t="s">
        <v>82</v>
      </c>
      <c r="C295" s="188" t="s">
        <v>189</v>
      </c>
      <c r="D295" s="188">
        <v>0</v>
      </c>
      <c r="E295" s="4">
        <v>0</v>
      </c>
      <c r="F295" s="3">
        <v>362779</v>
      </c>
      <c r="G295" s="4">
        <v>0</v>
      </c>
      <c r="H295" s="4">
        <v>362779</v>
      </c>
      <c r="I295" s="188" t="str">
        <f>VLOOKUP(C295,CATEGORIZACION!$A$1:$C$269,2,FALSE)</f>
        <v>SUELDOS</v>
      </c>
      <c r="J295" s="188" t="s">
        <v>103</v>
      </c>
    </row>
    <row r="296" spans="1:10" ht="15.75" customHeight="1" x14ac:dyDescent="0.25">
      <c r="A296" s="1">
        <v>44985</v>
      </c>
      <c r="B296" s="188" t="s">
        <v>82</v>
      </c>
      <c r="C296" s="188" t="s">
        <v>190</v>
      </c>
      <c r="D296" s="188">
        <v>0</v>
      </c>
      <c r="E296" s="4">
        <v>0</v>
      </c>
      <c r="F296" s="5">
        <v>1896593</v>
      </c>
      <c r="G296" s="4">
        <v>0</v>
      </c>
      <c r="H296" s="4">
        <v>1896593</v>
      </c>
      <c r="I296" s="188" t="str">
        <f>VLOOKUP(C296,CATEGORIZACION!$A$1:$C$269,2,FALSE)</f>
        <v>SUELDOS</v>
      </c>
      <c r="J296" s="188" t="s">
        <v>19</v>
      </c>
    </row>
    <row r="297" spans="1:10" ht="15.75" customHeight="1" x14ac:dyDescent="0.25">
      <c r="A297" s="1">
        <v>44985</v>
      </c>
      <c r="B297" s="188" t="s">
        <v>82</v>
      </c>
      <c r="C297" s="188" t="s">
        <v>191</v>
      </c>
      <c r="D297" s="188">
        <v>0</v>
      </c>
      <c r="E297" s="4">
        <v>0</v>
      </c>
      <c r="F297" s="5">
        <v>345535</v>
      </c>
      <c r="G297" s="4">
        <v>0</v>
      </c>
      <c r="H297" s="4">
        <v>345535</v>
      </c>
      <c r="I297" s="188" t="str">
        <f>VLOOKUP(C297,CATEGORIZACION!$A$1:$C$269,2,FALSE)</f>
        <v>SUELDOS</v>
      </c>
      <c r="J297" s="188" t="s">
        <v>19</v>
      </c>
    </row>
    <row r="298" spans="1:10" ht="15.75" customHeight="1" x14ac:dyDescent="0.25">
      <c r="A298" s="1">
        <v>44985</v>
      </c>
      <c r="B298" s="188" t="s">
        <v>82</v>
      </c>
      <c r="C298" s="188" t="s">
        <v>192</v>
      </c>
      <c r="D298" s="188">
        <v>0</v>
      </c>
      <c r="E298" s="4">
        <v>0</v>
      </c>
      <c r="F298" s="3">
        <v>0</v>
      </c>
      <c r="G298" s="4">
        <v>0</v>
      </c>
      <c r="H298" s="4">
        <v>0</v>
      </c>
      <c r="I298" s="188" t="str">
        <f>VLOOKUP(C298,CATEGORIZACION!$A$1:$C$269,2,FALSE)</f>
        <v>SUELDOS</v>
      </c>
      <c r="J298" s="188" t="s">
        <v>103</v>
      </c>
    </row>
    <row r="299" spans="1:10" ht="15.75" customHeight="1" x14ac:dyDescent="0.25">
      <c r="A299" s="1">
        <v>44985</v>
      </c>
      <c r="B299" s="188" t="s">
        <v>82</v>
      </c>
      <c r="C299" s="188" t="s">
        <v>193</v>
      </c>
      <c r="D299" s="188">
        <v>0</v>
      </c>
      <c r="E299" s="4">
        <v>0</v>
      </c>
      <c r="F299" s="5">
        <v>0</v>
      </c>
      <c r="G299" s="4">
        <v>0</v>
      </c>
      <c r="H299" s="4">
        <v>0</v>
      </c>
      <c r="I299" s="188" t="str">
        <f>VLOOKUP(C299,CATEGORIZACION!$A$1:$C$269,2,FALSE)</f>
        <v>SUELDOS</v>
      </c>
      <c r="J299" s="188" t="s">
        <v>19</v>
      </c>
    </row>
    <row r="300" spans="1:10" ht="15.75" customHeight="1" x14ac:dyDescent="0.25">
      <c r="A300" s="1">
        <v>44985</v>
      </c>
      <c r="B300" s="188" t="s">
        <v>82</v>
      </c>
      <c r="C300" s="188" t="s">
        <v>194</v>
      </c>
      <c r="D300" s="188">
        <v>0</v>
      </c>
      <c r="E300" s="4">
        <v>0</v>
      </c>
      <c r="F300" s="3">
        <v>896400</v>
      </c>
      <c r="G300" s="4">
        <v>0</v>
      </c>
      <c r="H300" s="4">
        <v>896400</v>
      </c>
      <c r="I300" s="188" t="str">
        <f>VLOOKUP(C300,CATEGORIZACION!$A$1:$C$269,2,FALSE)</f>
        <v>ALQUILER</v>
      </c>
      <c r="J300" s="188" t="s">
        <v>103</v>
      </c>
    </row>
    <row r="301" spans="1:10" ht="15.75" customHeight="1" x14ac:dyDescent="0.25">
      <c r="A301" s="1">
        <v>44985</v>
      </c>
      <c r="B301" s="188" t="s">
        <v>82</v>
      </c>
      <c r="C301" s="188" t="s">
        <v>195</v>
      </c>
      <c r="D301" s="188">
        <v>0</v>
      </c>
      <c r="E301" s="4">
        <v>0</v>
      </c>
      <c r="F301" s="3">
        <v>0</v>
      </c>
      <c r="G301" s="4">
        <v>0</v>
      </c>
      <c r="H301" s="4">
        <v>0</v>
      </c>
      <c r="I301" s="188" t="str">
        <f>VLOOKUP(C301,CATEGORIZACION!$A$1:$C$269,2,FALSE)</f>
        <v>ALQUILER</v>
      </c>
      <c r="J301" s="188" t="s">
        <v>103</v>
      </c>
    </row>
    <row r="302" spans="1:10" ht="15.75" customHeight="1" x14ac:dyDescent="0.25">
      <c r="A302" s="1">
        <v>44985</v>
      </c>
      <c r="B302" s="188" t="s">
        <v>82</v>
      </c>
      <c r="C302" s="188" t="s">
        <v>196</v>
      </c>
      <c r="D302" s="188">
        <v>0</v>
      </c>
      <c r="E302" s="4">
        <v>0</v>
      </c>
      <c r="F302" s="3">
        <v>167788</v>
      </c>
      <c r="G302" s="4">
        <v>0</v>
      </c>
      <c r="H302" s="4">
        <v>167788</v>
      </c>
      <c r="I302" s="188" t="str">
        <f>VLOOKUP(C302,CATEGORIZACION!$A$1:$C$269,2,FALSE)</f>
        <v>ALQUILER</v>
      </c>
      <c r="J302" s="188" t="s">
        <v>103</v>
      </c>
    </row>
    <row r="303" spans="1:10" ht="15.75" customHeight="1" x14ac:dyDescent="0.25">
      <c r="A303" s="1">
        <v>44985</v>
      </c>
      <c r="B303" s="188" t="s">
        <v>82</v>
      </c>
      <c r="C303" s="188" t="s">
        <v>197</v>
      </c>
      <c r="D303" s="188">
        <v>0</v>
      </c>
      <c r="E303" s="4">
        <v>0</v>
      </c>
      <c r="F303" s="3">
        <v>140000</v>
      </c>
      <c r="G303" s="4">
        <v>0</v>
      </c>
      <c r="H303" s="4">
        <v>140000</v>
      </c>
      <c r="I303" s="188" t="str">
        <f>VLOOKUP(C303,CATEGORIZACION!$A$1:$C$269,2,FALSE)</f>
        <v>ALQUILER</v>
      </c>
      <c r="J303" s="188" t="s">
        <v>103</v>
      </c>
    </row>
    <row r="304" spans="1:10" ht="15.75" customHeight="1" x14ac:dyDescent="0.25">
      <c r="A304" s="1">
        <v>44985</v>
      </c>
      <c r="B304" s="188" t="s">
        <v>82</v>
      </c>
      <c r="C304" s="188" t="s">
        <v>198</v>
      </c>
      <c r="D304" s="188">
        <v>0</v>
      </c>
      <c r="E304" s="4">
        <v>0</v>
      </c>
      <c r="F304" s="5">
        <v>160000</v>
      </c>
      <c r="G304" s="4">
        <v>0</v>
      </c>
      <c r="H304" s="4">
        <v>160000</v>
      </c>
      <c r="I304" s="188" t="str">
        <f>VLOOKUP(C304,CATEGORIZACION!$A$1:$C$269,2,FALSE)</f>
        <v>ALQUILER</v>
      </c>
      <c r="J304" s="188" t="s">
        <v>19</v>
      </c>
    </row>
    <row r="305" spans="1:10" ht="15.75" customHeight="1" x14ac:dyDescent="0.25">
      <c r="A305" s="1">
        <v>44985</v>
      </c>
      <c r="B305" s="188" t="s">
        <v>82</v>
      </c>
      <c r="C305" s="188" t="s">
        <v>199</v>
      </c>
      <c r="D305" s="188">
        <v>0</v>
      </c>
      <c r="E305" s="4">
        <v>0</v>
      </c>
      <c r="F305" s="3">
        <v>30500</v>
      </c>
      <c r="G305" s="4">
        <v>0</v>
      </c>
      <c r="H305" s="4">
        <v>24500</v>
      </c>
      <c r="I305" s="188" t="str">
        <f>VLOOKUP(C305,CATEGORIZACION!$A$1:$C$269,2,FALSE)</f>
        <v>PROOVEDORES</v>
      </c>
      <c r="J305" s="188" t="str">
        <f>VLOOKUP(C305,CATEGORIZACION!$A$1:$C$269,3,FALSE)</f>
        <v>DEPOSITO</v>
      </c>
    </row>
    <row r="306" spans="1:10" ht="15.75" customHeight="1" x14ac:dyDescent="0.25">
      <c r="A306" s="1">
        <v>44985</v>
      </c>
      <c r="B306" s="188" t="s">
        <v>82</v>
      </c>
      <c r="C306" s="188" t="s">
        <v>200</v>
      </c>
      <c r="D306" s="188">
        <v>0</v>
      </c>
      <c r="E306" s="4">
        <v>0</v>
      </c>
      <c r="F306" s="5">
        <v>10949</v>
      </c>
      <c r="G306" s="4">
        <v>0</v>
      </c>
      <c r="H306" s="4">
        <v>10949</v>
      </c>
      <c r="I306" s="188" t="str">
        <f>VLOOKUP(C306,CATEGORIZACION!$A$1:$C$269,2,FALSE)</f>
        <v>PROOVEDORES</v>
      </c>
      <c r="J306" s="188" t="str">
        <f>VLOOKUP(C306,CATEGORIZACION!$A$1:$C$269,3,FALSE)</f>
        <v>LOGISTICA</v>
      </c>
    </row>
    <row r="307" spans="1:10" ht="15.75" customHeight="1" x14ac:dyDescent="0.25">
      <c r="A307" s="1">
        <v>44985</v>
      </c>
      <c r="B307" s="188" t="s">
        <v>82</v>
      </c>
      <c r="C307" s="188" t="s">
        <v>201</v>
      </c>
      <c r="D307" s="188">
        <v>0</v>
      </c>
      <c r="E307" s="4">
        <v>0</v>
      </c>
      <c r="F307" s="5">
        <v>159530</v>
      </c>
      <c r="G307" s="4">
        <v>0</v>
      </c>
      <c r="H307" s="4">
        <v>159530</v>
      </c>
      <c r="I307" s="188" t="str">
        <f>VLOOKUP(C307,CATEGORIZACION!$A$1:$C$269,2,FALSE)</f>
        <v>PROOVEDORES</v>
      </c>
      <c r="J307" s="188" t="str">
        <f>VLOOKUP(C307,CATEGORIZACION!$A$1:$C$269,3,FALSE)</f>
        <v>LOGISTICA</v>
      </c>
    </row>
    <row r="308" spans="1:10" ht="15.75" customHeight="1" x14ac:dyDescent="0.25">
      <c r="A308" s="1">
        <v>44985</v>
      </c>
      <c r="B308" s="188" t="s">
        <v>82</v>
      </c>
      <c r="C308" s="188" t="s">
        <v>202</v>
      </c>
      <c r="D308" s="188">
        <v>0</v>
      </c>
      <c r="E308" s="4">
        <v>0</v>
      </c>
      <c r="F308" s="5">
        <v>0</v>
      </c>
      <c r="G308" s="4">
        <v>0</v>
      </c>
      <c r="H308" s="4">
        <v>0</v>
      </c>
      <c r="I308" s="188" t="str">
        <f>VLOOKUP(C308,CATEGORIZACION!$A$1:$C$269,2,FALSE)</f>
        <v>PROOVEDORES</v>
      </c>
      <c r="J308" s="188" t="str">
        <f>VLOOKUP(C308,CATEGORIZACION!$A$1:$C$269,3,FALSE)</f>
        <v>LOGISTICA</v>
      </c>
    </row>
    <row r="309" spans="1:10" ht="15.75" customHeight="1" x14ac:dyDescent="0.25">
      <c r="A309" s="1">
        <v>44985</v>
      </c>
      <c r="B309" s="188" t="s">
        <v>82</v>
      </c>
      <c r="C309" s="188" t="s">
        <v>363</v>
      </c>
      <c r="D309" s="188">
        <v>0</v>
      </c>
      <c r="E309" s="4">
        <v>0</v>
      </c>
      <c r="F309" s="5">
        <v>123090</v>
      </c>
      <c r="G309" s="4">
        <v>0</v>
      </c>
      <c r="H309" s="4">
        <v>123090</v>
      </c>
      <c r="I309" s="188" t="str">
        <f>VLOOKUP(C309,CATEGORIZACION!$A$1:$C$269,2,FALSE)</f>
        <v>PROOVEDORES</v>
      </c>
      <c r="J309" s="188" t="str">
        <f>VLOOKUP(C309,CATEGORIZACION!$A$1:$C$269,3,FALSE)</f>
        <v>LOGISTICA</v>
      </c>
    </row>
    <row r="310" spans="1:10" ht="15.75" customHeight="1" x14ac:dyDescent="0.25">
      <c r="A310" s="1">
        <v>44985</v>
      </c>
      <c r="B310" s="188" t="s">
        <v>82</v>
      </c>
      <c r="C310" s="188" t="s">
        <v>204</v>
      </c>
      <c r="D310" s="188">
        <v>0</v>
      </c>
      <c r="E310" s="4">
        <v>0</v>
      </c>
      <c r="F310" s="5">
        <v>320823</v>
      </c>
      <c r="G310" s="4">
        <v>0</v>
      </c>
      <c r="H310" s="4">
        <v>320823</v>
      </c>
      <c r="I310" s="188" t="str">
        <f>VLOOKUP(C310,CATEGORIZACION!$A$1:$C$269,2,FALSE)</f>
        <v>PROOVEDORES</v>
      </c>
      <c r="J310" s="188" t="str">
        <f>VLOOKUP(C310,CATEGORIZACION!$A$1:$C$269,3,FALSE)</f>
        <v>LOGISTICA</v>
      </c>
    </row>
    <row r="311" spans="1:10" ht="15.75" customHeight="1" x14ac:dyDescent="0.25">
      <c r="A311" s="1">
        <v>44985</v>
      </c>
      <c r="B311" s="188" t="s">
        <v>82</v>
      </c>
      <c r="C311" s="188" t="s">
        <v>205</v>
      </c>
      <c r="D311" s="188">
        <v>0</v>
      </c>
      <c r="E311" s="4">
        <v>0</v>
      </c>
      <c r="F311" s="5">
        <v>149270</v>
      </c>
      <c r="G311" s="4">
        <v>0</v>
      </c>
      <c r="H311" s="4">
        <v>149270</v>
      </c>
      <c r="I311" s="188" t="str">
        <f>VLOOKUP(C311,CATEGORIZACION!$A$1:$C$269,2,FALSE)</f>
        <v>AFIP</v>
      </c>
      <c r="J311" s="188" t="s">
        <v>19</v>
      </c>
    </row>
    <row r="312" spans="1:10" ht="15.75" customHeight="1" x14ac:dyDescent="0.25">
      <c r="A312" s="1">
        <v>44985</v>
      </c>
      <c r="B312" s="188" t="s">
        <v>82</v>
      </c>
      <c r="C312" s="188" t="s">
        <v>206</v>
      </c>
      <c r="D312" s="188">
        <v>0</v>
      </c>
      <c r="E312" s="4">
        <v>0</v>
      </c>
      <c r="F312" s="5">
        <v>481964</v>
      </c>
      <c r="G312" s="4">
        <v>0</v>
      </c>
      <c r="H312" s="4">
        <v>803272.16</v>
      </c>
      <c r="I312" s="188" t="str">
        <f>VLOOKUP(C312,CATEGORIZACION!$A$1:$C$269,2,FALSE)</f>
        <v>AFIP</v>
      </c>
      <c r="J312" s="188" t="s">
        <v>19</v>
      </c>
    </row>
    <row r="313" spans="1:10" ht="15.75" customHeight="1" x14ac:dyDescent="0.25">
      <c r="A313" s="1">
        <v>44985</v>
      </c>
      <c r="B313" s="188" t="s">
        <v>82</v>
      </c>
      <c r="C313" s="188" t="s">
        <v>207</v>
      </c>
      <c r="D313" s="188">
        <v>0</v>
      </c>
      <c r="E313" s="4">
        <v>0</v>
      </c>
      <c r="F313" s="5">
        <v>219032</v>
      </c>
      <c r="G313" s="4">
        <v>0</v>
      </c>
      <c r="H313" s="4">
        <v>219032</v>
      </c>
      <c r="I313" s="188" t="str">
        <f>VLOOKUP(C313,CATEGORIZACION!$A$1:$C$269,2,FALSE)</f>
        <v>AFIP</v>
      </c>
      <c r="J313" s="188" t="s">
        <v>19</v>
      </c>
    </row>
    <row r="314" spans="1:10" ht="15.75" customHeight="1" x14ac:dyDescent="0.25">
      <c r="A314" s="1">
        <v>44985</v>
      </c>
      <c r="B314" s="188" t="s">
        <v>82</v>
      </c>
      <c r="C314" s="188" t="s">
        <v>208</v>
      </c>
      <c r="D314" s="188">
        <v>0</v>
      </c>
      <c r="E314" s="4">
        <v>0</v>
      </c>
      <c r="F314" s="5">
        <v>0</v>
      </c>
      <c r="G314" s="4">
        <v>0</v>
      </c>
      <c r="H314" s="4">
        <v>0</v>
      </c>
      <c r="I314" s="188" t="str">
        <f>VLOOKUP(C314,CATEGORIZACION!$A$1:$C$269,2,FALSE)</f>
        <v>AFIP</v>
      </c>
      <c r="J314" s="188" t="s">
        <v>19</v>
      </c>
    </row>
    <row r="315" spans="1:10" ht="15.75" customHeight="1" x14ac:dyDescent="0.25">
      <c r="A315" s="1">
        <v>44985</v>
      </c>
      <c r="B315" s="188" t="s">
        <v>82</v>
      </c>
      <c r="C315" s="188" t="s">
        <v>209</v>
      </c>
      <c r="D315" s="188">
        <v>0</v>
      </c>
      <c r="E315" s="4">
        <v>0</v>
      </c>
      <c r="F315" s="5">
        <v>31624.61</v>
      </c>
      <c r="G315" s="4">
        <v>0</v>
      </c>
      <c r="H315" s="4">
        <v>31624.61</v>
      </c>
      <c r="I315" s="188" t="str">
        <f>VLOOKUP(C315,CATEGORIZACION!$A$1:$C$269,2,FALSE)</f>
        <v>PROOVEDORES</v>
      </c>
      <c r="J315" s="188" t="str">
        <f>VLOOKUP(C315,CATEGORIZACION!$A$1:$C$269,3,FALSE)</f>
        <v>LOGISTICA</v>
      </c>
    </row>
    <row r="316" spans="1:10" ht="15.75" customHeight="1" x14ac:dyDescent="0.25">
      <c r="A316" s="1">
        <v>44985</v>
      </c>
      <c r="B316" s="188" t="s">
        <v>82</v>
      </c>
      <c r="C316" s="188" t="s">
        <v>210</v>
      </c>
      <c r="D316" s="188">
        <v>0</v>
      </c>
      <c r="E316" s="4">
        <v>0</v>
      </c>
      <c r="F316" s="5">
        <v>113208.94</v>
      </c>
      <c r="G316" s="4">
        <v>0</v>
      </c>
      <c r="H316" s="4">
        <v>113208.94</v>
      </c>
      <c r="I316" s="188" t="str">
        <f>VLOOKUP(C316,CATEGORIZACION!$A$1:$C$269,2,FALSE)</f>
        <v>PROOVEDORES</v>
      </c>
      <c r="J316" s="188" t="str">
        <f>VLOOKUP(C316,CATEGORIZACION!$A$1:$C$269,3,FALSE)</f>
        <v>LOGISTICA</v>
      </c>
    </row>
    <row r="317" spans="1:10" ht="15.75" customHeight="1" x14ac:dyDescent="0.25">
      <c r="A317" s="1">
        <v>44985</v>
      </c>
      <c r="B317" s="188" t="s">
        <v>82</v>
      </c>
      <c r="C317" s="188" t="s">
        <v>211</v>
      </c>
      <c r="D317" s="188">
        <v>0</v>
      </c>
      <c r="E317" s="4">
        <v>0</v>
      </c>
      <c r="F317" s="5">
        <v>9730.65</v>
      </c>
      <c r="G317" s="4">
        <v>0</v>
      </c>
      <c r="H317" s="4">
        <v>9730.65</v>
      </c>
      <c r="I317" s="188" t="str">
        <f>VLOOKUP(C317,CATEGORIZACION!$A$1:$C$269,2,FALSE)</f>
        <v>PROOVEDORES</v>
      </c>
      <c r="J317" s="188" t="str">
        <f>VLOOKUP(C317,CATEGORIZACION!$A$1:$C$269,3,FALSE)</f>
        <v>LOGISTICA</v>
      </c>
    </row>
    <row r="318" spans="1:10" ht="15.75" customHeight="1" x14ac:dyDescent="0.25">
      <c r="A318" s="1">
        <v>44985</v>
      </c>
      <c r="B318" s="188" t="s">
        <v>82</v>
      </c>
      <c r="C318" s="188" t="s">
        <v>212</v>
      </c>
      <c r="D318" s="188">
        <v>0</v>
      </c>
      <c r="E318" s="4">
        <v>0</v>
      </c>
      <c r="F318" s="5">
        <v>53893.52</v>
      </c>
      <c r="G318" s="4">
        <v>0</v>
      </c>
      <c r="H318" s="4">
        <v>53893.52</v>
      </c>
      <c r="I318" s="188" t="str">
        <f>VLOOKUP(C318,CATEGORIZACION!$A$1:$C$269,2,FALSE)</f>
        <v>PROOVEDORES</v>
      </c>
      <c r="J318" s="188" t="str">
        <f>VLOOKUP(C318,CATEGORIZACION!$A$1:$C$269,3,FALSE)</f>
        <v>LOGISTICA</v>
      </c>
    </row>
    <row r="319" spans="1:10" ht="15.75" customHeight="1" x14ac:dyDescent="0.25">
      <c r="A319" s="1">
        <v>44985</v>
      </c>
      <c r="B319" s="188" t="s">
        <v>82</v>
      </c>
      <c r="C319" s="188" t="s">
        <v>213</v>
      </c>
      <c r="D319" s="188">
        <v>0</v>
      </c>
      <c r="E319" s="4">
        <v>0</v>
      </c>
      <c r="F319" s="5">
        <v>0</v>
      </c>
      <c r="G319" s="4">
        <v>0</v>
      </c>
      <c r="H319" s="4">
        <v>0</v>
      </c>
      <c r="I319" s="188" t="str">
        <f>VLOOKUP(C319,CATEGORIZACION!$A$1:$C$269,2,FALSE)</f>
        <v>AFIP</v>
      </c>
      <c r="J319" s="188" t="s">
        <v>19</v>
      </c>
    </row>
    <row r="320" spans="1:10" ht="15.75" customHeight="1" x14ac:dyDescent="0.25">
      <c r="A320" s="1">
        <v>44985</v>
      </c>
      <c r="B320" s="188" t="s">
        <v>82</v>
      </c>
      <c r="C320" s="188" t="s">
        <v>214</v>
      </c>
      <c r="D320" s="188">
        <v>0</v>
      </c>
      <c r="E320" s="4">
        <v>0</v>
      </c>
      <c r="F320" s="5">
        <v>80000</v>
      </c>
      <c r="G320" s="4">
        <v>0</v>
      </c>
      <c r="H320" s="4">
        <v>80000</v>
      </c>
      <c r="I320" s="188" t="str">
        <f>VLOOKUP(C320,CATEGORIZACION!$A$1:$C$269,2,FALSE)</f>
        <v>PROOVEDORES</v>
      </c>
      <c r="J320" s="188" t="str">
        <f>VLOOKUP(C320,CATEGORIZACION!$A$1:$C$269,3,FALSE)</f>
        <v>LOGISTICA</v>
      </c>
    </row>
    <row r="321" spans="1:10" ht="15.75" customHeight="1" x14ac:dyDescent="0.25">
      <c r="A321" s="1">
        <v>44986</v>
      </c>
      <c r="B321" s="188" t="s">
        <v>364</v>
      </c>
      <c r="C321" s="188" t="s">
        <v>365</v>
      </c>
      <c r="D321" s="188" t="s">
        <v>366</v>
      </c>
      <c r="E321" s="4">
        <v>0</v>
      </c>
      <c r="F321" s="5">
        <v>133749</v>
      </c>
      <c r="G321" s="4">
        <v>28087.29</v>
      </c>
      <c r="H321" s="4">
        <v>161836.29</v>
      </c>
      <c r="I321" s="188" t="str">
        <f>VLOOKUP(C321,CATEGORIZACION!$A$1:$C$269,2,FALSE)</f>
        <v>PROOVEDORES</v>
      </c>
      <c r="J321" s="188" t="str">
        <f>VLOOKUP(C321,CATEGORIZACION!$A$1:$C$269,3,FALSE)</f>
        <v>LOGISTICA</v>
      </c>
    </row>
    <row r="322" spans="1:10" ht="15.75" customHeight="1" x14ac:dyDescent="0.25">
      <c r="A322" s="1">
        <v>44986</v>
      </c>
      <c r="B322" s="188" t="s">
        <v>367</v>
      </c>
      <c r="C322" s="188" t="s">
        <v>14</v>
      </c>
      <c r="D322" s="188" t="s">
        <v>15</v>
      </c>
      <c r="E322" s="4">
        <v>0</v>
      </c>
      <c r="F322" s="3">
        <v>24480</v>
      </c>
      <c r="G322" s="4">
        <v>5140.8</v>
      </c>
      <c r="H322" s="4">
        <v>29620.799999999999</v>
      </c>
      <c r="I322" s="188" t="str">
        <f>VLOOKUP(C322,CATEGORIZACION!$A$1:$C$269,2,FALSE)</f>
        <v>PROOVEDORES</v>
      </c>
      <c r="J322" s="188" t="str">
        <f>VLOOKUP(C322,CATEGORIZACION!$A$1:$C$269,3,FALSE)</f>
        <v>DEPOSITO</v>
      </c>
    </row>
    <row r="323" spans="1:10" ht="15.75" customHeight="1" x14ac:dyDescent="0.25">
      <c r="A323" s="1">
        <v>44986</v>
      </c>
      <c r="B323" s="188" t="s">
        <v>368</v>
      </c>
      <c r="C323" s="188" t="s">
        <v>17</v>
      </c>
      <c r="D323" s="188" t="s">
        <v>18</v>
      </c>
      <c r="E323" s="4">
        <v>14800</v>
      </c>
      <c r="F323" s="5">
        <v>154000</v>
      </c>
      <c r="G323" s="4">
        <v>32340</v>
      </c>
      <c r="H323" s="4">
        <v>201140</v>
      </c>
      <c r="I323" s="188" t="str">
        <f>VLOOKUP(C323,CATEGORIZACION!$A$1:$C$269,2,FALSE)</f>
        <v>TRANSPORTE</v>
      </c>
      <c r="J323" s="188" t="s">
        <v>19</v>
      </c>
    </row>
    <row r="324" spans="1:10" ht="15.75" customHeight="1" x14ac:dyDescent="0.25">
      <c r="A324" s="1">
        <v>44986</v>
      </c>
      <c r="B324" s="188" t="s">
        <v>369</v>
      </c>
      <c r="C324" s="188" t="s">
        <v>17</v>
      </c>
      <c r="D324" s="188" t="s">
        <v>18</v>
      </c>
      <c r="E324" s="4">
        <v>29080</v>
      </c>
      <c r="F324" s="5">
        <v>392250</v>
      </c>
      <c r="G324" s="4">
        <v>82372.5</v>
      </c>
      <c r="H324" s="4">
        <v>503702.5</v>
      </c>
      <c r="I324" s="188" t="str">
        <f>VLOOKUP(C324,CATEGORIZACION!$A$1:$C$269,2,FALSE)</f>
        <v>TRANSPORTE</v>
      </c>
      <c r="J324" s="188" t="s">
        <v>19</v>
      </c>
    </row>
    <row r="325" spans="1:10" ht="15.75" customHeight="1" x14ac:dyDescent="0.25">
      <c r="A325" s="1">
        <v>44986</v>
      </c>
      <c r="B325" s="188" t="s">
        <v>370</v>
      </c>
      <c r="C325" s="188" t="s">
        <v>218</v>
      </c>
      <c r="D325" s="188" t="s">
        <v>219</v>
      </c>
      <c r="E325" s="4">
        <v>0</v>
      </c>
      <c r="F325" s="5">
        <v>105963.14</v>
      </c>
      <c r="G325" s="4">
        <v>22252.26</v>
      </c>
      <c r="H325" s="4">
        <v>128215.4</v>
      </c>
      <c r="I325" s="188" t="str">
        <f>VLOOKUP(C325,CATEGORIZACION!$A$1:$C$269,2,FALSE)</f>
        <v>PROOVEDORES</v>
      </c>
      <c r="J325" s="188" t="str">
        <f>VLOOKUP(C325,CATEGORIZACION!$A$1:$C$269,3,FALSE)</f>
        <v>LOGISTICA</v>
      </c>
    </row>
    <row r="326" spans="1:10" ht="15.75" customHeight="1" x14ac:dyDescent="0.25">
      <c r="A326" s="1">
        <v>44988</v>
      </c>
      <c r="B326" s="188" t="s">
        <v>371</v>
      </c>
      <c r="C326" s="188" t="s">
        <v>21</v>
      </c>
      <c r="D326" s="188" t="s">
        <v>22</v>
      </c>
      <c r="E326" s="4">
        <v>8170</v>
      </c>
      <c r="F326" s="5">
        <v>189300</v>
      </c>
      <c r="G326" s="4">
        <v>39753</v>
      </c>
      <c r="H326" s="4">
        <v>237223</v>
      </c>
      <c r="I326" s="188" t="str">
        <f>VLOOKUP(C326,CATEGORIZACION!$A$1:$C$269,2,FALSE)</f>
        <v>TRANSPORTE</v>
      </c>
      <c r="J326" s="188" t="s">
        <v>19</v>
      </c>
    </row>
    <row r="327" spans="1:10" ht="15.75" customHeight="1" x14ac:dyDescent="0.25">
      <c r="A327" s="1">
        <v>44988</v>
      </c>
      <c r="B327" s="188" t="s">
        <v>372</v>
      </c>
      <c r="C327" s="188" t="s">
        <v>21</v>
      </c>
      <c r="D327" s="188" t="s">
        <v>22</v>
      </c>
      <c r="E327" s="4">
        <v>4980</v>
      </c>
      <c r="F327" s="5">
        <v>122000</v>
      </c>
      <c r="G327" s="4">
        <v>25620</v>
      </c>
      <c r="H327" s="4">
        <v>152600</v>
      </c>
      <c r="I327" s="188" t="str">
        <f>VLOOKUP(C327,CATEGORIZACION!$A$1:$C$269,2,FALSE)</f>
        <v>TRANSPORTE</v>
      </c>
      <c r="J327" s="188" t="s">
        <v>19</v>
      </c>
    </row>
    <row r="328" spans="1:10" ht="15.75" customHeight="1" x14ac:dyDescent="0.25">
      <c r="A328" s="1">
        <v>44988</v>
      </c>
      <c r="B328" s="188" t="s">
        <v>373</v>
      </c>
      <c r="C328" s="188" t="s">
        <v>21</v>
      </c>
      <c r="D328" s="188" t="s">
        <v>22</v>
      </c>
      <c r="E328" s="4">
        <v>7470</v>
      </c>
      <c r="F328" s="5">
        <v>150000</v>
      </c>
      <c r="G328" s="4">
        <v>31500</v>
      </c>
      <c r="H328" s="4">
        <v>188970</v>
      </c>
      <c r="I328" s="188" t="str">
        <f>VLOOKUP(C328,CATEGORIZACION!$A$1:$C$269,2,FALSE)</f>
        <v>TRANSPORTE</v>
      </c>
      <c r="J328" s="188" t="s">
        <v>19</v>
      </c>
    </row>
    <row r="329" spans="1:10" ht="15.75" customHeight="1" x14ac:dyDescent="0.25">
      <c r="A329" s="1">
        <v>44989</v>
      </c>
      <c r="B329" s="188" t="s">
        <v>374</v>
      </c>
      <c r="C329" s="188" t="s">
        <v>375</v>
      </c>
      <c r="D329" s="188" t="s">
        <v>376</v>
      </c>
      <c r="E329" s="4">
        <v>201.2</v>
      </c>
      <c r="F329" s="5">
        <v>6706.61</v>
      </c>
      <c r="G329" s="4">
        <v>1408.39</v>
      </c>
      <c r="H329" s="4">
        <v>8316.2000000000007</v>
      </c>
      <c r="I329" s="188" t="str">
        <f>VLOOKUP(C329,CATEGORIZACION!$A$1:$C$269,2,FALSE)</f>
        <v>PROOVEDORES</v>
      </c>
      <c r="J329" s="188" t="str">
        <f>VLOOKUP(C329,CATEGORIZACION!$A$1:$C$269,3,FALSE)</f>
        <v>LOGISTICA</v>
      </c>
    </row>
    <row r="330" spans="1:10" ht="15.75" customHeight="1" x14ac:dyDescent="0.25">
      <c r="A330" s="1">
        <v>44991</v>
      </c>
      <c r="B330" s="188" t="s">
        <v>377</v>
      </c>
      <c r="C330" s="188" t="s">
        <v>101</v>
      </c>
      <c r="D330" s="188" t="s">
        <v>102</v>
      </c>
      <c r="E330" s="4">
        <v>7171.2</v>
      </c>
      <c r="F330" s="3">
        <v>896400</v>
      </c>
      <c r="G330" s="4">
        <v>188244</v>
      </c>
      <c r="H330" s="4">
        <v>1091815.2</v>
      </c>
      <c r="I330" s="188" t="str">
        <f>VLOOKUP(C330,CATEGORIZACION!$A$1:$C$269,2,FALSE)</f>
        <v>ALQUILER</v>
      </c>
      <c r="J330" s="188" t="s">
        <v>103</v>
      </c>
    </row>
    <row r="331" spans="1:10" ht="15.75" customHeight="1" x14ac:dyDescent="0.25">
      <c r="A331" s="1">
        <v>44991</v>
      </c>
      <c r="B331" s="188" t="s">
        <v>378</v>
      </c>
      <c r="C331" s="188" t="s">
        <v>49</v>
      </c>
      <c r="D331" s="188" t="s">
        <v>50</v>
      </c>
      <c r="E331" s="4">
        <v>0</v>
      </c>
      <c r="F331" s="3">
        <v>99140</v>
      </c>
      <c r="G331" s="4">
        <v>20819.400000000001</v>
      </c>
      <c r="H331" s="4">
        <v>119959.4</v>
      </c>
      <c r="I331" s="188" t="str">
        <f>VLOOKUP(C331,CATEGORIZACION!$A$1:$C$269,2,FALSE)</f>
        <v>PROOVEDORES</v>
      </c>
      <c r="J331" s="188" t="str">
        <f>VLOOKUP(C331,CATEGORIZACION!$A$1:$C$269,3,FALSE)</f>
        <v>DEPOSITO</v>
      </c>
    </row>
    <row r="332" spans="1:10" ht="15.75" customHeight="1" x14ac:dyDescent="0.25">
      <c r="A332" s="1">
        <v>44991</v>
      </c>
      <c r="B332" s="188" t="s">
        <v>379</v>
      </c>
      <c r="C332" s="188" t="s">
        <v>36</v>
      </c>
      <c r="D332" s="188" t="s">
        <v>37</v>
      </c>
      <c r="E332" s="4">
        <v>5700</v>
      </c>
      <c r="F332" s="5">
        <v>44165</v>
      </c>
      <c r="G332" s="4">
        <v>9274.65</v>
      </c>
      <c r="H332" s="4">
        <v>59139.65</v>
      </c>
      <c r="I332" s="188" t="str">
        <f>VLOOKUP(C332,CATEGORIZACION!$A$1:$C$269,2,FALSE)</f>
        <v>TRANSPORTE</v>
      </c>
      <c r="J332" s="188" t="s">
        <v>19</v>
      </c>
    </row>
    <row r="333" spans="1:10" ht="15.75" customHeight="1" x14ac:dyDescent="0.25">
      <c r="A333" s="1">
        <v>44991</v>
      </c>
      <c r="B333" s="188" t="s">
        <v>380</v>
      </c>
      <c r="C333" s="188" t="s">
        <v>36</v>
      </c>
      <c r="D333" s="188" t="s">
        <v>37</v>
      </c>
      <c r="E333" s="4">
        <v>6500</v>
      </c>
      <c r="F333" s="5">
        <v>53850</v>
      </c>
      <c r="G333" s="4">
        <v>11308.5</v>
      </c>
      <c r="H333" s="4">
        <v>71658.5</v>
      </c>
      <c r="I333" s="188" t="str">
        <f>VLOOKUP(C333,CATEGORIZACION!$A$1:$C$269,2,FALSE)</f>
        <v>TRANSPORTE</v>
      </c>
      <c r="J333" s="188" t="s">
        <v>19</v>
      </c>
    </row>
    <row r="334" spans="1:10" ht="15.75" customHeight="1" x14ac:dyDescent="0.25">
      <c r="A334" s="1">
        <v>44991</v>
      </c>
      <c r="B334" s="188" t="s">
        <v>381</v>
      </c>
      <c r="C334" s="188" t="s">
        <v>36</v>
      </c>
      <c r="D334" s="188" t="s">
        <v>37</v>
      </c>
      <c r="E334" s="4">
        <v>6500</v>
      </c>
      <c r="F334" s="5">
        <v>63400</v>
      </c>
      <c r="G334" s="4">
        <v>13314</v>
      </c>
      <c r="H334" s="4">
        <v>83214</v>
      </c>
      <c r="I334" s="188" t="str">
        <f>VLOOKUP(C334,CATEGORIZACION!$A$1:$C$269,2,FALSE)</f>
        <v>TRANSPORTE</v>
      </c>
      <c r="J334" s="188" t="s">
        <v>19</v>
      </c>
    </row>
    <row r="335" spans="1:10" ht="15.75" customHeight="1" x14ac:dyDescent="0.25">
      <c r="A335" s="1">
        <v>44991</v>
      </c>
      <c r="B335" s="188" t="s">
        <v>382</v>
      </c>
      <c r="C335" s="188" t="s">
        <v>36</v>
      </c>
      <c r="D335" s="188" t="s">
        <v>37</v>
      </c>
      <c r="E335" s="4">
        <v>5700</v>
      </c>
      <c r="F335" s="5">
        <v>44165</v>
      </c>
      <c r="G335" s="4">
        <v>9274.65</v>
      </c>
      <c r="H335" s="4">
        <v>59139.65</v>
      </c>
      <c r="I335" s="188" t="str">
        <f>VLOOKUP(C335,CATEGORIZACION!$A$1:$C$269,2,FALSE)</f>
        <v>TRANSPORTE</v>
      </c>
      <c r="J335" s="188" t="s">
        <v>19</v>
      </c>
    </row>
    <row r="336" spans="1:10" ht="15.75" customHeight="1" x14ac:dyDescent="0.25">
      <c r="A336" s="1">
        <v>44991</v>
      </c>
      <c r="B336" s="188" t="s">
        <v>383</v>
      </c>
      <c r="C336" s="188" t="s">
        <v>36</v>
      </c>
      <c r="D336" s="188" t="s">
        <v>37</v>
      </c>
      <c r="E336" s="4">
        <v>5700</v>
      </c>
      <c r="F336" s="5">
        <v>44165</v>
      </c>
      <c r="G336" s="4">
        <v>9274.65</v>
      </c>
      <c r="H336" s="4">
        <v>59139.65</v>
      </c>
      <c r="I336" s="188" t="str">
        <f>VLOOKUP(C336,CATEGORIZACION!$A$1:$C$269,2,FALSE)</f>
        <v>TRANSPORTE</v>
      </c>
      <c r="J336" s="188" t="s">
        <v>19</v>
      </c>
    </row>
    <row r="337" spans="1:10" ht="15.75" customHeight="1" x14ac:dyDescent="0.25">
      <c r="A337" s="1">
        <v>44991</v>
      </c>
      <c r="B337" s="188" t="s">
        <v>384</v>
      </c>
      <c r="C337" s="188" t="s">
        <v>36</v>
      </c>
      <c r="D337" s="188" t="s">
        <v>37</v>
      </c>
      <c r="E337" s="4">
        <v>5700</v>
      </c>
      <c r="F337" s="5">
        <v>44165</v>
      </c>
      <c r="G337" s="4">
        <v>9274.65</v>
      </c>
      <c r="H337" s="4">
        <v>59139.65</v>
      </c>
      <c r="I337" s="188" t="str">
        <f>VLOOKUP(C337,CATEGORIZACION!$A$1:$C$269,2,FALSE)</f>
        <v>TRANSPORTE</v>
      </c>
      <c r="J337" s="188" t="s">
        <v>19</v>
      </c>
    </row>
    <row r="338" spans="1:10" ht="15.75" customHeight="1" x14ac:dyDescent="0.25">
      <c r="A338" s="1">
        <v>44991</v>
      </c>
      <c r="B338" s="188" t="s">
        <v>385</v>
      </c>
      <c r="C338" s="188" t="s">
        <v>36</v>
      </c>
      <c r="D338" s="188" t="s">
        <v>37</v>
      </c>
      <c r="E338" s="4">
        <v>4200</v>
      </c>
      <c r="F338" s="5">
        <v>114100</v>
      </c>
      <c r="G338" s="4">
        <v>23961</v>
      </c>
      <c r="H338" s="4">
        <v>142261</v>
      </c>
      <c r="I338" s="188" t="str">
        <f>VLOOKUP(C338,CATEGORIZACION!$A$1:$C$269,2,FALSE)</f>
        <v>TRANSPORTE</v>
      </c>
      <c r="J338" s="188" t="s">
        <v>19</v>
      </c>
    </row>
    <row r="339" spans="1:10" ht="15.75" customHeight="1" x14ac:dyDescent="0.25">
      <c r="A339" s="1">
        <v>44991</v>
      </c>
      <c r="B339" s="188" t="s">
        <v>386</v>
      </c>
      <c r="C339" s="188" t="s">
        <v>36</v>
      </c>
      <c r="D339" s="188" t="s">
        <v>37</v>
      </c>
      <c r="E339" s="4">
        <v>4200</v>
      </c>
      <c r="F339" s="5">
        <v>114100</v>
      </c>
      <c r="G339" s="4">
        <v>23961</v>
      </c>
      <c r="H339" s="4">
        <v>142261</v>
      </c>
      <c r="I339" s="188" t="str">
        <f>VLOOKUP(C339,CATEGORIZACION!$A$1:$C$269,2,FALSE)</f>
        <v>TRANSPORTE</v>
      </c>
      <c r="J339" s="188" t="s">
        <v>19</v>
      </c>
    </row>
    <row r="340" spans="1:10" ht="15.75" customHeight="1" x14ac:dyDescent="0.25">
      <c r="A340" s="1">
        <v>44991</v>
      </c>
      <c r="B340" s="188" t="s">
        <v>387</v>
      </c>
      <c r="C340" s="188" t="s">
        <v>36</v>
      </c>
      <c r="D340" s="188" t="s">
        <v>37</v>
      </c>
      <c r="E340" s="4">
        <v>2800</v>
      </c>
      <c r="F340" s="5">
        <v>114100</v>
      </c>
      <c r="G340" s="4">
        <v>23961</v>
      </c>
      <c r="H340" s="4">
        <v>140861</v>
      </c>
      <c r="I340" s="188" t="str">
        <f>VLOOKUP(C340,CATEGORIZACION!$A$1:$C$269,2,FALSE)</f>
        <v>TRANSPORTE</v>
      </c>
      <c r="J340" s="188" t="s">
        <v>19</v>
      </c>
    </row>
    <row r="341" spans="1:10" ht="15.75" customHeight="1" x14ac:dyDescent="0.25">
      <c r="A341" s="1">
        <v>44991</v>
      </c>
      <c r="B341" s="188" t="s">
        <v>388</v>
      </c>
      <c r="C341" s="188" t="s">
        <v>36</v>
      </c>
      <c r="D341" s="188" t="s">
        <v>37</v>
      </c>
      <c r="E341" s="4">
        <v>3800</v>
      </c>
      <c r="F341" s="5">
        <v>33800</v>
      </c>
      <c r="G341" s="4">
        <v>7098</v>
      </c>
      <c r="H341" s="4">
        <v>44698</v>
      </c>
      <c r="I341" s="188" t="str">
        <f>VLOOKUP(C341,CATEGORIZACION!$A$1:$C$269,2,FALSE)</f>
        <v>TRANSPORTE</v>
      </c>
      <c r="J341" s="188" t="s">
        <v>19</v>
      </c>
    </row>
    <row r="342" spans="1:10" ht="15.75" customHeight="1" x14ac:dyDescent="0.25">
      <c r="A342" s="1">
        <v>44991</v>
      </c>
      <c r="B342" s="188" t="s">
        <v>389</v>
      </c>
      <c r="C342" s="188" t="s">
        <v>36</v>
      </c>
      <c r="D342" s="188" t="s">
        <v>37</v>
      </c>
      <c r="E342" s="4">
        <v>5800</v>
      </c>
      <c r="F342" s="5">
        <v>81600</v>
      </c>
      <c r="G342" s="4">
        <v>17136</v>
      </c>
      <c r="H342" s="4">
        <v>104536</v>
      </c>
      <c r="I342" s="188" t="str">
        <f>VLOOKUP(C342,CATEGORIZACION!$A$1:$C$269,2,FALSE)</f>
        <v>TRANSPORTE</v>
      </c>
      <c r="J342" s="188" t="s">
        <v>19</v>
      </c>
    </row>
    <row r="343" spans="1:10" ht="15.75" customHeight="1" x14ac:dyDescent="0.25">
      <c r="A343" s="1">
        <v>44991</v>
      </c>
      <c r="B343" s="188" t="s">
        <v>390</v>
      </c>
      <c r="C343" s="188" t="s">
        <v>36</v>
      </c>
      <c r="D343" s="188" t="s">
        <v>37</v>
      </c>
      <c r="E343" s="4">
        <v>8200</v>
      </c>
      <c r="F343" s="5">
        <v>72000</v>
      </c>
      <c r="G343" s="4">
        <v>15120</v>
      </c>
      <c r="H343" s="4">
        <v>95320</v>
      </c>
      <c r="I343" s="188" t="str">
        <f>VLOOKUP(C343,CATEGORIZACION!$A$1:$C$269,2,FALSE)</f>
        <v>TRANSPORTE</v>
      </c>
      <c r="J343" s="188" t="s">
        <v>19</v>
      </c>
    </row>
    <row r="344" spans="1:10" ht="15.75" customHeight="1" x14ac:dyDescent="0.25">
      <c r="A344" s="1">
        <v>44991</v>
      </c>
      <c r="B344" s="188" t="s">
        <v>391</v>
      </c>
      <c r="C344" s="188" t="s">
        <v>36</v>
      </c>
      <c r="D344" s="188" t="s">
        <v>37</v>
      </c>
      <c r="E344" s="4">
        <v>8200</v>
      </c>
      <c r="F344" s="5">
        <v>72000</v>
      </c>
      <c r="G344" s="4">
        <v>15120</v>
      </c>
      <c r="H344" s="4">
        <v>95320</v>
      </c>
      <c r="I344" s="188" t="str">
        <f>VLOOKUP(C344,CATEGORIZACION!$A$1:$C$269,2,FALSE)</f>
        <v>TRANSPORTE</v>
      </c>
      <c r="J344" s="188" t="s">
        <v>19</v>
      </c>
    </row>
    <row r="345" spans="1:10" ht="15.75" customHeight="1" x14ac:dyDescent="0.25">
      <c r="A345" s="1">
        <v>44991</v>
      </c>
      <c r="B345" s="188" t="s">
        <v>392</v>
      </c>
      <c r="C345" s="188" t="s">
        <v>36</v>
      </c>
      <c r="D345" s="188" t="s">
        <v>37</v>
      </c>
      <c r="E345" s="4">
        <v>8200</v>
      </c>
      <c r="F345" s="5">
        <v>72000</v>
      </c>
      <c r="G345" s="4">
        <v>15120</v>
      </c>
      <c r="H345" s="4">
        <v>95320</v>
      </c>
      <c r="I345" s="188" t="str">
        <f>VLOOKUP(C345,CATEGORIZACION!$A$1:$C$269,2,FALSE)</f>
        <v>TRANSPORTE</v>
      </c>
      <c r="J345" s="188" t="s">
        <v>19</v>
      </c>
    </row>
    <row r="346" spans="1:10" ht="15.75" customHeight="1" x14ac:dyDescent="0.25">
      <c r="A346" s="1">
        <v>44991</v>
      </c>
      <c r="B346" s="188" t="s">
        <v>393</v>
      </c>
      <c r="C346" s="188" t="s">
        <v>36</v>
      </c>
      <c r="D346" s="188" t="s">
        <v>37</v>
      </c>
      <c r="E346" s="4">
        <v>5700</v>
      </c>
      <c r="F346" s="5">
        <v>52195</v>
      </c>
      <c r="G346" s="4">
        <v>10960.95</v>
      </c>
      <c r="H346" s="4">
        <v>68855.95</v>
      </c>
      <c r="I346" s="188" t="str">
        <f>VLOOKUP(C346,CATEGORIZACION!$A$1:$C$269,2,FALSE)</f>
        <v>TRANSPORTE</v>
      </c>
      <c r="J346" s="188" t="s">
        <v>19</v>
      </c>
    </row>
    <row r="347" spans="1:10" ht="15.75" customHeight="1" x14ac:dyDescent="0.25">
      <c r="A347" s="1">
        <v>44991</v>
      </c>
      <c r="B347" s="188" t="s">
        <v>394</v>
      </c>
      <c r="C347" s="188" t="s">
        <v>36</v>
      </c>
      <c r="D347" s="188" t="s">
        <v>37</v>
      </c>
      <c r="E347" s="4">
        <v>5700</v>
      </c>
      <c r="F347" s="5">
        <v>52195</v>
      </c>
      <c r="G347" s="4">
        <v>10960.95</v>
      </c>
      <c r="H347" s="4">
        <v>68855.95</v>
      </c>
      <c r="I347" s="188" t="str">
        <f>VLOOKUP(C347,CATEGORIZACION!$A$1:$C$269,2,FALSE)</f>
        <v>TRANSPORTE</v>
      </c>
      <c r="J347" s="188" t="s">
        <v>19</v>
      </c>
    </row>
    <row r="348" spans="1:10" ht="15.75" customHeight="1" x14ac:dyDescent="0.25">
      <c r="A348" s="1">
        <v>44991</v>
      </c>
      <c r="B348" s="188" t="s">
        <v>395</v>
      </c>
      <c r="C348" s="188" t="s">
        <v>36</v>
      </c>
      <c r="D348" s="188" t="s">
        <v>37</v>
      </c>
      <c r="E348" s="4">
        <v>5700</v>
      </c>
      <c r="F348" s="5">
        <v>40150</v>
      </c>
      <c r="G348" s="4">
        <v>8431.5</v>
      </c>
      <c r="H348" s="4">
        <v>54281.5</v>
      </c>
      <c r="I348" s="188" t="str">
        <f>VLOOKUP(C348,CATEGORIZACION!$A$1:$C$269,2,FALSE)</f>
        <v>TRANSPORTE</v>
      </c>
      <c r="J348" s="188" t="s">
        <v>19</v>
      </c>
    </row>
    <row r="349" spans="1:10" ht="15.75" customHeight="1" x14ac:dyDescent="0.25">
      <c r="A349" s="1">
        <v>44991</v>
      </c>
      <c r="B349" s="188" t="s">
        <v>396</v>
      </c>
      <c r="C349" s="188" t="s">
        <v>36</v>
      </c>
      <c r="D349" s="188" t="s">
        <v>37</v>
      </c>
      <c r="E349" s="4">
        <v>5700</v>
      </c>
      <c r="F349" s="5">
        <v>40150</v>
      </c>
      <c r="G349" s="4">
        <v>8431.5</v>
      </c>
      <c r="H349" s="4">
        <v>54281.5</v>
      </c>
      <c r="I349" s="188" t="str">
        <f>VLOOKUP(C349,CATEGORIZACION!$A$1:$C$269,2,FALSE)</f>
        <v>TRANSPORTE</v>
      </c>
      <c r="J349" s="188" t="s">
        <v>19</v>
      </c>
    </row>
    <row r="350" spans="1:10" ht="15.75" customHeight="1" x14ac:dyDescent="0.25">
      <c r="A350" s="1">
        <v>44991</v>
      </c>
      <c r="B350" s="188" t="s">
        <v>397</v>
      </c>
      <c r="C350" s="188" t="s">
        <v>36</v>
      </c>
      <c r="D350" s="188" t="s">
        <v>37</v>
      </c>
      <c r="E350" s="4">
        <v>5700</v>
      </c>
      <c r="F350" s="5">
        <v>40150</v>
      </c>
      <c r="G350" s="4">
        <v>8431.5</v>
      </c>
      <c r="H350" s="4">
        <v>54281.5</v>
      </c>
      <c r="I350" s="188" t="str">
        <f>VLOOKUP(C350,CATEGORIZACION!$A$1:$C$269,2,FALSE)</f>
        <v>TRANSPORTE</v>
      </c>
      <c r="J350" s="188" t="s">
        <v>19</v>
      </c>
    </row>
    <row r="351" spans="1:10" ht="15.75" customHeight="1" x14ac:dyDescent="0.25">
      <c r="A351" s="1">
        <v>44991</v>
      </c>
      <c r="B351" s="188" t="s">
        <v>398</v>
      </c>
      <c r="C351" s="188" t="s">
        <v>36</v>
      </c>
      <c r="D351" s="188" t="s">
        <v>37</v>
      </c>
      <c r="E351" s="4">
        <v>8200</v>
      </c>
      <c r="F351" s="5">
        <v>72000</v>
      </c>
      <c r="G351" s="4">
        <v>15120</v>
      </c>
      <c r="H351" s="4">
        <v>95320</v>
      </c>
      <c r="I351" s="188" t="str">
        <f>VLOOKUP(C351,CATEGORIZACION!$A$1:$C$269,2,FALSE)</f>
        <v>TRANSPORTE</v>
      </c>
      <c r="J351" s="188" t="s">
        <v>19</v>
      </c>
    </row>
    <row r="352" spans="1:10" ht="15.75" customHeight="1" x14ac:dyDescent="0.25">
      <c r="A352" s="1">
        <v>44991</v>
      </c>
      <c r="B352" s="188" t="s">
        <v>399</v>
      </c>
      <c r="C352" s="188" t="s">
        <v>36</v>
      </c>
      <c r="D352" s="188" t="s">
        <v>37</v>
      </c>
      <c r="E352" s="4">
        <v>8200</v>
      </c>
      <c r="F352" s="5">
        <v>72000</v>
      </c>
      <c r="G352" s="4">
        <v>15120</v>
      </c>
      <c r="H352" s="4">
        <v>95320</v>
      </c>
      <c r="I352" s="188" t="str">
        <f>VLOOKUP(C352,CATEGORIZACION!$A$1:$C$269,2,FALSE)</f>
        <v>TRANSPORTE</v>
      </c>
      <c r="J352" s="188" t="s">
        <v>19</v>
      </c>
    </row>
    <row r="353" spans="1:10" ht="15.75" customHeight="1" x14ac:dyDescent="0.25">
      <c r="A353" s="1">
        <v>44991</v>
      </c>
      <c r="B353" s="188" t="s">
        <v>400</v>
      </c>
      <c r="C353" s="188" t="s">
        <v>36</v>
      </c>
      <c r="D353" s="188" t="s">
        <v>37</v>
      </c>
      <c r="E353" s="4">
        <v>8200</v>
      </c>
      <c r="F353" s="5">
        <v>72000</v>
      </c>
      <c r="G353" s="4">
        <v>15120</v>
      </c>
      <c r="H353" s="4">
        <v>95320</v>
      </c>
      <c r="I353" s="188" t="str">
        <f>VLOOKUP(C353,CATEGORIZACION!$A$1:$C$269,2,FALSE)</f>
        <v>TRANSPORTE</v>
      </c>
      <c r="J353" s="188" t="s">
        <v>19</v>
      </c>
    </row>
    <row r="354" spans="1:10" ht="15.75" customHeight="1" x14ac:dyDescent="0.25">
      <c r="A354" s="1">
        <v>44991</v>
      </c>
      <c r="B354" s="188" t="s">
        <v>401</v>
      </c>
      <c r="C354" s="188" t="s">
        <v>36</v>
      </c>
      <c r="D354" s="188" t="s">
        <v>37</v>
      </c>
      <c r="E354" s="4">
        <v>5700</v>
      </c>
      <c r="F354" s="5">
        <v>52195</v>
      </c>
      <c r="G354" s="4">
        <v>10960.95</v>
      </c>
      <c r="H354" s="4">
        <v>68855.95</v>
      </c>
      <c r="I354" s="188" t="str">
        <f>VLOOKUP(C354,CATEGORIZACION!$A$1:$C$269,2,FALSE)</f>
        <v>TRANSPORTE</v>
      </c>
      <c r="J354" s="188" t="s">
        <v>19</v>
      </c>
    </row>
    <row r="355" spans="1:10" ht="15.75" customHeight="1" x14ac:dyDescent="0.25">
      <c r="A355" s="1">
        <v>44992</v>
      </c>
      <c r="B355" s="188" t="s">
        <v>402</v>
      </c>
      <c r="C355" s="188" t="s">
        <v>17</v>
      </c>
      <c r="D355" s="188" t="s">
        <v>18</v>
      </c>
      <c r="E355" s="4">
        <v>22100</v>
      </c>
      <c r="F355" s="5">
        <v>277500</v>
      </c>
      <c r="G355" s="4">
        <v>58275</v>
      </c>
      <c r="H355" s="4">
        <v>357875</v>
      </c>
      <c r="I355" s="188" t="str">
        <f>VLOOKUP(C355,CATEGORIZACION!$A$1:$C$269,2,FALSE)</f>
        <v>TRANSPORTE</v>
      </c>
      <c r="J355" s="188" t="s">
        <v>19</v>
      </c>
    </row>
    <row r="356" spans="1:10" ht="15.75" customHeight="1" x14ac:dyDescent="0.25">
      <c r="A356" s="1">
        <v>44992</v>
      </c>
      <c r="B356" s="188" t="s">
        <v>403</v>
      </c>
      <c r="C356" s="188" t="s">
        <v>59</v>
      </c>
      <c r="D356" s="188" t="s">
        <v>60</v>
      </c>
      <c r="E356" s="4">
        <v>0</v>
      </c>
      <c r="F356" s="3">
        <v>632793.59999999998</v>
      </c>
      <c r="G356" s="4">
        <v>132886.66</v>
      </c>
      <c r="H356" s="4">
        <v>765680.26</v>
      </c>
      <c r="I356" s="188" t="str">
        <f>VLOOKUP(C356,CATEGORIZACION!$A$1:$C$269,2,FALSE)</f>
        <v>PROOVEDORES</v>
      </c>
      <c r="J356" s="188" t="str">
        <f>VLOOKUP(C356,CATEGORIZACION!$A$1:$C$269,3,FALSE)</f>
        <v>DEPOSITO</v>
      </c>
    </row>
    <row r="357" spans="1:10" ht="15.75" customHeight="1" x14ac:dyDescent="0.25">
      <c r="A357" s="1">
        <v>44992</v>
      </c>
      <c r="B357" s="188" t="s">
        <v>404</v>
      </c>
      <c r="C357" s="188" t="s">
        <v>253</v>
      </c>
      <c r="D357" s="188" t="s">
        <v>57</v>
      </c>
      <c r="E357" s="4">
        <v>0</v>
      </c>
      <c r="F357" s="5">
        <v>17663.310000000001</v>
      </c>
      <c r="G357" s="4">
        <v>3709.3</v>
      </c>
      <c r="H357" s="4">
        <v>21372.61</v>
      </c>
      <c r="I357" s="188" t="str">
        <f>VLOOKUP(C357,CATEGORIZACION!$A$1:$C$269,2,FALSE)</f>
        <v>PROOVEDORES</v>
      </c>
      <c r="J357" s="188" t="str">
        <f>VLOOKUP(C357,CATEGORIZACION!$A$1:$C$269,3,FALSE)</f>
        <v>LOGISTICA</v>
      </c>
    </row>
    <row r="358" spans="1:10" ht="15.75" customHeight="1" x14ac:dyDescent="0.25">
      <c r="A358" s="1">
        <v>44993</v>
      </c>
      <c r="B358" s="188" t="s">
        <v>405</v>
      </c>
      <c r="C358" s="188" t="s">
        <v>365</v>
      </c>
      <c r="D358" s="188" t="s">
        <v>366</v>
      </c>
      <c r="E358" s="4">
        <v>0</v>
      </c>
      <c r="F358" s="5">
        <v>78255.360000000001</v>
      </c>
      <c r="G358" s="4">
        <v>16433.63</v>
      </c>
      <c r="H358" s="4">
        <v>94688.99</v>
      </c>
      <c r="I358" s="188" t="str">
        <f>VLOOKUP(C358,CATEGORIZACION!$A$1:$C$269,2,FALSE)</f>
        <v>PROOVEDORES</v>
      </c>
      <c r="J358" s="188" t="str">
        <f>VLOOKUP(C358,CATEGORIZACION!$A$1:$C$269,3,FALSE)</f>
        <v>LOGISTICA</v>
      </c>
    </row>
    <row r="359" spans="1:10" ht="15.75" customHeight="1" x14ac:dyDescent="0.25">
      <c r="A359" s="1">
        <v>44993</v>
      </c>
      <c r="B359" s="188" t="s">
        <v>406</v>
      </c>
      <c r="C359" s="188" t="s">
        <v>21</v>
      </c>
      <c r="D359" s="188" t="s">
        <v>22</v>
      </c>
      <c r="E359" s="4">
        <v>14940</v>
      </c>
      <c r="F359" s="5">
        <v>300000</v>
      </c>
      <c r="G359" s="4">
        <v>63000</v>
      </c>
      <c r="H359" s="4">
        <v>377940</v>
      </c>
      <c r="I359" s="188" t="str">
        <f>VLOOKUP(C359,CATEGORIZACION!$A$1:$C$269,2,FALSE)</f>
        <v>TRANSPORTE</v>
      </c>
      <c r="J359" s="188" t="s">
        <v>19</v>
      </c>
    </row>
    <row r="360" spans="1:10" ht="15.75" customHeight="1" x14ac:dyDescent="0.25">
      <c r="A360" s="1">
        <v>44993</v>
      </c>
      <c r="B360" s="188" t="s">
        <v>407</v>
      </c>
      <c r="C360" s="188" t="s">
        <v>21</v>
      </c>
      <c r="D360" s="188" t="s">
        <v>22</v>
      </c>
      <c r="E360" s="4">
        <v>12450</v>
      </c>
      <c r="F360" s="5">
        <v>350000</v>
      </c>
      <c r="G360" s="4">
        <v>73500</v>
      </c>
      <c r="H360" s="4">
        <v>435950</v>
      </c>
      <c r="I360" s="188" t="str">
        <f>VLOOKUP(C360,CATEGORIZACION!$A$1:$C$269,2,FALSE)</f>
        <v>TRANSPORTE</v>
      </c>
      <c r="J360" s="188" t="s">
        <v>19</v>
      </c>
    </row>
    <row r="361" spans="1:10" ht="15.75" customHeight="1" x14ac:dyDescent="0.25">
      <c r="A361" s="1">
        <v>44993</v>
      </c>
      <c r="B361" s="188" t="s">
        <v>408</v>
      </c>
      <c r="C361" s="188" t="s">
        <v>409</v>
      </c>
      <c r="D361" s="188" t="s">
        <v>410</v>
      </c>
      <c r="E361" s="4">
        <v>3107.82</v>
      </c>
      <c r="F361" s="5">
        <v>388477.47</v>
      </c>
      <c r="G361" s="4">
        <v>81580.27</v>
      </c>
      <c r="H361" s="4">
        <v>473165.56</v>
      </c>
      <c r="I361" s="188" t="str">
        <f>VLOOKUP(C361,CATEGORIZACION!$A$1:$C$269,2,FALSE)</f>
        <v>PROOVEDORES</v>
      </c>
      <c r="J361" s="188" t="str">
        <f>VLOOKUP(C361,CATEGORIZACION!$A$1:$C$269,3,FALSE)</f>
        <v>LOGISTICA</v>
      </c>
    </row>
    <row r="362" spans="1:10" ht="15.75" customHeight="1" x14ac:dyDescent="0.25">
      <c r="A362" s="1">
        <v>44994</v>
      </c>
      <c r="B362" s="188" t="s">
        <v>411</v>
      </c>
      <c r="C362" s="188" t="s">
        <v>125</v>
      </c>
      <c r="D362" s="188" t="s">
        <v>126</v>
      </c>
      <c r="E362" s="4">
        <v>0</v>
      </c>
      <c r="F362" s="5">
        <v>17017.439999999999</v>
      </c>
      <c r="G362" s="4">
        <v>3573.66</v>
      </c>
      <c r="H362" s="4">
        <v>20591.099999999999</v>
      </c>
      <c r="I362" s="188" t="str">
        <f>VLOOKUP(C362,CATEGORIZACION!$A$1:$C$269,2,FALSE)</f>
        <v>PROOVEDORES</v>
      </c>
      <c r="J362" s="188" t="str">
        <f>VLOOKUP(C362,CATEGORIZACION!$A$1:$C$269,3,FALSE)</f>
        <v>LOGISTICA</v>
      </c>
    </row>
    <row r="363" spans="1:10" ht="15.75" customHeight="1" x14ac:dyDescent="0.25">
      <c r="A363" s="1">
        <v>44994</v>
      </c>
      <c r="B363" s="188" t="s">
        <v>412</v>
      </c>
      <c r="C363" s="188" t="s">
        <v>36</v>
      </c>
      <c r="D363" s="188" t="s">
        <v>37</v>
      </c>
      <c r="E363" s="4">
        <v>5700</v>
      </c>
      <c r="F363" s="5">
        <v>52195</v>
      </c>
      <c r="G363" s="4">
        <v>10960.95</v>
      </c>
      <c r="H363" s="4">
        <v>68855.95</v>
      </c>
      <c r="I363" s="188" t="str">
        <f>VLOOKUP(C363,CATEGORIZACION!$A$1:$C$269,2,FALSE)</f>
        <v>TRANSPORTE</v>
      </c>
      <c r="J363" s="188" t="s">
        <v>19</v>
      </c>
    </row>
    <row r="364" spans="1:10" ht="15.75" customHeight="1" x14ac:dyDescent="0.25">
      <c r="A364" s="1">
        <v>44994</v>
      </c>
      <c r="B364" s="188" t="s">
        <v>413</v>
      </c>
      <c r="C364" s="188" t="s">
        <v>36</v>
      </c>
      <c r="D364" s="188" t="s">
        <v>37</v>
      </c>
      <c r="E364" s="4">
        <v>6500</v>
      </c>
      <c r="F364" s="5">
        <v>57100</v>
      </c>
      <c r="G364" s="4">
        <v>11991</v>
      </c>
      <c r="H364" s="4">
        <v>75591</v>
      </c>
      <c r="I364" s="188" t="str">
        <f>VLOOKUP(C364,CATEGORIZACION!$A$1:$C$269,2,FALSE)</f>
        <v>TRANSPORTE</v>
      </c>
      <c r="J364" s="188" t="s">
        <v>19</v>
      </c>
    </row>
    <row r="365" spans="1:10" ht="15.75" customHeight="1" x14ac:dyDescent="0.25">
      <c r="A365" s="1">
        <v>44994</v>
      </c>
      <c r="B365" s="188" t="s">
        <v>414</v>
      </c>
      <c r="C365" s="188" t="s">
        <v>36</v>
      </c>
      <c r="D365" s="188" t="s">
        <v>37</v>
      </c>
      <c r="E365" s="4">
        <v>5700</v>
      </c>
      <c r="F365" s="5">
        <v>40150</v>
      </c>
      <c r="G365" s="4">
        <v>8431.5</v>
      </c>
      <c r="H365" s="4">
        <v>54281.5</v>
      </c>
      <c r="I365" s="188" t="str">
        <f>VLOOKUP(C365,CATEGORIZACION!$A$1:$C$269,2,FALSE)</f>
        <v>TRANSPORTE</v>
      </c>
      <c r="J365" s="188" t="s">
        <v>19</v>
      </c>
    </row>
    <row r="366" spans="1:10" ht="15.75" customHeight="1" x14ac:dyDescent="0.25">
      <c r="A366" s="1">
        <v>44994</v>
      </c>
      <c r="B366" s="188" t="s">
        <v>415</v>
      </c>
      <c r="C366" s="188" t="s">
        <v>36</v>
      </c>
      <c r="D366" s="188" t="s">
        <v>37</v>
      </c>
      <c r="E366" s="4">
        <v>5700</v>
      </c>
      <c r="F366" s="5">
        <v>40150</v>
      </c>
      <c r="G366" s="4">
        <v>8431.5</v>
      </c>
      <c r="H366" s="4">
        <v>54281.5</v>
      </c>
      <c r="I366" s="188" t="str">
        <f>VLOOKUP(C366,CATEGORIZACION!$A$1:$C$269,2,FALSE)</f>
        <v>TRANSPORTE</v>
      </c>
      <c r="J366" s="188" t="s">
        <v>19</v>
      </c>
    </row>
    <row r="367" spans="1:10" ht="15.75" customHeight="1" x14ac:dyDescent="0.25">
      <c r="A367" s="1">
        <v>44994</v>
      </c>
      <c r="B367" s="188" t="s">
        <v>416</v>
      </c>
      <c r="C367" s="188" t="s">
        <v>36</v>
      </c>
      <c r="D367" s="188" t="s">
        <v>37</v>
      </c>
      <c r="E367" s="4">
        <v>5700</v>
      </c>
      <c r="F367" s="5">
        <v>40150</v>
      </c>
      <c r="G367" s="4">
        <v>8431.5</v>
      </c>
      <c r="H367" s="4">
        <v>54281.5</v>
      </c>
      <c r="I367" s="188" t="str">
        <f>VLOOKUP(C367,CATEGORIZACION!$A$1:$C$269,2,FALSE)</f>
        <v>TRANSPORTE</v>
      </c>
      <c r="J367" s="188" t="s">
        <v>19</v>
      </c>
    </row>
    <row r="368" spans="1:10" ht="15.75" customHeight="1" x14ac:dyDescent="0.25">
      <c r="A368" s="1">
        <v>44995</v>
      </c>
      <c r="B368" s="188" t="s">
        <v>417</v>
      </c>
      <c r="C368" s="188" t="s">
        <v>17</v>
      </c>
      <c r="D368" s="188" t="s">
        <v>18</v>
      </c>
      <c r="E368" s="4">
        <v>14050</v>
      </c>
      <c r="F368" s="5">
        <v>202000</v>
      </c>
      <c r="G368" s="4">
        <v>42420</v>
      </c>
      <c r="H368" s="4">
        <v>258470</v>
      </c>
      <c r="I368" s="188" t="str">
        <f>VLOOKUP(C368,CATEGORIZACION!$A$1:$C$269,2,FALSE)</f>
        <v>TRANSPORTE</v>
      </c>
      <c r="J368" s="188" t="s">
        <v>19</v>
      </c>
    </row>
    <row r="369" spans="1:10" ht="15.75" customHeight="1" x14ac:dyDescent="0.25">
      <c r="A369" s="1">
        <v>44995</v>
      </c>
      <c r="B369" s="188" t="s">
        <v>418</v>
      </c>
      <c r="C369" s="188" t="s">
        <v>59</v>
      </c>
      <c r="D369" s="188" t="s">
        <v>60</v>
      </c>
      <c r="E369" s="4">
        <v>0</v>
      </c>
      <c r="F369" s="3">
        <v>20000</v>
      </c>
      <c r="G369" s="4">
        <v>4200</v>
      </c>
      <c r="H369" s="4">
        <v>24200</v>
      </c>
      <c r="I369" s="188" t="str">
        <f>VLOOKUP(C369,CATEGORIZACION!$A$1:$C$269,2,FALSE)</f>
        <v>PROOVEDORES</v>
      </c>
      <c r="J369" s="188" t="str">
        <f>VLOOKUP(C369,CATEGORIZACION!$A$1:$C$269,3,FALSE)</f>
        <v>DEPOSITO</v>
      </c>
    </row>
    <row r="370" spans="1:10" ht="15.75" customHeight="1" x14ac:dyDescent="0.25">
      <c r="A370" s="1">
        <v>44995</v>
      </c>
      <c r="B370" s="188" t="s">
        <v>419</v>
      </c>
      <c r="C370" s="188" t="s">
        <v>21</v>
      </c>
      <c r="D370" s="188" t="s">
        <v>22</v>
      </c>
      <c r="E370" s="4">
        <v>10400</v>
      </c>
      <c r="F370" s="5">
        <v>201900</v>
      </c>
      <c r="G370" s="4">
        <v>42399</v>
      </c>
      <c r="H370" s="4">
        <v>254699</v>
      </c>
      <c r="I370" s="188" t="str">
        <f>VLOOKUP(C370,CATEGORIZACION!$A$1:$C$269,2,FALSE)</f>
        <v>TRANSPORTE</v>
      </c>
      <c r="J370" s="188" t="s">
        <v>19</v>
      </c>
    </row>
    <row r="371" spans="1:10" ht="15.75" customHeight="1" x14ac:dyDescent="0.25">
      <c r="A371" s="1">
        <v>44995</v>
      </c>
      <c r="B371" s="188" t="s">
        <v>420</v>
      </c>
      <c r="C371" s="188" t="s">
        <v>36</v>
      </c>
      <c r="D371" s="188" t="s">
        <v>37</v>
      </c>
      <c r="E371" s="4">
        <v>0</v>
      </c>
      <c r="F371" s="5">
        <v>22400</v>
      </c>
      <c r="G371" s="4">
        <v>4704</v>
      </c>
      <c r="H371" s="4">
        <v>27104</v>
      </c>
      <c r="I371" s="188" t="str">
        <f>VLOOKUP(C371,CATEGORIZACION!$A$1:$C$269,2,FALSE)</f>
        <v>TRANSPORTE</v>
      </c>
      <c r="J371" s="188" t="s">
        <v>19</v>
      </c>
    </row>
    <row r="372" spans="1:10" ht="15.75" customHeight="1" x14ac:dyDescent="0.25">
      <c r="A372" s="1">
        <v>44995</v>
      </c>
      <c r="B372" s="188" t="s">
        <v>421</v>
      </c>
      <c r="C372" s="188" t="s">
        <v>36</v>
      </c>
      <c r="D372" s="188" t="s">
        <v>37</v>
      </c>
      <c r="E372" s="4">
        <v>0</v>
      </c>
      <c r="F372" s="5">
        <v>22400</v>
      </c>
      <c r="G372" s="4">
        <v>4704</v>
      </c>
      <c r="H372" s="4">
        <v>27104</v>
      </c>
      <c r="I372" s="188" t="str">
        <f>VLOOKUP(C372,CATEGORIZACION!$A$1:$C$269,2,FALSE)</f>
        <v>TRANSPORTE</v>
      </c>
      <c r="J372" s="188" t="s">
        <v>19</v>
      </c>
    </row>
    <row r="373" spans="1:10" ht="15.75" customHeight="1" x14ac:dyDescent="0.25">
      <c r="A373" s="1">
        <v>44995</v>
      </c>
      <c r="B373" s="188" t="s">
        <v>422</v>
      </c>
      <c r="C373" s="188" t="s">
        <v>36</v>
      </c>
      <c r="D373" s="188" t="s">
        <v>37</v>
      </c>
      <c r="E373" s="4">
        <v>8200</v>
      </c>
      <c r="F373" s="5">
        <v>93350</v>
      </c>
      <c r="G373" s="4">
        <v>19603.5</v>
      </c>
      <c r="H373" s="4">
        <v>121153.5</v>
      </c>
      <c r="I373" s="188" t="str">
        <f>VLOOKUP(C373,CATEGORIZACION!$A$1:$C$269,2,FALSE)</f>
        <v>TRANSPORTE</v>
      </c>
      <c r="J373" s="188" t="s">
        <v>19</v>
      </c>
    </row>
    <row r="374" spans="1:10" ht="15.75" customHeight="1" x14ac:dyDescent="0.25">
      <c r="A374" s="1">
        <v>44995</v>
      </c>
      <c r="B374" s="188" t="s">
        <v>423</v>
      </c>
      <c r="C374" s="188" t="s">
        <v>36</v>
      </c>
      <c r="D374" s="188" t="s">
        <v>37</v>
      </c>
      <c r="E374" s="4">
        <v>8200</v>
      </c>
      <c r="F374" s="5">
        <v>72000</v>
      </c>
      <c r="G374" s="4">
        <v>15120</v>
      </c>
      <c r="H374" s="4">
        <v>95320</v>
      </c>
      <c r="I374" s="188" t="str">
        <f>VLOOKUP(C374,CATEGORIZACION!$A$1:$C$269,2,FALSE)</f>
        <v>TRANSPORTE</v>
      </c>
      <c r="J374" s="188" t="s">
        <v>19</v>
      </c>
    </row>
    <row r="375" spans="1:10" ht="15.75" customHeight="1" x14ac:dyDescent="0.25">
      <c r="A375" s="1">
        <v>44995</v>
      </c>
      <c r="B375" s="188" t="s">
        <v>424</v>
      </c>
      <c r="C375" s="188" t="s">
        <v>36</v>
      </c>
      <c r="D375" s="188" t="s">
        <v>37</v>
      </c>
      <c r="E375" s="4">
        <v>8200</v>
      </c>
      <c r="F375" s="5">
        <v>72000</v>
      </c>
      <c r="G375" s="4">
        <v>15120</v>
      </c>
      <c r="H375" s="4">
        <v>95320</v>
      </c>
      <c r="I375" s="188" t="str">
        <f>VLOOKUP(C375,CATEGORIZACION!$A$1:$C$269,2,FALSE)</f>
        <v>TRANSPORTE</v>
      </c>
      <c r="J375" s="188" t="s">
        <v>19</v>
      </c>
    </row>
    <row r="376" spans="1:10" ht="15.75" customHeight="1" x14ac:dyDescent="0.25">
      <c r="A376" s="1">
        <v>44995</v>
      </c>
      <c r="B376" s="188" t="s">
        <v>425</v>
      </c>
      <c r="C376" s="188" t="s">
        <v>426</v>
      </c>
      <c r="D376" s="188" t="s">
        <v>427</v>
      </c>
      <c r="E376" s="4">
        <v>1848</v>
      </c>
      <c r="F376" s="5">
        <v>19547.11</v>
      </c>
      <c r="G376" s="4">
        <v>4104.8900000000003</v>
      </c>
      <c r="H376" s="4">
        <v>25500</v>
      </c>
      <c r="I376" s="188" t="str">
        <f>VLOOKUP(C376,CATEGORIZACION!$A$1:$C$269,2,FALSE)</f>
        <v>PROOVEDORES</v>
      </c>
      <c r="J376" s="188" t="str">
        <f>VLOOKUP(C376,CATEGORIZACION!$A$1:$C$269,3,FALSE)</f>
        <v>LOGISTICA</v>
      </c>
    </row>
    <row r="377" spans="1:10" ht="15.75" customHeight="1" x14ac:dyDescent="0.25">
      <c r="A377" s="1">
        <v>44998</v>
      </c>
      <c r="B377" s="188" t="s">
        <v>428</v>
      </c>
      <c r="C377" s="188" t="s">
        <v>21</v>
      </c>
      <c r="D377" s="188" t="s">
        <v>22</v>
      </c>
      <c r="E377" s="4">
        <v>14220</v>
      </c>
      <c r="F377" s="5">
        <v>226500</v>
      </c>
      <c r="G377" s="4">
        <v>47565</v>
      </c>
      <c r="H377" s="4">
        <v>288285</v>
      </c>
      <c r="I377" s="188" t="str">
        <f>VLOOKUP(C377,CATEGORIZACION!$A$1:$C$269,2,FALSE)</f>
        <v>TRANSPORTE</v>
      </c>
      <c r="J377" s="188" t="s">
        <v>19</v>
      </c>
    </row>
    <row r="378" spans="1:10" ht="15.75" customHeight="1" x14ac:dyDescent="0.25">
      <c r="A378" s="1">
        <v>44998</v>
      </c>
      <c r="B378" s="188" t="s">
        <v>429</v>
      </c>
      <c r="C378" s="188" t="s">
        <v>21</v>
      </c>
      <c r="D378" s="188" t="s">
        <v>22</v>
      </c>
      <c r="E378" s="4">
        <v>29880</v>
      </c>
      <c r="F378" s="5">
        <v>544000</v>
      </c>
      <c r="G378" s="4">
        <v>114240</v>
      </c>
      <c r="H378" s="4">
        <v>688120</v>
      </c>
      <c r="I378" s="188" t="str">
        <f>VLOOKUP(C378,CATEGORIZACION!$A$1:$C$269,2,FALSE)</f>
        <v>TRANSPORTE</v>
      </c>
      <c r="J378" s="188" t="s">
        <v>19</v>
      </c>
    </row>
    <row r="379" spans="1:10" ht="15.75" customHeight="1" x14ac:dyDescent="0.25">
      <c r="A379" s="1">
        <v>44998</v>
      </c>
      <c r="B379" s="188" t="s">
        <v>430</v>
      </c>
      <c r="C379" s="188" t="s">
        <v>21</v>
      </c>
      <c r="D379" s="188" t="s">
        <v>22</v>
      </c>
      <c r="E379" s="4">
        <v>24900</v>
      </c>
      <c r="F379" s="5">
        <v>500000</v>
      </c>
      <c r="G379" s="4">
        <v>105000</v>
      </c>
      <c r="H379" s="4">
        <v>629900</v>
      </c>
      <c r="I379" s="188" t="str">
        <f>VLOOKUP(C379,CATEGORIZACION!$A$1:$C$269,2,FALSE)</f>
        <v>TRANSPORTE</v>
      </c>
      <c r="J379" s="188" t="s">
        <v>19</v>
      </c>
    </row>
    <row r="380" spans="1:10" ht="15.75" customHeight="1" x14ac:dyDescent="0.25">
      <c r="A380" s="1">
        <v>44998</v>
      </c>
      <c r="B380" s="188" t="s">
        <v>431</v>
      </c>
      <c r="C380" s="188" t="s">
        <v>36</v>
      </c>
      <c r="D380" s="188" t="s">
        <v>37</v>
      </c>
      <c r="E380" s="4">
        <v>2500</v>
      </c>
      <c r="F380" s="5">
        <v>119760</v>
      </c>
      <c r="G380" s="4">
        <v>25149.599999999999</v>
      </c>
      <c r="H380" s="4">
        <v>147409.60000000001</v>
      </c>
      <c r="I380" s="188" t="str">
        <f>VLOOKUP(C380,CATEGORIZACION!$A$1:$C$269,2,FALSE)</f>
        <v>TRANSPORTE</v>
      </c>
      <c r="J380" s="188" t="s">
        <v>19</v>
      </c>
    </row>
    <row r="381" spans="1:10" ht="15.75" customHeight="1" x14ac:dyDescent="0.25">
      <c r="A381" s="1">
        <v>44998</v>
      </c>
      <c r="B381" s="188" t="s">
        <v>432</v>
      </c>
      <c r="C381" s="188" t="s">
        <v>36</v>
      </c>
      <c r="D381" s="188" t="s">
        <v>37</v>
      </c>
      <c r="E381" s="4">
        <v>8200</v>
      </c>
      <c r="F381" s="5">
        <v>72000</v>
      </c>
      <c r="G381" s="4">
        <v>15120</v>
      </c>
      <c r="H381" s="4">
        <v>95320</v>
      </c>
      <c r="I381" s="188" t="str">
        <f>VLOOKUP(C381,CATEGORIZACION!$A$1:$C$269,2,FALSE)</f>
        <v>TRANSPORTE</v>
      </c>
      <c r="J381" s="188" t="s">
        <v>19</v>
      </c>
    </row>
    <row r="382" spans="1:10" ht="15.75" customHeight="1" x14ac:dyDescent="0.25">
      <c r="A382" s="1">
        <v>44998</v>
      </c>
      <c r="B382" s="188" t="s">
        <v>433</v>
      </c>
      <c r="C382" s="188" t="s">
        <v>36</v>
      </c>
      <c r="D382" s="188" t="s">
        <v>37</v>
      </c>
      <c r="E382" s="4">
        <v>11000</v>
      </c>
      <c r="F382" s="5">
        <v>125600</v>
      </c>
      <c r="G382" s="4">
        <v>26376</v>
      </c>
      <c r="H382" s="4">
        <v>162976</v>
      </c>
      <c r="I382" s="188" t="str">
        <f>VLOOKUP(C382,CATEGORIZACION!$A$1:$C$269,2,FALSE)</f>
        <v>TRANSPORTE</v>
      </c>
      <c r="J382" s="188" t="s">
        <v>19</v>
      </c>
    </row>
    <row r="383" spans="1:10" ht="15.75" customHeight="1" x14ac:dyDescent="0.25">
      <c r="A383" s="1">
        <v>44998</v>
      </c>
      <c r="B383" s="188" t="s">
        <v>434</v>
      </c>
      <c r="C383" s="188" t="s">
        <v>36</v>
      </c>
      <c r="D383" s="188" t="s">
        <v>37</v>
      </c>
      <c r="E383" s="4">
        <v>6500</v>
      </c>
      <c r="F383" s="5">
        <v>93000</v>
      </c>
      <c r="G383" s="4">
        <v>19530</v>
      </c>
      <c r="H383" s="4">
        <v>119030</v>
      </c>
      <c r="I383" s="188" t="str">
        <f>VLOOKUP(C383,CATEGORIZACION!$A$1:$C$269,2,FALSE)</f>
        <v>TRANSPORTE</v>
      </c>
      <c r="J383" s="188" t="s">
        <v>19</v>
      </c>
    </row>
    <row r="384" spans="1:10" ht="15.75" customHeight="1" x14ac:dyDescent="0.25">
      <c r="A384" s="1">
        <v>44998</v>
      </c>
      <c r="B384" s="188" t="s">
        <v>435</v>
      </c>
      <c r="C384" s="188" t="s">
        <v>36</v>
      </c>
      <c r="D384" s="188" t="s">
        <v>37</v>
      </c>
      <c r="E384" s="4">
        <v>8200</v>
      </c>
      <c r="F384" s="5">
        <v>72000</v>
      </c>
      <c r="G384" s="4">
        <v>15120</v>
      </c>
      <c r="H384" s="4">
        <v>95320</v>
      </c>
      <c r="I384" s="188" t="str">
        <f>VLOOKUP(C384,CATEGORIZACION!$A$1:$C$269,2,FALSE)</f>
        <v>TRANSPORTE</v>
      </c>
      <c r="J384" s="188" t="s">
        <v>19</v>
      </c>
    </row>
    <row r="385" spans="1:10" ht="15.75" customHeight="1" x14ac:dyDescent="0.25">
      <c r="A385" s="1">
        <v>44998</v>
      </c>
      <c r="B385" s="188" t="s">
        <v>436</v>
      </c>
      <c r="C385" s="188" t="s">
        <v>36</v>
      </c>
      <c r="D385" s="188" t="s">
        <v>37</v>
      </c>
      <c r="E385" s="4">
        <v>8200</v>
      </c>
      <c r="F385" s="5">
        <v>72000</v>
      </c>
      <c r="G385" s="4">
        <v>15120</v>
      </c>
      <c r="H385" s="4">
        <v>95320</v>
      </c>
      <c r="I385" s="188" t="str">
        <f>VLOOKUP(C385,CATEGORIZACION!$A$1:$C$269,2,FALSE)</f>
        <v>TRANSPORTE</v>
      </c>
      <c r="J385" s="188" t="s">
        <v>19</v>
      </c>
    </row>
    <row r="386" spans="1:10" ht="15.75" customHeight="1" x14ac:dyDescent="0.25">
      <c r="A386" s="1">
        <v>44998</v>
      </c>
      <c r="B386" s="188" t="s">
        <v>437</v>
      </c>
      <c r="C386" s="188" t="s">
        <v>36</v>
      </c>
      <c r="D386" s="188" t="s">
        <v>37</v>
      </c>
      <c r="E386" s="4">
        <v>8200</v>
      </c>
      <c r="F386" s="5">
        <v>72000</v>
      </c>
      <c r="G386" s="4">
        <v>15120</v>
      </c>
      <c r="H386" s="4">
        <v>95320</v>
      </c>
      <c r="I386" s="188" t="str">
        <f>VLOOKUP(C386,CATEGORIZACION!$A$1:$C$269,2,FALSE)</f>
        <v>TRANSPORTE</v>
      </c>
      <c r="J386" s="188" t="s">
        <v>19</v>
      </c>
    </row>
    <row r="387" spans="1:10" ht="15.75" customHeight="1" x14ac:dyDescent="0.25">
      <c r="A387" s="1">
        <v>44998</v>
      </c>
      <c r="B387" s="188" t="s">
        <v>438</v>
      </c>
      <c r="C387" s="188" t="s">
        <v>36</v>
      </c>
      <c r="D387" s="188" t="s">
        <v>37</v>
      </c>
      <c r="E387" s="4">
        <v>8200</v>
      </c>
      <c r="F387" s="5">
        <v>72000</v>
      </c>
      <c r="G387" s="4">
        <v>15120</v>
      </c>
      <c r="H387" s="4">
        <v>95320</v>
      </c>
      <c r="I387" s="188" t="str">
        <f>VLOOKUP(C387,CATEGORIZACION!$A$1:$C$269,2,FALSE)</f>
        <v>TRANSPORTE</v>
      </c>
      <c r="J387" s="188" t="s">
        <v>19</v>
      </c>
    </row>
    <row r="388" spans="1:10" ht="15.75" customHeight="1" x14ac:dyDescent="0.25">
      <c r="A388" s="1">
        <v>44999</v>
      </c>
      <c r="B388" s="188" t="s">
        <v>439</v>
      </c>
      <c r="C388" s="188" t="s">
        <v>17</v>
      </c>
      <c r="D388" s="188" t="s">
        <v>18</v>
      </c>
      <c r="E388" s="4">
        <v>18458</v>
      </c>
      <c r="F388" s="5">
        <v>261000</v>
      </c>
      <c r="G388" s="4">
        <v>54810</v>
      </c>
      <c r="H388" s="4">
        <v>334268</v>
      </c>
      <c r="I388" s="188" t="str">
        <f>VLOOKUP(C388,CATEGORIZACION!$A$1:$C$269,2,FALSE)</f>
        <v>TRANSPORTE</v>
      </c>
      <c r="J388" s="188" t="s">
        <v>19</v>
      </c>
    </row>
    <row r="389" spans="1:10" ht="15.75" customHeight="1" x14ac:dyDescent="0.25">
      <c r="A389" s="1">
        <v>45000</v>
      </c>
      <c r="B389" s="188" t="s">
        <v>440</v>
      </c>
      <c r="C389" s="188" t="s">
        <v>441</v>
      </c>
      <c r="D389" s="188" t="s">
        <v>442</v>
      </c>
      <c r="E389" s="4">
        <v>0</v>
      </c>
      <c r="F389" s="3">
        <v>500000</v>
      </c>
      <c r="G389" s="4">
        <v>105000</v>
      </c>
      <c r="H389" s="4">
        <v>605000</v>
      </c>
      <c r="I389" s="188" t="str">
        <f>VLOOKUP(C389,CATEGORIZACION!$A$1:$C$269,2,FALSE)</f>
        <v>ALQUILER</v>
      </c>
      <c r="J389" s="188" t="s">
        <v>103</v>
      </c>
    </row>
    <row r="390" spans="1:10" ht="15.75" customHeight="1" x14ac:dyDescent="0.25">
      <c r="A390" s="1">
        <v>45000</v>
      </c>
      <c r="B390" s="188" t="s">
        <v>443</v>
      </c>
      <c r="C390" s="188" t="s">
        <v>84</v>
      </c>
      <c r="D390" s="188" t="s">
        <v>85</v>
      </c>
      <c r="E390" s="4">
        <v>64726.270000000077</v>
      </c>
      <c r="F390" s="5">
        <v>655170.93999999994</v>
      </c>
      <c r="G390" s="4">
        <v>137585.9</v>
      </c>
      <c r="H390" s="4">
        <v>857483.11</v>
      </c>
      <c r="I390" s="188" t="str">
        <f>VLOOKUP(C390,CATEGORIZACION!$A$1:$C$269,2,FALSE)</f>
        <v>PROOVEDORES</v>
      </c>
      <c r="J390" s="188" t="str">
        <f>VLOOKUP(C390,CATEGORIZACION!$A$1:$C$269,3,FALSE)</f>
        <v>LOGISTICA</v>
      </c>
    </row>
    <row r="391" spans="1:10" ht="15.75" customHeight="1" x14ac:dyDescent="0.25">
      <c r="A391" s="1">
        <v>45000</v>
      </c>
      <c r="B391" s="188" t="s">
        <v>444</v>
      </c>
      <c r="C391" s="188" t="s">
        <v>59</v>
      </c>
      <c r="D391" s="188" t="s">
        <v>60</v>
      </c>
      <c r="E391" s="4">
        <v>0</v>
      </c>
      <c r="F391" s="3">
        <v>27014.400000000001</v>
      </c>
      <c r="G391" s="4">
        <v>5673.02</v>
      </c>
      <c r="H391" s="4">
        <v>32687.42</v>
      </c>
      <c r="I391" s="188" t="str">
        <f>VLOOKUP(C391,CATEGORIZACION!$A$1:$C$269,2,FALSE)</f>
        <v>PROOVEDORES</v>
      </c>
      <c r="J391" s="188" t="str">
        <f>VLOOKUP(C391,CATEGORIZACION!$A$1:$C$269,3,FALSE)</f>
        <v>DEPOSITO</v>
      </c>
    </row>
    <row r="392" spans="1:10" ht="15.75" customHeight="1" x14ac:dyDescent="0.25">
      <c r="A392" s="1">
        <v>45000</v>
      </c>
      <c r="B392" s="188" t="s">
        <v>445</v>
      </c>
      <c r="C392" s="188" t="s">
        <v>59</v>
      </c>
      <c r="D392" s="188" t="s">
        <v>60</v>
      </c>
      <c r="E392" s="4">
        <v>0</v>
      </c>
      <c r="F392" s="3">
        <v>10000</v>
      </c>
      <c r="G392" s="4">
        <v>2100</v>
      </c>
      <c r="H392" s="4">
        <v>12100</v>
      </c>
      <c r="I392" s="188" t="str">
        <f>VLOOKUP(C392,CATEGORIZACION!$A$1:$C$269,2,FALSE)</f>
        <v>PROOVEDORES</v>
      </c>
      <c r="J392" s="188" t="str">
        <f>VLOOKUP(C392,CATEGORIZACION!$A$1:$C$269,3,FALSE)</f>
        <v>DEPOSITO</v>
      </c>
    </row>
    <row r="393" spans="1:10" ht="15.75" customHeight="1" x14ac:dyDescent="0.25">
      <c r="A393" s="1">
        <v>45000</v>
      </c>
      <c r="B393" s="188" t="s">
        <v>446</v>
      </c>
      <c r="C393" s="188" t="s">
        <v>21</v>
      </c>
      <c r="D393" s="188" t="s">
        <v>22</v>
      </c>
      <c r="E393" s="4">
        <v>17430</v>
      </c>
      <c r="F393" s="5">
        <v>350000</v>
      </c>
      <c r="G393" s="4">
        <v>73500</v>
      </c>
      <c r="H393" s="4">
        <v>440930</v>
      </c>
      <c r="I393" s="188" t="str">
        <f>VLOOKUP(C393,CATEGORIZACION!$A$1:$C$269,2,FALSE)</f>
        <v>TRANSPORTE</v>
      </c>
      <c r="J393" s="188" t="s">
        <v>19</v>
      </c>
    </row>
    <row r="394" spans="1:10" ht="15.75" customHeight="1" x14ac:dyDescent="0.25">
      <c r="A394" s="1">
        <v>45000</v>
      </c>
      <c r="B394" s="188" t="s">
        <v>447</v>
      </c>
      <c r="C394" s="188" t="s">
        <v>21</v>
      </c>
      <c r="D394" s="188" t="s">
        <v>22</v>
      </c>
      <c r="E394" s="4">
        <v>22410</v>
      </c>
      <c r="F394" s="5">
        <v>450000</v>
      </c>
      <c r="G394" s="4">
        <v>94500</v>
      </c>
      <c r="H394" s="4">
        <v>566910</v>
      </c>
      <c r="I394" s="188" t="str">
        <f>VLOOKUP(C394,CATEGORIZACION!$A$1:$C$269,2,FALSE)</f>
        <v>TRANSPORTE</v>
      </c>
      <c r="J394" s="188" t="s">
        <v>19</v>
      </c>
    </row>
    <row r="395" spans="1:10" ht="15.75" customHeight="1" x14ac:dyDescent="0.25">
      <c r="A395" s="1">
        <v>45001</v>
      </c>
      <c r="B395" s="188" t="s">
        <v>448</v>
      </c>
      <c r="C395" s="188" t="s">
        <v>17</v>
      </c>
      <c r="D395" s="188" t="s">
        <v>18</v>
      </c>
      <c r="E395" s="4">
        <v>25700</v>
      </c>
      <c r="F395" s="5">
        <v>320750</v>
      </c>
      <c r="G395" s="4">
        <v>67357.5</v>
      </c>
      <c r="H395" s="4">
        <v>413807.5</v>
      </c>
      <c r="I395" s="188" t="str">
        <f>VLOOKUP(C395,CATEGORIZACION!$A$1:$C$269,2,FALSE)</f>
        <v>TRANSPORTE</v>
      </c>
      <c r="J395" s="188" t="s">
        <v>19</v>
      </c>
    </row>
    <row r="396" spans="1:10" ht="15.75" customHeight="1" x14ac:dyDescent="0.25">
      <c r="A396" s="1">
        <v>45002</v>
      </c>
      <c r="B396" s="188" t="s">
        <v>449</v>
      </c>
      <c r="C396" s="188" t="s">
        <v>450</v>
      </c>
      <c r="D396" s="188" t="s">
        <v>451</v>
      </c>
      <c r="E396" s="4">
        <v>0</v>
      </c>
      <c r="F396" s="3">
        <v>6264.46</v>
      </c>
      <c r="G396" s="4">
        <v>1315.54</v>
      </c>
      <c r="H396" s="4">
        <v>7580</v>
      </c>
      <c r="I396" s="188" t="str">
        <f>VLOOKUP(C396,CATEGORIZACION!$A$1:$C$269,2,FALSE)</f>
        <v>PROOVEDORES</v>
      </c>
      <c r="J396" s="188" t="str">
        <f>VLOOKUP(C396,CATEGORIZACION!$A$1:$C$269,3,FALSE)</f>
        <v>DEPOSITO</v>
      </c>
    </row>
    <row r="397" spans="1:10" ht="15.75" customHeight="1" x14ac:dyDescent="0.25">
      <c r="A397" s="1">
        <v>45002</v>
      </c>
      <c r="B397" s="188" t="s">
        <v>452</v>
      </c>
      <c r="C397" s="188" t="s">
        <v>36</v>
      </c>
      <c r="D397" s="188" t="s">
        <v>37</v>
      </c>
      <c r="E397" s="4">
        <v>5000</v>
      </c>
      <c r="F397" s="5">
        <v>99800</v>
      </c>
      <c r="G397" s="4">
        <v>20958</v>
      </c>
      <c r="H397" s="4">
        <v>125758</v>
      </c>
      <c r="I397" s="188" t="str">
        <f>VLOOKUP(C397,CATEGORIZACION!$A$1:$C$269,2,FALSE)</f>
        <v>TRANSPORTE</v>
      </c>
      <c r="J397" s="188" t="s">
        <v>19</v>
      </c>
    </row>
    <row r="398" spans="1:10" ht="15.75" customHeight="1" x14ac:dyDescent="0.25">
      <c r="A398" s="1">
        <v>45002</v>
      </c>
      <c r="B398" s="188" t="s">
        <v>453</v>
      </c>
      <c r="C398" s="188" t="s">
        <v>36</v>
      </c>
      <c r="D398" s="188" t="s">
        <v>37</v>
      </c>
      <c r="E398" s="4">
        <v>8200</v>
      </c>
      <c r="F398" s="5">
        <v>40150</v>
      </c>
      <c r="G398" s="4">
        <v>8431.5</v>
      </c>
      <c r="H398" s="4">
        <v>56781.5</v>
      </c>
      <c r="I398" s="188" t="str">
        <f>VLOOKUP(C398,CATEGORIZACION!$A$1:$C$269,2,FALSE)</f>
        <v>TRANSPORTE</v>
      </c>
      <c r="J398" s="188" t="s">
        <v>19</v>
      </c>
    </row>
    <row r="399" spans="1:10" ht="15.75" customHeight="1" x14ac:dyDescent="0.25">
      <c r="A399" s="1">
        <v>45002</v>
      </c>
      <c r="B399" s="188" t="s">
        <v>454</v>
      </c>
      <c r="C399" s="188" t="s">
        <v>36</v>
      </c>
      <c r="D399" s="188" t="s">
        <v>37</v>
      </c>
      <c r="E399" s="4">
        <v>8200</v>
      </c>
      <c r="F399" s="5">
        <v>40150</v>
      </c>
      <c r="G399" s="4">
        <v>8431.5</v>
      </c>
      <c r="H399" s="4">
        <v>56781.5</v>
      </c>
      <c r="I399" s="188" t="str">
        <f>VLOOKUP(C399,CATEGORIZACION!$A$1:$C$269,2,FALSE)</f>
        <v>TRANSPORTE</v>
      </c>
      <c r="J399" s="188" t="s">
        <v>19</v>
      </c>
    </row>
    <row r="400" spans="1:10" ht="15.75" customHeight="1" x14ac:dyDescent="0.25">
      <c r="A400" s="1">
        <v>45002</v>
      </c>
      <c r="B400" s="188" t="s">
        <v>455</v>
      </c>
      <c r="C400" s="188" t="s">
        <v>36</v>
      </c>
      <c r="D400" s="188" t="s">
        <v>37</v>
      </c>
      <c r="E400" s="4">
        <v>8200</v>
      </c>
      <c r="F400" s="5">
        <v>40150</v>
      </c>
      <c r="G400" s="4">
        <v>8431.5</v>
      </c>
      <c r="H400" s="4">
        <v>56781.5</v>
      </c>
      <c r="I400" s="188" t="str">
        <f>VLOOKUP(C400,CATEGORIZACION!$A$1:$C$269,2,FALSE)</f>
        <v>TRANSPORTE</v>
      </c>
      <c r="J400" s="188" t="s">
        <v>19</v>
      </c>
    </row>
    <row r="401" spans="1:10" ht="15.75" customHeight="1" x14ac:dyDescent="0.25">
      <c r="A401" s="1">
        <v>45002</v>
      </c>
      <c r="B401" s="188" t="s">
        <v>456</v>
      </c>
      <c r="C401" s="188" t="s">
        <v>36</v>
      </c>
      <c r="D401" s="188" t="s">
        <v>37</v>
      </c>
      <c r="E401" s="4">
        <v>8200</v>
      </c>
      <c r="F401" s="5">
        <v>40150</v>
      </c>
      <c r="G401" s="4">
        <v>8431.5</v>
      </c>
      <c r="H401" s="4">
        <v>56781.5</v>
      </c>
      <c r="I401" s="188" t="str">
        <f>VLOOKUP(C401,CATEGORIZACION!$A$1:$C$269,2,FALSE)</f>
        <v>TRANSPORTE</v>
      </c>
      <c r="J401" s="188" t="s">
        <v>19</v>
      </c>
    </row>
    <row r="402" spans="1:10" ht="15.75" customHeight="1" x14ac:dyDescent="0.25">
      <c r="A402" s="1">
        <v>45002</v>
      </c>
      <c r="B402" s="188" t="s">
        <v>457</v>
      </c>
      <c r="C402" s="188" t="s">
        <v>36</v>
      </c>
      <c r="D402" s="188" t="s">
        <v>37</v>
      </c>
      <c r="E402" s="4">
        <v>8200</v>
      </c>
      <c r="F402" s="5">
        <v>40150</v>
      </c>
      <c r="G402" s="4">
        <v>8431.5</v>
      </c>
      <c r="H402" s="4">
        <v>56781.5</v>
      </c>
      <c r="I402" s="188" t="str">
        <f>VLOOKUP(C402,CATEGORIZACION!$A$1:$C$269,2,FALSE)</f>
        <v>TRANSPORTE</v>
      </c>
      <c r="J402" s="188" t="s">
        <v>19</v>
      </c>
    </row>
    <row r="403" spans="1:10" ht="15.75" customHeight="1" x14ac:dyDescent="0.25">
      <c r="A403" s="1">
        <v>45002</v>
      </c>
      <c r="B403" s="188" t="s">
        <v>458</v>
      </c>
      <c r="C403" s="188" t="s">
        <v>36</v>
      </c>
      <c r="D403" s="188" t="s">
        <v>37</v>
      </c>
      <c r="E403" s="4">
        <v>8200</v>
      </c>
      <c r="F403" s="5">
        <v>44165</v>
      </c>
      <c r="G403" s="4">
        <v>9274.65</v>
      </c>
      <c r="H403" s="4">
        <v>61639.65</v>
      </c>
      <c r="I403" s="188" t="str">
        <f>VLOOKUP(C403,CATEGORIZACION!$A$1:$C$269,2,FALSE)</f>
        <v>TRANSPORTE</v>
      </c>
      <c r="J403" s="188" t="s">
        <v>19</v>
      </c>
    </row>
    <row r="404" spans="1:10" ht="15.75" customHeight="1" x14ac:dyDescent="0.25">
      <c r="A404" s="1">
        <v>45002</v>
      </c>
      <c r="B404" s="188" t="s">
        <v>459</v>
      </c>
      <c r="C404" s="188" t="s">
        <v>36</v>
      </c>
      <c r="D404" s="188" t="s">
        <v>37</v>
      </c>
      <c r="E404" s="4">
        <v>8200</v>
      </c>
      <c r="F404" s="5">
        <v>40150</v>
      </c>
      <c r="G404" s="4">
        <v>8431.5</v>
      </c>
      <c r="H404" s="4">
        <v>56781.5</v>
      </c>
      <c r="I404" s="188" t="str">
        <f>VLOOKUP(C404,CATEGORIZACION!$A$1:$C$269,2,FALSE)</f>
        <v>TRANSPORTE</v>
      </c>
      <c r="J404" s="188" t="s">
        <v>19</v>
      </c>
    </row>
    <row r="405" spans="1:10" ht="15.75" customHeight="1" x14ac:dyDescent="0.25">
      <c r="A405" s="1">
        <v>45002</v>
      </c>
      <c r="B405" s="188" t="s">
        <v>460</v>
      </c>
      <c r="C405" s="188" t="s">
        <v>36</v>
      </c>
      <c r="D405" s="188" t="s">
        <v>37</v>
      </c>
      <c r="E405" s="4">
        <v>8900</v>
      </c>
      <c r="F405" s="5">
        <v>99800</v>
      </c>
      <c r="G405" s="4">
        <v>20958</v>
      </c>
      <c r="H405" s="4">
        <v>129658</v>
      </c>
      <c r="I405" s="188" t="str">
        <f>VLOOKUP(C405,CATEGORIZACION!$A$1:$C$269,2,FALSE)</f>
        <v>TRANSPORTE</v>
      </c>
      <c r="J405" s="188" t="s">
        <v>19</v>
      </c>
    </row>
    <row r="406" spans="1:10" ht="15.75" customHeight="1" x14ac:dyDescent="0.25">
      <c r="A406" s="1">
        <v>45002</v>
      </c>
      <c r="B406" s="188" t="s">
        <v>461</v>
      </c>
      <c r="C406" s="188" t="s">
        <v>36</v>
      </c>
      <c r="D406" s="188" t="s">
        <v>37</v>
      </c>
      <c r="E406" s="4">
        <v>8900</v>
      </c>
      <c r="F406" s="5">
        <v>81600</v>
      </c>
      <c r="G406" s="4">
        <v>17136</v>
      </c>
      <c r="H406" s="4">
        <v>107636</v>
      </c>
      <c r="I406" s="188" t="str">
        <f>VLOOKUP(C406,CATEGORIZACION!$A$1:$C$269,2,FALSE)</f>
        <v>TRANSPORTE</v>
      </c>
      <c r="J406" s="188" t="s">
        <v>19</v>
      </c>
    </row>
    <row r="407" spans="1:10" ht="15.75" customHeight="1" x14ac:dyDescent="0.25">
      <c r="A407" s="1">
        <v>45002</v>
      </c>
      <c r="B407" s="188" t="s">
        <v>462</v>
      </c>
      <c r="C407" s="188" t="s">
        <v>36</v>
      </c>
      <c r="D407" s="188" t="s">
        <v>37</v>
      </c>
      <c r="E407" s="4">
        <v>8200</v>
      </c>
      <c r="F407" s="5">
        <v>40150</v>
      </c>
      <c r="G407" s="4">
        <v>8431.5</v>
      </c>
      <c r="H407" s="4">
        <v>56781.5</v>
      </c>
      <c r="I407" s="188" t="str">
        <f>VLOOKUP(C407,CATEGORIZACION!$A$1:$C$269,2,FALSE)</f>
        <v>TRANSPORTE</v>
      </c>
      <c r="J407" s="188" t="s">
        <v>19</v>
      </c>
    </row>
    <row r="408" spans="1:10" ht="15.75" customHeight="1" x14ac:dyDescent="0.25">
      <c r="A408" s="1">
        <v>45002</v>
      </c>
      <c r="B408" s="188" t="s">
        <v>463</v>
      </c>
      <c r="C408" s="188" t="s">
        <v>36</v>
      </c>
      <c r="D408" s="188" t="s">
        <v>37</v>
      </c>
      <c r="E408" s="4">
        <v>6500</v>
      </c>
      <c r="F408" s="5">
        <v>93000</v>
      </c>
      <c r="G408" s="4">
        <v>19530</v>
      </c>
      <c r="H408" s="4">
        <v>119030</v>
      </c>
      <c r="I408" s="188" t="str">
        <f>VLOOKUP(C408,CATEGORIZACION!$A$1:$C$269,2,FALSE)</f>
        <v>TRANSPORTE</v>
      </c>
      <c r="J408" s="188" t="s">
        <v>19</v>
      </c>
    </row>
    <row r="409" spans="1:10" ht="15.75" customHeight="1" x14ac:dyDescent="0.25">
      <c r="A409" s="1">
        <v>45002</v>
      </c>
      <c r="B409" s="188" t="s">
        <v>464</v>
      </c>
      <c r="C409" s="188" t="s">
        <v>36</v>
      </c>
      <c r="D409" s="188" t="s">
        <v>37</v>
      </c>
      <c r="E409" s="4">
        <v>12800</v>
      </c>
      <c r="F409" s="5">
        <v>96500</v>
      </c>
      <c r="G409" s="4">
        <v>20265</v>
      </c>
      <c r="H409" s="4">
        <v>129565</v>
      </c>
      <c r="I409" s="188" t="str">
        <f>VLOOKUP(C409,CATEGORIZACION!$A$1:$C$269,2,FALSE)</f>
        <v>TRANSPORTE</v>
      </c>
      <c r="J409" s="188" t="s">
        <v>19</v>
      </c>
    </row>
    <row r="410" spans="1:10" ht="15.75" customHeight="1" x14ac:dyDescent="0.25">
      <c r="A410" s="1">
        <v>45002</v>
      </c>
      <c r="B410" s="188" t="s">
        <v>465</v>
      </c>
      <c r="C410" s="188" t="s">
        <v>36</v>
      </c>
      <c r="D410" s="188" t="s">
        <v>37</v>
      </c>
      <c r="E410" s="4">
        <v>3050</v>
      </c>
      <c r="F410" s="5">
        <v>119760</v>
      </c>
      <c r="G410" s="4">
        <v>25149.599999999999</v>
      </c>
      <c r="H410" s="4">
        <v>147959.6</v>
      </c>
      <c r="I410" s="188" t="str">
        <f>VLOOKUP(C410,CATEGORIZACION!$A$1:$C$269,2,FALSE)</f>
        <v>TRANSPORTE</v>
      </c>
      <c r="J410" s="188" t="s">
        <v>19</v>
      </c>
    </row>
    <row r="411" spans="1:10" ht="15.75" customHeight="1" x14ac:dyDescent="0.25">
      <c r="A411" s="1">
        <v>45002</v>
      </c>
      <c r="B411" s="188" t="s">
        <v>466</v>
      </c>
      <c r="C411" s="188" t="s">
        <v>36</v>
      </c>
      <c r="D411" s="188" t="s">
        <v>37</v>
      </c>
      <c r="E411" s="4">
        <v>11000</v>
      </c>
      <c r="F411" s="5">
        <v>72000</v>
      </c>
      <c r="G411" s="4">
        <v>15120</v>
      </c>
      <c r="H411" s="4">
        <v>98120</v>
      </c>
      <c r="I411" s="188" t="str">
        <f>VLOOKUP(C411,CATEGORIZACION!$A$1:$C$269,2,FALSE)</f>
        <v>TRANSPORTE</v>
      </c>
      <c r="J411" s="188" t="s">
        <v>19</v>
      </c>
    </row>
    <row r="412" spans="1:10" ht="15.75" customHeight="1" x14ac:dyDescent="0.25">
      <c r="A412" s="1">
        <v>45002</v>
      </c>
      <c r="B412" s="188" t="s">
        <v>467</v>
      </c>
      <c r="C412" s="188" t="s">
        <v>36</v>
      </c>
      <c r="D412" s="188" t="s">
        <v>37</v>
      </c>
      <c r="E412" s="4">
        <v>11000</v>
      </c>
      <c r="F412" s="5">
        <v>72000</v>
      </c>
      <c r="G412" s="4">
        <v>15120</v>
      </c>
      <c r="H412" s="4">
        <v>98120</v>
      </c>
      <c r="I412" s="188" t="str">
        <f>VLOOKUP(C412,CATEGORIZACION!$A$1:$C$269,2,FALSE)</f>
        <v>TRANSPORTE</v>
      </c>
      <c r="J412" s="188" t="s">
        <v>19</v>
      </c>
    </row>
    <row r="413" spans="1:10" ht="15.75" customHeight="1" x14ac:dyDescent="0.25">
      <c r="A413" s="1">
        <v>45005</v>
      </c>
      <c r="B413" s="188" t="s">
        <v>468</v>
      </c>
      <c r="C413" s="188" t="s">
        <v>365</v>
      </c>
      <c r="D413" s="188" t="s">
        <v>366</v>
      </c>
      <c r="E413" s="4">
        <v>0</v>
      </c>
      <c r="F413" s="5">
        <v>65290.86</v>
      </c>
      <c r="G413" s="4">
        <v>13711.08</v>
      </c>
      <c r="H413" s="4">
        <v>79001.94</v>
      </c>
      <c r="I413" s="188" t="str">
        <f>VLOOKUP(C413,CATEGORIZACION!$A$1:$C$269,2,FALSE)</f>
        <v>PROOVEDORES</v>
      </c>
      <c r="J413" s="188" t="str">
        <f>VLOOKUP(C413,CATEGORIZACION!$A$1:$C$269,3,FALSE)</f>
        <v>LOGISTICA</v>
      </c>
    </row>
    <row r="414" spans="1:10" ht="15.75" customHeight="1" x14ac:dyDescent="0.25">
      <c r="A414" s="1">
        <v>45005</v>
      </c>
      <c r="B414" s="188" t="s">
        <v>469</v>
      </c>
      <c r="C414" s="188" t="s">
        <v>365</v>
      </c>
      <c r="D414" s="188" t="s">
        <v>366</v>
      </c>
      <c r="E414" s="4">
        <v>0</v>
      </c>
      <c r="F414" s="5">
        <v>9577.92</v>
      </c>
      <c r="G414" s="4">
        <v>2011.36</v>
      </c>
      <c r="H414" s="4">
        <v>11589.28</v>
      </c>
      <c r="I414" s="188" t="str">
        <f>VLOOKUP(C414,CATEGORIZACION!$A$1:$C$269,2,FALSE)</f>
        <v>PROOVEDORES</v>
      </c>
      <c r="J414" s="188" t="str">
        <f>VLOOKUP(C414,CATEGORIZACION!$A$1:$C$269,3,FALSE)</f>
        <v>LOGISTICA</v>
      </c>
    </row>
    <row r="415" spans="1:10" ht="15.75" customHeight="1" x14ac:dyDescent="0.25">
      <c r="A415" s="1">
        <v>45005</v>
      </c>
      <c r="B415" s="188" t="s">
        <v>470</v>
      </c>
      <c r="C415" s="188" t="s">
        <v>214</v>
      </c>
      <c r="D415" s="188" t="s">
        <v>471</v>
      </c>
      <c r="E415" s="4">
        <v>0</v>
      </c>
      <c r="F415" s="5">
        <v>19155.84</v>
      </c>
      <c r="G415" s="4">
        <v>4022.73</v>
      </c>
      <c r="H415" s="4">
        <v>23178.57</v>
      </c>
      <c r="I415" s="188" t="str">
        <f>VLOOKUP(C415,CATEGORIZACION!$A$1:$C$269,2,FALSE)</f>
        <v>PROOVEDORES</v>
      </c>
      <c r="J415" s="188" t="str">
        <f>VLOOKUP(C415,CATEGORIZACION!$A$1:$C$269,3,FALSE)</f>
        <v>LOGISTICA</v>
      </c>
    </row>
    <row r="416" spans="1:10" ht="15.75" customHeight="1" x14ac:dyDescent="0.25">
      <c r="A416" s="1">
        <v>45005</v>
      </c>
      <c r="B416" s="188" t="s">
        <v>470</v>
      </c>
      <c r="C416" s="188" t="s">
        <v>365</v>
      </c>
      <c r="D416" s="188" t="s">
        <v>366</v>
      </c>
      <c r="E416" s="4">
        <v>0</v>
      </c>
      <c r="F416" s="5">
        <v>19155.84</v>
      </c>
      <c r="G416" s="4">
        <v>4022.73</v>
      </c>
      <c r="H416" s="4">
        <v>23178.57</v>
      </c>
      <c r="I416" s="188" t="str">
        <f>VLOOKUP(C416,CATEGORIZACION!$A$1:$C$269,2,FALSE)</f>
        <v>PROOVEDORES</v>
      </c>
      <c r="J416" s="188" t="str">
        <f>VLOOKUP(C416,CATEGORIZACION!$A$1:$C$269,3,FALSE)</f>
        <v>LOGISTICA</v>
      </c>
    </row>
    <row r="417" spans="1:10" ht="15.75" customHeight="1" x14ac:dyDescent="0.25">
      <c r="A417" s="1">
        <v>45005</v>
      </c>
      <c r="B417" s="188" t="s">
        <v>472</v>
      </c>
      <c r="C417" s="188" t="s">
        <v>21</v>
      </c>
      <c r="D417" s="188" t="s">
        <v>22</v>
      </c>
      <c r="E417" s="4">
        <v>9480</v>
      </c>
      <c r="F417" s="5">
        <v>351000</v>
      </c>
      <c r="G417" s="4">
        <v>73710</v>
      </c>
      <c r="H417" s="4">
        <v>434190</v>
      </c>
      <c r="I417" s="188" t="str">
        <f>VLOOKUP(C417,CATEGORIZACION!$A$1:$C$269,2,FALSE)</f>
        <v>TRANSPORTE</v>
      </c>
      <c r="J417" s="188" t="s">
        <v>19</v>
      </c>
    </row>
    <row r="418" spans="1:10" ht="15.75" customHeight="1" x14ac:dyDescent="0.25">
      <c r="A418" s="1">
        <v>45005</v>
      </c>
      <c r="B418" s="188" t="s">
        <v>473</v>
      </c>
      <c r="C418" s="188" t="s">
        <v>21</v>
      </c>
      <c r="D418" s="188" t="s">
        <v>22</v>
      </c>
      <c r="E418" s="4">
        <v>15390</v>
      </c>
      <c r="F418" s="5">
        <v>323900</v>
      </c>
      <c r="G418" s="4">
        <v>68019</v>
      </c>
      <c r="H418" s="4">
        <v>407309</v>
      </c>
      <c r="I418" s="188" t="str">
        <f>VLOOKUP(C418,CATEGORIZACION!$A$1:$C$269,2,FALSE)</f>
        <v>TRANSPORTE</v>
      </c>
      <c r="J418" s="188" t="s">
        <v>19</v>
      </c>
    </row>
    <row r="419" spans="1:10" ht="15.75" customHeight="1" x14ac:dyDescent="0.25">
      <c r="A419" s="1">
        <v>45005</v>
      </c>
      <c r="B419" s="188" t="s">
        <v>474</v>
      </c>
      <c r="C419" s="188" t="s">
        <v>21</v>
      </c>
      <c r="D419" s="188" t="s">
        <v>22</v>
      </c>
      <c r="E419" s="4">
        <v>17260</v>
      </c>
      <c r="F419" s="5">
        <v>619200</v>
      </c>
      <c r="G419" s="4">
        <v>130032</v>
      </c>
      <c r="H419" s="4">
        <v>766492</v>
      </c>
      <c r="I419" s="188" t="str">
        <f>VLOOKUP(C419,CATEGORIZACION!$A$1:$C$269,2,FALSE)</f>
        <v>TRANSPORTE</v>
      </c>
      <c r="J419" s="188" t="s">
        <v>19</v>
      </c>
    </row>
    <row r="420" spans="1:10" ht="15.75" customHeight="1" x14ac:dyDescent="0.25">
      <c r="A420" s="1">
        <v>45005</v>
      </c>
      <c r="B420" s="188" t="s">
        <v>475</v>
      </c>
      <c r="C420" s="188" t="s">
        <v>21</v>
      </c>
      <c r="D420" s="188" t="s">
        <v>22</v>
      </c>
      <c r="E420" s="4">
        <v>13720</v>
      </c>
      <c r="F420" s="5">
        <v>369200</v>
      </c>
      <c r="G420" s="4">
        <v>77532</v>
      </c>
      <c r="H420" s="4">
        <v>460452</v>
      </c>
      <c r="I420" s="188" t="str">
        <f>VLOOKUP(C420,CATEGORIZACION!$A$1:$C$269,2,FALSE)</f>
        <v>TRANSPORTE</v>
      </c>
      <c r="J420" s="188" t="s">
        <v>19</v>
      </c>
    </row>
    <row r="421" spans="1:10" ht="15.75" customHeight="1" x14ac:dyDescent="0.25">
      <c r="A421" s="1">
        <v>45005</v>
      </c>
      <c r="B421" s="188" t="s">
        <v>476</v>
      </c>
      <c r="C421" s="188" t="s">
        <v>21</v>
      </c>
      <c r="D421" s="188" t="s">
        <v>22</v>
      </c>
      <c r="E421" s="4">
        <v>13720</v>
      </c>
      <c r="F421" s="5">
        <v>369200</v>
      </c>
      <c r="G421" s="4">
        <v>77532</v>
      </c>
      <c r="H421" s="4">
        <v>460452</v>
      </c>
      <c r="I421" s="188" t="str">
        <f>VLOOKUP(C421,CATEGORIZACION!$A$1:$C$269,2,FALSE)</f>
        <v>TRANSPORTE</v>
      </c>
      <c r="J421" s="188" t="s">
        <v>19</v>
      </c>
    </row>
    <row r="422" spans="1:10" ht="15.75" customHeight="1" x14ac:dyDescent="0.25">
      <c r="A422" s="1">
        <v>45005</v>
      </c>
      <c r="B422" s="188" t="s">
        <v>477</v>
      </c>
      <c r="C422" s="188" t="s">
        <v>21</v>
      </c>
      <c r="D422" s="188" t="s">
        <v>22</v>
      </c>
      <c r="E422" s="4">
        <v>20580</v>
      </c>
      <c r="F422" s="5">
        <v>300000</v>
      </c>
      <c r="G422" s="4">
        <v>63000</v>
      </c>
      <c r="H422" s="4">
        <v>383580</v>
      </c>
      <c r="I422" s="188" t="str">
        <f>VLOOKUP(C422,CATEGORIZACION!$A$1:$C$269,2,FALSE)</f>
        <v>TRANSPORTE</v>
      </c>
      <c r="J422" s="188" t="s">
        <v>19</v>
      </c>
    </row>
    <row r="423" spans="1:10" ht="15.75" customHeight="1" x14ac:dyDescent="0.25">
      <c r="A423" s="1">
        <v>45005</v>
      </c>
      <c r="B423" s="188" t="s">
        <v>478</v>
      </c>
      <c r="C423" s="188" t="s">
        <v>36</v>
      </c>
      <c r="D423" s="188" t="s">
        <v>37</v>
      </c>
      <c r="E423" s="4">
        <v>11000</v>
      </c>
      <c r="F423" s="5">
        <v>72000</v>
      </c>
      <c r="G423" s="4">
        <v>15120</v>
      </c>
      <c r="H423" s="4">
        <v>98120</v>
      </c>
      <c r="I423" s="188" t="str">
        <f>VLOOKUP(C423,CATEGORIZACION!$A$1:$C$269,2,FALSE)</f>
        <v>TRANSPORTE</v>
      </c>
      <c r="J423" s="188" t="s">
        <v>19</v>
      </c>
    </row>
    <row r="424" spans="1:10" ht="15.75" customHeight="1" x14ac:dyDescent="0.25">
      <c r="A424" s="1">
        <v>45005</v>
      </c>
      <c r="B424" s="188" t="s">
        <v>479</v>
      </c>
      <c r="C424" s="188" t="s">
        <v>36</v>
      </c>
      <c r="D424" s="188" t="s">
        <v>37</v>
      </c>
      <c r="E424" s="4">
        <v>11000</v>
      </c>
      <c r="F424" s="5">
        <v>72000</v>
      </c>
      <c r="G424" s="4">
        <v>15120</v>
      </c>
      <c r="H424" s="4">
        <v>98120</v>
      </c>
      <c r="I424" s="188" t="str">
        <f>VLOOKUP(C424,CATEGORIZACION!$A$1:$C$269,2,FALSE)</f>
        <v>TRANSPORTE</v>
      </c>
      <c r="J424" s="188" t="s">
        <v>19</v>
      </c>
    </row>
    <row r="425" spans="1:10" ht="15.75" customHeight="1" x14ac:dyDescent="0.25">
      <c r="A425" s="1">
        <v>45005</v>
      </c>
      <c r="B425" s="188" t="s">
        <v>480</v>
      </c>
      <c r="C425" s="188" t="s">
        <v>36</v>
      </c>
      <c r="D425" s="188" t="s">
        <v>37</v>
      </c>
      <c r="E425" s="4">
        <v>11000</v>
      </c>
      <c r="F425" s="5">
        <v>72000</v>
      </c>
      <c r="G425" s="4">
        <v>15120</v>
      </c>
      <c r="H425" s="4">
        <v>98120</v>
      </c>
      <c r="I425" s="188" t="str">
        <f>VLOOKUP(C425,CATEGORIZACION!$A$1:$C$269,2,FALSE)</f>
        <v>TRANSPORTE</v>
      </c>
      <c r="J425" s="188" t="s">
        <v>19</v>
      </c>
    </row>
    <row r="426" spans="1:10" ht="15.75" customHeight="1" x14ac:dyDescent="0.25">
      <c r="A426" s="1">
        <v>45005</v>
      </c>
      <c r="B426" s="188" t="s">
        <v>481</v>
      </c>
      <c r="C426" s="188" t="s">
        <v>36</v>
      </c>
      <c r="D426" s="188" t="s">
        <v>37</v>
      </c>
      <c r="E426" s="4">
        <v>11000</v>
      </c>
      <c r="F426" s="5">
        <v>72000</v>
      </c>
      <c r="G426" s="4">
        <v>15120</v>
      </c>
      <c r="H426" s="4">
        <v>98120</v>
      </c>
      <c r="I426" s="188" t="str">
        <f>VLOOKUP(C426,CATEGORIZACION!$A$1:$C$269,2,FALSE)</f>
        <v>TRANSPORTE</v>
      </c>
      <c r="J426" s="188" t="s">
        <v>19</v>
      </c>
    </row>
    <row r="427" spans="1:10" ht="15.75" customHeight="1" x14ac:dyDescent="0.25">
      <c r="A427" s="1">
        <v>45005</v>
      </c>
      <c r="B427" s="188" t="s">
        <v>482</v>
      </c>
      <c r="C427" s="188" t="s">
        <v>36</v>
      </c>
      <c r="D427" s="188" t="s">
        <v>37</v>
      </c>
      <c r="E427" s="4">
        <v>8800</v>
      </c>
      <c r="F427" s="5">
        <v>114200</v>
      </c>
      <c r="G427" s="4">
        <v>23982</v>
      </c>
      <c r="H427" s="4">
        <v>146982</v>
      </c>
      <c r="I427" s="188" t="str">
        <f>VLOOKUP(C427,CATEGORIZACION!$A$1:$C$269,2,FALSE)</f>
        <v>TRANSPORTE</v>
      </c>
      <c r="J427" s="188" t="s">
        <v>19</v>
      </c>
    </row>
    <row r="428" spans="1:10" ht="15.75" customHeight="1" x14ac:dyDescent="0.25">
      <c r="A428" s="1">
        <v>45005</v>
      </c>
      <c r="B428" s="188" t="s">
        <v>483</v>
      </c>
      <c r="C428" s="188" t="s">
        <v>36</v>
      </c>
      <c r="D428" s="188" t="s">
        <v>37</v>
      </c>
      <c r="E428" s="4">
        <v>8800</v>
      </c>
      <c r="F428" s="5">
        <v>114200</v>
      </c>
      <c r="G428" s="4">
        <v>23982</v>
      </c>
      <c r="H428" s="4">
        <v>146982</v>
      </c>
      <c r="I428" s="188" t="str">
        <f>VLOOKUP(C428,CATEGORIZACION!$A$1:$C$269,2,FALSE)</f>
        <v>TRANSPORTE</v>
      </c>
      <c r="J428" s="188" t="s">
        <v>19</v>
      </c>
    </row>
    <row r="429" spans="1:10" ht="15.75" customHeight="1" x14ac:dyDescent="0.25">
      <c r="A429" s="1">
        <v>45005</v>
      </c>
      <c r="B429" s="188" t="s">
        <v>484</v>
      </c>
      <c r="C429" s="188" t="s">
        <v>36</v>
      </c>
      <c r="D429" s="188" t="s">
        <v>37</v>
      </c>
      <c r="E429" s="4">
        <v>11000</v>
      </c>
      <c r="F429" s="5">
        <v>72000</v>
      </c>
      <c r="G429" s="4">
        <v>15120</v>
      </c>
      <c r="H429" s="4">
        <v>98120</v>
      </c>
      <c r="I429" s="188" t="str">
        <f>VLOOKUP(C429,CATEGORIZACION!$A$1:$C$269,2,FALSE)</f>
        <v>TRANSPORTE</v>
      </c>
      <c r="J429" s="188" t="s">
        <v>19</v>
      </c>
    </row>
    <row r="430" spans="1:10" ht="15.75" customHeight="1" x14ac:dyDescent="0.25">
      <c r="A430" s="1">
        <v>45005</v>
      </c>
      <c r="B430" s="188" t="s">
        <v>485</v>
      </c>
      <c r="C430" s="188" t="s">
        <v>36</v>
      </c>
      <c r="D430" s="188" t="s">
        <v>37</v>
      </c>
      <c r="E430" s="4">
        <v>6500</v>
      </c>
      <c r="F430" s="5">
        <v>68500</v>
      </c>
      <c r="G430" s="4">
        <v>14385</v>
      </c>
      <c r="H430" s="4">
        <v>89385</v>
      </c>
      <c r="I430" s="188" t="str">
        <f>VLOOKUP(C430,CATEGORIZACION!$A$1:$C$269,2,FALSE)</f>
        <v>TRANSPORTE</v>
      </c>
      <c r="J430" s="188" t="s">
        <v>19</v>
      </c>
    </row>
    <row r="431" spans="1:10" ht="15.75" customHeight="1" x14ac:dyDescent="0.25">
      <c r="A431" s="1">
        <v>45005</v>
      </c>
      <c r="B431" s="188" t="s">
        <v>486</v>
      </c>
      <c r="C431" s="188" t="s">
        <v>36</v>
      </c>
      <c r="D431" s="188" t="s">
        <v>37</v>
      </c>
      <c r="E431" s="4">
        <v>8200</v>
      </c>
      <c r="F431" s="5">
        <v>44165</v>
      </c>
      <c r="G431" s="4">
        <v>9274.65</v>
      </c>
      <c r="H431" s="4">
        <v>61639.65</v>
      </c>
      <c r="I431" s="188" t="str">
        <f>VLOOKUP(C431,CATEGORIZACION!$A$1:$C$269,2,FALSE)</f>
        <v>TRANSPORTE</v>
      </c>
      <c r="J431" s="188" t="s">
        <v>19</v>
      </c>
    </row>
    <row r="432" spans="1:10" ht="15.75" customHeight="1" x14ac:dyDescent="0.25">
      <c r="A432" s="1">
        <v>45010</v>
      </c>
      <c r="B432" s="188" t="s">
        <v>487</v>
      </c>
      <c r="C432" s="188" t="s">
        <v>36</v>
      </c>
      <c r="D432" s="188" t="s">
        <v>37</v>
      </c>
      <c r="E432" s="4">
        <v>8200</v>
      </c>
      <c r="F432" s="5">
        <v>40150</v>
      </c>
      <c r="G432" s="4">
        <v>8431.5</v>
      </c>
      <c r="H432" s="4">
        <v>56781.5</v>
      </c>
      <c r="I432" s="188" t="str">
        <f>VLOOKUP(C432,CATEGORIZACION!$A$1:$C$269,2,FALSE)</f>
        <v>TRANSPORTE</v>
      </c>
      <c r="J432" s="188" t="s">
        <v>19</v>
      </c>
    </row>
    <row r="433" spans="1:10" ht="15.75" customHeight="1" x14ac:dyDescent="0.25">
      <c r="A433" s="1">
        <v>45010</v>
      </c>
      <c r="B433" s="188" t="s">
        <v>488</v>
      </c>
      <c r="C433" s="188" t="s">
        <v>36</v>
      </c>
      <c r="D433" s="188" t="s">
        <v>37</v>
      </c>
      <c r="E433" s="4">
        <v>8200</v>
      </c>
      <c r="F433" s="5">
        <v>40150</v>
      </c>
      <c r="G433" s="4">
        <v>8431.5</v>
      </c>
      <c r="H433" s="4">
        <v>56781.5</v>
      </c>
      <c r="I433" s="188" t="str">
        <f>VLOOKUP(C433,CATEGORIZACION!$A$1:$C$269,2,FALSE)</f>
        <v>TRANSPORTE</v>
      </c>
      <c r="J433" s="188" t="s">
        <v>19</v>
      </c>
    </row>
    <row r="434" spans="1:10" ht="15.75" customHeight="1" x14ac:dyDescent="0.25">
      <c r="A434" s="1">
        <v>45010</v>
      </c>
      <c r="B434" s="188" t="s">
        <v>489</v>
      </c>
      <c r="C434" s="188" t="s">
        <v>36</v>
      </c>
      <c r="D434" s="188" t="s">
        <v>37</v>
      </c>
      <c r="E434" s="4">
        <v>8200</v>
      </c>
      <c r="F434" s="5">
        <v>40150</v>
      </c>
      <c r="G434" s="4">
        <v>8431.5</v>
      </c>
      <c r="H434" s="4">
        <v>56781.5</v>
      </c>
      <c r="I434" s="188" t="str">
        <f>VLOOKUP(C434,CATEGORIZACION!$A$1:$C$269,2,FALSE)</f>
        <v>TRANSPORTE</v>
      </c>
      <c r="J434" s="188" t="s">
        <v>19</v>
      </c>
    </row>
    <row r="435" spans="1:10" ht="15.75" customHeight="1" x14ac:dyDescent="0.25">
      <c r="A435" s="1">
        <v>45010</v>
      </c>
      <c r="B435" s="188" t="s">
        <v>490</v>
      </c>
      <c r="C435" s="188" t="s">
        <v>36</v>
      </c>
      <c r="D435" s="188" t="s">
        <v>37</v>
      </c>
      <c r="E435" s="4">
        <v>8200</v>
      </c>
      <c r="F435" s="5">
        <v>40150</v>
      </c>
      <c r="G435" s="4">
        <v>8431.5</v>
      </c>
      <c r="H435" s="4">
        <v>56781.5</v>
      </c>
      <c r="I435" s="188" t="str">
        <f>VLOOKUP(C435,CATEGORIZACION!$A$1:$C$269,2,FALSE)</f>
        <v>TRANSPORTE</v>
      </c>
      <c r="J435" s="188" t="s">
        <v>19</v>
      </c>
    </row>
    <row r="436" spans="1:10" ht="15.75" customHeight="1" x14ac:dyDescent="0.25">
      <c r="A436" s="1">
        <v>45010</v>
      </c>
      <c r="B436" s="188" t="s">
        <v>491</v>
      </c>
      <c r="C436" s="188" t="s">
        <v>36</v>
      </c>
      <c r="D436" s="188" t="s">
        <v>37</v>
      </c>
      <c r="E436" s="4">
        <v>8200</v>
      </c>
      <c r="F436" s="5">
        <v>40150</v>
      </c>
      <c r="G436" s="4">
        <v>8431.5</v>
      </c>
      <c r="H436" s="4">
        <v>56781.5</v>
      </c>
      <c r="I436" s="188" t="str">
        <f>VLOOKUP(C436,CATEGORIZACION!$A$1:$C$269,2,FALSE)</f>
        <v>TRANSPORTE</v>
      </c>
      <c r="J436" s="188" t="s">
        <v>19</v>
      </c>
    </row>
    <row r="437" spans="1:10" ht="15.75" customHeight="1" x14ac:dyDescent="0.25">
      <c r="A437" s="1">
        <v>45010</v>
      </c>
      <c r="B437" s="188" t="s">
        <v>492</v>
      </c>
      <c r="C437" s="188" t="s">
        <v>36</v>
      </c>
      <c r="D437" s="188" t="s">
        <v>37</v>
      </c>
      <c r="E437" s="4">
        <v>8900</v>
      </c>
      <c r="F437" s="5">
        <v>81600</v>
      </c>
      <c r="G437" s="4">
        <v>17136</v>
      </c>
      <c r="H437" s="4">
        <v>107636</v>
      </c>
      <c r="I437" s="188" t="str">
        <f>VLOOKUP(C437,CATEGORIZACION!$A$1:$C$269,2,FALSE)</f>
        <v>TRANSPORTE</v>
      </c>
      <c r="J437" s="188" t="s">
        <v>19</v>
      </c>
    </row>
    <row r="438" spans="1:10" ht="15.75" customHeight="1" x14ac:dyDescent="0.25">
      <c r="A438" s="1">
        <v>45010</v>
      </c>
      <c r="B438" s="188" t="s">
        <v>493</v>
      </c>
      <c r="C438" s="188" t="s">
        <v>36</v>
      </c>
      <c r="D438" s="188" t="s">
        <v>37</v>
      </c>
      <c r="E438" s="4">
        <v>8200</v>
      </c>
      <c r="F438" s="5">
        <v>44165</v>
      </c>
      <c r="G438" s="4">
        <v>9274.65</v>
      </c>
      <c r="H438" s="4">
        <v>61639.65</v>
      </c>
      <c r="I438" s="188" t="str">
        <f>VLOOKUP(C438,CATEGORIZACION!$A$1:$C$269,2,FALSE)</f>
        <v>TRANSPORTE</v>
      </c>
      <c r="J438" s="188" t="s">
        <v>19</v>
      </c>
    </row>
    <row r="439" spans="1:10" ht="15.75" customHeight="1" x14ac:dyDescent="0.25">
      <c r="A439" s="1">
        <v>45010</v>
      </c>
      <c r="B439" s="188" t="s">
        <v>494</v>
      </c>
      <c r="C439" s="188" t="s">
        <v>36</v>
      </c>
      <c r="D439" s="188" t="s">
        <v>37</v>
      </c>
      <c r="E439" s="4">
        <v>8200</v>
      </c>
      <c r="F439" s="5">
        <v>40150</v>
      </c>
      <c r="G439" s="4">
        <v>8431.5</v>
      </c>
      <c r="H439" s="4">
        <v>56781.5</v>
      </c>
      <c r="I439" s="188" t="str">
        <f>VLOOKUP(C439,CATEGORIZACION!$A$1:$C$269,2,FALSE)</f>
        <v>TRANSPORTE</v>
      </c>
      <c r="J439" s="188" t="s">
        <v>19</v>
      </c>
    </row>
    <row r="440" spans="1:10" ht="15.75" customHeight="1" x14ac:dyDescent="0.25">
      <c r="A440" s="1">
        <v>45010</v>
      </c>
      <c r="B440" s="188" t="s">
        <v>495</v>
      </c>
      <c r="C440" s="188" t="s">
        <v>36</v>
      </c>
      <c r="D440" s="188" t="s">
        <v>37</v>
      </c>
      <c r="E440" s="4">
        <v>8200</v>
      </c>
      <c r="F440" s="5">
        <v>40150</v>
      </c>
      <c r="G440" s="4">
        <v>8431.5</v>
      </c>
      <c r="H440" s="4">
        <v>56781.5</v>
      </c>
      <c r="I440" s="188" t="str">
        <f>VLOOKUP(C440,CATEGORIZACION!$A$1:$C$269,2,FALSE)</f>
        <v>TRANSPORTE</v>
      </c>
      <c r="J440" s="188" t="s">
        <v>19</v>
      </c>
    </row>
    <row r="441" spans="1:10" ht="15.75" customHeight="1" x14ac:dyDescent="0.25">
      <c r="A441" s="1">
        <v>45010</v>
      </c>
      <c r="B441" s="188" t="s">
        <v>496</v>
      </c>
      <c r="C441" s="188" t="s">
        <v>36</v>
      </c>
      <c r="D441" s="188" t="s">
        <v>37</v>
      </c>
      <c r="E441" s="4">
        <v>6500</v>
      </c>
      <c r="F441" s="5">
        <v>68500</v>
      </c>
      <c r="G441" s="4">
        <v>14385</v>
      </c>
      <c r="H441" s="4">
        <v>89385</v>
      </c>
      <c r="I441" s="188" t="str">
        <f>VLOOKUP(C441,CATEGORIZACION!$A$1:$C$269,2,FALSE)</f>
        <v>TRANSPORTE</v>
      </c>
      <c r="J441" s="188" t="s">
        <v>19</v>
      </c>
    </row>
    <row r="442" spans="1:10" ht="15.75" customHeight="1" x14ac:dyDescent="0.25">
      <c r="A442" s="1">
        <v>45010</v>
      </c>
      <c r="B442" s="188" t="s">
        <v>497</v>
      </c>
      <c r="C442" s="188" t="s">
        <v>36</v>
      </c>
      <c r="D442" s="188" t="s">
        <v>37</v>
      </c>
      <c r="E442" s="4">
        <v>11000</v>
      </c>
      <c r="F442" s="5">
        <v>72000</v>
      </c>
      <c r="G442" s="4">
        <v>15120</v>
      </c>
      <c r="H442" s="4">
        <v>98120</v>
      </c>
      <c r="I442" s="188" t="str">
        <f>VLOOKUP(C442,CATEGORIZACION!$A$1:$C$269,2,FALSE)</f>
        <v>TRANSPORTE</v>
      </c>
      <c r="J442" s="188" t="s">
        <v>19</v>
      </c>
    </row>
    <row r="443" spans="1:10" ht="15.75" customHeight="1" x14ac:dyDescent="0.25">
      <c r="A443" s="1">
        <v>45012</v>
      </c>
      <c r="B443" s="188" t="s">
        <v>498</v>
      </c>
      <c r="C443" s="188" t="s">
        <v>52</v>
      </c>
      <c r="D443" s="188" t="s">
        <v>53</v>
      </c>
      <c r="E443" s="4">
        <v>0</v>
      </c>
      <c r="F443" s="3">
        <v>40392</v>
      </c>
      <c r="G443" s="4">
        <v>8482.32</v>
      </c>
      <c r="H443" s="4">
        <v>48874.32</v>
      </c>
      <c r="I443" s="188" t="str">
        <f>VLOOKUP(C443,CATEGORIZACION!$A$1:$C$269,2,FALSE)</f>
        <v>PROOVEDORES</v>
      </c>
      <c r="J443" s="188" t="str">
        <f>VLOOKUP(C443,CATEGORIZACION!$A$1:$C$269,3,FALSE)</f>
        <v>DEPOSITO</v>
      </c>
    </row>
    <row r="444" spans="1:10" ht="15.75" customHeight="1" x14ac:dyDescent="0.25">
      <c r="A444" s="1">
        <v>45013</v>
      </c>
      <c r="B444" s="188" t="s">
        <v>499</v>
      </c>
      <c r="C444" s="188" t="s">
        <v>339</v>
      </c>
      <c r="D444" s="188" t="s">
        <v>340</v>
      </c>
      <c r="E444" s="4">
        <v>0</v>
      </c>
      <c r="F444" s="5">
        <v>75645.570000000007</v>
      </c>
      <c r="G444" s="4">
        <v>15885.57</v>
      </c>
      <c r="H444" s="4">
        <v>91531.14</v>
      </c>
      <c r="I444" s="188" t="str">
        <f>VLOOKUP(C444,CATEGORIZACION!$A$1:$C$269,2,FALSE)</f>
        <v>PROOVEDORES</v>
      </c>
      <c r="J444" s="188" t="str">
        <f>VLOOKUP(C444,CATEGORIZACION!$A$1:$C$269,3,FALSE)</f>
        <v>LOGISTICA</v>
      </c>
    </row>
    <row r="445" spans="1:10" ht="15.75" customHeight="1" x14ac:dyDescent="0.25">
      <c r="A445" s="1">
        <v>45014</v>
      </c>
      <c r="B445" s="188" t="s">
        <v>500</v>
      </c>
      <c r="C445" s="188" t="s">
        <v>36</v>
      </c>
      <c r="D445" s="188" t="s">
        <v>37</v>
      </c>
      <c r="E445" s="4">
        <v>8200</v>
      </c>
      <c r="F445" s="5">
        <v>52195</v>
      </c>
      <c r="G445" s="4">
        <v>10960.95</v>
      </c>
      <c r="H445" s="4">
        <v>71355.95</v>
      </c>
      <c r="I445" s="188" t="str">
        <f>VLOOKUP(C445,CATEGORIZACION!$A$1:$C$269,2,FALSE)</f>
        <v>TRANSPORTE</v>
      </c>
      <c r="J445" s="188" t="s">
        <v>19</v>
      </c>
    </row>
    <row r="446" spans="1:10" ht="15.75" customHeight="1" x14ac:dyDescent="0.25">
      <c r="A446" s="1">
        <v>45014</v>
      </c>
      <c r="B446" s="188" t="s">
        <v>501</v>
      </c>
      <c r="C446" s="188" t="s">
        <v>36</v>
      </c>
      <c r="D446" s="188" t="s">
        <v>37</v>
      </c>
      <c r="E446" s="4">
        <v>8200</v>
      </c>
      <c r="F446" s="5">
        <v>52195</v>
      </c>
      <c r="G446" s="4">
        <v>10960.95</v>
      </c>
      <c r="H446" s="4">
        <v>71355.95</v>
      </c>
      <c r="I446" s="188" t="str">
        <f>VLOOKUP(C446,CATEGORIZACION!$A$1:$C$269,2,FALSE)</f>
        <v>TRANSPORTE</v>
      </c>
      <c r="J446" s="188" t="s">
        <v>19</v>
      </c>
    </row>
    <row r="447" spans="1:10" ht="15.75" customHeight="1" x14ac:dyDescent="0.25">
      <c r="A447" s="1">
        <v>45014</v>
      </c>
      <c r="B447" s="188" t="s">
        <v>502</v>
      </c>
      <c r="C447" s="188" t="s">
        <v>36</v>
      </c>
      <c r="D447" s="188" t="s">
        <v>37</v>
      </c>
      <c r="E447" s="4">
        <v>11000</v>
      </c>
      <c r="F447" s="5">
        <v>72000</v>
      </c>
      <c r="G447" s="4">
        <v>15120</v>
      </c>
      <c r="H447" s="4">
        <v>98120</v>
      </c>
      <c r="I447" s="188" t="str">
        <f>VLOOKUP(C447,CATEGORIZACION!$A$1:$C$269,2,FALSE)</f>
        <v>TRANSPORTE</v>
      </c>
      <c r="J447" s="188" t="s">
        <v>19</v>
      </c>
    </row>
    <row r="448" spans="1:10" ht="15.75" customHeight="1" x14ac:dyDescent="0.25">
      <c r="A448" s="1">
        <v>45015</v>
      </c>
      <c r="B448" s="188" t="s">
        <v>503</v>
      </c>
      <c r="C448" s="188" t="s">
        <v>426</v>
      </c>
      <c r="D448" s="188" t="s">
        <v>427</v>
      </c>
      <c r="E448" s="4">
        <v>1848</v>
      </c>
      <c r="F448" s="5">
        <v>21985.13</v>
      </c>
      <c r="G448" s="4">
        <v>4616.88</v>
      </c>
      <c r="H448" s="4">
        <v>28450.01</v>
      </c>
      <c r="I448" s="188" t="str">
        <f>VLOOKUP(C448,CATEGORIZACION!$A$1:$C$269,2,FALSE)</f>
        <v>PROOVEDORES</v>
      </c>
      <c r="J448" s="188" t="str">
        <f>VLOOKUP(C448,CATEGORIZACION!$A$1:$C$269,3,FALSE)</f>
        <v>LOGISTICA</v>
      </c>
    </row>
    <row r="449" spans="1:10" ht="15.75" customHeight="1" x14ac:dyDescent="0.25">
      <c r="A449" s="1">
        <v>45016</v>
      </c>
      <c r="B449" s="188" t="s">
        <v>504</v>
      </c>
      <c r="C449" s="188" t="s">
        <v>505</v>
      </c>
      <c r="D449" s="188" t="s">
        <v>506</v>
      </c>
      <c r="E449" s="4">
        <v>0</v>
      </c>
      <c r="F449" s="5">
        <v>13123.97</v>
      </c>
      <c r="G449" s="4">
        <v>2756.03</v>
      </c>
      <c r="H449" s="4">
        <v>15880</v>
      </c>
      <c r="I449" s="188" t="str">
        <f>VLOOKUP(C449,CATEGORIZACION!$A$1:$C$269,2,FALSE)</f>
        <v>PROOVEDORES</v>
      </c>
      <c r="J449" s="188" t="str">
        <f>VLOOKUP(C449,CATEGORIZACION!$A$1:$C$269,3,FALSE)</f>
        <v>LOGISTICA</v>
      </c>
    </row>
    <row r="450" spans="1:10" ht="15.75" customHeight="1" x14ac:dyDescent="0.25">
      <c r="A450" s="1">
        <v>45016</v>
      </c>
      <c r="B450" s="188" t="s">
        <v>507</v>
      </c>
      <c r="C450" s="188" t="s">
        <v>84</v>
      </c>
      <c r="D450" s="188" t="s">
        <v>85</v>
      </c>
      <c r="E450" s="4">
        <v>64066.36</v>
      </c>
      <c r="F450" s="5">
        <v>635645.27</v>
      </c>
      <c r="G450" s="4">
        <v>133485.51</v>
      </c>
      <c r="H450" s="4">
        <v>833197.14</v>
      </c>
      <c r="I450" s="188" t="str">
        <f>VLOOKUP(C450,CATEGORIZACION!$A$1:$C$269,2,FALSE)</f>
        <v>PROOVEDORES</v>
      </c>
      <c r="J450" s="188" t="str">
        <f>VLOOKUP(C450,CATEGORIZACION!$A$1:$C$269,3,FALSE)</f>
        <v>LOGISTICA</v>
      </c>
    </row>
    <row r="451" spans="1:10" ht="15.75" customHeight="1" x14ac:dyDescent="0.25">
      <c r="A451" s="1">
        <v>45016</v>
      </c>
      <c r="B451" s="188" t="s">
        <v>508</v>
      </c>
      <c r="C451" s="188" t="s">
        <v>84</v>
      </c>
      <c r="D451" s="188" t="s">
        <v>85</v>
      </c>
      <c r="E451" s="4">
        <v>37186.74</v>
      </c>
      <c r="F451" s="5">
        <v>24066.35</v>
      </c>
      <c r="G451" s="4">
        <v>77082.210000000006</v>
      </c>
      <c r="H451" s="5">
        <v>24066.35</v>
      </c>
      <c r="I451" s="188" t="str">
        <f>VLOOKUP(C451,CATEGORIZACION!$A$1:$C$269,2,FALSE)</f>
        <v>PROOVEDORES</v>
      </c>
      <c r="J451" s="188" t="str">
        <f>VLOOKUP(C451,CATEGORIZACION!$A$1:$C$269,3,FALSE)</f>
        <v>LOGISTICA</v>
      </c>
    </row>
    <row r="452" spans="1:10" ht="15.75" customHeight="1" x14ac:dyDescent="0.25">
      <c r="A452" s="1">
        <v>45016</v>
      </c>
      <c r="B452" s="188" t="s">
        <v>509</v>
      </c>
      <c r="C452" s="188" t="s">
        <v>36</v>
      </c>
      <c r="D452" s="188" t="s">
        <v>37</v>
      </c>
      <c r="E452" s="4">
        <v>4800</v>
      </c>
      <c r="F452" s="5">
        <v>37200</v>
      </c>
      <c r="G452" s="4">
        <v>7812</v>
      </c>
      <c r="H452" s="4">
        <v>49812</v>
      </c>
      <c r="I452" s="188" t="str">
        <f>VLOOKUP(C452,CATEGORIZACION!$A$1:$C$269,2,FALSE)</f>
        <v>TRANSPORTE</v>
      </c>
      <c r="J452" s="188" t="s">
        <v>19</v>
      </c>
    </row>
    <row r="453" spans="1:10" ht="15.75" customHeight="1" x14ac:dyDescent="0.25">
      <c r="A453" s="1">
        <v>45016</v>
      </c>
      <c r="B453" s="188" t="s">
        <v>510</v>
      </c>
      <c r="C453" s="188" t="s">
        <v>36</v>
      </c>
      <c r="D453" s="188" t="s">
        <v>37</v>
      </c>
      <c r="E453" s="4">
        <v>11000</v>
      </c>
      <c r="F453" s="5">
        <v>72000</v>
      </c>
      <c r="G453" s="4">
        <v>15120</v>
      </c>
      <c r="H453" s="4">
        <v>98120</v>
      </c>
      <c r="I453" s="188" t="str">
        <f>VLOOKUP(C453,CATEGORIZACION!$A$1:$C$269,2,FALSE)</f>
        <v>TRANSPORTE</v>
      </c>
      <c r="J453" s="188" t="s">
        <v>19</v>
      </c>
    </row>
    <row r="454" spans="1:10" ht="15.75" customHeight="1" x14ac:dyDescent="0.25">
      <c r="A454" s="1">
        <v>45016</v>
      </c>
      <c r="B454" s="188" t="s">
        <v>511</v>
      </c>
      <c r="C454" s="188" t="s">
        <v>36</v>
      </c>
      <c r="D454" s="188" t="s">
        <v>37</v>
      </c>
      <c r="E454" s="4">
        <v>11000</v>
      </c>
      <c r="F454" s="5">
        <v>72000</v>
      </c>
      <c r="G454" s="4">
        <v>15120</v>
      </c>
      <c r="H454" s="4">
        <v>98120</v>
      </c>
      <c r="I454" s="188" t="str">
        <f>VLOOKUP(C454,CATEGORIZACION!$A$1:$C$269,2,FALSE)</f>
        <v>TRANSPORTE</v>
      </c>
      <c r="J454" s="188" t="s">
        <v>19</v>
      </c>
    </row>
    <row r="455" spans="1:10" ht="15.75" customHeight="1" x14ac:dyDescent="0.25">
      <c r="A455" s="1">
        <v>45016</v>
      </c>
      <c r="B455" s="188" t="s">
        <v>512</v>
      </c>
      <c r="C455" s="188" t="s">
        <v>36</v>
      </c>
      <c r="D455" s="188" t="s">
        <v>37</v>
      </c>
      <c r="E455" s="4">
        <v>8200</v>
      </c>
      <c r="F455" s="5">
        <v>40150</v>
      </c>
      <c r="G455" s="4">
        <v>8431.5</v>
      </c>
      <c r="H455" s="4">
        <v>56781.5</v>
      </c>
      <c r="I455" s="188" t="str">
        <f>VLOOKUP(C455,CATEGORIZACION!$A$1:$C$269,2,FALSE)</f>
        <v>TRANSPORTE</v>
      </c>
      <c r="J455" s="188" t="s">
        <v>19</v>
      </c>
    </row>
    <row r="456" spans="1:10" ht="15.75" customHeight="1" x14ac:dyDescent="0.25">
      <c r="A456" s="1">
        <v>45016</v>
      </c>
      <c r="B456" s="188" t="s">
        <v>513</v>
      </c>
      <c r="C456" s="188" t="s">
        <v>36</v>
      </c>
      <c r="D456" s="188" t="s">
        <v>37</v>
      </c>
      <c r="E456" s="4">
        <v>8200</v>
      </c>
      <c r="F456" s="5">
        <v>40150</v>
      </c>
      <c r="G456" s="4">
        <v>8431.5</v>
      </c>
      <c r="H456" s="4">
        <v>56781.5</v>
      </c>
      <c r="I456" s="188" t="str">
        <f>VLOOKUP(C456,CATEGORIZACION!$A$1:$C$269,2,FALSE)</f>
        <v>TRANSPORTE</v>
      </c>
      <c r="J456" s="188" t="s">
        <v>19</v>
      </c>
    </row>
    <row r="457" spans="1:10" ht="15.75" customHeight="1" x14ac:dyDescent="0.25">
      <c r="A457" s="1">
        <v>45016</v>
      </c>
      <c r="B457" s="188" t="s">
        <v>514</v>
      </c>
      <c r="C457" s="188" t="s">
        <v>36</v>
      </c>
      <c r="D457" s="188" t="s">
        <v>37</v>
      </c>
      <c r="E457" s="4">
        <v>8200</v>
      </c>
      <c r="F457" s="5">
        <v>40150</v>
      </c>
      <c r="G457" s="4">
        <v>8431.5</v>
      </c>
      <c r="H457" s="4">
        <v>56781.5</v>
      </c>
      <c r="I457" s="188" t="str">
        <f>VLOOKUP(C457,CATEGORIZACION!$A$1:$C$269,2,FALSE)</f>
        <v>TRANSPORTE</v>
      </c>
      <c r="J457" s="188" t="s">
        <v>19</v>
      </c>
    </row>
    <row r="458" spans="1:10" ht="15.75" customHeight="1" x14ac:dyDescent="0.25">
      <c r="A458" s="1">
        <v>45016</v>
      </c>
      <c r="B458" s="188" t="s">
        <v>515</v>
      </c>
      <c r="C458" s="188" t="s">
        <v>36</v>
      </c>
      <c r="D458" s="188" t="s">
        <v>37</v>
      </c>
      <c r="E458" s="4">
        <v>8200</v>
      </c>
      <c r="F458" s="5">
        <v>40150</v>
      </c>
      <c r="G458" s="4">
        <v>8431.5</v>
      </c>
      <c r="H458" s="4">
        <v>56781.5</v>
      </c>
      <c r="I458" s="188" t="str">
        <f>VLOOKUP(C458,CATEGORIZACION!$A$1:$C$269,2,FALSE)</f>
        <v>TRANSPORTE</v>
      </c>
      <c r="J458" s="188" t="s">
        <v>19</v>
      </c>
    </row>
    <row r="459" spans="1:10" ht="15.75" customHeight="1" x14ac:dyDescent="0.25">
      <c r="A459" s="1">
        <v>45016</v>
      </c>
      <c r="B459" s="188" t="s">
        <v>82</v>
      </c>
      <c r="C459" s="188" t="s">
        <v>188</v>
      </c>
      <c r="D459" s="188">
        <v>0</v>
      </c>
      <c r="E459" s="4">
        <v>0</v>
      </c>
      <c r="F459" s="3">
        <v>1137595</v>
      </c>
      <c r="G459" s="4">
        <v>0</v>
      </c>
      <c r="H459" s="4">
        <v>1137595</v>
      </c>
      <c r="I459" s="188" t="str">
        <f>VLOOKUP(C459,CATEGORIZACION!$A$1:$C$269,2,FALSE)</f>
        <v>SUELDOS</v>
      </c>
      <c r="J459" s="188" t="s">
        <v>103</v>
      </c>
    </row>
    <row r="460" spans="1:10" ht="15.75" customHeight="1" x14ac:dyDescent="0.25">
      <c r="A460" s="1">
        <v>45016</v>
      </c>
      <c r="B460" s="188" t="s">
        <v>82</v>
      </c>
      <c r="C460" s="188" t="s">
        <v>189</v>
      </c>
      <c r="D460" s="188">
        <v>0</v>
      </c>
      <c r="E460" s="4">
        <v>0</v>
      </c>
      <c r="F460" s="3">
        <v>409000</v>
      </c>
      <c r="G460" s="4">
        <v>0</v>
      </c>
      <c r="H460" s="4">
        <v>409000</v>
      </c>
      <c r="I460" s="188" t="str">
        <f>VLOOKUP(C460,CATEGORIZACION!$A$1:$C$269,2,FALSE)</f>
        <v>SUELDOS</v>
      </c>
      <c r="J460" s="188" t="s">
        <v>103</v>
      </c>
    </row>
    <row r="461" spans="1:10" ht="15.75" customHeight="1" x14ac:dyDescent="0.25">
      <c r="A461" s="1">
        <v>45016</v>
      </c>
      <c r="B461" s="188" t="s">
        <v>82</v>
      </c>
      <c r="C461" s="188" t="s">
        <v>190</v>
      </c>
      <c r="D461" s="188">
        <v>0</v>
      </c>
      <c r="E461" s="4">
        <v>0</v>
      </c>
      <c r="F461" s="5">
        <v>2236720</v>
      </c>
      <c r="G461" s="4">
        <v>0</v>
      </c>
      <c r="H461" s="4">
        <v>2236720</v>
      </c>
      <c r="I461" s="188" t="str">
        <f>VLOOKUP(C461,CATEGORIZACION!$A$1:$C$269,2,FALSE)</f>
        <v>SUELDOS</v>
      </c>
      <c r="J461" s="188" t="s">
        <v>19</v>
      </c>
    </row>
    <row r="462" spans="1:10" ht="15.75" customHeight="1" x14ac:dyDescent="0.25">
      <c r="A462" s="1">
        <v>45016</v>
      </c>
      <c r="B462" s="188" t="s">
        <v>82</v>
      </c>
      <c r="C462" s="188" t="s">
        <v>191</v>
      </c>
      <c r="D462" s="188">
        <v>0</v>
      </c>
      <c r="E462" s="4">
        <v>0</v>
      </c>
      <c r="F462" s="5">
        <v>623500</v>
      </c>
      <c r="G462" s="4">
        <v>0</v>
      </c>
      <c r="H462" s="4">
        <v>623500</v>
      </c>
      <c r="I462" s="188" t="str">
        <f>VLOOKUP(C462,CATEGORIZACION!$A$1:$C$269,2,FALSE)</f>
        <v>SUELDOS</v>
      </c>
      <c r="J462" s="188" t="s">
        <v>19</v>
      </c>
    </row>
    <row r="463" spans="1:10" ht="15.75" customHeight="1" x14ac:dyDescent="0.25">
      <c r="A463" s="1">
        <v>45016</v>
      </c>
      <c r="B463" s="188" t="s">
        <v>82</v>
      </c>
      <c r="C463" s="188" t="s">
        <v>192</v>
      </c>
      <c r="D463" s="188">
        <v>0</v>
      </c>
      <c r="E463" s="4">
        <v>0</v>
      </c>
      <c r="F463" s="3">
        <v>150000</v>
      </c>
      <c r="G463" s="4">
        <v>0</v>
      </c>
      <c r="H463" s="4">
        <v>150000</v>
      </c>
      <c r="I463" s="188" t="str">
        <f>VLOOKUP(C463,CATEGORIZACION!$A$1:$C$269,2,FALSE)</f>
        <v>SUELDOS</v>
      </c>
      <c r="J463" s="188" t="s">
        <v>103</v>
      </c>
    </row>
    <row r="464" spans="1:10" ht="15.75" customHeight="1" x14ac:dyDescent="0.25">
      <c r="A464" s="1">
        <v>45016</v>
      </c>
      <c r="B464" s="188" t="s">
        <v>82</v>
      </c>
      <c r="C464" s="188" t="s">
        <v>193</v>
      </c>
      <c r="D464" s="188">
        <v>0</v>
      </c>
      <c r="E464" s="4">
        <v>0</v>
      </c>
      <c r="F464" s="5">
        <v>250000</v>
      </c>
      <c r="G464" s="4">
        <v>0</v>
      </c>
      <c r="H464" s="4">
        <v>250000</v>
      </c>
      <c r="I464" s="188" t="str">
        <f>VLOOKUP(C464,CATEGORIZACION!$A$1:$C$269,2,FALSE)</f>
        <v>SUELDOS</v>
      </c>
      <c r="J464" s="188" t="s">
        <v>19</v>
      </c>
    </row>
    <row r="465" spans="1:10" ht="15.75" customHeight="1" x14ac:dyDescent="0.25">
      <c r="A465" s="1">
        <v>45016</v>
      </c>
      <c r="B465" s="188" t="s">
        <v>82</v>
      </c>
      <c r="C465" s="188" t="s">
        <v>194</v>
      </c>
      <c r="D465" s="188">
        <v>0</v>
      </c>
      <c r="E465" s="4">
        <v>0</v>
      </c>
      <c r="F465" s="3">
        <v>896499</v>
      </c>
      <c r="G465" s="4">
        <v>0</v>
      </c>
      <c r="H465" s="4">
        <v>896499</v>
      </c>
      <c r="I465" s="188" t="str">
        <f>VLOOKUP(C465,CATEGORIZACION!$A$1:$C$269,2,FALSE)</f>
        <v>ALQUILER</v>
      </c>
      <c r="J465" s="188" t="s">
        <v>103</v>
      </c>
    </row>
    <row r="466" spans="1:10" ht="15.75" customHeight="1" x14ac:dyDescent="0.25">
      <c r="A466" s="1">
        <v>45016</v>
      </c>
      <c r="B466" s="188" t="s">
        <v>82</v>
      </c>
      <c r="C466" s="188" t="s">
        <v>195</v>
      </c>
      <c r="D466" s="188">
        <v>0</v>
      </c>
      <c r="E466" s="4">
        <v>0</v>
      </c>
      <c r="F466" s="3">
        <v>575000</v>
      </c>
      <c r="G466" s="4">
        <v>0</v>
      </c>
      <c r="H466" s="4">
        <v>575000</v>
      </c>
      <c r="I466" s="188" t="str">
        <f>VLOOKUP(C466,CATEGORIZACION!$A$1:$C$269,2,FALSE)</f>
        <v>ALQUILER</v>
      </c>
      <c r="J466" s="188" t="s">
        <v>103</v>
      </c>
    </row>
    <row r="467" spans="1:10" ht="15.75" customHeight="1" x14ac:dyDescent="0.25">
      <c r="A467" s="1">
        <v>45016</v>
      </c>
      <c r="B467" s="188" t="s">
        <v>82</v>
      </c>
      <c r="C467" s="188" t="s">
        <v>196</v>
      </c>
      <c r="D467" s="188">
        <v>0</v>
      </c>
      <c r="E467" s="4">
        <v>0</v>
      </c>
      <c r="F467" s="3">
        <v>177571</v>
      </c>
      <c r="G467" s="4">
        <v>0</v>
      </c>
      <c r="H467" s="4">
        <v>177571</v>
      </c>
      <c r="I467" s="188" t="str">
        <f>VLOOKUP(C467,CATEGORIZACION!$A$1:$C$269,2,FALSE)</f>
        <v>ALQUILER</v>
      </c>
      <c r="J467" s="188" t="s">
        <v>103</v>
      </c>
    </row>
    <row r="468" spans="1:10" ht="15.75" customHeight="1" x14ac:dyDescent="0.25">
      <c r="A468" s="1">
        <v>45016</v>
      </c>
      <c r="B468" s="188" t="s">
        <v>82</v>
      </c>
      <c r="C468" s="188" t="s">
        <v>197</v>
      </c>
      <c r="D468" s="188">
        <v>0</v>
      </c>
      <c r="E468" s="4">
        <v>0</v>
      </c>
      <c r="F468" s="3">
        <v>28137.93</v>
      </c>
      <c r="G468" s="4">
        <v>0</v>
      </c>
      <c r="H468" s="4">
        <v>28137.93</v>
      </c>
      <c r="I468" s="188" t="str">
        <f>VLOOKUP(C468,CATEGORIZACION!$A$1:$C$269,2,FALSE)</f>
        <v>ALQUILER</v>
      </c>
      <c r="J468" s="188" t="s">
        <v>103</v>
      </c>
    </row>
    <row r="469" spans="1:10" ht="15.75" customHeight="1" x14ac:dyDescent="0.25">
      <c r="A469" s="1">
        <v>45016</v>
      </c>
      <c r="B469" s="188" t="s">
        <v>82</v>
      </c>
      <c r="C469" s="188" t="s">
        <v>198</v>
      </c>
      <c r="D469" s="188">
        <v>0</v>
      </c>
      <c r="E469" s="4">
        <v>0</v>
      </c>
      <c r="F469" s="5">
        <v>220000</v>
      </c>
      <c r="G469" s="4">
        <v>0</v>
      </c>
      <c r="H469" s="4">
        <v>220000</v>
      </c>
      <c r="I469" s="188" t="str">
        <f>VLOOKUP(C469,CATEGORIZACION!$A$1:$C$269,2,FALSE)</f>
        <v>ALQUILER</v>
      </c>
      <c r="J469" s="188" t="s">
        <v>19</v>
      </c>
    </row>
    <row r="470" spans="1:10" ht="15.75" customHeight="1" x14ac:dyDescent="0.25">
      <c r="A470" s="1">
        <v>45016</v>
      </c>
      <c r="B470" s="188" t="s">
        <v>82</v>
      </c>
      <c r="C470" s="188" t="s">
        <v>199</v>
      </c>
      <c r="D470" s="188">
        <v>0</v>
      </c>
      <c r="E470" s="4">
        <v>0</v>
      </c>
      <c r="F470" s="3">
        <v>12080</v>
      </c>
      <c r="G470" s="4">
        <v>0</v>
      </c>
      <c r="H470" s="4">
        <v>209000</v>
      </c>
      <c r="I470" s="188" t="str">
        <f>VLOOKUP(C470,CATEGORIZACION!$A$1:$C$269,2,FALSE)</f>
        <v>PROOVEDORES</v>
      </c>
      <c r="J470" s="188" t="str">
        <f>VLOOKUP(C470,CATEGORIZACION!$A$1:$C$269,3,FALSE)</f>
        <v>DEPOSITO</v>
      </c>
    </row>
    <row r="471" spans="1:10" ht="15.75" customHeight="1" x14ac:dyDescent="0.25">
      <c r="A471" s="1">
        <v>45016</v>
      </c>
      <c r="B471" s="188" t="s">
        <v>82</v>
      </c>
      <c r="C471" s="188" t="s">
        <v>200</v>
      </c>
      <c r="D471" s="188">
        <v>0</v>
      </c>
      <c r="E471" s="4">
        <v>0</v>
      </c>
      <c r="F471" s="5">
        <v>30880</v>
      </c>
      <c r="G471" s="4">
        <v>0</v>
      </c>
      <c r="H471" s="4">
        <v>30880</v>
      </c>
      <c r="I471" s="188" t="str">
        <f>VLOOKUP(C471,CATEGORIZACION!$A$1:$C$269,2,FALSE)</f>
        <v>PROOVEDORES</v>
      </c>
      <c r="J471" s="188" t="str">
        <f>VLOOKUP(C471,CATEGORIZACION!$A$1:$C$269,3,FALSE)</f>
        <v>LOGISTICA</v>
      </c>
    </row>
    <row r="472" spans="1:10" ht="15.75" customHeight="1" x14ac:dyDescent="0.25">
      <c r="A472" s="1">
        <v>45016</v>
      </c>
      <c r="B472" s="188" t="s">
        <v>82</v>
      </c>
      <c r="C472" s="188" t="s">
        <v>201</v>
      </c>
      <c r="D472" s="188">
        <v>0</v>
      </c>
      <c r="E472" s="4">
        <v>0</v>
      </c>
      <c r="F472" s="5">
        <v>338995</v>
      </c>
      <c r="G472" s="4">
        <v>0</v>
      </c>
      <c r="H472" s="4">
        <v>338995</v>
      </c>
      <c r="I472" s="188" t="str">
        <f>VLOOKUP(C472,CATEGORIZACION!$A$1:$C$269,2,FALSE)</f>
        <v>PROOVEDORES</v>
      </c>
      <c r="J472" s="188" t="str">
        <f>VLOOKUP(C472,CATEGORIZACION!$A$1:$C$269,3,FALSE)</f>
        <v>LOGISTICA</v>
      </c>
    </row>
    <row r="473" spans="1:10" ht="15.75" customHeight="1" x14ac:dyDescent="0.25">
      <c r="A473" s="1">
        <v>45016</v>
      </c>
      <c r="B473" s="188" t="s">
        <v>82</v>
      </c>
      <c r="C473" s="188" t="s">
        <v>202</v>
      </c>
      <c r="D473" s="188">
        <v>0</v>
      </c>
      <c r="E473" s="4">
        <v>0</v>
      </c>
      <c r="F473" s="5">
        <v>0</v>
      </c>
      <c r="G473" s="4">
        <v>0</v>
      </c>
      <c r="H473" s="4">
        <v>0</v>
      </c>
      <c r="I473" s="188" t="str">
        <f>VLOOKUP(C473,CATEGORIZACION!$A$1:$C$269,2,FALSE)</f>
        <v>PROOVEDORES</v>
      </c>
      <c r="J473" s="188" t="str">
        <f>VLOOKUP(C473,CATEGORIZACION!$A$1:$C$269,3,FALSE)</f>
        <v>LOGISTICA</v>
      </c>
    </row>
    <row r="474" spans="1:10" ht="15.75" customHeight="1" x14ac:dyDescent="0.25">
      <c r="A474" s="1">
        <v>45016</v>
      </c>
      <c r="B474" s="188" t="s">
        <v>82</v>
      </c>
      <c r="C474" s="188" t="s">
        <v>363</v>
      </c>
      <c r="D474" s="188">
        <v>0</v>
      </c>
      <c r="E474" s="4">
        <v>0</v>
      </c>
      <c r="F474" s="5">
        <v>57226</v>
      </c>
      <c r="G474" s="4">
        <v>0</v>
      </c>
      <c r="H474" s="4">
        <v>57226</v>
      </c>
      <c r="I474" s="188" t="str">
        <f>VLOOKUP(C474,CATEGORIZACION!$A$1:$C$269,2,FALSE)</f>
        <v>PROOVEDORES</v>
      </c>
      <c r="J474" s="188" t="str">
        <f>VLOOKUP(C474,CATEGORIZACION!$A$1:$C$269,3,FALSE)</f>
        <v>LOGISTICA</v>
      </c>
    </row>
    <row r="475" spans="1:10" ht="15.75" customHeight="1" x14ac:dyDescent="0.25">
      <c r="A475" s="1">
        <v>45016</v>
      </c>
      <c r="B475" s="188" t="s">
        <v>82</v>
      </c>
      <c r="C475" s="188" t="s">
        <v>204</v>
      </c>
      <c r="D475" s="188">
        <v>0</v>
      </c>
      <c r="E475" s="4">
        <v>0</v>
      </c>
      <c r="F475" s="5">
        <v>437217</v>
      </c>
      <c r="G475" s="4">
        <v>0</v>
      </c>
      <c r="H475" s="4">
        <v>437217</v>
      </c>
      <c r="I475" s="188" t="str">
        <f>VLOOKUP(C475,CATEGORIZACION!$A$1:$C$269,2,FALSE)</f>
        <v>PROOVEDORES</v>
      </c>
      <c r="J475" s="188" t="str">
        <f>VLOOKUP(C475,CATEGORIZACION!$A$1:$C$269,3,FALSE)</f>
        <v>LOGISTICA</v>
      </c>
    </row>
    <row r="476" spans="1:10" ht="15.75" customHeight="1" x14ac:dyDescent="0.25">
      <c r="A476" s="1">
        <v>45016</v>
      </c>
      <c r="B476" s="188" t="s">
        <v>82</v>
      </c>
      <c r="C476" s="188" t="s">
        <v>205</v>
      </c>
      <c r="D476" s="188">
        <v>0</v>
      </c>
      <c r="E476" s="4">
        <v>0</v>
      </c>
      <c r="F476" s="5">
        <v>184231</v>
      </c>
      <c r="G476" s="4">
        <v>0</v>
      </c>
      <c r="H476" s="4">
        <v>184231</v>
      </c>
      <c r="I476" s="188" t="str">
        <f>VLOOKUP(C476,CATEGORIZACION!$A$1:$C$269,2,FALSE)</f>
        <v>AFIP</v>
      </c>
      <c r="J476" s="188" t="s">
        <v>19</v>
      </c>
    </row>
    <row r="477" spans="1:10" ht="15.75" customHeight="1" x14ac:dyDescent="0.25">
      <c r="A477" s="1">
        <v>45016</v>
      </c>
      <c r="B477" s="188" t="s">
        <v>82</v>
      </c>
      <c r="C477" s="188" t="s">
        <v>206</v>
      </c>
      <c r="D477" s="188">
        <v>0</v>
      </c>
      <c r="E477" s="4">
        <v>0</v>
      </c>
      <c r="F477" s="5">
        <v>678309</v>
      </c>
      <c r="G477" s="4">
        <v>0</v>
      </c>
      <c r="H477" s="4">
        <v>1130515</v>
      </c>
      <c r="I477" s="188" t="str">
        <f>VLOOKUP(C477,CATEGORIZACION!$A$1:$C$269,2,FALSE)</f>
        <v>AFIP</v>
      </c>
      <c r="J477" s="188" t="s">
        <v>19</v>
      </c>
    </row>
    <row r="478" spans="1:10" ht="15.75" customHeight="1" x14ac:dyDescent="0.25">
      <c r="A478" s="1">
        <v>45016</v>
      </c>
      <c r="B478" s="188" t="s">
        <v>82</v>
      </c>
      <c r="C478" s="188" t="s">
        <v>207</v>
      </c>
      <c r="D478" s="188">
        <v>0</v>
      </c>
      <c r="E478" s="4">
        <v>0</v>
      </c>
      <c r="F478" s="5">
        <v>300000</v>
      </c>
      <c r="G478" s="4">
        <v>0</v>
      </c>
      <c r="H478" s="4">
        <v>300000</v>
      </c>
      <c r="I478" s="188" t="str">
        <f>VLOOKUP(C478,CATEGORIZACION!$A$1:$C$269,2,FALSE)</f>
        <v>AFIP</v>
      </c>
      <c r="J478" s="188" t="s">
        <v>19</v>
      </c>
    </row>
    <row r="479" spans="1:10" ht="15.75" customHeight="1" x14ac:dyDescent="0.25">
      <c r="A479" s="1">
        <v>45016</v>
      </c>
      <c r="B479" s="188" t="s">
        <v>82</v>
      </c>
      <c r="C479" s="188" t="s">
        <v>208</v>
      </c>
      <c r="D479" s="188">
        <v>0</v>
      </c>
      <c r="E479" s="4">
        <v>0</v>
      </c>
      <c r="F479" s="5">
        <v>0</v>
      </c>
      <c r="G479" s="4">
        <v>0</v>
      </c>
      <c r="H479" s="4">
        <v>0</v>
      </c>
      <c r="I479" s="188" t="str">
        <f>VLOOKUP(C479,CATEGORIZACION!$A$1:$C$269,2,FALSE)</f>
        <v>AFIP</v>
      </c>
      <c r="J479" s="188" t="s">
        <v>19</v>
      </c>
    </row>
    <row r="480" spans="1:10" ht="15.75" customHeight="1" x14ac:dyDescent="0.25">
      <c r="A480" s="1">
        <v>45016</v>
      </c>
      <c r="B480" s="188" t="s">
        <v>82</v>
      </c>
      <c r="C480" s="188" t="s">
        <v>209</v>
      </c>
      <c r="D480" s="188">
        <v>0</v>
      </c>
      <c r="E480" s="4">
        <v>0</v>
      </c>
      <c r="F480" s="5">
        <v>26004</v>
      </c>
      <c r="G480" s="4">
        <v>0</v>
      </c>
      <c r="H480" s="4">
        <v>26004</v>
      </c>
      <c r="I480" s="188" t="str">
        <f>VLOOKUP(C480,CATEGORIZACION!$A$1:$C$269,2,FALSE)</f>
        <v>PROOVEDORES</v>
      </c>
      <c r="J480" s="188" t="str">
        <f>VLOOKUP(C480,CATEGORIZACION!$A$1:$C$269,3,FALSE)</f>
        <v>LOGISTICA</v>
      </c>
    </row>
    <row r="481" spans="1:10" ht="15.75" customHeight="1" x14ac:dyDescent="0.25">
      <c r="A481" s="1">
        <v>45016</v>
      </c>
      <c r="B481" s="188" t="s">
        <v>82</v>
      </c>
      <c r="C481" s="188" t="s">
        <v>210</v>
      </c>
      <c r="D481" s="188">
        <v>0</v>
      </c>
      <c r="E481" s="4">
        <v>0</v>
      </c>
      <c r="F481" s="5">
        <v>151462</v>
      </c>
      <c r="G481" s="4">
        <v>0</v>
      </c>
      <c r="H481" s="4">
        <v>151462</v>
      </c>
      <c r="I481" s="188" t="str">
        <f>VLOOKUP(C481,CATEGORIZACION!$A$1:$C$269,2,FALSE)</f>
        <v>PROOVEDORES</v>
      </c>
      <c r="J481" s="188" t="str">
        <f>VLOOKUP(C481,CATEGORIZACION!$A$1:$C$269,3,FALSE)</f>
        <v>LOGISTICA</v>
      </c>
    </row>
    <row r="482" spans="1:10" ht="15.75" customHeight="1" x14ac:dyDescent="0.25">
      <c r="A482" s="1">
        <v>45016</v>
      </c>
      <c r="B482" s="188" t="s">
        <v>82</v>
      </c>
      <c r="C482" s="188" t="s">
        <v>211</v>
      </c>
      <c r="D482" s="188">
        <v>0</v>
      </c>
      <c r="E482" s="4">
        <v>0</v>
      </c>
      <c r="F482" s="5">
        <v>8001</v>
      </c>
      <c r="G482" s="4">
        <v>0</v>
      </c>
      <c r="H482" s="4">
        <v>8001</v>
      </c>
      <c r="I482" s="188" t="str">
        <f>VLOOKUP(C482,CATEGORIZACION!$A$1:$C$269,2,FALSE)</f>
        <v>PROOVEDORES</v>
      </c>
      <c r="J482" s="188" t="str">
        <f>VLOOKUP(C482,CATEGORIZACION!$A$1:$C$269,3,FALSE)</f>
        <v>LOGISTICA</v>
      </c>
    </row>
    <row r="483" spans="1:10" ht="15.75" customHeight="1" x14ac:dyDescent="0.25">
      <c r="A483" s="1">
        <v>45016</v>
      </c>
      <c r="B483" s="188" t="s">
        <v>82</v>
      </c>
      <c r="C483" s="188" t="s">
        <v>212</v>
      </c>
      <c r="D483" s="188">
        <v>0</v>
      </c>
      <c r="E483" s="4">
        <v>0</v>
      </c>
      <c r="F483" s="5">
        <v>46003</v>
      </c>
      <c r="G483" s="4">
        <v>0</v>
      </c>
      <c r="H483" s="4">
        <v>46003</v>
      </c>
      <c r="I483" s="188" t="str">
        <f>VLOOKUP(C483,CATEGORIZACION!$A$1:$C$269,2,FALSE)</f>
        <v>PROOVEDORES</v>
      </c>
      <c r="J483" s="188" t="str">
        <f>VLOOKUP(C483,CATEGORIZACION!$A$1:$C$269,3,FALSE)</f>
        <v>LOGISTICA</v>
      </c>
    </row>
    <row r="484" spans="1:10" ht="15.75" customHeight="1" x14ac:dyDescent="0.25">
      <c r="A484" s="1">
        <v>45016</v>
      </c>
      <c r="B484" s="188" t="s">
        <v>82</v>
      </c>
      <c r="C484" s="188" t="s">
        <v>213</v>
      </c>
      <c r="D484" s="188">
        <v>0</v>
      </c>
      <c r="E484" s="4">
        <v>0</v>
      </c>
      <c r="F484" s="5">
        <v>39700</v>
      </c>
      <c r="G484" s="4">
        <v>0</v>
      </c>
      <c r="H484" s="4">
        <v>39700</v>
      </c>
      <c r="I484" s="188" t="str">
        <f>VLOOKUP(C484,CATEGORIZACION!$A$1:$C$269,2,FALSE)</f>
        <v>AFIP</v>
      </c>
      <c r="J484" s="188" t="s">
        <v>19</v>
      </c>
    </row>
    <row r="485" spans="1:10" ht="15.75" customHeight="1" x14ac:dyDescent="0.25">
      <c r="A485" s="1">
        <v>45016</v>
      </c>
      <c r="B485" s="188" t="s">
        <v>82</v>
      </c>
      <c r="C485" s="188" t="s">
        <v>214</v>
      </c>
      <c r="D485" s="188">
        <v>0</v>
      </c>
      <c r="E485" s="4">
        <v>0</v>
      </c>
      <c r="F485" s="5">
        <v>80000</v>
      </c>
      <c r="G485" s="4">
        <v>0</v>
      </c>
      <c r="H485" s="4">
        <v>80000</v>
      </c>
      <c r="I485" s="188" t="str">
        <f>VLOOKUP(C485,CATEGORIZACION!$A$1:$C$269,2,FALSE)</f>
        <v>PROOVEDORES</v>
      </c>
      <c r="J485" s="188" t="str">
        <f>VLOOKUP(C485,CATEGORIZACION!$A$1:$C$269,3,FALSE)</f>
        <v>LOGISTICA</v>
      </c>
    </row>
    <row r="486" spans="1:10" ht="15.75" customHeight="1" x14ac:dyDescent="0.25">
      <c r="A486" s="1">
        <v>44972</v>
      </c>
      <c r="B486" s="188" t="s">
        <v>516</v>
      </c>
      <c r="C486" s="188" t="s">
        <v>517</v>
      </c>
      <c r="D486" s="188" t="s">
        <v>518</v>
      </c>
      <c r="E486" s="4">
        <v>1011.06</v>
      </c>
      <c r="F486" s="5">
        <v>126382.98</v>
      </c>
      <c r="G486" s="4">
        <v>26540.43</v>
      </c>
      <c r="H486" s="4">
        <v>153934.47</v>
      </c>
      <c r="I486" s="188" t="str">
        <f>VLOOKUP(C486,CATEGORIZACION!$A$1:$C$269,2,FALSE)</f>
        <v>PROOVEDORES</v>
      </c>
      <c r="J486" s="188" t="str">
        <f>VLOOKUP(C486,CATEGORIZACION!$A$1:$C$269,3,FALSE)</f>
        <v>LOGISTICA</v>
      </c>
    </row>
    <row r="487" spans="1:10" ht="15.75" customHeight="1" x14ac:dyDescent="0.25">
      <c r="A487" s="1">
        <v>44984</v>
      </c>
      <c r="B487" s="188" t="s">
        <v>519</v>
      </c>
      <c r="C487" s="188" t="s">
        <v>153</v>
      </c>
      <c r="D487" s="188" t="s">
        <v>154</v>
      </c>
      <c r="E487" s="4">
        <v>212.46</v>
      </c>
      <c r="F487" s="3">
        <v>26557.49</v>
      </c>
      <c r="G487" s="4">
        <v>5577.07</v>
      </c>
      <c r="H487" s="4">
        <v>32347.02</v>
      </c>
      <c r="I487" s="188" t="str">
        <f>VLOOKUP(C487,CATEGORIZACION!$A$1:$C$269,2,FALSE)</f>
        <v>PROOVEDORES</v>
      </c>
      <c r="J487" s="188" t="str">
        <f>VLOOKUP(C487,CATEGORIZACION!$A$1:$C$269,3,FALSE)</f>
        <v>DEPOSITO</v>
      </c>
    </row>
    <row r="488" spans="1:10" ht="15.75" customHeight="1" x14ac:dyDescent="0.25">
      <c r="A488" s="1">
        <v>44985</v>
      </c>
      <c r="B488" s="188" t="s">
        <v>520</v>
      </c>
      <c r="C488" s="188" t="s">
        <v>52</v>
      </c>
      <c r="D488" s="188" t="s">
        <v>53</v>
      </c>
      <c r="E488" s="4">
        <v>0</v>
      </c>
      <c r="F488" s="3">
        <v>98577.84</v>
      </c>
      <c r="G488" s="4">
        <v>20701.349999999999</v>
      </c>
      <c r="H488" s="4">
        <v>119279.19</v>
      </c>
      <c r="I488" s="188" t="str">
        <f>VLOOKUP(C488,CATEGORIZACION!$A$1:$C$269,2,FALSE)</f>
        <v>PROOVEDORES</v>
      </c>
      <c r="J488" s="188" t="str">
        <f>VLOOKUP(C488,CATEGORIZACION!$A$1:$C$269,3,FALSE)</f>
        <v>DEPOSITO</v>
      </c>
    </row>
    <row r="489" spans="1:10" ht="15.75" customHeight="1" x14ac:dyDescent="0.25">
      <c r="A489" s="1">
        <v>45017</v>
      </c>
      <c r="B489" s="188" t="s">
        <v>521</v>
      </c>
      <c r="C489" s="188" t="s">
        <v>17</v>
      </c>
      <c r="D489" s="188" t="s">
        <v>18</v>
      </c>
      <c r="E489" s="4">
        <v>24056</v>
      </c>
      <c r="F489" s="5">
        <v>227500</v>
      </c>
      <c r="G489" s="4">
        <v>47775</v>
      </c>
      <c r="H489" s="4">
        <v>299331</v>
      </c>
      <c r="I489" s="188" t="str">
        <f>VLOOKUP(C489,CATEGORIZACION!$A$1:$C$269,2,FALSE)</f>
        <v>TRANSPORTE</v>
      </c>
      <c r="J489" s="188" t="s">
        <v>19</v>
      </c>
    </row>
    <row r="490" spans="1:10" ht="15.75" customHeight="1" x14ac:dyDescent="0.25">
      <c r="A490" s="1">
        <v>45017</v>
      </c>
      <c r="B490" s="188" t="s">
        <v>522</v>
      </c>
      <c r="C490" s="188" t="s">
        <v>17</v>
      </c>
      <c r="D490" s="188" t="s">
        <v>18</v>
      </c>
      <c r="E490" s="4">
        <v>20040</v>
      </c>
      <c r="F490" s="5">
        <v>182000</v>
      </c>
      <c r="G490" s="4">
        <v>38220</v>
      </c>
      <c r="H490" s="4">
        <v>240260</v>
      </c>
      <c r="I490" s="188" t="str">
        <f>VLOOKUP(C490,CATEGORIZACION!$A$1:$C$269,2,FALSE)</f>
        <v>TRANSPORTE</v>
      </c>
      <c r="J490" s="188" t="s">
        <v>19</v>
      </c>
    </row>
    <row r="491" spans="1:10" ht="15.75" customHeight="1" x14ac:dyDescent="0.25">
      <c r="A491" s="1">
        <v>45017</v>
      </c>
      <c r="B491" s="188" t="s">
        <v>523</v>
      </c>
      <c r="C491" s="188" t="s">
        <v>218</v>
      </c>
      <c r="D491" s="188" t="s">
        <v>219</v>
      </c>
      <c r="E491" s="4">
        <v>0</v>
      </c>
      <c r="F491" s="5">
        <v>105963.14</v>
      </c>
      <c r="G491" s="4">
        <v>22252.26</v>
      </c>
      <c r="H491" s="4">
        <v>128215.4</v>
      </c>
      <c r="I491" s="188" t="str">
        <f>VLOOKUP(C491,CATEGORIZACION!$A$1:$C$269,2,FALSE)</f>
        <v>PROOVEDORES</v>
      </c>
      <c r="J491" s="188" t="str">
        <f>VLOOKUP(C491,CATEGORIZACION!$A$1:$C$269,3,FALSE)</f>
        <v>LOGISTICA</v>
      </c>
    </row>
    <row r="492" spans="1:10" ht="15.75" customHeight="1" x14ac:dyDescent="0.25">
      <c r="A492" s="1">
        <v>45019</v>
      </c>
      <c r="B492" s="188" t="s">
        <v>524</v>
      </c>
      <c r="C492" s="188" t="s">
        <v>441</v>
      </c>
      <c r="D492" s="188" t="s">
        <v>442</v>
      </c>
      <c r="E492" s="4">
        <v>0</v>
      </c>
      <c r="F492" s="3">
        <v>500000</v>
      </c>
      <c r="G492" s="4">
        <v>105000</v>
      </c>
      <c r="H492" s="4">
        <v>605000</v>
      </c>
      <c r="I492" s="188" t="str">
        <f>VLOOKUP(C492,CATEGORIZACION!$A$1:$C$269,2,FALSE)</f>
        <v>ALQUILER</v>
      </c>
      <c r="J492" s="188" t="s">
        <v>103</v>
      </c>
    </row>
    <row r="493" spans="1:10" ht="15.75" customHeight="1" x14ac:dyDescent="0.25">
      <c r="A493" s="1">
        <v>45019</v>
      </c>
      <c r="B493" s="188" t="s">
        <v>525</v>
      </c>
      <c r="C493" s="188" t="s">
        <v>14</v>
      </c>
      <c r="D493" s="188" t="s">
        <v>15</v>
      </c>
      <c r="E493" s="4">
        <v>0</v>
      </c>
      <c r="F493" s="3">
        <v>25920</v>
      </c>
      <c r="G493" s="4">
        <v>5443.2</v>
      </c>
      <c r="H493" s="4">
        <v>31363.200000000001</v>
      </c>
      <c r="I493" s="188" t="str">
        <f>VLOOKUP(C493,CATEGORIZACION!$A$1:$C$269,2,FALSE)</f>
        <v>PROOVEDORES</v>
      </c>
      <c r="J493" s="188" t="str">
        <f>VLOOKUP(C493,CATEGORIZACION!$A$1:$C$269,3,FALSE)</f>
        <v>DEPOSITO</v>
      </c>
    </row>
    <row r="494" spans="1:10" ht="15.75" customHeight="1" x14ac:dyDescent="0.25">
      <c r="A494" s="1">
        <v>45019</v>
      </c>
      <c r="B494" s="188" t="s">
        <v>526</v>
      </c>
      <c r="C494" s="188" t="s">
        <v>36</v>
      </c>
      <c r="D494" s="188" t="s">
        <v>37</v>
      </c>
      <c r="E494" s="4">
        <v>7200</v>
      </c>
      <c r="F494" s="5">
        <v>57100</v>
      </c>
      <c r="G494" s="4">
        <v>11991</v>
      </c>
      <c r="H494" s="4">
        <v>76291</v>
      </c>
      <c r="I494" s="188" t="str">
        <f>VLOOKUP(C494,CATEGORIZACION!$A$1:$C$269,2,FALSE)</f>
        <v>TRANSPORTE</v>
      </c>
      <c r="J494" s="188" t="s">
        <v>19</v>
      </c>
    </row>
    <row r="495" spans="1:10" ht="15.75" customHeight="1" x14ac:dyDescent="0.25">
      <c r="A495" s="1">
        <v>45020</v>
      </c>
      <c r="B495" s="188" t="s">
        <v>527</v>
      </c>
      <c r="C495" s="188" t="s">
        <v>59</v>
      </c>
      <c r="D495" s="188" t="s">
        <v>60</v>
      </c>
      <c r="E495" s="4">
        <v>0</v>
      </c>
      <c r="F495" s="3">
        <v>451200</v>
      </c>
      <c r="G495" s="4">
        <v>94752</v>
      </c>
      <c r="H495" s="4">
        <v>545952</v>
      </c>
      <c r="I495" s="188" t="str">
        <f>VLOOKUP(C495,CATEGORIZACION!$A$1:$C$269,2,FALSE)</f>
        <v>PROOVEDORES</v>
      </c>
      <c r="J495" s="188" t="str">
        <f>VLOOKUP(C495,CATEGORIZACION!$A$1:$C$269,3,FALSE)</f>
        <v>DEPOSITO</v>
      </c>
    </row>
    <row r="496" spans="1:10" ht="15.75" customHeight="1" x14ac:dyDescent="0.25">
      <c r="A496" s="1">
        <v>45020</v>
      </c>
      <c r="B496" s="188" t="s">
        <v>528</v>
      </c>
      <c r="C496" s="188" t="s">
        <v>529</v>
      </c>
      <c r="D496" s="188" t="s">
        <v>530</v>
      </c>
      <c r="E496" s="4">
        <v>0</v>
      </c>
      <c r="F496" s="5">
        <v>8760.34</v>
      </c>
      <c r="G496" s="4">
        <v>1839.67</v>
      </c>
      <c r="H496" s="4">
        <v>10600.01</v>
      </c>
      <c r="I496" s="188" t="str">
        <f>VLOOKUP(C496,CATEGORIZACION!$A$1:$C$269,2,FALSE)</f>
        <v>PROOVEDORES</v>
      </c>
      <c r="J496" s="188" t="str">
        <f>VLOOKUP(C496,CATEGORIZACION!$A$1:$C$269,3,FALSE)</f>
        <v>LOGISTICA</v>
      </c>
    </row>
    <row r="497" spans="1:10" ht="15.75" customHeight="1" x14ac:dyDescent="0.25">
      <c r="A497" s="1">
        <v>45020</v>
      </c>
      <c r="B497" s="188" t="s">
        <v>531</v>
      </c>
      <c r="C497" s="188" t="s">
        <v>529</v>
      </c>
      <c r="D497" s="188" t="s">
        <v>530</v>
      </c>
      <c r="E497" s="4">
        <v>0</v>
      </c>
      <c r="F497" s="5">
        <v>33057.85</v>
      </c>
      <c r="G497" s="4">
        <v>6942.15</v>
      </c>
      <c r="H497" s="4">
        <v>40000</v>
      </c>
      <c r="I497" s="188" t="str">
        <f>VLOOKUP(C497,CATEGORIZACION!$A$1:$C$269,2,FALSE)</f>
        <v>PROOVEDORES</v>
      </c>
      <c r="J497" s="188" t="str">
        <f>VLOOKUP(C497,CATEGORIZACION!$A$1:$C$269,3,FALSE)</f>
        <v>LOGISTICA</v>
      </c>
    </row>
    <row r="498" spans="1:10" ht="15.75" customHeight="1" x14ac:dyDescent="0.25">
      <c r="A498" s="1">
        <v>45021</v>
      </c>
      <c r="B498" s="188" t="s">
        <v>532</v>
      </c>
      <c r="C498" s="188" t="s">
        <v>253</v>
      </c>
      <c r="D498" s="188" t="s">
        <v>57</v>
      </c>
      <c r="E498" s="4">
        <v>0</v>
      </c>
      <c r="F498" s="5">
        <v>1609.09</v>
      </c>
      <c r="G498" s="4">
        <v>337.91</v>
      </c>
      <c r="H498" s="4">
        <v>1947</v>
      </c>
      <c r="I498" s="188" t="str">
        <f>VLOOKUP(C498,CATEGORIZACION!$A$1:$C$269,2,FALSE)</f>
        <v>PROOVEDORES</v>
      </c>
      <c r="J498" s="188" t="str">
        <f>VLOOKUP(C498,CATEGORIZACION!$A$1:$C$269,3,FALSE)</f>
        <v>LOGISTICA</v>
      </c>
    </row>
    <row r="499" spans="1:10" ht="15.75" customHeight="1" x14ac:dyDescent="0.25">
      <c r="A499" s="1">
        <v>45021</v>
      </c>
      <c r="B499" s="188" t="s">
        <v>533</v>
      </c>
      <c r="C499" s="188" t="s">
        <v>529</v>
      </c>
      <c r="D499" s="188" t="s">
        <v>530</v>
      </c>
      <c r="E499" s="4">
        <v>0</v>
      </c>
      <c r="F499" s="5">
        <v>56000</v>
      </c>
      <c r="G499" s="4">
        <v>11760</v>
      </c>
      <c r="H499" s="4">
        <v>67760</v>
      </c>
      <c r="I499" s="188" t="str">
        <f>VLOOKUP(C499,CATEGORIZACION!$A$1:$C$269,2,FALSE)</f>
        <v>PROOVEDORES</v>
      </c>
      <c r="J499" s="188" t="str">
        <f>VLOOKUP(C499,CATEGORIZACION!$A$1:$C$269,3,FALSE)</f>
        <v>LOGISTICA</v>
      </c>
    </row>
    <row r="500" spans="1:10" ht="15.75" customHeight="1" x14ac:dyDescent="0.25">
      <c r="A500" s="1">
        <v>45022</v>
      </c>
      <c r="B500" s="188" t="s">
        <v>534</v>
      </c>
      <c r="C500" s="188" t="s">
        <v>101</v>
      </c>
      <c r="D500" s="188" t="s">
        <v>102</v>
      </c>
      <c r="E500" s="4">
        <v>7171.2</v>
      </c>
      <c r="F500" s="3">
        <v>896400</v>
      </c>
      <c r="G500" s="4">
        <v>188244</v>
      </c>
      <c r="H500" s="4">
        <v>1091815.2</v>
      </c>
      <c r="I500" s="188" t="str">
        <f>VLOOKUP(C500,CATEGORIZACION!$A$1:$C$269,2,FALSE)</f>
        <v>ALQUILER</v>
      </c>
      <c r="J500" s="188" t="s">
        <v>103</v>
      </c>
    </row>
    <row r="501" spans="1:10" ht="15.75" customHeight="1" x14ac:dyDescent="0.25">
      <c r="A501" s="1">
        <v>45022</v>
      </c>
      <c r="B501" s="188" t="s">
        <v>535</v>
      </c>
      <c r="C501" s="188" t="s">
        <v>21</v>
      </c>
      <c r="D501" s="188" t="s">
        <v>22</v>
      </c>
      <c r="E501" s="4">
        <v>10690</v>
      </c>
      <c r="F501" s="5">
        <v>227150</v>
      </c>
      <c r="G501" s="4">
        <v>47701.5</v>
      </c>
      <c r="H501" s="4">
        <v>285541.5</v>
      </c>
      <c r="I501" s="188" t="str">
        <f>VLOOKUP(C501,CATEGORIZACION!$A$1:$C$269,2,FALSE)</f>
        <v>TRANSPORTE</v>
      </c>
      <c r="J501" s="188" t="s">
        <v>19</v>
      </c>
    </row>
    <row r="502" spans="1:10" ht="15.75" customHeight="1" x14ac:dyDescent="0.25">
      <c r="A502" s="1">
        <v>45024</v>
      </c>
      <c r="B502" s="188" t="s">
        <v>536</v>
      </c>
      <c r="C502" s="188" t="s">
        <v>36</v>
      </c>
      <c r="D502" s="188" t="s">
        <v>37</v>
      </c>
      <c r="E502" s="4">
        <v>8200</v>
      </c>
      <c r="F502" s="5">
        <v>46800</v>
      </c>
      <c r="G502" s="4">
        <v>9828</v>
      </c>
      <c r="H502" s="4">
        <v>64828</v>
      </c>
      <c r="I502" s="188" t="str">
        <f>VLOOKUP(C502,CATEGORIZACION!$A$1:$C$269,2,FALSE)</f>
        <v>TRANSPORTE</v>
      </c>
      <c r="J502" s="188" t="s">
        <v>19</v>
      </c>
    </row>
    <row r="503" spans="1:10" ht="15.75" customHeight="1" x14ac:dyDescent="0.25">
      <c r="A503" s="1">
        <v>45024</v>
      </c>
      <c r="B503" s="188" t="s">
        <v>537</v>
      </c>
      <c r="C503" s="188" t="s">
        <v>36</v>
      </c>
      <c r="D503" s="188" t="s">
        <v>37</v>
      </c>
      <c r="E503" s="4">
        <v>8200</v>
      </c>
      <c r="F503" s="5">
        <v>46800</v>
      </c>
      <c r="G503" s="4">
        <v>9828</v>
      </c>
      <c r="H503" s="4">
        <v>64828</v>
      </c>
      <c r="I503" s="188" t="str">
        <f>VLOOKUP(C503,CATEGORIZACION!$A$1:$C$269,2,FALSE)</f>
        <v>TRANSPORTE</v>
      </c>
      <c r="J503" s="188" t="s">
        <v>19</v>
      </c>
    </row>
    <row r="504" spans="1:10" ht="15.75" customHeight="1" x14ac:dyDescent="0.25">
      <c r="A504" s="1">
        <v>45024</v>
      </c>
      <c r="B504" s="188" t="s">
        <v>538</v>
      </c>
      <c r="C504" s="188" t="s">
        <v>36</v>
      </c>
      <c r="D504" s="188" t="s">
        <v>37</v>
      </c>
      <c r="E504" s="4">
        <v>8200</v>
      </c>
      <c r="F504" s="5">
        <v>46800</v>
      </c>
      <c r="G504" s="4">
        <v>9828</v>
      </c>
      <c r="H504" s="4">
        <v>64828</v>
      </c>
      <c r="I504" s="188" t="str">
        <f>VLOOKUP(C504,CATEGORIZACION!$A$1:$C$269,2,FALSE)</f>
        <v>TRANSPORTE</v>
      </c>
      <c r="J504" s="188" t="s">
        <v>19</v>
      </c>
    </row>
    <row r="505" spans="1:10" ht="15.75" customHeight="1" x14ac:dyDescent="0.25">
      <c r="A505" s="1">
        <v>45024</v>
      </c>
      <c r="B505" s="188" t="s">
        <v>539</v>
      </c>
      <c r="C505" s="188" t="s">
        <v>36</v>
      </c>
      <c r="D505" s="188" t="s">
        <v>37</v>
      </c>
      <c r="E505" s="4">
        <v>8200</v>
      </c>
      <c r="F505" s="5">
        <v>51480</v>
      </c>
      <c r="G505" s="4">
        <v>10810.8</v>
      </c>
      <c r="H505" s="4">
        <v>70490.8</v>
      </c>
      <c r="I505" s="188" t="str">
        <f>VLOOKUP(C505,CATEGORIZACION!$A$1:$C$269,2,FALSE)</f>
        <v>TRANSPORTE</v>
      </c>
      <c r="J505" s="188" t="s">
        <v>19</v>
      </c>
    </row>
    <row r="506" spans="1:10" ht="15.75" customHeight="1" x14ac:dyDescent="0.25">
      <c r="A506" s="1">
        <v>45024</v>
      </c>
      <c r="B506" s="188" t="s">
        <v>540</v>
      </c>
      <c r="C506" s="188" t="s">
        <v>36</v>
      </c>
      <c r="D506" s="188" t="s">
        <v>37</v>
      </c>
      <c r="E506" s="4">
        <v>8200</v>
      </c>
      <c r="F506" s="5">
        <v>46800</v>
      </c>
      <c r="G506" s="4">
        <v>9828</v>
      </c>
      <c r="H506" s="4">
        <v>64828</v>
      </c>
      <c r="I506" s="188" t="str">
        <f>VLOOKUP(C506,CATEGORIZACION!$A$1:$C$269,2,FALSE)</f>
        <v>TRANSPORTE</v>
      </c>
      <c r="J506" s="188" t="s">
        <v>19</v>
      </c>
    </row>
    <row r="507" spans="1:10" ht="15.75" customHeight="1" x14ac:dyDescent="0.25">
      <c r="A507" s="1">
        <v>45024</v>
      </c>
      <c r="B507" s="188" t="s">
        <v>541</v>
      </c>
      <c r="C507" s="188" t="s">
        <v>36</v>
      </c>
      <c r="D507" s="188" t="s">
        <v>37</v>
      </c>
      <c r="E507" s="4">
        <v>8900</v>
      </c>
      <c r="F507" s="5">
        <v>62200</v>
      </c>
      <c r="G507" s="4">
        <v>13062</v>
      </c>
      <c r="H507" s="4">
        <v>84162</v>
      </c>
      <c r="I507" s="188" t="str">
        <f>VLOOKUP(C507,CATEGORIZACION!$A$1:$C$269,2,FALSE)</f>
        <v>TRANSPORTE</v>
      </c>
      <c r="J507" s="188" t="s">
        <v>19</v>
      </c>
    </row>
    <row r="508" spans="1:10" ht="15.75" customHeight="1" x14ac:dyDescent="0.25">
      <c r="A508" s="1">
        <v>45024</v>
      </c>
      <c r="B508" s="188" t="s">
        <v>542</v>
      </c>
      <c r="C508" s="188" t="s">
        <v>36</v>
      </c>
      <c r="D508" s="188" t="s">
        <v>37</v>
      </c>
      <c r="E508" s="4">
        <v>2800</v>
      </c>
      <c r="F508" s="5">
        <v>74640</v>
      </c>
      <c r="G508" s="4">
        <v>15674.4</v>
      </c>
      <c r="H508" s="4">
        <v>93114.4</v>
      </c>
      <c r="I508" s="188" t="str">
        <f>VLOOKUP(C508,CATEGORIZACION!$A$1:$C$269,2,FALSE)</f>
        <v>TRANSPORTE</v>
      </c>
      <c r="J508" s="188" t="s">
        <v>19</v>
      </c>
    </row>
    <row r="509" spans="1:10" ht="15.75" customHeight="1" x14ac:dyDescent="0.25">
      <c r="A509" s="1">
        <v>45024</v>
      </c>
      <c r="B509" s="188" t="s">
        <v>543</v>
      </c>
      <c r="C509" s="188" t="s">
        <v>36</v>
      </c>
      <c r="D509" s="188" t="s">
        <v>37</v>
      </c>
      <c r="E509" s="4">
        <v>8900</v>
      </c>
      <c r="F509" s="5">
        <v>62200</v>
      </c>
      <c r="G509" s="4">
        <v>13062</v>
      </c>
      <c r="H509" s="4">
        <v>84162</v>
      </c>
      <c r="I509" s="188" t="str">
        <f>VLOOKUP(C509,CATEGORIZACION!$A$1:$C$269,2,FALSE)</f>
        <v>TRANSPORTE</v>
      </c>
      <c r="J509" s="188" t="s">
        <v>19</v>
      </c>
    </row>
    <row r="510" spans="1:10" ht="15.75" customHeight="1" x14ac:dyDescent="0.25">
      <c r="A510" s="1">
        <v>45024</v>
      </c>
      <c r="B510" s="188" t="s">
        <v>544</v>
      </c>
      <c r="C510" s="188" t="s">
        <v>36</v>
      </c>
      <c r="D510" s="188" t="s">
        <v>37</v>
      </c>
      <c r="E510" s="4">
        <v>4800</v>
      </c>
      <c r="F510" s="5">
        <v>37200</v>
      </c>
      <c r="G510" s="4">
        <v>7812</v>
      </c>
      <c r="H510" s="4">
        <v>49812</v>
      </c>
      <c r="I510" s="188" t="str">
        <f>VLOOKUP(C510,CATEGORIZACION!$A$1:$C$269,2,FALSE)</f>
        <v>TRANSPORTE</v>
      </c>
      <c r="J510" s="188" t="s">
        <v>19</v>
      </c>
    </row>
    <row r="511" spans="1:10" ht="15.75" customHeight="1" x14ac:dyDescent="0.25">
      <c r="A511" s="1">
        <v>45024</v>
      </c>
      <c r="B511" s="188" t="s">
        <v>545</v>
      </c>
      <c r="C511" s="188" t="s">
        <v>36</v>
      </c>
      <c r="D511" s="188" t="s">
        <v>37</v>
      </c>
      <c r="E511" s="4">
        <v>4800</v>
      </c>
      <c r="F511" s="5">
        <v>37200</v>
      </c>
      <c r="G511" s="4">
        <v>7812</v>
      </c>
      <c r="H511" s="4">
        <v>49812</v>
      </c>
      <c r="I511" s="188" t="str">
        <f>VLOOKUP(C511,CATEGORIZACION!$A$1:$C$269,2,FALSE)</f>
        <v>TRANSPORTE</v>
      </c>
      <c r="J511" s="188" t="s">
        <v>19</v>
      </c>
    </row>
    <row r="512" spans="1:10" ht="15.75" customHeight="1" x14ac:dyDescent="0.25">
      <c r="A512" s="1">
        <v>45026</v>
      </c>
      <c r="B512" s="188" t="s">
        <v>546</v>
      </c>
      <c r="C512" s="188" t="s">
        <v>17</v>
      </c>
      <c r="D512" s="188" t="s">
        <v>18</v>
      </c>
      <c r="E512" s="4">
        <v>-30628</v>
      </c>
      <c r="F512" s="5">
        <v>-232000</v>
      </c>
      <c r="G512" s="4">
        <v>-48720</v>
      </c>
      <c r="H512" s="4">
        <v>-311348</v>
      </c>
      <c r="I512" s="188" t="str">
        <f>VLOOKUP(C512,CATEGORIZACION!$A$1:$C$269,2,FALSE)</f>
        <v>TRANSPORTE</v>
      </c>
      <c r="J512" s="188" t="s">
        <v>19</v>
      </c>
    </row>
    <row r="513" spans="1:10" ht="15.75" customHeight="1" x14ac:dyDescent="0.25">
      <c r="A513" s="1">
        <v>45026</v>
      </c>
      <c r="B513" s="188" t="s">
        <v>547</v>
      </c>
      <c r="C513" s="188" t="s">
        <v>49</v>
      </c>
      <c r="D513" s="188" t="s">
        <v>50</v>
      </c>
      <c r="E513" s="4">
        <v>0</v>
      </c>
      <c r="F513" s="3">
        <v>105610</v>
      </c>
      <c r="G513" s="4">
        <v>22178.1</v>
      </c>
      <c r="H513" s="4">
        <v>127788.1</v>
      </c>
      <c r="I513" s="188" t="str">
        <f>VLOOKUP(C513,CATEGORIZACION!$A$1:$C$269,2,FALSE)</f>
        <v>PROOVEDORES</v>
      </c>
      <c r="J513" s="188" t="str">
        <f>VLOOKUP(C513,CATEGORIZACION!$A$1:$C$269,3,FALSE)</f>
        <v>DEPOSITO</v>
      </c>
    </row>
    <row r="514" spans="1:10" ht="15.75" customHeight="1" x14ac:dyDescent="0.25">
      <c r="A514" s="1">
        <v>45026</v>
      </c>
      <c r="B514" s="188" t="s">
        <v>548</v>
      </c>
      <c r="C514" s="188" t="s">
        <v>49</v>
      </c>
      <c r="D514" s="188" t="s">
        <v>50</v>
      </c>
      <c r="E514" s="4">
        <v>0</v>
      </c>
      <c r="F514" s="3">
        <v>105610</v>
      </c>
      <c r="G514" s="4">
        <v>22178.1</v>
      </c>
      <c r="H514" s="4">
        <v>127788.1</v>
      </c>
      <c r="I514" s="188" t="str">
        <f>VLOOKUP(C514,CATEGORIZACION!$A$1:$C$269,2,FALSE)</f>
        <v>PROOVEDORES</v>
      </c>
      <c r="J514" s="188" t="str">
        <f>VLOOKUP(C514,CATEGORIZACION!$A$1:$C$269,3,FALSE)</f>
        <v>DEPOSITO</v>
      </c>
    </row>
    <row r="515" spans="1:10" ht="15.75" customHeight="1" x14ac:dyDescent="0.25">
      <c r="A515" s="1">
        <v>45026</v>
      </c>
      <c r="B515" s="188" t="s">
        <v>549</v>
      </c>
      <c r="C515" s="188" t="s">
        <v>17</v>
      </c>
      <c r="D515" s="188" t="s">
        <v>18</v>
      </c>
      <c r="E515" s="4">
        <v>16496</v>
      </c>
      <c r="F515" s="5">
        <v>271375</v>
      </c>
      <c r="G515" s="4">
        <v>56988.75</v>
      </c>
      <c r="H515" s="4">
        <v>344859.75</v>
      </c>
      <c r="I515" s="188" t="str">
        <f>VLOOKUP(C515,CATEGORIZACION!$A$1:$C$269,2,FALSE)</f>
        <v>TRANSPORTE</v>
      </c>
      <c r="J515" s="188" t="s">
        <v>19</v>
      </c>
    </row>
    <row r="516" spans="1:10" ht="15.75" customHeight="1" x14ac:dyDescent="0.25">
      <c r="A516" s="1">
        <v>45026</v>
      </c>
      <c r="B516" s="188" t="s">
        <v>550</v>
      </c>
      <c r="C516" s="188" t="s">
        <v>17</v>
      </c>
      <c r="D516" s="188" t="s">
        <v>18</v>
      </c>
      <c r="E516" s="4">
        <v>30628</v>
      </c>
      <c r="F516" s="5">
        <v>232000</v>
      </c>
      <c r="G516" s="4">
        <v>48720</v>
      </c>
      <c r="H516" s="4">
        <v>311348</v>
      </c>
      <c r="I516" s="188" t="str">
        <f>VLOOKUP(C516,CATEGORIZACION!$A$1:$C$269,2,FALSE)</f>
        <v>TRANSPORTE</v>
      </c>
      <c r="J516" s="188" t="s">
        <v>19</v>
      </c>
    </row>
    <row r="517" spans="1:10" ht="15.75" customHeight="1" x14ac:dyDescent="0.25">
      <c r="A517" s="1">
        <v>45027</v>
      </c>
      <c r="B517" s="188" t="s">
        <v>551</v>
      </c>
      <c r="C517" s="188" t="s">
        <v>17</v>
      </c>
      <c r="D517" s="188" t="s">
        <v>18</v>
      </c>
      <c r="E517" s="4">
        <v>25108</v>
      </c>
      <c r="F517" s="5">
        <v>186500</v>
      </c>
      <c r="G517" s="4">
        <v>39165</v>
      </c>
      <c r="H517" s="4">
        <v>250773</v>
      </c>
      <c r="I517" s="188" t="str">
        <f>VLOOKUP(C517,CATEGORIZACION!$A$1:$C$269,2,FALSE)</f>
        <v>TRANSPORTE</v>
      </c>
      <c r="J517" s="188" t="s">
        <v>19</v>
      </c>
    </row>
    <row r="518" spans="1:10" ht="15.75" customHeight="1" x14ac:dyDescent="0.25">
      <c r="A518" s="1">
        <v>45029</v>
      </c>
      <c r="B518" s="188" t="s">
        <v>552</v>
      </c>
      <c r="C518" s="188" t="s">
        <v>21</v>
      </c>
      <c r="D518" s="188" t="s">
        <v>22</v>
      </c>
      <c r="E518" s="4">
        <v>13720</v>
      </c>
      <c r="F518" s="5">
        <v>240000</v>
      </c>
      <c r="G518" s="4">
        <v>50400</v>
      </c>
      <c r="H518" s="4">
        <v>304120</v>
      </c>
      <c r="I518" s="188" t="str">
        <f>VLOOKUP(C518,CATEGORIZACION!$A$1:$C$269,2,FALSE)</f>
        <v>TRANSPORTE</v>
      </c>
      <c r="J518" s="188" t="s">
        <v>19</v>
      </c>
    </row>
    <row r="519" spans="1:10" ht="15.75" customHeight="1" x14ac:dyDescent="0.25">
      <c r="A519" s="1">
        <v>45029</v>
      </c>
      <c r="B519" s="188" t="s">
        <v>553</v>
      </c>
      <c r="C519" s="188" t="s">
        <v>426</v>
      </c>
      <c r="D519" s="188" t="s">
        <v>427</v>
      </c>
      <c r="E519" s="4">
        <v>1848</v>
      </c>
      <c r="F519" s="5">
        <v>23679.34</v>
      </c>
      <c r="G519" s="4">
        <v>4972.66</v>
      </c>
      <c r="H519" s="4">
        <v>30500</v>
      </c>
      <c r="I519" s="188" t="str">
        <f>VLOOKUP(C519,CATEGORIZACION!$A$1:$C$269,2,FALSE)</f>
        <v>PROOVEDORES</v>
      </c>
      <c r="J519" s="188" t="str">
        <f>VLOOKUP(C519,CATEGORIZACION!$A$1:$C$269,3,FALSE)</f>
        <v>LOGISTICA</v>
      </c>
    </row>
    <row r="520" spans="1:10" ht="15.75" customHeight="1" x14ac:dyDescent="0.25">
      <c r="A520" s="1">
        <v>45030</v>
      </c>
      <c r="B520" s="188" t="s">
        <v>554</v>
      </c>
      <c r="C520" s="188" t="s">
        <v>17</v>
      </c>
      <c r="D520" s="188" t="s">
        <v>18</v>
      </c>
      <c r="E520" s="4">
        <v>15590</v>
      </c>
      <c r="F520" s="5">
        <v>205250</v>
      </c>
      <c r="G520" s="4">
        <v>43102.5</v>
      </c>
      <c r="H520" s="4">
        <v>263942.5</v>
      </c>
      <c r="I520" s="188" t="str">
        <f>VLOOKUP(C520,CATEGORIZACION!$A$1:$C$269,2,FALSE)</f>
        <v>TRANSPORTE</v>
      </c>
      <c r="J520" s="188" t="s">
        <v>19</v>
      </c>
    </row>
    <row r="521" spans="1:10" ht="15.75" customHeight="1" x14ac:dyDescent="0.25">
      <c r="A521" s="1">
        <v>45030</v>
      </c>
      <c r="B521" s="188" t="s">
        <v>555</v>
      </c>
      <c r="C521" s="188" t="s">
        <v>17</v>
      </c>
      <c r="D521" s="188" t="s">
        <v>18</v>
      </c>
      <c r="E521" s="4">
        <v>27165</v>
      </c>
      <c r="F521" s="5">
        <v>310750</v>
      </c>
      <c r="G521" s="4">
        <v>65257.5</v>
      </c>
      <c r="H521" s="4">
        <v>403172.5</v>
      </c>
      <c r="I521" s="188" t="str">
        <f>VLOOKUP(C521,CATEGORIZACION!$A$1:$C$269,2,FALSE)</f>
        <v>TRANSPORTE</v>
      </c>
      <c r="J521" s="188" t="s">
        <v>19</v>
      </c>
    </row>
    <row r="522" spans="1:10" ht="15.75" customHeight="1" x14ac:dyDescent="0.25">
      <c r="A522" s="1">
        <v>45030</v>
      </c>
      <c r="B522" s="188" t="s">
        <v>556</v>
      </c>
      <c r="C522" s="188" t="s">
        <v>17</v>
      </c>
      <c r="D522" s="188" t="s">
        <v>18</v>
      </c>
      <c r="E522" s="4">
        <v>19044</v>
      </c>
      <c r="F522" s="5">
        <v>178750</v>
      </c>
      <c r="G522" s="4">
        <v>37537.5</v>
      </c>
      <c r="H522" s="4">
        <v>235331.5</v>
      </c>
      <c r="I522" s="188" t="str">
        <f>VLOOKUP(C522,CATEGORIZACION!$A$1:$C$269,2,FALSE)</f>
        <v>TRANSPORTE</v>
      </c>
      <c r="J522" s="188" t="s">
        <v>19</v>
      </c>
    </row>
    <row r="523" spans="1:10" ht="15.75" customHeight="1" x14ac:dyDescent="0.25">
      <c r="A523" s="1">
        <v>45030</v>
      </c>
      <c r="B523" s="188" t="s">
        <v>557</v>
      </c>
      <c r="C523" s="188" t="s">
        <v>17</v>
      </c>
      <c r="D523" s="188" t="s">
        <v>18</v>
      </c>
      <c r="E523" s="4">
        <v>40130</v>
      </c>
      <c r="F523" s="5">
        <v>493250</v>
      </c>
      <c r="G523" s="4">
        <v>103582.5</v>
      </c>
      <c r="H523" s="4">
        <v>636962.5</v>
      </c>
      <c r="I523" s="188" t="str">
        <f>VLOOKUP(C523,CATEGORIZACION!$A$1:$C$269,2,FALSE)</f>
        <v>TRANSPORTE</v>
      </c>
      <c r="J523" s="188" t="s">
        <v>19</v>
      </c>
    </row>
    <row r="524" spans="1:10" ht="15.75" customHeight="1" x14ac:dyDescent="0.25">
      <c r="A524" s="1">
        <v>45030</v>
      </c>
      <c r="B524" s="188" t="s">
        <v>558</v>
      </c>
      <c r="C524" s="188" t="s">
        <v>21</v>
      </c>
      <c r="D524" s="188" t="s">
        <v>22</v>
      </c>
      <c r="E524" s="4">
        <v>6470</v>
      </c>
      <c r="F524" s="5">
        <v>218150</v>
      </c>
      <c r="G524" s="4">
        <v>45811.5</v>
      </c>
      <c r="H524" s="4">
        <v>270431.5</v>
      </c>
      <c r="I524" s="188" t="str">
        <f>VLOOKUP(C524,CATEGORIZACION!$A$1:$C$269,2,FALSE)</f>
        <v>TRANSPORTE</v>
      </c>
      <c r="J524" s="188" t="s">
        <v>19</v>
      </c>
    </row>
    <row r="525" spans="1:10" ht="15.75" customHeight="1" x14ac:dyDescent="0.25">
      <c r="A525" s="1">
        <v>45030</v>
      </c>
      <c r="B525" s="188" t="s">
        <v>559</v>
      </c>
      <c r="C525" s="188" t="s">
        <v>21</v>
      </c>
      <c r="D525" s="188" t="s">
        <v>22</v>
      </c>
      <c r="E525" s="4">
        <v>10290</v>
      </c>
      <c r="F525" s="5">
        <v>232200</v>
      </c>
      <c r="G525" s="4">
        <v>48762</v>
      </c>
      <c r="H525" s="4">
        <v>291252</v>
      </c>
      <c r="I525" s="188" t="str">
        <f>VLOOKUP(C525,CATEGORIZACION!$A$1:$C$269,2,FALSE)</f>
        <v>TRANSPORTE</v>
      </c>
      <c r="J525" s="188" t="s">
        <v>19</v>
      </c>
    </row>
    <row r="526" spans="1:10" ht="15.75" customHeight="1" x14ac:dyDescent="0.25">
      <c r="A526" s="1">
        <v>45030</v>
      </c>
      <c r="B526" s="188" t="s">
        <v>560</v>
      </c>
      <c r="C526" s="188" t="s">
        <v>36</v>
      </c>
      <c r="D526" s="188" t="s">
        <v>37</v>
      </c>
      <c r="E526" s="4">
        <v>17200</v>
      </c>
      <c r="F526" s="5">
        <v>138700</v>
      </c>
      <c r="G526" s="4">
        <v>29127</v>
      </c>
      <c r="H526" s="4">
        <v>185027</v>
      </c>
      <c r="I526" s="188" t="str">
        <f>VLOOKUP(C526,CATEGORIZACION!$A$1:$C$269,2,FALSE)</f>
        <v>TRANSPORTE</v>
      </c>
      <c r="J526" s="188" t="s">
        <v>19</v>
      </c>
    </row>
    <row r="527" spans="1:10" ht="15.75" customHeight="1" x14ac:dyDescent="0.25">
      <c r="A527" s="1">
        <v>45030</v>
      </c>
      <c r="B527" s="188" t="s">
        <v>561</v>
      </c>
      <c r="C527" s="188" t="s">
        <v>36</v>
      </c>
      <c r="D527" s="188" t="s">
        <v>37</v>
      </c>
      <c r="E527" s="4">
        <v>17200</v>
      </c>
      <c r="F527" s="5">
        <v>138700</v>
      </c>
      <c r="G527" s="4">
        <v>29127</v>
      </c>
      <c r="H527" s="4">
        <v>185027</v>
      </c>
      <c r="I527" s="188" t="str">
        <f>VLOOKUP(C527,CATEGORIZACION!$A$1:$C$269,2,FALSE)</f>
        <v>TRANSPORTE</v>
      </c>
      <c r="J527" s="188" t="s">
        <v>19</v>
      </c>
    </row>
    <row r="528" spans="1:10" ht="15.75" customHeight="1" x14ac:dyDescent="0.25">
      <c r="A528" s="1">
        <v>45030</v>
      </c>
      <c r="B528" s="188" t="s">
        <v>562</v>
      </c>
      <c r="C528" s="188" t="s">
        <v>36</v>
      </c>
      <c r="D528" s="188" t="s">
        <v>37</v>
      </c>
      <c r="E528" s="4">
        <v>17200</v>
      </c>
      <c r="F528" s="5">
        <v>138700</v>
      </c>
      <c r="G528" s="4">
        <v>29127</v>
      </c>
      <c r="H528" s="4">
        <v>185027</v>
      </c>
      <c r="I528" s="188" t="str">
        <f>VLOOKUP(C528,CATEGORIZACION!$A$1:$C$269,2,FALSE)</f>
        <v>TRANSPORTE</v>
      </c>
      <c r="J528" s="188" t="s">
        <v>19</v>
      </c>
    </row>
    <row r="529" spans="1:10" ht="15.75" customHeight="1" x14ac:dyDescent="0.25">
      <c r="A529" s="1">
        <v>45030</v>
      </c>
      <c r="B529" s="188" t="s">
        <v>563</v>
      </c>
      <c r="C529" s="188" t="s">
        <v>36</v>
      </c>
      <c r="D529" s="188" t="s">
        <v>37</v>
      </c>
      <c r="E529" s="4">
        <v>17200</v>
      </c>
      <c r="F529" s="5">
        <v>138700</v>
      </c>
      <c r="G529" s="4">
        <v>29127</v>
      </c>
      <c r="H529" s="4">
        <v>185027</v>
      </c>
      <c r="I529" s="188" t="str">
        <f>VLOOKUP(C529,CATEGORIZACION!$A$1:$C$269,2,FALSE)</f>
        <v>TRANSPORTE</v>
      </c>
      <c r="J529" s="188" t="s">
        <v>19</v>
      </c>
    </row>
    <row r="530" spans="1:10" ht="15.75" customHeight="1" x14ac:dyDescent="0.25">
      <c r="A530" s="1">
        <v>45030</v>
      </c>
      <c r="B530" s="188" t="s">
        <v>564</v>
      </c>
      <c r="C530" s="188" t="s">
        <v>36</v>
      </c>
      <c r="D530" s="188" t="s">
        <v>37</v>
      </c>
      <c r="E530" s="4">
        <v>11000</v>
      </c>
      <c r="F530" s="5">
        <v>76500</v>
      </c>
      <c r="G530" s="4">
        <v>16065</v>
      </c>
      <c r="H530" s="4">
        <v>103565</v>
      </c>
      <c r="I530" s="188" t="str">
        <f>VLOOKUP(C530,CATEGORIZACION!$A$1:$C$269,2,FALSE)</f>
        <v>TRANSPORTE</v>
      </c>
      <c r="J530" s="188" t="s">
        <v>19</v>
      </c>
    </row>
    <row r="531" spans="1:10" ht="15.75" customHeight="1" x14ac:dyDescent="0.25">
      <c r="A531" s="1">
        <v>45030</v>
      </c>
      <c r="B531" s="188" t="s">
        <v>565</v>
      </c>
      <c r="C531" s="188" t="s">
        <v>36</v>
      </c>
      <c r="D531" s="188" t="s">
        <v>37</v>
      </c>
      <c r="E531" s="4">
        <v>11000</v>
      </c>
      <c r="F531" s="5">
        <v>76500</v>
      </c>
      <c r="G531" s="4">
        <v>16065</v>
      </c>
      <c r="H531" s="4">
        <v>103565</v>
      </c>
      <c r="I531" s="188" t="str">
        <f>VLOOKUP(C531,CATEGORIZACION!$A$1:$C$269,2,FALSE)</f>
        <v>TRANSPORTE</v>
      </c>
      <c r="J531" s="188" t="s">
        <v>19</v>
      </c>
    </row>
    <row r="532" spans="1:10" ht="15.75" customHeight="1" x14ac:dyDescent="0.25">
      <c r="A532" s="1">
        <v>45030</v>
      </c>
      <c r="B532" s="188" t="s">
        <v>566</v>
      </c>
      <c r="C532" s="188" t="s">
        <v>36</v>
      </c>
      <c r="D532" s="188" t="s">
        <v>37</v>
      </c>
      <c r="E532" s="4">
        <v>3200</v>
      </c>
      <c r="F532" s="5">
        <v>106740</v>
      </c>
      <c r="G532" s="4">
        <v>22415.4</v>
      </c>
      <c r="H532" s="4">
        <v>132355.4</v>
      </c>
      <c r="I532" s="188" t="str">
        <f>VLOOKUP(C532,CATEGORIZACION!$A$1:$C$269,2,FALSE)</f>
        <v>TRANSPORTE</v>
      </c>
      <c r="J532" s="188" t="s">
        <v>19</v>
      </c>
    </row>
    <row r="533" spans="1:10" ht="15.75" customHeight="1" x14ac:dyDescent="0.25">
      <c r="A533" s="1">
        <v>45030</v>
      </c>
      <c r="B533" s="188" t="s">
        <v>567</v>
      </c>
      <c r="C533" s="188" t="s">
        <v>36</v>
      </c>
      <c r="D533" s="188" t="s">
        <v>37</v>
      </c>
      <c r="E533" s="4">
        <v>3200</v>
      </c>
      <c r="F533" s="5">
        <v>106740</v>
      </c>
      <c r="G533" s="4">
        <v>22415.4</v>
      </c>
      <c r="H533" s="4">
        <v>132355.4</v>
      </c>
      <c r="I533" s="188" t="str">
        <f>VLOOKUP(C533,CATEGORIZACION!$A$1:$C$269,2,FALSE)</f>
        <v>TRANSPORTE</v>
      </c>
      <c r="J533" s="188" t="s">
        <v>19</v>
      </c>
    </row>
    <row r="534" spans="1:10" ht="15.75" customHeight="1" x14ac:dyDescent="0.25">
      <c r="A534" s="1">
        <v>45030</v>
      </c>
      <c r="B534" s="188" t="s">
        <v>568</v>
      </c>
      <c r="C534" s="188" t="s">
        <v>36</v>
      </c>
      <c r="D534" s="188" t="s">
        <v>37</v>
      </c>
      <c r="E534" s="4">
        <v>8200</v>
      </c>
      <c r="F534" s="5">
        <v>46800</v>
      </c>
      <c r="G534" s="4">
        <v>9828</v>
      </c>
      <c r="H534" s="4">
        <v>64828</v>
      </c>
      <c r="I534" s="188" t="str">
        <f>VLOOKUP(C534,CATEGORIZACION!$A$1:$C$269,2,FALSE)</f>
        <v>TRANSPORTE</v>
      </c>
      <c r="J534" s="188" t="s">
        <v>19</v>
      </c>
    </row>
    <row r="535" spans="1:10" ht="15.75" customHeight="1" x14ac:dyDescent="0.25">
      <c r="A535" s="1">
        <v>45030</v>
      </c>
      <c r="B535" s="188" t="s">
        <v>569</v>
      </c>
      <c r="C535" s="188" t="s">
        <v>36</v>
      </c>
      <c r="D535" s="188" t="s">
        <v>37</v>
      </c>
      <c r="E535" s="4">
        <v>8199.9999999999909</v>
      </c>
      <c r="F535" s="5">
        <v>60840</v>
      </c>
      <c r="G535" s="4">
        <v>12776.4</v>
      </c>
      <c r="H535" s="4">
        <v>81816.399999999994</v>
      </c>
      <c r="I535" s="188" t="str">
        <f>VLOOKUP(C535,CATEGORIZACION!$A$1:$C$269,2,FALSE)</f>
        <v>TRANSPORTE</v>
      </c>
      <c r="J535" s="188" t="s">
        <v>19</v>
      </c>
    </row>
    <row r="536" spans="1:10" ht="15.75" customHeight="1" x14ac:dyDescent="0.25">
      <c r="A536" s="1">
        <v>45030</v>
      </c>
      <c r="B536" s="188" t="s">
        <v>570</v>
      </c>
      <c r="C536" s="188" t="s">
        <v>36</v>
      </c>
      <c r="D536" s="188" t="s">
        <v>37</v>
      </c>
      <c r="E536" s="4">
        <v>8200</v>
      </c>
      <c r="F536" s="5">
        <v>46800</v>
      </c>
      <c r="G536" s="4">
        <v>9828</v>
      </c>
      <c r="H536" s="4">
        <v>64828</v>
      </c>
      <c r="I536" s="188" t="str">
        <f>VLOOKUP(C536,CATEGORIZACION!$A$1:$C$269,2,FALSE)</f>
        <v>TRANSPORTE</v>
      </c>
      <c r="J536" s="188" t="s">
        <v>19</v>
      </c>
    </row>
    <row r="537" spans="1:10" ht="15.75" customHeight="1" x14ac:dyDescent="0.25">
      <c r="A537" s="1">
        <v>45030</v>
      </c>
      <c r="B537" s="188" t="s">
        <v>571</v>
      </c>
      <c r="C537" s="188" t="s">
        <v>36</v>
      </c>
      <c r="D537" s="188" t="s">
        <v>37</v>
      </c>
      <c r="E537" s="4">
        <v>8199.9999999999909</v>
      </c>
      <c r="F537" s="5">
        <v>60840</v>
      </c>
      <c r="G537" s="4">
        <v>12776.4</v>
      </c>
      <c r="H537" s="4">
        <v>81816.399999999994</v>
      </c>
      <c r="I537" s="188" t="str">
        <f>VLOOKUP(C537,CATEGORIZACION!$A$1:$C$269,2,FALSE)</f>
        <v>TRANSPORTE</v>
      </c>
      <c r="J537" s="188" t="s">
        <v>19</v>
      </c>
    </row>
    <row r="538" spans="1:10" ht="15.75" customHeight="1" x14ac:dyDescent="0.25">
      <c r="A538" s="1">
        <v>45030</v>
      </c>
      <c r="B538" s="188" t="s">
        <v>572</v>
      </c>
      <c r="C538" s="188" t="s">
        <v>36</v>
      </c>
      <c r="D538" s="188" t="s">
        <v>37</v>
      </c>
      <c r="E538" s="4">
        <v>8200</v>
      </c>
      <c r="F538" s="5">
        <v>46800</v>
      </c>
      <c r="G538" s="4">
        <v>9828</v>
      </c>
      <c r="H538" s="4">
        <v>64828</v>
      </c>
      <c r="I538" s="188" t="str">
        <f>VLOOKUP(C538,CATEGORIZACION!$A$1:$C$269,2,FALSE)</f>
        <v>TRANSPORTE</v>
      </c>
      <c r="J538" s="188" t="s">
        <v>19</v>
      </c>
    </row>
    <row r="539" spans="1:10" ht="15.75" customHeight="1" x14ac:dyDescent="0.25">
      <c r="A539" s="1">
        <v>45030</v>
      </c>
      <c r="B539" s="188" t="s">
        <v>573</v>
      </c>
      <c r="C539" s="188" t="s">
        <v>36</v>
      </c>
      <c r="D539" s="188" t="s">
        <v>37</v>
      </c>
      <c r="E539" s="4">
        <v>8900</v>
      </c>
      <c r="F539" s="5">
        <v>62200</v>
      </c>
      <c r="G539" s="4">
        <v>13062</v>
      </c>
      <c r="H539" s="4">
        <v>84162</v>
      </c>
      <c r="I539" s="188" t="str">
        <f>VLOOKUP(C539,CATEGORIZACION!$A$1:$C$269,2,FALSE)</f>
        <v>TRANSPORTE</v>
      </c>
      <c r="J539" s="188" t="s">
        <v>19</v>
      </c>
    </row>
    <row r="540" spans="1:10" ht="15.75" customHeight="1" x14ac:dyDescent="0.25">
      <c r="A540" s="1">
        <v>45030</v>
      </c>
      <c r="B540" s="188" t="s">
        <v>574</v>
      </c>
      <c r="C540" s="188" t="s">
        <v>36</v>
      </c>
      <c r="D540" s="188" t="s">
        <v>37</v>
      </c>
      <c r="E540" s="4">
        <v>6500</v>
      </c>
      <c r="F540" s="5">
        <v>74640</v>
      </c>
      <c r="G540" s="4">
        <v>15674.4</v>
      </c>
      <c r="H540" s="4">
        <v>96814.399999999994</v>
      </c>
      <c r="I540" s="188" t="str">
        <f>VLOOKUP(C540,CATEGORIZACION!$A$1:$C$269,2,FALSE)</f>
        <v>TRANSPORTE</v>
      </c>
      <c r="J540" s="188" t="s">
        <v>19</v>
      </c>
    </row>
    <row r="541" spans="1:10" ht="15.75" customHeight="1" x14ac:dyDescent="0.25">
      <c r="A541" s="1">
        <v>45030</v>
      </c>
      <c r="B541" s="188" t="s">
        <v>575</v>
      </c>
      <c r="C541" s="188" t="s">
        <v>36</v>
      </c>
      <c r="D541" s="188" t="s">
        <v>37</v>
      </c>
      <c r="E541" s="4">
        <v>6500</v>
      </c>
      <c r="F541" s="5">
        <v>74640</v>
      </c>
      <c r="G541" s="4">
        <v>15674.4</v>
      </c>
      <c r="H541" s="4">
        <v>96814.399999999994</v>
      </c>
      <c r="I541" s="188" t="str">
        <f>VLOOKUP(C541,CATEGORIZACION!$A$1:$C$269,2,FALSE)</f>
        <v>TRANSPORTE</v>
      </c>
      <c r="J541" s="188" t="s">
        <v>19</v>
      </c>
    </row>
    <row r="542" spans="1:10" ht="15.75" customHeight="1" x14ac:dyDescent="0.25">
      <c r="A542" s="1">
        <v>45030</v>
      </c>
      <c r="B542" s="188" t="s">
        <v>576</v>
      </c>
      <c r="C542" s="188" t="s">
        <v>426</v>
      </c>
      <c r="D542" s="188" t="s">
        <v>427</v>
      </c>
      <c r="E542" s="4">
        <v>1848</v>
      </c>
      <c r="F542" s="5">
        <v>23679.34</v>
      </c>
      <c r="G542" s="4">
        <v>4972.66</v>
      </c>
      <c r="H542" s="4">
        <v>30500</v>
      </c>
      <c r="I542" s="188" t="str">
        <f>VLOOKUP(C542,CATEGORIZACION!$A$1:$C$269,2,FALSE)</f>
        <v>PROOVEDORES</v>
      </c>
      <c r="J542" s="188" t="str">
        <f>VLOOKUP(C542,CATEGORIZACION!$A$1:$C$269,3,FALSE)</f>
        <v>LOGISTICA</v>
      </c>
    </row>
    <row r="543" spans="1:10" ht="15.75" customHeight="1" x14ac:dyDescent="0.25">
      <c r="A543" s="1">
        <v>45031</v>
      </c>
      <c r="B543" s="188" t="s">
        <v>577</v>
      </c>
      <c r="C543" s="188" t="s">
        <v>84</v>
      </c>
      <c r="D543" s="188" t="s">
        <v>85</v>
      </c>
      <c r="E543" s="4">
        <v>37340.410000000003</v>
      </c>
      <c r="F543" s="5">
        <v>390092</v>
      </c>
      <c r="G543" s="4">
        <v>81919.320000000007</v>
      </c>
      <c r="H543" s="4">
        <v>509351.73</v>
      </c>
      <c r="I543" s="188" t="str">
        <f>VLOOKUP(C543,CATEGORIZACION!$A$1:$C$269,2,FALSE)</f>
        <v>PROOVEDORES</v>
      </c>
      <c r="J543" s="188" t="str">
        <f>VLOOKUP(C543,CATEGORIZACION!$A$1:$C$269,3,FALSE)</f>
        <v>LOGISTICA</v>
      </c>
    </row>
    <row r="544" spans="1:10" ht="15.75" customHeight="1" x14ac:dyDescent="0.25">
      <c r="A544" s="1">
        <v>45031</v>
      </c>
      <c r="B544" s="188" t="s">
        <v>578</v>
      </c>
      <c r="C544" s="188" t="s">
        <v>337</v>
      </c>
      <c r="D544" s="188" t="s">
        <v>174</v>
      </c>
      <c r="E544" s="4">
        <v>0</v>
      </c>
      <c r="F544" s="5">
        <v>44300</v>
      </c>
      <c r="G544" s="4">
        <v>9303</v>
      </c>
      <c r="H544" s="4">
        <v>53603</v>
      </c>
      <c r="I544" s="188" t="str">
        <f>VLOOKUP(C544,CATEGORIZACION!$A$1:$C$269,2,FALSE)</f>
        <v>TRANSPORTE</v>
      </c>
      <c r="J544" s="188" t="s">
        <v>19</v>
      </c>
    </row>
    <row r="545" spans="1:10" ht="15.75" customHeight="1" x14ac:dyDescent="0.25">
      <c r="A545" s="1">
        <v>45031</v>
      </c>
      <c r="B545" s="188" t="s">
        <v>579</v>
      </c>
      <c r="C545" s="188" t="s">
        <v>337</v>
      </c>
      <c r="D545" s="188" t="s">
        <v>174</v>
      </c>
      <c r="E545" s="4">
        <v>0</v>
      </c>
      <c r="F545" s="5">
        <v>32500</v>
      </c>
      <c r="G545" s="4">
        <v>6825</v>
      </c>
      <c r="H545" s="4">
        <v>39325</v>
      </c>
      <c r="I545" s="188" t="str">
        <f>VLOOKUP(C545,CATEGORIZACION!$A$1:$C$269,2,FALSE)</f>
        <v>TRANSPORTE</v>
      </c>
      <c r="J545" s="188" t="s">
        <v>19</v>
      </c>
    </row>
    <row r="546" spans="1:10" ht="15.75" customHeight="1" x14ac:dyDescent="0.25">
      <c r="A546" s="1">
        <v>45033</v>
      </c>
      <c r="B546" s="188" t="s">
        <v>580</v>
      </c>
      <c r="C546" s="188" t="s">
        <v>36</v>
      </c>
      <c r="D546" s="188" t="s">
        <v>37</v>
      </c>
      <c r="E546" s="4">
        <v>0</v>
      </c>
      <c r="F546" s="5">
        <v>26100</v>
      </c>
      <c r="G546" s="4">
        <v>5481</v>
      </c>
      <c r="H546" s="4">
        <v>31581</v>
      </c>
      <c r="I546" s="188" t="str">
        <f>VLOOKUP(C546,CATEGORIZACION!$A$1:$C$269,2,FALSE)</f>
        <v>TRANSPORTE</v>
      </c>
      <c r="J546" s="188" t="s">
        <v>19</v>
      </c>
    </row>
    <row r="547" spans="1:10" ht="15.75" customHeight="1" x14ac:dyDescent="0.25">
      <c r="A547" s="1">
        <v>45033</v>
      </c>
      <c r="B547" s="188" t="s">
        <v>581</v>
      </c>
      <c r="C547" s="188" t="s">
        <v>36</v>
      </c>
      <c r="D547" s="188" t="s">
        <v>37</v>
      </c>
      <c r="E547" s="4">
        <v>8900</v>
      </c>
      <c r="F547" s="5">
        <v>62200</v>
      </c>
      <c r="G547" s="4">
        <v>13062</v>
      </c>
      <c r="H547" s="4">
        <v>84162</v>
      </c>
      <c r="I547" s="188" t="str">
        <f>VLOOKUP(C547,CATEGORIZACION!$A$1:$C$269,2,FALSE)</f>
        <v>TRANSPORTE</v>
      </c>
      <c r="J547" s="188" t="s">
        <v>19</v>
      </c>
    </row>
    <row r="548" spans="1:10" ht="15.75" customHeight="1" x14ac:dyDescent="0.25">
      <c r="A548" s="1">
        <v>45033</v>
      </c>
      <c r="B548" s="188" t="s">
        <v>582</v>
      </c>
      <c r="C548" s="188" t="s">
        <v>36</v>
      </c>
      <c r="D548" s="188" t="s">
        <v>37</v>
      </c>
      <c r="E548" s="4">
        <v>8199.9999999999909</v>
      </c>
      <c r="F548" s="5">
        <v>60840</v>
      </c>
      <c r="G548" s="4">
        <v>12776.4</v>
      </c>
      <c r="H548" s="4">
        <v>81816.399999999994</v>
      </c>
      <c r="I548" s="188" t="str">
        <f>VLOOKUP(C548,CATEGORIZACION!$A$1:$C$269,2,FALSE)</f>
        <v>TRANSPORTE</v>
      </c>
      <c r="J548" s="188" t="s">
        <v>19</v>
      </c>
    </row>
    <row r="549" spans="1:10" ht="15.75" customHeight="1" x14ac:dyDescent="0.25">
      <c r="A549" s="1">
        <v>45033</v>
      </c>
      <c r="B549" s="188" t="s">
        <v>583</v>
      </c>
      <c r="C549" s="188" t="s">
        <v>36</v>
      </c>
      <c r="D549" s="188" t="s">
        <v>37</v>
      </c>
      <c r="E549" s="4">
        <v>17200</v>
      </c>
      <c r="F549" s="5">
        <v>138700</v>
      </c>
      <c r="G549" s="4">
        <v>29127</v>
      </c>
      <c r="H549" s="4">
        <v>185027</v>
      </c>
      <c r="I549" s="188" t="str">
        <f>VLOOKUP(C549,CATEGORIZACION!$A$1:$C$269,2,FALSE)</f>
        <v>TRANSPORTE</v>
      </c>
      <c r="J549" s="188" t="s">
        <v>19</v>
      </c>
    </row>
    <row r="550" spans="1:10" ht="15.75" customHeight="1" x14ac:dyDescent="0.25">
      <c r="A550" s="1">
        <v>45033</v>
      </c>
      <c r="B550" s="188" t="s">
        <v>584</v>
      </c>
      <c r="C550" s="188" t="s">
        <v>36</v>
      </c>
      <c r="D550" s="188" t="s">
        <v>37</v>
      </c>
      <c r="E550" s="4">
        <v>17200</v>
      </c>
      <c r="F550" s="5">
        <v>138700</v>
      </c>
      <c r="G550" s="4">
        <v>29127</v>
      </c>
      <c r="H550" s="4">
        <v>185027</v>
      </c>
      <c r="I550" s="188" t="str">
        <f>VLOOKUP(C550,CATEGORIZACION!$A$1:$C$269,2,FALSE)</f>
        <v>TRANSPORTE</v>
      </c>
      <c r="J550" s="188" t="s">
        <v>19</v>
      </c>
    </row>
    <row r="551" spans="1:10" ht="15.75" customHeight="1" x14ac:dyDescent="0.25">
      <c r="A551" s="1">
        <v>45033</v>
      </c>
      <c r="B551" s="188" t="s">
        <v>585</v>
      </c>
      <c r="C551" s="188" t="s">
        <v>36</v>
      </c>
      <c r="D551" s="188" t="s">
        <v>37</v>
      </c>
      <c r="E551" s="4">
        <v>12400</v>
      </c>
      <c r="F551" s="5">
        <v>82700</v>
      </c>
      <c r="G551" s="4">
        <v>17367</v>
      </c>
      <c r="H551" s="4">
        <v>112467</v>
      </c>
      <c r="I551" s="188" t="str">
        <f>VLOOKUP(C551,CATEGORIZACION!$A$1:$C$269,2,FALSE)</f>
        <v>TRANSPORTE</v>
      </c>
      <c r="J551" s="188" t="s">
        <v>19</v>
      </c>
    </row>
    <row r="552" spans="1:10" ht="15.75" customHeight="1" x14ac:dyDescent="0.25">
      <c r="A552" s="1">
        <v>45033</v>
      </c>
      <c r="B552" s="188" t="s">
        <v>586</v>
      </c>
      <c r="C552" s="188" t="s">
        <v>36</v>
      </c>
      <c r="D552" s="188" t="s">
        <v>37</v>
      </c>
      <c r="E552" s="4">
        <v>12400</v>
      </c>
      <c r="F552" s="5">
        <v>82700</v>
      </c>
      <c r="G552" s="4">
        <v>17367</v>
      </c>
      <c r="H552" s="4">
        <v>112467</v>
      </c>
      <c r="I552" s="188" t="str">
        <f>VLOOKUP(C552,CATEGORIZACION!$A$1:$C$269,2,FALSE)</f>
        <v>TRANSPORTE</v>
      </c>
      <c r="J552" s="188" t="s">
        <v>19</v>
      </c>
    </row>
    <row r="553" spans="1:10" ht="15.75" customHeight="1" x14ac:dyDescent="0.25">
      <c r="A553" s="1">
        <v>45033</v>
      </c>
      <c r="B553" s="188" t="s">
        <v>587</v>
      </c>
      <c r="C553" s="188" t="s">
        <v>36</v>
      </c>
      <c r="D553" s="188" t="s">
        <v>37</v>
      </c>
      <c r="E553" s="4">
        <v>8900</v>
      </c>
      <c r="F553" s="5">
        <v>62200</v>
      </c>
      <c r="G553" s="4">
        <v>13062</v>
      </c>
      <c r="H553" s="4">
        <v>84162</v>
      </c>
      <c r="I553" s="188" t="str">
        <f>VLOOKUP(C553,CATEGORIZACION!$A$1:$C$269,2,FALSE)</f>
        <v>TRANSPORTE</v>
      </c>
      <c r="J553" s="188" t="s">
        <v>19</v>
      </c>
    </row>
    <row r="554" spans="1:10" ht="15.75" customHeight="1" x14ac:dyDescent="0.25">
      <c r="A554" s="1">
        <v>45033</v>
      </c>
      <c r="B554" s="188" t="s">
        <v>588</v>
      </c>
      <c r="C554" s="188" t="s">
        <v>36</v>
      </c>
      <c r="D554" s="188" t="s">
        <v>37</v>
      </c>
      <c r="E554" s="4">
        <v>8900</v>
      </c>
      <c r="F554" s="5">
        <v>62200</v>
      </c>
      <c r="G554" s="4">
        <v>13062</v>
      </c>
      <c r="H554" s="4">
        <v>84162</v>
      </c>
      <c r="I554" s="188" t="str">
        <f>VLOOKUP(C554,CATEGORIZACION!$A$1:$C$269,2,FALSE)</f>
        <v>TRANSPORTE</v>
      </c>
      <c r="J554" s="188" t="s">
        <v>19</v>
      </c>
    </row>
    <row r="555" spans="1:10" ht="15.75" customHeight="1" x14ac:dyDescent="0.25">
      <c r="A555" s="1">
        <v>45033</v>
      </c>
      <c r="B555" s="188" t="s">
        <v>589</v>
      </c>
      <c r="C555" s="188" t="s">
        <v>36</v>
      </c>
      <c r="D555" s="188" t="s">
        <v>37</v>
      </c>
      <c r="E555" s="4">
        <v>8200</v>
      </c>
      <c r="F555" s="5">
        <v>46800</v>
      </c>
      <c r="G555" s="4">
        <v>9828</v>
      </c>
      <c r="H555" s="4">
        <v>64828</v>
      </c>
      <c r="I555" s="188" t="str">
        <f>VLOOKUP(C555,CATEGORIZACION!$A$1:$C$269,2,FALSE)</f>
        <v>TRANSPORTE</v>
      </c>
      <c r="J555" s="188" t="s">
        <v>19</v>
      </c>
    </row>
    <row r="556" spans="1:10" ht="15.75" customHeight="1" x14ac:dyDescent="0.25">
      <c r="A556" s="1">
        <v>45033</v>
      </c>
      <c r="B556" s="188" t="s">
        <v>590</v>
      </c>
      <c r="C556" s="188" t="s">
        <v>36</v>
      </c>
      <c r="D556" s="188" t="s">
        <v>37</v>
      </c>
      <c r="E556" s="4">
        <v>10700</v>
      </c>
      <c r="F556" s="5">
        <v>124400</v>
      </c>
      <c r="G556" s="4">
        <v>26124</v>
      </c>
      <c r="H556" s="4">
        <v>161224</v>
      </c>
      <c r="I556" s="188" t="str">
        <f>VLOOKUP(C556,CATEGORIZACION!$A$1:$C$269,2,FALSE)</f>
        <v>TRANSPORTE</v>
      </c>
      <c r="J556" s="188" t="s">
        <v>19</v>
      </c>
    </row>
    <row r="557" spans="1:10" ht="15.75" customHeight="1" x14ac:dyDescent="0.25">
      <c r="A557" s="1">
        <v>45033</v>
      </c>
      <c r="B557" s="188" t="s">
        <v>591</v>
      </c>
      <c r="C557" s="188" t="s">
        <v>36</v>
      </c>
      <c r="D557" s="188" t="s">
        <v>37</v>
      </c>
      <c r="E557" s="4">
        <v>4100</v>
      </c>
      <c r="F557" s="5">
        <v>111950</v>
      </c>
      <c r="G557" s="4">
        <v>23509.5</v>
      </c>
      <c r="H557" s="4">
        <v>139559.5</v>
      </c>
      <c r="I557" s="188" t="str">
        <f>VLOOKUP(C557,CATEGORIZACION!$A$1:$C$269,2,FALSE)</f>
        <v>TRANSPORTE</v>
      </c>
      <c r="J557" s="188" t="s">
        <v>19</v>
      </c>
    </row>
    <row r="558" spans="1:10" ht="15.75" customHeight="1" x14ac:dyDescent="0.25">
      <c r="A558" s="1">
        <v>45033</v>
      </c>
      <c r="B558" s="188" t="s">
        <v>592</v>
      </c>
      <c r="C558" s="188" t="s">
        <v>36</v>
      </c>
      <c r="D558" s="188" t="s">
        <v>37</v>
      </c>
      <c r="E558" s="4">
        <v>4100</v>
      </c>
      <c r="F558" s="5">
        <v>111950</v>
      </c>
      <c r="G558" s="4">
        <v>23509.5</v>
      </c>
      <c r="H558" s="4">
        <v>139559.5</v>
      </c>
      <c r="I558" s="188" t="str">
        <f>VLOOKUP(C558,CATEGORIZACION!$A$1:$C$269,2,FALSE)</f>
        <v>TRANSPORTE</v>
      </c>
      <c r="J558" s="188" t="s">
        <v>19</v>
      </c>
    </row>
    <row r="559" spans="1:10" ht="15.75" customHeight="1" x14ac:dyDescent="0.25">
      <c r="A559" s="1">
        <v>45033</v>
      </c>
      <c r="B559" s="188" t="s">
        <v>593</v>
      </c>
      <c r="C559" s="188" t="s">
        <v>36</v>
      </c>
      <c r="D559" s="188" t="s">
        <v>37</v>
      </c>
      <c r="E559" s="4">
        <v>4100</v>
      </c>
      <c r="F559" s="5">
        <v>111950</v>
      </c>
      <c r="G559" s="4">
        <v>23509.5</v>
      </c>
      <c r="H559" s="4">
        <v>139559.5</v>
      </c>
      <c r="I559" s="188" t="str">
        <f>VLOOKUP(C559,CATEGORIZACION!$A$1:$C$269,2,FALSE)</f>
        <v>TRANSPORTE</v>
      </c>
      <c r="J559" s="188" t="s">
        <v>19</v>
      </c>
    </row>
    <row r="560" spans="1:10" ht="15.75" customHeight="1" x14ac:dyDescent="0.25">
      <c r="A560" s="1">
        <v>45033</v>
      </c>
      <c r="B560" s="188" t="s">
        <v>594</v>
      </c>
      <c r="C560" s="188" t="s">
        <v>36</v>
      </c>
      <c r="D560" s="188" t="s">
        <v>37</v>
      </c>
      <c r="E560" s="4">
        <v>4800</v>
      </c>
      <c r="F560" s="5">
        <v>37200</v>
      </c>
      <c r="G560" s="4">
        <v>7812</v>
      </c>
      <c r="H560" s="4">
        <v>49812</v>
      </c>
      <c r="I560" s="188" t="str">
        <f>VLOOKUP(C560,CATEGORIZACION!$A$1:$C$269,2,FALSE)</f>
        <v>TRANSPORTE</v>
      </c>
      <c r="J560" s="188" t="s">
        <v>19</v>
      </c>
    </row>
    <row r="561" spans="1:10" ht="15.75" customHeight="1" x14ac:dyDescent="0.25">
      <c r="A561" s="1">
        <v>45033</v>
      </c>
      <c r="B561" s="188" t="s">
        <v>595</v>
      </c>
      <c r="C561" s="188" t="s">
        <v>36</v>
      </c>
      <c r="D561" s="188" t="s">
        <v>37</v>
      </c>
      <c r="E561" s="4">
        <v>4800</v>
      </c>
      <c r="F561" s="5">
        <v>37200</v>
      </c>
      <c r="G561" s="4">
        <v>7812</v>
      </c>
      <c r="H561" s="4">
        <v>49812</v>
      </c>
      <c r="I561" s="188" t="str">
        <f>VLOOKUP(C561,CATEGORIZACION!$A$1:$C$269,2,FALSE)</f>
        <v>TRANSPORTE</v>
      </c>
      <c r="J561" s="188" t="s">
        <v>19</v>
      </c>
    </row>
    <row r="562" spans="1:10" ht="15.75" customHeight="1" x14ac:dyDescent="0.25">
      <c r="A562" s="1">
        <v>45033</v>
      </c>
      <c r="B562" s="188" t="s">
        <v>596</v>
      </c>
      <c r="C562" s="188" t="s">
        <v>36</v>
      </c>
      <c r="D562" s="188" t="s">
        <v>37</v>
      </c>
      <c r="E562" s="4">
        <v>8200</v>
      </c>
      <c r="F562" s="5">
        <v>51480</v>
      </c>
      <c r="G562" s="4">
        <v>10810.8</v>
      </c>
      <c r="H562" s="4">
        <v>70490.8</v>
      </c>
      <c r="I562" s="188" t="str">
        <f>VLOOKUP(C562,CATEGORIZACION!$A$1:$C$269,2,FALSE)</f>
        <v>TRANSPORTE</v>
      </c>
      <c r="J562" s="188" t="s">
        <v>19</v>
      </c>
    </row>
    <row r="563" spans="1:10" ht="15.75" customHeight="1" x14ac:dyDescent="0.25">
      <c r="A563" s="1">
        <v>45033</v>
      </c>
      <c r="B563" s="188" t="s">
        <v>597</v>
      </c>
      <c r="C563" s="188" t="s">
        <v>36</v>
      </c>
      <c r="D563" s="188" t="s">
        <v>37</v>
      </c>
      <c r="E563" s="4">
        <v>11000</v>
      </c>
      <c r="F563" s="5">
        <v>76500</v>
      </c>
      <c r="G563" s="4">
        <v>16065</v>
      </c>
      <c r="H563" s="4">
        <v>103565</v>
      </c>
      <c r="I563" s="188" t="str">
        <f>VLOOKUP(C563,CATEGORIZACION!$A$1:$C$269,2,FALSE)</f>
        <v>TRANSPORTE</v>
      </c>
      <c r="J563" s="188" t="s">
        <v>19</v>
      </c>
    </row>
    <row r="564" spans="1:10" ht="15.75" customHeight="1" x14ac:dyDescent="0.25">
      <c r="A564" s="1">
        <v>45033</v>
      </c>
      <c r="B564" s="188" t="s">
        <v>598</v>
      </c>
      <c r="C564" s="188" t="s">
        <v>36</v>
      </c>
      <c r="D564" s="188" t="s">
        <v>37</v>
      </c>
      <c r="E564" s="4">
        <v>11000</v>
      </c>
      <c r="F564" s="5">
        <v>76500</v>
      </c>
      <c r="G564" s="4">
        <v>16065</v>
      </c>
      <c r="H564" s="4">
        <v>103565</v>
      </c>
      <c r="I564" s="188" t="str">
        <f>VLOOKUP(C564,CATEGORIZACION!$A$1:$C$269,2,FALSE)</f>
        <v>TRANSPORTE</v>
      </c>
      <c r="J564" s="188" t="s">
        <v>19</v>
      </c>
    </row>
    <row r="565" spans="1:10" ht="15.75" customHeight="1" x14ac:dyDescent="0.25">
      <c r="A565" s="1">
        <v>45033</v>
      </c>
      <c r="B565" s="188" t="s">
        <v>599</v>
      </c>
      <c r="C565" s="188" t="s">
        <v>36</v>
      </c>
      <c r="D565" s="188" t="s">
        <v>37</v>
      </c>
      <c r="E565" s="4">
        <v>11000</v>
      </c>
      <c r="F565" s="5">
        <v>76500</v>
      </c>
      <c r="G565" s="4">
        <v>16065</v>
      </c>
      <c r="H565" s="4">
        <v>103565</v>
      </c>
      <c r="I565" s="188" t="str">
        <f>VLOOKUP(C565,CATEGORIZACION!$A$1:$C$269,2,FALSE)</f>
        <v>TRANSPORTE</v>
      </c>
      <c r="J565" s="188" t="s">
        <v>19</v>
      </c>
    </row>
    <row r="566" spans="1:10" ht="15.75" customHeight="1" x14ac:dyDescent="0.25">
      <c r="A566" s="1">
        <v>45033</v>
      </c>
      <c r="B566" s="188" t="s">
        <v>600</v>
      </c>
      <c r="C566" s="188" t="s">
        <v>601</v>
      </c>
      <c r="D566" s="188" t="s">
        <v>602</v>
      </c>
      <c r="E566" s="4">
        <v>215.48</v>
      </c>
      <c r="F566" s="5">
        <v>11970.68</v>
      </c>
      <c r="G566" s="4">
        <v>2513.84</v>
      </c>
      <c r="H566" s="4">
        <v>14700</v>
      </c>
      <c r="I566" s="188" t="str">
        <f>VLOOKUP(C566,CATEGORIZACION!$A$1:$C$269,2,FALSE)</f>
        <v>PROOVEDORES</v>
      </c>
      <c r="J566" s="188" t="str">
        <f>VLOOKUP(C566,CATEGORIZACION!$A$1:$C$269,3,FALSE)</f>
        <v>LOGISTICA</v>
      </c>
    </row>
    <row r="567" spans="1:10" ht="15.75" customHeight="1" x14ac:dyDescent="0.25">
      <c r="A567" s="1">
        <v>45036</v>
      </c>
      <c r="B567" s="188" t="s">
        <v>603</v>
      </c>
      <c r="C567" s="188" t="s">
        <v>52</v>
      </c>
      <c r="D567" s="188" t="s">
        <v>53</v>
      </c>
      <c r="E567" s="4">
        <v>0</v>
      </c>
      <c r="F567" s="3">
        <v>32133.24</v>
      </c>
      <c r="G567" s="4">
        <v>6747.98</v>
      </c>
      <c r="H567" s="4">
        <v>38881.22</v>
      </c>
      <c r="I567" s="188" t="str">
        <f>VLOOKUP(C567,CATEGORIZACION!$A$1:$C$269,2,FALSE)</f>
        <v>PROOVEDORES</v>
      </c>
      <c r="J567" s="188" t="str">
        <f>VLOOKUP(C567,CATEGORIZACION!$A$1:$C$269,3,FALSE)</f>
        <v>DEPOSITO</v>
      </c>
    </row>
    <row r="568" spans="1:10" ht="15.75" customHeight="1" x14ac:dyDescent="0.25">
      <c r="A568" s="1">
        <v>45036</v>
      </c>
      <c r="B568" s="188" t="s">
        <v>604</v>
      </c>
      <c r="C568" s="188" t="s">
        <v>36</v>
      </c>
      <c r="D568" s="188" t="s">
        <v>37</v>
      </c>
      <c r="E568" s="4">
        <v>0</v>
      </c>
      <c r="F568" s="5">
        <v>26100</v>
      </c>
      <c r="G568" s="4">
        <v>5481</v>
      </c>
      <c r="H568" s="4">
        <v>31581</v>
      </c>
      <c r="I568" s="188" t="str">
        <f>VLOOKUP(C568,CATEGORIZACION!$A$1:$C$269,2,FALSE)</f>
        <v>TRANSPORTE</v>
      </c>
      <c r="J568" s="188" t="s">
        <v>19</v>
      </c>
    </row>
    <row r="569" spans="1:10" ht="15.75" customHeight="1" x14ac:dyDescent="0.25">
      <c r="A569" s="1">
        <v>45036</v>
      </c>
      <c r="B569" s="188" t="s">
        <v>605</v>
      </c>
      <c r="C569" s="188" t="s">
        <v>36</v>
      </c>
      <c r="D569" s="188" t="s">
        <v>37</v>
      </c>
      <c r="E569" s="4">
        <v>8900</v>
      </c>
      <c r="F569" s="5">
        <v>104500</v>
      </c>
      <c r="G569" s="4">
        <v>21945</v>
      </c>
      <c r="H569" s="4">
        <v>135345</v>
      </c>
      <c r="I569" s="188" t="str">
        <f>VLOOKUP(C569,CATEGORIZACION!$A$1:$C$269,2,FALSE)</f>
        <v>TRANSPORTE</v>
      </c>
      <c r="J569" s="188" t="s">
        <v>19</v>
      </c>
    </row>
    <row r="570" spans="1:10" ht="15.75" customHeight="1" x14ac:dyDescent="0.25">
      <c r="A570" s="1">
        <v>45036</v>
      </c>
      <c r="B570" s="188" t="s">
        <v>606</v>
      </c>
      <c r="C570" s="188" t="s">
        <v>36</v>
      </c>
      <c r="D570" s="188" t="s">
        <v>37</v>
      </c>
      <c r="E570" s="4">
        <v>8900</v>
      </c>
      <c r="F570" s="5">
        <v>62200</v>
      </c>
      <c r="G570" s="4">
        <v>13062</v>
      </c>
      <c r="H570" s="4">
        <v>84162</v>
      </c>
      <c r="I570" s="188" t="str">
        <f>VLOOKUP(C570,CATEGORIZACION!$A$1:$C$269,2,FALSE)</f>
        <v>TRANSPORTE</v>
      </c>
      <c r="J570" s="188" t="s">
        <v>19</v>
      </c>
    </row>
    <row r="571" spans="1:10" ht="15.75" customHeight="1" x14ac:dyDescent="0.25">
      <c r="A571" s="1">
        <v>45036</v>
      </c>
      <c r="B571" s="188" t="s">
        <v>607</v>
      </c>
      <c r="C571" s="188" t="s">
        <v>36</v>
      </c>
      <c r="D571" s="188" t="s">
        <v>37</v>
      </c>
      <c r="E571" s="4">
        <v>8100</v>
      </c>
      <c r="F571" s="5">
        <v>124400</v>
      </c>
      <c r="G571" s="4">
        <v>26124</v>
      </c>
      <c r="H571" s="4">
        <v>158624</v>
      </c>
      <c r="I571" s="188" t="str">
        <f>VLOOKUP(C571,CATEGORIZACION!$A$1:$C$269,2,FALSE)</f>
        <v>TRANSPORTE</v>
      </c>
      <c r="J571" s="188" t="s">
        <v>19</v>
      </c>
    </row>
    <row r="572" spans="1:10" ht="15.75" customHeight="1" x14ac:dyDescent="0.25">
      <c r="A572" s="1">
        <v>45036</v>
      </c>
      <c r="B572" s="188" t="s">
        <v>608</v>
      </c>
      <c r="C572" s="188" t="s">
        <v>36</v>
      </c>
      <c r="D572" s="188" t="s">
        <v>37</v>
      </c>
      <c r="E572" s="4">
        <v>6300</v>
      </c>
      <c r="F572" s="5">
        <v>99800</v>
      </c>
      <c r="G572" s="4">
        <v>20958</v>
      </c>
      <c r="H572" s="4">
        <v>127058</v>
      </c>
      <c r="I572" s="188" t="str">
        <f>VLOOKUP(C572,CATEGORIZACION!$A$1:$C$269,2,FALSE)</f>
        <v>TRANSPORTE</v>
      </c>
      <c r="J572" s="188" t="s">
        <v>19</v>
      </c>
    </row>
    <row r="573" spans="1:10" ht="15.75" customHeight="1" x14ac:dyDescent="0.25">
      <c r="A573" s="1">
        <v>45036</v>
      </c>
      <c r="B573" s="188" t="s">
        <v>609</v>
      </c>
      <c r="C573" s="188" t="s">
        <v>36</v>
      </c>
      <c r="D573" s="188" t="s">
        <v>37</v>
      </c>
      <c r="E573" s="4">
        <v>11000</v>
      </c>
      <c r="F573" s="5">
        <v>76500</v>
      </c>
      <c r="G573" s="4">
        <v>16065</v>
      </c>
      <c r="H573" s="4">
        <v>103565</v>
      </c>
      <c r="I573" s="188" t="str">
        <f>VLOOKUP(C573,CATEGORIZACION!$A$1:$C$269,2,FALSE)</f>
        <v>TRANSPORTE</v>
      </c>
      <c r="J573" s="188" t="s">
        <v>19</v>
      </c>
    </row>
    <row r="574" spans="1:10" ht="15.75" customHeight="1" x14ac:dyDescent="0.25">
      <c r="A574" s="1">
        <v>45036</v>
      </c>
      <c r="B574" s="188" t="s">
        <v>610</v>
      </c>
      <c r="C574" s="188" t="s">
        <v>36</v>
      </c>
      <c r="D574" s="188" t="s">
        <v>37</v>
      </c>
      <c r="E574" s="4">
        <v>8900</v>
      </c>
      <c r="F574" s="5">
        <v>62200</v>
      </c>
      <c r="G574" s="4">
        <v>13062</v>
      </c>
      <c r="H574" s="4">
        <v>84162</v>
      </c>
      <c r="I574" s="188" t="str">
        <f>VLOOKUP(C574,CATEGORIZACION!$A$1:$C$269,2,FALSE)</f>
        <v>TRANSPORTE</v>
      </c>
      <c r="J574" s="188" t="s">
        <v>19</v>
      </c>
    </row>
    <row r="575" spans="1:10" ht="15.75" customHeight="1" x14ac:dyDescent="0.25">
      <c r="A575" s="1">
        <v>45036</v>
      </c>
      <c r="B575" s="188" t="s">
        <v>611</v>
      </c>
      <c r="C575" s="188" t="s">
        <v>36</v>
      </c>
      <c r="D575" s="188" t="s">
        <v>37</v>
      </c>
      <c r="E575" s="4">
        <v>8900</v>
      </c>
      <c r="F575" s="5">
        <v>62200</v>
      </c>
      <c r="G575" s="4">
        <v>13062</v>
      </c>
      <c r="H575" s="4">
        <v>84162</v>
      </c>
      <c r="I575" s="188" t="str">
        <f>VLOOKUP(C575,CATEGORIZACION!$A$1:$C$269,2,FALSE)</f>
        <v>TRANSPORTE</v>
      </c>
      <c r="J575" s="188" t="s">
        <v>19</v>
      </c>
    </row>
    <row r="576" spans="1:10" ht="15.75" customHeight="1" x14ac:dyDescent="0.25">
      <c r="A576" s="1">
        <v>45036</v>
      </c>
      <c r="B576" s="188" t="s">
        <v>612</v>
      </c>
      <c r="C576" s="188" t="s">
        <v>36</v>
      </c>
      <c r="D576" s="188" t="s">
        <v>37</v>
      </c>
      <c r="E576" s="4">
        <v>8900</v>
      </c>
      <c r="F576" s="5">
        <v>62200</v>
      </c>
      <c r="G576" s="4">
        <v>13062</v>
      </c>
      <c r="H576" s="4">
        <v>84162</v>
      </c>
      <c r="I576" s="188" t="str">
        <f>VLOOKUP(C576,CATEGORIZACION!$A$1:$C$269,2,FALSE)</f>
        <v>TRANSPORTE</v>
      </c>
      <c r="J576" s="188" t="s">
        <v>19</v>
      </c>
    </row>
    <row r="577" spans="1:10" ht="15.75" customHeight="1" x14ac:dyDescent="0.25">
      <c r="A577" s="1">
        <v>45036</v>
      </c>
      <c r="B577" s="188" t="s">
        <v>613</v>
      </c>
      <c r="C577" s="188" t="s">
        <v>36</v>
      </c>
      <c r="D577" s="188" t="s">
        <v>37</v>
      </c>
      <c r="E577" s="4">
        <v>1800</v>
      </c>
      <c r="F577" s="5">
        <v>38750</v>
      </c>
      <c r="G577" s="4">
        <v>8137.5</v>
      </c>
      <c r="H577" s="4">
        <v>48687.5</v>
      </c>
      <c r="I577" s="188" t="str">
        <f>VLOOKUP(C577,CATEGORIZACION!$A$1:$C$269,2,FALSE)</f>
        <v>TRANSPORTE</v>
      </c>
      <c r="J577" s="188" t="s">
        <v>19</v>
      </c>
    </row>
    <row r="578" spans="1:10" ht="15.75" customHeight="1" x14ac:dyDescent="0.25">
      <c r="A578" s="1">
        <v>45036</v>
      </c>
      <c r="B578" s="188" t="s">
        <v>614</v>
      </c>
      <c r="C578" s="188" t="s">
        <v>36</v>
      </c>
      <c r="D578" s="188" t="s">
        <v>37</v>
      </c>
      <c r="E578" s="4">
        <v>8200</v>
      </c>
      <c r="F578" s="5">
        <v>46800</v>
      </c>
      <c r="G578" s="4">
        <v>9828</v>
      </c>
      <c r="H578" s="4">
        <v>64828</v>
      </c>
      <c r="I578" s="188" t="str">
        <f>VLOOKUP(C578,CATEGORIZACION!$A$1:$C$269,2,FALSE)</f>
        <v>TRANSPORTE</v>
      </c>
      <c r="J578" s="188" t="s">
        <v>19</v>
      </c>
    </row>
    <row r="579" spans="1:10" ht="15.75" customHeight="1" x14ac:dyDescent="0.25">
      <c r="A579" s="1">
        <v>45036</v>
      </c>
      <c r="B579" s="188" t="s">
        <v>615</v>
      </c>
      <c r="C579" s="188" t="s">
        <v>36</v>
      </c>
      <c r="D579" s="188" t="s">
        <v>37</v>
      </c>
      <c r="E579" s="4">
        <v>8200</v>
      </c>
      <c r="F579" s="5">
        <v>46800</v>
      </c>
      <c r="G579" s="4">
        <v>9828</v>
      </c>
      <c r="H579" s="4">
        <v>64828</v>
      </c>
      <c r="I579" s="188" t="str">
        <f>VLOOKUP(C579,CATEGORIZACION!$A$1:$C$269,2,FALSE)</f>
        <v>TRANSPORTE</v>
      </c>
      <c r="J579" s="188" t="s">
        <v>19</v>
      </c>
    </row>
    <row r="580" spans="1:10" ht="15.75" customHeight="1" x14ac:dyDescent="0.25">
      <c r="A580" s="1">
        <v>45036</v>
      </c>
      <c r="B580" s="188" t="s">
        <v>616</v>
      </c>
      <c r="C580" s="188" t="s">
        <v>36</v>
      </c>
      <c r="D580" s="188" t="s">
        <v>37</v>
      </c>
      <c r="E580" s="4">
        <v>8200</v>
      </c>
      <c r="F580" s="5">
        <v>51480</v>
      </c>
      <c r="G580" s="4">
        <v>10810.8</v>
      </c>
      <c r="H580" s="4">
        <v>70490.8</v>
      </c>
      <c r="I580" s="188" t="str">
        <f>VLOOKUP(C580,CATEGORIZACION!$A$1:$C$269,2,FALSE)</f>
        <v>TRANSPORTE</v>
      </c>
      <c r="J580" s="188" t="s">
        <v>19</v>
      </c>
    </row>
    <row r="581" spans="1:10" ht="15.75" customHeight="1" x14ac:dyDescent="0.25">
      <c r="A581" s="1">
        <v>45036</v>
      </c>
      <c r="B581" s="188" t="s">
        <v>617</v>
      </c>
      <c r="C581" s="188" t="s">
        <v>36</v>
      </c>
      <c r="D581" s="188" t="s">
        <v>37</v>
      </c>
      <c r="E581" s="4">
        <v>8900</v>
      </c>
      <c r="F581" s="5">
        <v>88950</v>
      </c>
      <c r="G581" s="4">
        <v>18679.5</v>
      </c>
      <c r="H581" s="4">
        <v>116529.5</v>
      </c>
      <c r="I581" s="188" t="str">
        <f>VLOOKUP(C581,CATEGORIZACION!$A$1:$C$269,2,FALSE)</f>
        <v>TRANSPORTE</v>
      </c>
      <c r="J581" s="188" t="s">
        <v>19</v>
      </c>
    </row>
    <row r="582" spans="1:10" ht="15.75" customHeight="1" x14ac:dyDescent="0.25">
      <c r="A582" s="1">
        <v>45036</v>
      </c>
      <c r="B582" s="188" t="s">
        <v>618</v>
      </c>
      <c r="C582" s="188" t="s">
        <v>36</v>
      </c>
      <c r="D582" s="188" t="s">
        <v>37</v>
      </c>
      <c r="E582" s="4">
        <v>8900</v>
      </c>
      <c r="F582" s="5">
        <v>62200</v>
      </c>
      <c r="G582" s="4">
        <v>13062</v>
      </c>
      <c r="H582" s="4">
        <v>84162</v>
      </c>
      <c r="I582" s="188" t="str">
        <f>VLOOKUP(C582,CATEGORIZACION!$A$1:$C$269,2,FALSE)</f>
        <v>TRANSPORTE</v>
      </c>
      <c r="J582" s="188" t="s">
        <v>19</v>
      </c>
    </row>
    <row r="583" spans="1:10" ht="15.75" customHeight="1" x14ac:dyDescent="0.25">
      <c r="A583" s="1">
        <v>45036</v>
      </c>
      <c r="B583" s="188" t="s">
        <v>619</v>
      </c>
      <c r="C583" s="188" t="s">
        <v>36</v>
      </c>
      <c r="D583" s="188" t="s">
        <v>37</v>
      </c>
      <c r="E583" s="4">
        <v>8200</v>
      </c>
      <c r="F583" s="5">
        <v>46800</v>
      </c>
      <c r="G583" s="4">
        <v>9828</v>
      </c>
      <c r="H583" s="4">
        <v>64828</v>
      </c>
      <c r="I583" s="188" t="str">
        <f>VLOOKUP(C583,CATEGORIZACION!$A$1:$C$269,2,FALSE)</f>
        <v>TRANSPORTE</v>
      </c>
      <c r="J583" s="188" t="s">
        <v>19</v>
      </c>
    </row>
    <row r="584" spans="1:10" ht="15.75" customHeight="1" x14ac:dyDescent="0.25">
      <c r="A584" s="1">
        <v>45036</v>
      </c>
      <c r="B584" s="188" t="s">
        <v>620</v>
      </c>
      <c r="C584" s="188" t="s">
        <v>36</v>
      </c>
      <c r="D584" s="188" t="s">
        <v>37</v>
      </c>
      <c r="E584" s="4">
        <v>1800</v>
      </c>
      <c r="F584" s="5">
        <v>38750</v>
      </c>
      <c r="G584" s="4">
        <v>8137.5</v>
      </c>
      <c r="H584" s="4">
        <v>48687.5</v>
      </c>
      <c r="I584" s="188" t="str">
        <f>VLOOKUP(C584,CATEGORIZACION!$A$1:$C$269,2,FALSE)</f>
        <v>TRANSPORTE</v>
      </c>
      <c r="J584" s="188" t="s">
        <v>19</v>
      </c>
    </row>
    <row r="585" spans="1:10" ht="15.75" customHeight="1" x14ac:dyDescent="0.25">
      <c r="A585" s="1">
        <v>45037</v>
      </c>
      <c r="B585" s="188" t="s">
        <v>621</v>
      </c>
      <c r="C585" s="188" t="s">
        <v>59</v>
      </c>
      <c r="D585" s="188" t="s">
        <v>60</v>
      </c>
      <c r="E585" s="4">
        <v>0</v>
      </c>
      <c r="F585" s="3">
        <v>553600</v>
      </c>
      <c r="G585" s="4">
        <v>116256</v>
      </c>
      <c r="H585" s="4">
        <v>669856</v>
      </c>
      <c r="I585" s="188" t="str">
        <f>VLOOKUP(C585,CATEGORIZACION!$A$1:$C$269,2,FALSE)</f>
        <v>PROOVEDORES</v>
      </c>
      <c r="J585" s="188" t="str">
        <f>VLOOKUP(C585,CATEGORIZACION!$A$1:$C$269,3,FALSE)</f>
        <v>DEPOSITO</v>
      </c>
    </row>
    <row r="586" spans="1:10" ht="15.75" customHeight="1" x14ac:dyDescent="0.25">
      <c r="A586" s="1">
        <v>45038</v>
      </c>
      <c r="B586" s="188" t="s">
        <v>622</v>
      </c>
      <c r="C586" s="188" t="s">
        <v>21</v>
      </c>
      <c r="D586" s="188" t="s">
        <v>22</v>
      </c>
      <c r="E586" s="4">
        <v>25800</v>
      </c>
      <c r="F586" s="5">
        <v>360000</v>
      </c>
      <c r="G586" s="4">
        <v>75600</v>
      </c>
      <c r="H586" s="4">
        <v>461400</v>
      </c>
      <c r="I586" s="188" t="str">
        <f>VLOOKUP(C586,CATEGORIZACION!$A$1:$C$269,2,FALSE)</f>
        <v>TRANSPORTE</v>
      </c>
      <c r="J586" s="188" t="s">
        <v>19</v>
      </c>
    </row>
    <row r="587" spans="1:10" ht="15.75" customHeight="1" x14ac:dyDescent="0.25">
      <c r="A587" s="1">
        <v>45038</v>
      </c>
      <c r="B587" s="188" t="s">
        <v>623</v>
      </c>
      <c r="C587" s="188" t="s">
        <v>21</v>
      </c>
      <c r="D587" s="188" t="s">
        <v>22</v>
      </c>
      <c r="E587" s="4">
        <v>25800</v>
      </c>
      <c r="F587" s="5">
        <v>360000</v>
      </c>
      <c r="G587" s="4">
        <v>75600</v>
      </c>
      <c r="H587" s="4">
        <v>461400</v>
      </c>
      <c r="I587" s="188" t="str">
        <f>VLOOKUP(C587,CATEGORIZACION!$A$1:$C$269,2,FALSE)</f>
        <v>TRANSPORTE</v>
      </c>
      <c r="J587" s="188" t="s">
        <v>19</v>
      </c>
    </row>
    <row r="588" spans="1:10" ht="15.75" customHeight="1" x14ac:dyDescent="0.25">
      <c r="A588" s="1">
        <v>45038</v>
      </c>
      <c r="B588" s="188" t="s">
        <v>624</v>
      </c>
      <c r="C588" s="188" t="s">
        <v>21</v>
      </c>
      <c r="D588" s="188" t="s">
        <v>22</v>
      </c>
      <c r="E588" s="4">
        <v>34400</v>
      </c>
      <c r="F588" s="5">
        <v>480000</v>
      </c>
      <c r="G588" s="4">
        <v>100800</v>
      </c>
      <c r="H588" s="4">
        <v>615200</v>
      </c>
      <c r="I588" s="188" t="str">
        <f>VLOOKUP(C588,CATEGORIZACION!$A$1:$C$269,2,FALSE)</f>
        <v>TRANSPORTE</v>
      </c>
      <c r="J588" s="188" t="s">
        <v>19</v>
      </c>
    </row>
    <row r="589" spans="1:10" ht="15.75" customHeight="1" x14ac:dyDescent="0.25">
      <c r="A589" s="1">
        <v>45038</v>
      </c>
      <c r="B589" s="188" t="s">
        <v>625</v>
      </c>
      <c r="C589" s="188" t="s">
        <v>21</v>
      </c>
      <c r="D589" s="188" t="s">
        <v>22</v>
      </c>
      <c r="E589" s="4">
        <v>30100</v>
      </c>
      <c r="F589" s="5">
        <v>420000</v>
      </c>
      <c r="G589" s="4">
        <v>88200</v>
      </c>
      <c r="H589" s="4">
        <v>538300</v>
      </c>
      <c r="I589" s="188" t="str">
        <f>VLOOKUP(C589,CATEGORIZACION!$A$1:$C$269,2,FALSE)</f>
        <v>TRANSPORTE</v>
      </c>
      <c r="J589" s="188" t="s">
        <v>19</v>
      </c>
    </row>
    <row r="590" spans="1:10" ht="15.75" customHeight="1" x14ac:dyDescent="0.25">
      <c r="A590" s="1">
        <v>45038</v>
      </c>
      <c r="B590" s="188" t="s">
        <v>626</v>
      </c>
      <c r="C590" s="188" t="s">
        <v>21</v>
      </c>
      <c r="D590" s="188" t="s">
        <v>22</v>
      </c>
      <c r="E590" s="4">
        <v>10290</v>
      </c>
      <c r="F590" s="5">
        <v>206400</v>
      </c>
      <c r="G590" s="4">
        <v>43344</v>
      </c>
      <c r="H590" s="4">
        <v>260034</v>
      </c>
      <c r="I590" s="188" t="str">
        <f>VLOOKUP(C590,CATEGORIZACION!$A$1:$C$269,2,FALSE)</f>
        <v>TRANSPORTE</v>
      </c>
      <c r="J590" s="188" t="s">
        <v>19</v>
      </c>
    </row>
    <row r="591" spans="1:10" ht="15.75" customHeight="1" x14ac:dyDescent="0.25">
      <c r="A591" s="1">
        <v>45040</v>
      </c>
      <c r="B591" s="188" t="s">
        <v>627</v>
      </c>
      <c r="C591" s="188" t="s">
        <v>36</v>
      </c>
      <c r="D591" s="188" t="s">
        <v>37</v>
      </c>
      <c r="E591" s="4">
        <v>0</v>
      </c>
      <c r="F591" s="5">
        <v>26100</v>
      </c>
      <c r="G591" s="4">
        <v>5481</v>
      </c>
      <c r="H591" s="4">
        <v>31581</v>
      </c>
      <c r="I591" s="188" t="str">
        <f>VLOOKUP(C591,CATEGORIZACION!$A$1:$C$269,2,FALSE)</f>
        <v>TRANSPORTE</v>
      </c>
      <c r="J591" s="188" t="s">
        <v>19</v>
      </c>
    </row>
    <row r="592" spans="1:10" ht="15.75" customHeight="1" x14ac:dyDescent="0.25">
      <c r="A592" s="1">
        <v>45040</v>
      </c>
      <c r="B592" s="188" t="s">
        <v>628</v>
      </c>
      <c r="C592" s="188" t="s">
        <v>36</v>
      </c>
      <c r="D592" s="188" t="s">
        <v>37</v>
      </c>
      <c r="E592" s="4">
        <v>8200</v>
      </c>
      <c r="F592" s="5">
        <v>46800</v>
      </c>
      <c r="G592" s="4">
        <v>9828</v>
      </c>
      <c r="H592" s="4">
        <v>64828</v>
      </c>
      <c r="I592" s="188" t="str">
        <f>VLOOKUP(C592,CATEGORIZACION!$A$1:$C$269,2,FALSE)</f>
        <v>TRANSPORTE</v>
      </c>
      <c r="J592" s="188" t="s">
        <v>19</v>
      </c>
    </row>
    <row r="593" spans="1:10" ht="15.75" customHeight="1" x14ac:dyDescent="0.25">
      <c r="A593" s="1">
        <v>45040</v>
      </c>
      <c r="B593" s="188" t="s">
        <v>629</v>
      </c>
      <c r="C593" s="188" t="s">
        <v>36</v>
      </c>
      <c r="D593" s="188" t="s">
        <v>37</v>
      </c>
      <c r="E593" s="4">
        <v>8900</v>
      </c>
      <c r="F593" s="5">
        <v>62200</v>
      </c>
      <c r="G593" s="4">
        <v>13062</v>
      </c>
      <c r="H593" s="4">
        <v>84162</v>
      </c>
      <c r="I593" s="188" t="str">
        <f>VLOOKUP(C593,CATEGORIZACION!$A$1:$C$269,2,FALSE)</f>
        <v>TRANSPORTE</v>
      </c>
      <c r="J593" s="188" t="s">
        <v>19</v>
      </c>
    </row>
    <row r="594" spans="1:10" ht="15.75" customHeight="1" x14ac:dyDescent="0.25">
      <c r="A594" s="1">
        <v>45040</v>
      </c>
      <c r="B594" s="188" t="s">
        <v>630</v>
      </c>
      <c r="C594" s="188" t="s">
        <v>36</v>
      </c>
      <c r="D594" s="188" t="s">
        <v>37</v>
      </c>
      <c r="E594" s="4">
        <v>8200</v>
      </c>
      <c r="F594" s="5">
        <v>46800</v>
      </c>
      <c r="G594" s="4">
        <v>9828</v>
      </c>
      <c r="H594" s="4">
        <v>64828</v>
      </c>
      <c r="I594" s="188" t="str">
        <f>VLOOKUP(C594,CATEGORIZACION!$A$1:$C$269,2,FALSE)</f>
        <v>TRANSPORTE</v>
      </c>
      <c r="J594" s="188" t="s">
        <v>19</v>
      </c>
    </row>
    <row r="595" spans="1:10" ht="15.75" customHeight="1" x14ac:dyDescent="0.25">
      <c r="A595" s="1">
        <v>45040</v>
      </c>
      <c r="B595" s="188" t="s">
        <v>631</v>
      </c>
      <c r="C595" s="188" t="s">
        <v>36</v>
      </c>
      <c r="D595" s="188" t="s">
        <v>37</v>
      </c>
      <c r="E595" s="4">
        <v>8200</v>
      </c>
      <c r="F595" s="5">
        <v>46800</v>
      </c>
      <c r="G595" s="4">
        <v>9828</v>
      </c>
      <c r="H595" s="4">
        <v>64828</v>
      </c>
      <c r="I595" s="188" t="str">
        <f>VLOOKUP(C595,CATEGORIZACION!$A$1:$C$269,2,FALSE)</f>
        <v>TRANSPORTE</v>
      </c>
      <c r="J595" s="188" t="s">
        <v>19</v>
      </c>
    </row>
    <row r="596" spans="1:10" ht="15.75" customHeight="1" x14ac:dyDescent="0.25">
      <c r="A596" s="1">
        <v>45040</v>
      </c>
      <c r="B596" s="188" t="s">
        <v>632</v>
      </c>
      <c r="C596" s="188" t="s">
        <v>36</v>
      </c>
      <c r="D596" s="188" t="s">
        <v>37</v>
      </c>
      <c r="E596" s="4">
        <v>8200</v>
      </c>
      <c r="F596" s="5">
        <v>46800</v>
      </c>
      <c r="G596" s="4">
        <v>9828</v>
      </c>
      <c r="H596" s="4">
        <v>64828</v>
      </c>
      <c r="I596" s="188" t="str">
        <f>VLOOKUP(C596,CATEGORIZACION!$A$1:$C$269,2,FALSE)</f>
        <v>TRANSPORTE</v>
      </c>
      <c r="J596" s="188" t="s">
        <v>19</v>
      </c>
    </row>
    <row r="597" spans="1:10" ht="15.75" customHeight="1" x14ac:dyDescent="0.25">
      <c r="A597" s="1">
        <v>45040</v>
      </c>
      <c r="B597" s="188" t="s">
        <v>633</v>
      </c>
      <c r="C597" s="188" t="s">
        <v>36</v>
      </c>
      <c r="D597" s="188" t="s">
        <v>37</v>
      </c>
      <c r="E597" s="4">
        <v>11000</v>
      </c>
      <c r="F597" s="5">
        <v>76500</v>
      </c>
      <c r="G597" s="4">
        <v>16065</v>
      </c>
      <c r="H597" s="4">
        <v>103565</v>
      </c>
      <c r="I597" s="188" t="str">
        <f>VLOOKUP(C597,CATEGORIZACION!$A$1:$C$269,2,FALSE)</f>
        <v>TRANSPORTE</v>
      </c>
      <c r="J597" s="188" t="s">
        <v>19</v>
      </c>
    </row>
    <row r="598" spans="1:10" ht="15.75" customHeight="1" x14ac:dyDescent="0.25">
      <c r="A598" s="1">
        <v>45040</v>
      </c>
      <c r="B598" s="188" t="s">
        <v>634</v>
      </c>
      <c r="C598" s="188" t="s">
        <v>36</v>
      </c>
      <c r="D598" s="188" t="s">
        <v>37</v>
      </c>
      <c r="E598" s="4">
        <v>11000</v>
      </c>
      <c r="F598" s="5">
        <v>76500</v>
      </c>
      <c r="G598" s="4">
        <v>16065</v>
      </c>
      <c r="H598" s="4">
        <v>103565</v>
      </c>
      <c r="I598" s="188" t="str">
        <f>VLOOKUP(C598,CATEGORIZACION!$A$1:$C$269,2,FALSE)</f>
        <v>TRANSPORTE</v>
      </c>
      <c r="J598" s="188" t="s">
        <v>19</v>
      </c>
    </row>
    <row r="599" spans="1:10" ht="15.75" customHeight="1" x14ac:dyDescent="0.25">
      <c r="A599" s="1">
        <v>45040</v>
      </c>
      <c r="B599" s="188" t="s">
        <v>635</v>
      </c>
      <c r="C599" s="188" t="s">
        <v>36</v>
      </c>
      <c r="D599" s="188" t="s">
        <v>37</v>
      </c>
      <c r="E599" s="4">
        <v>11000</v>
      </c>
      <c r="F599" s="5">
        <v>76500</v>
      </c>
      <c r="G599" s="4">
        <v>16065</v>
      </c>
      <c r="H599" s="4">
        <v>103565</v>
      </c>
      <c r="I599" s="188" t="str">
        <f>VLOOKUP(C599,CATEGORIZACION!$A$1:$C$269,2,FALSE)</f>
        <v>TRANSPORTE</v>
      </c>
      <c r="J599" s="188" t="s">
        <v>19</v>
      </c>
    </row>
    <row r="600" spans="1:10" ht="15.75" customHeight="1" x14ac:dyDescent="0.25">
      <c r="A600" s="1">
        <v>45040</v>
      </c>
      <c r="B600" s="188" t="s">
        <v>636</v>
      </c>
      <c r="C600" s="188" t="s">
        <v>36</v>
      </c>
      <c r="D600" s="188" t="s">
        <v>37</v>
      </c>
      <c r="E600" s="4">
        <v>8100</v>
      </c>
      <c r="F600" s="5">
        <v>136840</v>
      </c>
      <c r="G600" s="4">
        <v>28736.400000000001</v>
      </c>
      <c r="H600" s="4">
        <v>173676.4</v>
      </c>
      <c r="I600" s="188" t="str">
        <f>VLOOKUP(C600,CATEGORIZACION!$A$1:$C$269,2,FALSE)</f>
        <v>TRANSPORTE</v>
      </c>
      <c r="J600" s="188" t="s">
        <v>19</v>
      </c>
    </row>
    <row r="601" spans="1:10" ht="15.75" customHeight="1" x14ac:dyDescent="0.25">
      <c r="A601" s="1">
        <v>45040</v>
      </c>
      <c r="B601" s="188" t="s">
        <v>637</v>
      </c>
      <c r="C601" s="188" t="s">
        <v>36</v>
      </c>
      <c r="D601" s="188" t="s">
        <v>37</v>
      </c>
      <c r="E601" s="4">
        <v>8100</v>
      </c>
      <c r="F601" s="5">
        <v>163590</v>
      </c>
      <c r="G601" s="4">
        <v>34353.9</v>
      </c>
      <c r="H601" s="4">
        <v>206043.9</v>
      </c>
      <c r="I601" s="188" t="str">
        <f>VLOOKUP(C601,CATEGORIZACION!$A$1:$C$269,2,FALSE)</f>
        <v>TRANSPORTE</v>
      </c>
      <c r="J601" s="188" t="s">
        <v>19</v>
      </c>
    </row>
    <row r="602" spans="1:10" ht="15.75" customHeight="1" x14ac:dyDescent="0.25">
      <c r="A602" s="1">
        <v>45040</v>
      </c>
      <c r="B602" s="188" t="s">
        <v>638</v>
      </c>
      <c r="C602" s="188" t="s">
        <v>36</v>
      </c>
      <c r="D602" s="188" t="s">
        <v>37</v>
      </c>
      <c r="E602" s="4">
        <v>3600</v>
      </c>
      <c r="F602" s="5">
        <v>134340</v>
      </c>
      <c r="G602" s="4">
        <v>28211.4</v>
      </c>
      <c r="H602" s="4">
        <v>166151.4</v>
      </c>
      <c r="I602" s="188" t="str">
        <f>VLOOKUP(C602,CATEGORIZACION!$A$1:$C$269,2,FALSE)</f>
        <v>TRANSPORTE</v>
      </c>
      <c r="J602" s="188" t="s">
        <v>19</v>
      </c>
    </row>
    <row r="603" spans="1:10" ht="15.75" customHeight="1" x14ac:dyDescent="0.25">
      <c r="A603" s="1">
        <v>45040</v>
      </c>
      <c r="B603" s="188" t="s">
        <v>639</v>
      </c>
      <c r="C603" s="188" t="s">
        <v>36</v>
      </c>
      <c r="D603" s="188" t="s">
        <v>37</v>
      </c>
      <c r="E603" s="4">
        <v>3600</v>
      </c>
      <c r="F603" s="5">
        <v>134340</v>
      </c>
      <c r="G603" s="4">
        <v>28211.4</v>
      </c>
      <c r="H603" s="4">
        <v>166151.4</v>
      </c>
      <c r="I603" s="188" t="str">
        <f>VLOOKUP(C603,CATEGORIZACION!$A$1:$C$269,2,FALSE)</f>
        <v>TRANSPORTE</v>
      </c>
      <c r="J603" s="188" t="s">
        <v>19</v>
      </c>
    </row>
    <row r="604" spans="1:10" ht="15.75" customHeight="1" x14ac:dyDescent="0.25">
      <c r="A604" s="1">
        <v>45040</v>
      </c>
      <c r="B604" s="188" t="s">
        <v>640</v>
      </c>
      <c r="C604" s="188" t="s">
        <v>36</v>
      </c>
      <c r="D604" s="188" t="s">
        <v>37</v>
      </c>
      <c r="E604" s="4">
        <v>8199.9999999999909</v>
      </c>
      <c r="F604" s="5">
        <v>60840</v>
      </c>
      <c r="G604" s="4">
        <v>12776.4</v>
      </c>
      <c r="H604" s="4">
        <v>81816.399999999994</v>
      </c>
      <c r="I604" s="188" t="str">
        <f>VLOOKUP(C604,CATEGORIZACION!$A$1:$C$269,2,FALSE)</f>
        <v>TRANSPORTE</v>
      </c>
      <c r="J604" s="188" t="s">
        <v>19</v>
      </c>
    </row>
    <row r="605" spans="1:10" ht="15.75" customHeight="1" x14ac:dyDescent="0.25">
      <c r="A605" s="1">
        <v>45040</v>
      </c>
      <c r="B605" s="188" t="s">
        <v>641</v>
      </c>
      <c r="C605" s="188" t="s">
        <v>36</v>
      </c>
      <c r="D605" s="188" t="s">
        <v>37</v>
      </c>
      <c r="E605" s="4">
        <v>8199.9999999999909</v>
      </c>
      <c r="F605" s="5">
        <v>60840</v>
      </c>
      <c r="G605" s="4">
        <v>12776.4</v>
      </c>
      <c r="H605" s="4">
        <v>81816.399999999994</v>
      </c>
      <c r="I605" s="188" t="str">
        <f>VLOOKUP(C605,CATEGORIZACION!$A$1:$C$269,2,FALSE)</f>
        <v>TRANSPORTE</v>
      </c>
      <c r="J605" s="188" t="s">
        <v>19</v>
      </c>
    </row>
    <row r="606" spans="1:10" ht="15.75" customHeight="1" x14ac:dyDescent="0.25">
      <c r="A606" s="1">
        <v>45040</v>
      </c>
      <c r="B606" s="188" t="s">
        <v>642</v>
      </c>
      <c r="C606" s="188" t="s">
        <v>36</v>
      </c>
      <c r="D606" s="188" t="s">
        <v>37</v>
      </c>
      <c r="E606" s="4">
        <v>8199.9999999999909</v>
      </c>
      <c r="F606" s="5">
        <v>60840</v>
      </c>
      <c r="G606" s="4">
        <v>12776.4</v>
      </c>
      <c r="H606" s="4">
        <v>81816.399999999994</v>
      </c>
      <c r="I606" s="188" t="str">
        <f>VLOOKUP(C606,CATEGORIZACION!$A$1:$C$269,2,FALSE)</f>
        <v>TRANSPORTE</v>
      </c>
      <c r="J606" s="188" t="s">
        <v>19</v>
      </c>
    </row>
    <row r="607" spans="1:10" ht="15.75" customHeight="1" x14ac:dyDescent="0.25">
      <c r="A607" s="1">
        <v>45040</v>
      </c>
      <c r="B607" s="188" t="s">
        <v>643</v>
      </c>
      <c r="C607" s="188" t="s">
        <v>36</v>
      </c>
      <c r="D607" s="188" t="s">
        <v>37</v>
      </c>
      <c r="E607" s="4">
        <v>8200</v>
      </c>
      <c r="F607" s="5">
        <v>46800</v>
      </c>
      <c r="G607" s="4">
        <v>9828</v>
      </c>
      <c r="H607" s="4">
        <v>64828</v>
      </c>
      <c r="I607" s="188" t="str">
        <f>VLOOKUP(C607,CATEGORIZACION!$A$1:$C$269,2,FALSE)</f>
        <v>TRANSPORTE</v>
      </c>
      <c r="J607" s="188" t="s">
        <v>19</v>
      </c>
    </row>
    <row r="608" spans="1:10" ht="15.75" customHeight="1" x14ac:dyDescent="0.25">
      <c r="A608" s="1">
        <v>45040</v>
      </c>
      <c r="B608" s="188" t="s">
        <v>644</v>
      </c>
      <c r="C608" s="188" t="s">
        <v>36</v>
      </c>
      <c r="D608" s="188" t="s">
        <v>37</v>
      </c>
      <c r="E608" s="4">
        <v>8200</v>
      </c>
      <c r="F608" s="5">
        <v>51480</v>
      </c>
      <c r="G608" s="4">
        <v>10810.8</v>
      </c>
      <c r="H608" s="4">
        <v>70490.8</v>
      </c>
      <c r="I608" s="188" t="str">
        <f>VLOOKUP(C608,CATEGORIZACION!$A$1:$C$269,2,FALSE)</f>
        <v>TRANSPORTE</v>
      </c>
      <c r="J608" s="188" t="s">
        <v>19</v>
      </c>
    </row>
    <row r="609" spans="1:10" ht="15.75" customHeight="1" x14ac:dyDescent="0.25">
      <c r="A609" s="1">
        <v>45040</v>
      </c>
      <c r="B609" s="188" t="s">
        <v>645</v>
      </c>
      <c r="C609" s="188" t="s">
        <v>36</v>
      </c>
      <c r="D609" s="188" t="s">
        <v>37</v>
      </c>
      <c r="E609" s="4">
        <v>8200</v>
      </c>
      <c r="F609" s="5">
        <v>46800</v>
      </c>
      <c r="G609" s="4">
        <v>9828</v>
      </c>
      <c r="H609" s="4">
        <v>64828</v>
      </c>
      <c r="I609" s="188" t="str">
        <f>VLOOKUP(C609,CATEGORIZACION!$A$1:$C$269,2,FALSE)</f>
        <v>TRANSPORTE</v>
      </c>
      <c r="J609" s="188" t="s">
        <v>19</v>
      </c>
    </row>
    <row r="610" spans="1:10" ht="15.75" customHeight="1" x14ac:dyDescent="0.25">
      <c r="A610" s="1">
        <v>45040</v>
      </c>
      <c r="B610" s="188" t="s">
        <v>646</v>
      </c>
      <c r="C610" s="188" t="s">
        <v>36</v>
      </c>
      <c r="D610" s="188" t="s">
        <v>37</v>
      </c>
      <c r="E610" s="4">
        <v>8900</v>
      </c>
      <c r="F610" s="5">
        <v>62200</v>
      </c>
      <c r="G610" s="4">
        <v>13062</v>
      </c>
      <c r="H610" s="4">
        <v>84162</v>
      </c>
      <c r="I610" s="188" t="str">
        <f>VLOOKUP(C610,CATEGORIZACION!$A$1:$C$269,2,FALSE)</f>
        <v>TRANSPORTE</v>
      </c>
      <c r="J610" s="188" t="s">
        <v>19</v>
      </c>
    </row>
    <row r="611" spans="1:10" ht="15.75" customHeight="1" x14ac:dyDescent="0.25">
      <c r="A611" s="1">
        <v>45040</v>
      </c>
      <c r="B611" s="188" t="s">
        <v>647</v>
      </c>
      <c r="C611" s="188" t="s">
        <v>36</v>
      </c>
      <c r="D611" s="188" t="s">
        <v>37</v>
      </c>
      <c r="E611" s="4">
        <v>11000</v>
      </c>
      <c r="F611" s="5">
        <v>76500</v>
      </c>
      <c r="G611" s="4">
        <v>16065</v>
      </c>
      <c r="H611" s="4">
        <v>103565</v>
      </c>
      <c r="I611" s="188" t="str">
        <f>VLOOKUP(C611,CATEGORIZACION!$A$1:$C$269,2,FALSE)</f>
        <v>TRANSPORTE</v>
      </c>
      <c r="J611" s="188" t="s">
        <v>19</v>
      </c>
    </row>
    <row r="612" spans="1:10" ht="15.75" customHeight="1" x14ac:dyDescent="0.25">
      <c r="A612" s="1">
        <v>45040</v>
      </c>
      <c r="B612" s="188" t="s">
        <v>648</v>
      </c>
      <c r="C612" s="188" t="s">
        <v>36</v>
      </c>
      <c r="D612" s="188" t="s">
        <v>37</v>
      </c>
      <c r="E612" s="4">
        <v>8900</v>
      </c>
      <c r="F612" s="5">
        <v>88950</v>
      </c>
      <c r="G612" s="4">
        <v>18679.5</v>
      </c>
      <c r="H612" s="4">
        <v>116529.5</v>
      </c>
      <c r="I612" s="188" t="str">
        <f>VLOOKUP(C612,CATEGORIZACION!$A$1:$C$269,2,FALSE)</f>
        <v>TRANSPORTE</v>
      </c>
      <c r="J612" s="188" t="s">
        <v>19</v>
      </c>
    </row>
    <row r="613" spans="1:10" ht="15.75" customHeight="1" x14ac:dyDescent="0.25">
      <c r="A613" s="1">
        <v>45041</v>
      </c>
      <c r="B613" s="188" t="s">
        <v>649</v>
      </c>
      <c r="C613" s="188" t="s">
        <v>650</v>
      </c>
      <c r="D613" s="188" t="s">
        <v>130</v>
      </c>
      <c r="E613" s="4">
        <v>960</v>
      </c>
      <c r="F613" s="3">
        <v>120000</v>
      </c>
      <c r="G613" s="4">
        <v>25200</v>
      </c>
      <c r="H613" s="4">
        <v>146160</v>
      </c>
      <c r="I613" s="188" t="str">
        <f>VLOOKUP(C613,CATEGORIZACION!$A$1:$C$269,2,FALSE)</f>
        <v>PROOVEDORES</v>
      </c>
      <c r="J613" s="188" t="str">
        <f>VLOOKUP(C613,CATEGORIZACION!$A$1:$C$269,3,FALSE)</f>
        <v>DEPOSITO</v>
      </c>
    </row>
    <row r="614" spans="1:10" ht="15.75" customHeight="1" x14ac:dyDescent="0.25">
      <c r="A614" s="1">
        <v>45042</v>
      </c>
      <c r="B614" s="188" t="s">
        <v>651</v>
      </c>
      <c r="C614" s="188" t="s">
        <v>153</v>
      </c>
      <c r="D614" s="188" t="s">
        <v>154</v>
      </c>
      <c r="E614" s="4">
        <v>212.46</v>
      </c>
      <c r="F614" s="3">
        <v>26557.49</v>
      </c>
      <c r="G614" s="4">
        <v>5577.07</v>
      </c>
      <c r="H614" s="4">
        <v>32347.02</v>
      </c>
      <c r="I614" s="188" t="str">
        <f>VLOOKUP(C614,CATEGORIZACION!$A$1:$C$269,2,FALSE)</f>
        <v>PROOVEDORES</v>
      </c>
      <c r="J614" s="188" t="str">
        <f>VLOOKUP(C614,CATEGORIZACION!$A$1:$C$269,3,FALSE)</f>
        <v>DEPOSITO</v>
      </c>
    </row>
    <row r="615" spans="1:10" ht="15.75" customHeight="1" x14ac:dyDescent="0.25">
      <c r="A615" s="1">
        <v>45042</v>
      </c>
      <c r="B615" s="188" t="s">
        <v>652</v>
      </c>
      <c r="C615" s="188" t="s">
        <v>653</v>
      </c>
      <c r="D615" s="188" t="s">
        <v>183</v>
      </c>
      <c r="E615" s="4">
        <v>0</v>
      </c>
      <c r="F615" s="5">
        <v>281735.53000000003</v>
      </c>
      <c r="G615" s="4">
        <v>59164.46</v>
      </c>
      <c r="H615" s="4">
        <v>340899.99</v>
      </c>
      <c r="I615" s="188" t="str">
        <f>VLOOKUP(C615,CATEGORIZACION!$A$1:$C$269,2,FALSE)</f>
        <v>PROOVEDORES</v>
      </c>
      <c r="J615" s="188" t="str">
        <f>VLOOKUP(C615,CATEGORIZACION!$A$1:$C$269,3,FALSE)</f>
        <v>LOGISTICA</v>
      </c>
    </row>
    <row r="616" spans="1:10" ht="15.75" customHeight="1" x14ac:dyDescent="0.25">
      <c r="A616" s="1">
        <v>45042</v>
      </c>
      <c r="B616" s="188" t="s">
        <v>654</v>
      </c>
      <c r="C616" s="188" t="s">
        <v>529</v>
      </c>
      <c r="D616" s="188" t="s">
        <v>530</v>
      </c>
      <c r="E616" s="4">
        <v>0</v>
      </c>
      <c r="F616" s="5">
        <v>30000</v>
      </c>
      <c r="G616" s="4">
        <v>6300</v>
      </c>
      <c r="H616" s="4">
        <v>36300</v>
      </c>
      <c r="I616" s="188" t="str">
        <f>VLOOKUP(C616,CATEGORIZACION!$A$1:$C$269,2,FALSE)</f>
        <v>PROOVEDORES</v>
      </c>
      <c r="J616" s="188" t="str">
        <f>VLOOKUP(C616,CATEGORIZACION!$A$1:$C$269,3,FALSE)</f>
        <v>LOGISTICA</v>
      </c>
    </row>
    <row r="617" spans="1:10" ht="15.75" customHeight="1" x14ac:dyDescent="0.25">
      <c r="A617" s="1">
        <v>45043</v>
      </c>
      <c r="B617" s="188" t="s">
        <v>655</v>
      </c>
      <c r="C617" s="188" t="s">
        <v>21</v>
      </c>
      <c r="D617" s="188" t="s">
        <v>22</v>
      </c>
      <c r="E617" s="4">
        <v>24010</v>
      </c>
      <c r="F617" s="5">
        <v>420000</v>
      </c>
      <c r="G617" s="4">
        <v>88200</v>
      </c>
      <c r="H617" s="4">
        <v>532210</v>
      </c>
      <c r="I617" s="188" t="str">
        <f>VLOOKUP(C617,CATEGORIZACION!$A$1:$C$269,2,FALSE)</f>
        <v>TRANSPORTE</v>
      </c>
      <c r="J617" s="188" t="s">
        <v>19</v>
      </c>
    </row>
    <row r="618" spans="1:10" ht="15.75" customHeight="1" x14ac:dyDescent="0.25">
      <c r="A618" s="1">
        <v>45043</v>
      </c>
      <c r="B618" s="188" t="s">
        <v>656</v>
      </c>
      <c r="C618" s="188" t="s">
        <v>21</v>
      </c>
      <c r="D618" s="188" t="s">
        <v>22</v>
      </c>
      <c r="E618" s="4">
        <v>20850</v>
      </c>
      <c r="F618" s="5">
        <v>392900</v>
      </c>
      <c r="G618" s="4">
        <v>82509</v>
      </c>
      <c r="H618" s="4">
        <v>496259</v>
      </c>
      <c r="I618" s="188" t="str">
        <f>VLOOKUP(C618,CATEGORIZACION!$A$1:$C$269,2,FALSE)</f>
        <v>TRANSPORTE</v>
      </c>
      <c r="J618" s="188" t="s">
        <v>19</v>
      </c>
    </row>
    <row r="619" spans="1:10" ht="15.75" customHeight="1" x14ac:dyDescent="0.25">
      <c r="A619" s="1">
        <v>45044</v>
      </c>
      <c r="B619" s="188" t="s">
        <v>657</v>
      </c>
      <c r="C619" s="188" t="s">
        <v>658</v>
      </c>
      <c r="D619" s="188" t="s">
        <v>659</v>
      </c>
      <c r="E619" s="4">
        <v>192</v>
      </c>
      <c r="F619" s="3">
        <v>24000</v>
      </c>
      <c r="G619" s="4">
        <v>5040</v>
      </c>
      <c r="H619" s="4">
        <v>29232</v>
      </c>
      <c r="I619" s="188" t="str">
        <f>VLOOKUP(C619,CATEGORIZACION!$A$1:$C$269,2,FALSE)</f>
        <v>PROOVEDORES</v>
      </c>
      <c r="J619" s="188" t="str">
        <f>VLOOKUP(C619,CATEGORIZACION!$A$1:$C$269,3,FALSE)</f>
        <v>DEPOSITO</v>
      </c>
    </row>
    <row r="620" spans="1:10" ht="15.75" customHeight="1" x14ac:dyDescent="0.25">
      <c r="A620" s="1">
        <v>45044</v>
      </c>
      <c r="B620" s="188" t="s">
        <v>660</v>
      </c>
      <c r="C620" s="188" t="s">
        <v>36</v>
      </c>
      <c r="D620" s="188" t="s">
        <v>37</v>
      </c>
      <c r="E620" s="4">
        <v>11000</v>
      </c>
      <c r="F620" s="5">
        <v>76500</v>
      </c>
      <c r="G620" s="4">
        <v>16065</v>
      </c>
      <c r="H620" s="4">
        <v>103565</v>
      </c>
      <c r="I620" s="188" t="str">
        <f>VLOOKUP(C620,CATEGORIZACION!$A$1:$C$269,2,FALSE)</f>
        <v>TRANSPORTE</v>
      </c>
      <c r="J620" s="188" t="s">
        <v>19</v>
      </c>
    </row>
    <row r="621" spans="1:10" ht="15.75" customHeight="1" x14ac:dyDescent="0.25">
      <c r="A621" s="1">
        <v>45044</v>
      </c>
      <c r="B621" s="188" t="s">
        <v>661</v>
      </c>
      <c r="C621" s="188" t="s">
        <v>36</v>
      </c>
      <c r="D621" s="188" t="s">
        <v>37</v>
      </c>
      <c r="E621" s="4">
        <v>8900</v>
      </c>
      <c r="F621" s="5">
        <v>77750</v>
      </c>
      <c r="G621" s="4">
        <v>16327.5</v>
      </c>
      <c r="H621" s="4">
        <v>102977.5</v>
      </c>
      <c r="I621" s="188" t="str">
        <f>VLOOKUP(C621,CATEGORIZACION!$A$1:$C$269,2,FALSE)</f>
        <v>TRANSPORTE</v>
      </c>
      <c r="J621" s="188" t="s">
        <v>19</v>
      </c>
    </row>
    <row r="622" spans="1:10" ht="15.75" customHeight="1" x14ac:dyDescent="0.25">
      <c r="A622" s="1">
        <v>45045</v>
      </c>
      <c r="B622" s="188" t="s">
        <v>662</v>
      </c>
      <c r="C622" s="188" t="s">
        <v>84</v>
      </c>
      <c r="D622" s="188" t="s">
        <v>85</v>
      </c>
      <c r="E622" s="4">
        <v>62027.040000000001</v>
      </c>
      <c r="F622" s="5">
        <v>664399.06000000006</v>
      </c>
      <c r="G622" s="4">
        <v>139523.79999999999</v>
      </c>
      <c r="H622" s="4">
        <v>865949.9</v>
      </c>
      <c r="I622" s="188" t="str">
        <f>VLOOKUP(C622,CATEGORIZACION!$A$1:$C$269,2,FALSE)</f>
        <v>PROOVEDORES</v>
      </c>
      <c r="J622" s="188" t="str">
        <f>VLOOKUP(C622,CATEGORIZACION!$A$1:$C$269,3,FALSE)</f>
        <v>LOGISTICA</v>
      </c>
    </row>
    <row r="623" spans="1:10" ht="15.75" customHeight="1" x14ac:dyDescent="0.25">
      <c r="A623" s="1">
        <v>45045</v>
      </c>
      <c r="B623" s="188" t="s">
        <v>663</v>
      </c>
      <c r="C623" s="188" t="s">
        <v>84</v>
      </c>
      <c r="D623" s="188" t="s">
        <v>85</v>
      </c>
      <c r="E623" s="4">
        <v>32047.119999999999</v>
      </c>
      <c r="F623" s="5">
        <v>28135</v>
      </c>
      <c r="G623" s="4">
        <v>92098.23</v>
      </c>
      <c r="H623" s="5">
        <v>28135</v>
      </c>
      <c r="I623" s="188" t="str">
        <f>VLOOKUP(C623,CATEGORIZACION!$A$1:$C$269,2,FALSE)</f>
        <v>PROOVEDORES</v>
      </c>
      <c r="J623" s="188" t="str">
        <f>VLOOKUP(C623,CATEGORIZACION!$A$1:$C$269,3,FALSE)</f>
        <v>LOGISTICA</v>
      </c>
    </row>
    <row r="624" spans="1:10" ht="15.75" customHeight="1" x14ac:dyDescent="0.25">
      <c r="A624" s="1">
        <v>45045</v>
      </c>
      <c r="B624" s="188" t="s">
        <v>664</v>
      </c>
      <c r="C624" s="188" t="s">
        <v>665</v>
      </c>
      <c r="D624" s="188" t="s">
        <v>666</v>
      </c>
      <c r="E624" s="4">
        <v>0</v>
      </c>
      <c r="F624" s="5">
        <v>33994.21</v>
      </c>
      <c r="G624" s="4">
        <v>7138.78</v>
      </c>
      <c r="H624" s="4">
        <v>41132.99</v>
      </c>
      <c r="I624" s="188" t="str">
        <f>VLOOKUP(C624,CATEGORIZACION!$A$1:$C$269,2,FALSE)</f>
        <v>PROOVEDORES</v>
      </c>
      <c r="J624" s="188" t="str">
        <f>VLOOKUP(C624,CATEGORIZACION!$A$1:$C$269,3,FALSE)</f>
        <v>LOGISTICA</v>
      </c>
    </row>
    <row r="625" spans="1:10" ht="15.75" customHeight="1" x14ac:dyDescent="0.25">
      <c r="A625" s="1">
        <v>45045</v>
      </c>
      <c r="B625" s="188" t="s">
        <v>667</v>
      </c>
      <c r="C625" s="188" t="s">
        <v>339</v>
      </c>
      <c r="D625" s="188" t="s">
        <v>340</v>
      </c>
      <c r="E625" s="4">
        <v>0</v>
      </c>
      <c r="F625" s="5">
        <v>124787.53</v>
      </c>
      <c r="G625" s="4">
        <v>26205.38</v>
      </c>
      <c r="H625" s="4">
        <v>150992.91</v>
      </c>
      <c r="I625" s="188" t="str">
        <f>VLOOKUP(C625,CATEGORIZACION!$A$1:$C$269,2,FALSE)</f>
        <v>PROOVEDORES</v>
      </c>
      <c r="J625" s="188" t="str">
        <f>VLOOKUP(C625,CATEGORIZACION!$A$1:$C$269,3,FALSE)</f>
        <v>LOGISTICA</v>
      </c>
    </row>
    <row r="626" spans="1:10" ht="15.75" customHeight="1" x14ac:dyDescent="0.25">
      <c r="A626" s="1">
        <v>45045</v>
      </c>
      <c r="B626" s="188" t="s">
        <v>668</v>
      </c>
      <c r="C626" s="188" t="s">
        <v>339</v>
      </c>
      <c r="D626" s="188" t="s">
        <v>340</v>
      </c>
      <c r="E626" s="4">
        <v>0</v>
      </c>
      <c r="F626" s="5">
        <v>46820.34</v>
      </c>
      <c r="G626" s="4">
        <v>9832.27</v>
      </c>
      <c r="H626" s="4">
        <v>56652.61</v>
      </c>
      <c r="I626" s="188" t="str">
        <f>VLOOKUP(C626,CATEGORIZACION!$A$1:$C$269,2,FALSE)</f>
        <v>PROOVEDORES</v>
      </c>
      <c r="J626" s="188" t="str">
        <f>VLOOKUP(C626,CATEGORIZACION!$A$1:$C$269,3,FALSE)</f>
        <v>LOGISTICA</v>
      </c>
    </row>
    <row r="627" spans="1:10" ht="15.75" customHeight="1" x14ac:dyDescent="0.25">
      <c r="A627" s="1">
        <v>45045</v>
      </c>
      <c r="B627" s="188" t="s">
        <v>669</v>
      </c>
      <c r="C627" s="188" t="s">
        <v>670</v>
      </c>
      <c r="D627" s="188" t="s">
        <v>671</v>
      </c>
      <c r="E627" s="4">
        <v>64.459999999999994</v>
      </c>
      <c r="F627" s="5">
        <v>6446.28</v>
      </c>
      <c r="G627" s="4">
        <v>1353.72</v>
      </c>
      <c r="H627" s="4">
        <v>7864.46</v>
      </c>
      <c r="I627" s="188" t="str">
        <f>VLOOKUP(C627,CATEGORIZACION!$A$1:$C$269,2,FALSE)</f>
        <v>PROOVEDORES</v>
      </c>
      <c r="J627" s="188" t="str">
        <f>VLOOKUP(C627,CATEGORIZACION!$A$1:$C$269,3,FALSE)</f>
        <v>LOGISTICA</v>
      </c>
    </row>
    <row r="628" spans="1:10" ht="15.75" customHeight="1" x14ac:dyDescent="0.25">
      <c r="A628" s="1">
        <v>45045</v>
      </c>
      <c r="B628" s="188" t="s">
        <v>672</v>
      </c>
      <c r="C628" s="188" t="s">
        <v>426</v>
      </c>
      <c r="D628" s="188" t="s">
        <v>427</v>
      </c>
      <c r="E628" s="4">
        <v>1848</v>
      </c>
      <c r="F628" s="5">
        <v>23679.34</v>
      </c>
      <c r="G628" s="4">
        <v>4972.66</v>
      </c>
      <c r="H628" s="4">
        <v>30500</v>
      </c>
      <c r="I628" s="188" t="str">
        <f>VLOOKUP(C628,CATEGORIZACION!$A$1:$C$269,2,FALSE)</f>
        <v>PROOVEDORES</v>
      </c>
      <c r="J628" s="188" t="str">
        <f>VLOOKUP(C628,CATEGORIZACION!$A$1:$C$269,3,FALSE)</f>
        <v>LOGISTICA</v>
      </c>
    </row>
    <row r="629" spans="1:10" ht="15.75" customHeight="1" x14ac:dyDescent="0.25">
      <c r="A629" s="1">
        <v>45046</v>
      </c>
      <c r="B629" s="188" t="s">
        <v>673</v>
      </c>
      <c r="C629" s="188" t="s">
        <v>36</v>
      </c>
      <c r="D629" s="188" t="s">
        <v>37</v>
      </c>
      <c r="E629" s="4">
        <v>8800</v>
      </c>
      <c r="F629" s="5">
        <v>91500</v>
      </c>
      <c r="G629" s="4">
        <v>19215</v>
      </c>
      <c r="H629" s="4">
        <v>119515</v>
      </c>
      <c r="I629" s="188" t="str">
        <f>VLOOKUP(C629,CATEGORIZACION!$A$1:$C$269,2,FALSE)</f>
        <v>TRANSPORTE</v>
      </c>
      <c r="J629" s="188" t="s">
        <v>19</v>
      </c>
    </row>
    <row r="630" spans="1:10" ht="15.75" customHeight="1" x14ac:dyDescent="0.25">
      <c r="A630" s="1">
        <v>45046</v>
      </c>
      <c r="B630" s="188" t="s">
        <v>674</v>
      </c>
      <c r="C630" s="188" t="s">
        <v>36</v>
      </c>
      <c r="D630" s="188" t="s">
        <v>37</v>
      </c>
      <c r="E630" s="4">
        <v>11000</v>
      </c>
      <c r="F630" s="5">
        <v>76500</v>
      </c>
      <c r="G630" s="4">
        <v>16065</v>
      </c>
      <c r="H630" s="4">
        <v>103565</v>
      </c>
      <c r="I630" s="188" t="str">
        <f>VLOOKUP(C630,CATEGORIZACION!$A$1:$C$269,2,FALSE)</f>
        <v>TRANSPORTE</v>
      </c>
      <c r="J630" s="188" t="s">
        <v>19</v>
      </c>
    </row>
    <row r="631" spans="1:10" ht="15.75" customHeight="1" x14ac:dyDescent="0.25">
      <c r="A631" s="1">
        <v>45046</v>
      </c>
      <c r="B631" s="188" t="s">
        <v>675</v>
      </c>
      <c r="C631" s="188" t="s">
        <v>36</v>
      </c>
      <c r="D631" s="188" t="s">
        <v>37</v>
      </c>
      <c r="E631" s="4">
        <v>11000</v>
      </c>
      <c r="F631" s="5">
        <v>76500</v>
      </c>
      <c r="G631" s="4">
        <v>16065</v>
      </c>
      <c r="H631" s="4">
        <v>103565</v>
      </c>
      <c r="I631" s="188" t="str">
        <f>VLOOKUP(C631,CATEGORIZACION!$A$1:$C$269,2,FALSE)</f>
        <v>TRANSPORTE</v>
      </c>
      <c r="J631" s="188" t="s">
        <v>19</v>
      </c>
    </row>
    <row r="632" spans="1:10" ht="15.75" customHeight="1" x14ac:dyDescent="0.25">
      <c r="A632" s="1">
        <v>45046</v>
      </c>
      <c r="B632" s="188" t="s">
        <v>676</v>
      </c>
      <c r="C632" s="188" t="s">
        <v>36</v>
      </c>
      <c r="D632" s="188" t="s">
        <v>37</v>
      </c>
      <c r="E632" s="4">
        <v>6800</v>
      </c>
      <c r="F632" s="5">
        <v>134340</v>
      </c>
      <c r="G632" s="4">
        <v>28211.4</v>
      </c>
      <c r="H632" s="4">
        <v>169351.4</v>
      </c>
      <c r="I632" s="188" t="str">
        <f>VLOOKUP(C632,CATEGORIZACION!$A$1:$C$269,2,FALSE)</f>
        <v>TRANSPORTE</v>
      </c>
      <c r="J632" s="188" t="s">
        <v>19</v>
      </c>
    </row>
    <row r="633" spans="1:10" ht="15.75" customHeight="1" x14ac:dyDescent="0.25">
      <c r="A633" s="1">
        <v>45046</v>
      </c>
      <c r="B633" s="188" t="s">
        <v>677</v>
      </c>
      <c r="C633" s="188" t="s">
        <v>36</v>
      </c>
      <c r="D633" s="188" t="s">
        <v>37</v>
      </c>
      <c r="E633" s="4">
        <v>8200</v>
      </c>
      <c r="F633" s="5">
        <v>46800</v>
      </c>
      <c r="G633" s="4">
        <v>9828</v>
      </c>
      <c r="H633" s="4">
        <v>64828</v>
      </c>
      <c r="I633" s="188" t="str">
        <f>VLOOKUP(C633,CATEGORIZACION!$A$1:$C$269,2,FALSE)</f>
        <v>TRANSPORTE</v>
      </c>
      <c r="J633" s="188" t="s">
        <v>19</v>
      </c>
    </row>
    <row r="634" spans="1:10" ht="15.75" customHeight="1" x14ac:dyDescent="0.25">
      <c r="A634" s="1">
        <v>45046</v>
      </c>
      <c r="B634" s="188" t="s">
        <v>678</v>
      </c>
      <c r="C634" s="188" t="s">
        <v>36</v>
      </c>
      <c r="D634" s="188" t="s">
        <v>37</v>
      </c>
      <c r="E634" s="4">
        <v>8200</v>
      </c>
      <c r="F634" s="5">
        <v>46800</v>
      </c>
      <c r="G634" s="4">
        <v>9828</v>
      </c>
      <c r="H634" s="4">
        <v>64828</v>
      </c>
      <c r="I634" s="188" t="str">
        <f>VLOOKUP(C634,CATEGORIZACION!$A$1:$C$269,2,FALSE)</f>
        <v>TRANSPORTE</v>
      </c>
      <c r="J634" s="188" t="s">
        <v>19</v>
      </c>
    </row>
    <row r="635" spans="1:10" ht="15.75" customHeight="1" x14ac:dyDescent="0.25">
      <c r="A635" s="1">
        <v>45046</v>
      </c>
      <c r="B635" s="188" t="s">
        <v>679</v>
      </c>
      <c r="C635" s="188" t="s">
        <v>36</v>
      </c>
      <c r="D635" s="188" t="s">
        <v>37</v>
      </c>
      <c r="E635" s="4">
        <v>11000</v>
      </c>
      <c r="F635" s="5">
        <v>76500</v>
      </c>
      <c r="G635" s="4">
        <v>16065</v>
      </c>
      <c r="H635" s="4">
        <v>103565</v>
      </c>
      <c r="I635" s="188" t="str">
        <f>VLOOKUP(C635,CATEGORIZACION!$A$1:$C$269,2,FALSE)</f>
        <v>TRANSPORTE</v>
      </c>
      <c r="J635" s="188" t="s">
        <v>19</v>
      </c>
    </row>
    <row r="636" spans="1:10" ht="15.75" customHeight="1" x14ac:dyDescent="0.25">
      <c r="A636" s="1">
        <v>45046</v>
      </c>
      <c r="B636" s="188" t="s">
        <v>680</v>
      </c>
      <c r="C636" s="188" t="s">
        <v>36</v>
      </c>
      <c r="D636" s="188" t="s">
        <v>37</v>
      </c>
      <c r="E636" s="4">
        <v>11000</v>
      </c>
      <c r="F636" s="5">
        <v>76500</v>
      </c>
      <c r="G636" s="4">
        <v>16065</v>
      </c>
      <c r="H636" s="4">
        <v>103565</v>
      </c>
      <c r="I636" s="188" t="str">
        <f>VLOOKUP(C636,CATEGORIZACION!$A$1:$C$269,2,FALSE)</f>
        <v>TRANSPORTE</v>
      </c>
      <c r="J636" s="188" t="s">
        <v>19</v>
      </c>
    </row>
    <row r="637" spans="1:10" ht="15.75" customHeight="1" x14ac:dyDescent="0.25">
      <c r="A637" s="1">
        <v>45046</v>
      </c>
      <c r="B637" s="188" t="s">
        <v>681</v>
      </c>
      <c r="C637" s="188" t="s">
        <v>36</v>
      </c>
      <c r="D637" s="188" t="s">
        <v>37</v>
      </c>
      <c r="E637" s="4">
        <v>11000</v>
      </c>
      <c r="F637" s="5">
        <v>76500</v>
      </c>
      <c r="G637" s="4">
        <v>16065</v>
      </c>
      <c r="H637" s="4">
        <v>103565</v>
      </c>
      <c r="I637" s="188" t="str">
        <f>VLOOKUP(C637,CATEGORIZACION!$A$1:$C$269,2,FALSE)</f>
        <v>TRANSPORTE</v>
      </c>
      <c r="J637" s="188" t="s">
        <v>19</v>
      </c>
    </row>
    <row r="638" spans="1:10" ht="15.75" customHeight="1" x14ac:dyDescent="0.25">
      <c r="A638" s="1">
        <v>45046</v>
      </c>
      <c r="B638" s="188" t="s">
        <v>682</v>
      </c>
      <c r="C638" s="188" t="s">
        <v>36</v>
      </c>
      <c r="D638" s="188" t="s">
        <v>37</v>
      </c>
      <c r="E638" s="4">
        <v>8200</v>
      </c>
      <c r="F638" s="5">
        <v>46800</v>
      </c>
      <c r="G638" s="4">
        <v>9828</v>
      </c>
      <c r="H638" s="4">
        <v>64828</v>
      </c>
      <c r="I638" s="188" t="str">
        <f>VLOOKUP(C638,CATEGORIZACION!$A$1:$C$269,2,FALSE)</f>
        <v>TRANSPORTE</v>
      </c>
      <c r="J638" s="188" t="s">
        <v>19</v>
      </c>
    </row>
    <row r="639" spans="1:10" ht="15.75" customHeight="1" x14ac:dyDescent="0.25">
      <c r="A639" s="1">
        <v>45046</v>
      </c>
      <c r="B639" s="188" t="s">
        <v>683</v>
      </c>
      <c r="C639" s="188" t="s">
        <v>36</v>
      </c>
      <c r="D639" s="188" t="s">
        <v>37</v>
      </c>
      <c r="E639" s="4">
        <v>8200</v>
      </c>
      <c r="F639" s="5">
        <v>46800</v>
      </c>
      <c r="G639" s="4">
        <v>9828</v>
      </c>
      <c r="H639" s="4">
        <v>64828</v>
      </c>
      <c r="I639" s="188" t="str">
        <f>VLOOKUP(C639,CATEGORIZACION!$A$1:$C$269,2,FALSE)</f>
        <v>TRANSPORTE</v>
      </c>
      <c r="J639" s="188" t="s">
        <v>19</v>
      </c>
    </row>
    <row r="640" spans="1:10" ht="15.75" customHeight="1" x14ac:dyDescent="0.25">
      <c r="A640" s="1">
        <v>45046</v>
      </c>
      <c r="B640" s="188" t="s">
        <v>684</v>
      </c>
      <c r="C640" s="188" t="s">
        <v>36</v>
      </c>
      <c r="D640" s="188" t="s">
        <v>37</v>
      </c>
      <c r="E640" s="4">
        <v>8200</v>
      </c>
      <c r="F640" s="5">
        <v>46800</v>
      </c>
      <c r="G640" s="4">
        <v>9828</v>
      </c>
      <c r="H640" s="4">
        <v>64828</v>
      </c>
      <c r="I640" s="188" t="str">
        <f>VLOOKUP(C640,CATEGORIZACION!$A$1:$C$269,2,FALSE)</f>
        <v>TRANSPORTE</v>
      </c>
      <c r="J640" s="188" t="s">
        <v>19</v>
      </c>
    </row>
    <row r="641" spans="1:10" ht="15.75" customHeight="1" x14ac:dyDescent="0.25">
      <c r="A641" s="1">
        <v>45046</v>
      </c>
      <c r="B641" s="188" t="s">
        <v>685</v>
      </c>
      <c r="C641" s="188" t="s">
        <v>36</v>
      </c>
      <c r="D641" s="188" t="s">
        <v>37</v>
      </c>
      <c r="E641" s="4">
        <v>8200</v>
      </c>
      <c r="F641" s="5">
        <v>46800</v>
      </c>
      <c r="G641" s="4">
        <v>9828</v>
      </c>
      <c r="H641" s="4">
        <v>64828</v>
      </c>
      <c r="I641" s="188" t="str">
        <f>VLOOKUP(C641,CATEGORIZACION!$A$1:$C$269,2,FALSE)</f>
        <v>TRANSPORTE</v>
      </c>
      <c r="J641" s="188" t="s">
        <v>19</v>
      </c>
    </row>
    <row r="642" spans="1:10" ht="15.75" customHeight="1" x14ac:dyDescent="0.25">
      <c r="A642" s="1">
        <v>45046</v>
      </c>
      <c r="B642" s="188" t="s">
        <v>686</v>
      </c>
      <c r="C642" s="188" t="s">
        <v>36</v>
      </c>
      <c r="D642" s="188" t="s">
        <v>37</v>
      </c>
      <c r="E642" s="4">
        <v>11000</v>
      </c>
      <c r="F642" s="5">
        <v>76500</v>
      </c>
      <c r="G642" s="4">
        <v>16065</v>
      </c>
      <c r="H642" s="4">
        <v>103565</v>
      </c>
      <c r="I642" s="188" t="str">
        <f>VLOOKUP(C642,CATEGORIZACION!$A$1:$C$269,2,FALSE)</f>
        <v>TRANSPORTE</v>
      </c>
      <c r="J642" s="188" t="s">
        <v>19</v>
      </c>
    </row>
    <row r="643" spans="1:10" ht="15.75" customHeight="1" x14ac:dyDescent="0.25">
      <c r="A643" s="1">
        <v>45046</v>
      </c>
      <c r="B643" s="188" t="s">
        <v>687</v>
      </c>
      <c r="C643" s="188" t="s">
        <v>36</v>
      </c>
      <c r="D643" s="188" t="s">
        <v>37</v>
      </c>
      <c r="E643" s="4">
        <v>11000</v>
      </c>
      <c r="F643" s="5">
        <v>76500</v>
      </c>
      <c r="G643" s="4">
        <v>16065</v>
      </c>
      <c r="H643" s="4">
        <v>103565</v>
      </c>
      <c r="I643" s="188" t="str">
        <f>VLOOKUP(C643,CATEGORIZACION!$A$1:$C$269,2,FALSE)</f>
        <v>TRANSPORTE</v>
      </c>
      <c r="J643" s="188" t="s">
        <v>19</v>
      </c>
    </row>
    <row r="644" spans="1:10" ht="15.75" customHeight="1" x14ac:dyDescent="0.25">
      <c r="A644" s="1">
        <v>45046</v>
      </c>
      <c r="B644" s="188" t="s">
        <v>688</v>
      </c>
      <c r="C644" s="188" t="s">
        <v>36</v>
      </c>
      <c r="D644" s="188" t="s">
        <v>37</v>
      </c>
      <c r="E644" s="4">
        <v>10100</v>
      </c>
      <c r="F644" s="5">
        <v>121650</v>
      </c>
      <c r="G644" s="4">
        <v>25546.5</v>
      </c>
      <c r="H644" s="4">
        <v>157296.5</v>
      </c>
      <c r="I644" s="188" t="str">
        <f>VLOOKUP(C644,CATEGORIZACION!$A$1:$C$269,2,FALSE)</f>
        <v>TRANSPORTE</v>
      </c>
      <c r="J644" s="188" t="s">
        <v>19</v>
      </c>
    </row>
    <row r="645" spans="1:10" ht="15.75" customHeight="1" x14ac:dyDescent="0.25">
      <c r="A645" s="1">
        <v>45046</v>
      </c>
      <c r="B645" s="188" t="s">
        <v>689</v>
      </c>
      <c r="C645" s="188" t="s">
        <v>36</v>
      </c>
      <c r="D645" s="188" t="s">
        <v>37</v>
      </c>
      <c r="E645" s="4">
        <v>11900</v>
      </c>
      <c r="F645" s="5">
        <v>164208</v>
      </c>
      <c r="G645" s="4">
        <v>34483.68</v>
      </c>
      <c r="H645" s="4">
        <v>210591.68</v>
      </c>
      <c r="I645" s="188" t="str">
        <f>VLOOKUP(C645,CATEGORIZACION!$A$1:$C$269,2,FALSE)</f>
        <v>TRANSPORTE</v>
      </c>
      <c r="J645" s="188" t="s">
        <v>19</v>
      </c>
    </row>
    <row r="646" spans="1:10" ht="15.75" customHeight="1" x14ac:dyDescent="0.25">
      <c r="A646" s="1">
        <v>45046</v>
      </c>
      <c r="B646" s="188" t="s">
        <v>82</v>
      </c>
      <c r="C646" s="188" t="s">
        <v>188</v>
      </c>
      <c r="D646" s="188">
        <v>0</v>
      </c>
      <c r="E646" s="4">
        <v>0</v>
      </c>
      <c r="F646" s="3">
        <v>0</v>
      </c>
      <c r="G646" s="4">
        <v>0</v>
      </c>
      <c r="H646" s="4">
        <v>1211195</v>
      </c>
      <c r="I646" s="188" t="str">
        <f>VLOOKUP(C646,CATEGORIZACION!$A$1:$C$269,2,FALSE)</f>
        <v>SUELDOS</v>
      </c>
      <c r="J646" s="188" t="s">
        <v>103</v>
      </c>
    </row>
    <row r="647" spans="1:10" ht="15.75" customHeight="1" x14ac:dyDescent="0.25">
      <c r="A647" s="1">
        <v>45046</v>
      </c>
      <c r="B647" s="188" t="s">
        <v>82</v>
      </c>
      <c r="C647" s="188" t="s">
        <v>189</v>
      </c>
      <c r="D647" s="188">
        <v>0</v>
      </c>
      <c r="E647" s="4">
        <v>0</v>
      </c>
      <c r="F647" s="3">
        <v>0</v>
      </c>
      <c r="G647" s="4">
        <v>0</v>
      </c>
      <c r="H647" s="4">
        <v>518000</v>
      </c>
      <c r="I647" s="188" t="str">
        <f>VLOOKUP(C647,CATEGORIZACION!$A$1:$C$269,2,FALSE)</f>
        <v>SUELDOS</v>
      </c>
      <c r="J647" s="188" t="s">
        <v>103</v>
      </c>
    </row>
    <row r="648" spans="1:10" ht="15.75" customHeight="1" x14ac:dyDescent="0.25">
      <c r="A648" s="1">
        <v>45046</v>
      </c>
      <c r="B648" s="188" t="s">
        <v>82</v>
      </c>
      <c r="C648" s="188" t="s">
        <v>190</v>
      </c>
      <c r="D648" s="188">
        <v>0</v>
      </c>
      <c r="E648" s="4">
        <v>0</v>
      </c>
      <c r="F648" s="5">
        <v>2217820</v>
      </c>
      <c r="G648" s="4">
        <v>0</v>
      </c>
      <c r="H648" s="4">
        <v>2217820</v>
      </c>
      <c r="I648" s="188" t="str">
        <f>VLOOKUP(C648,CATEGORIZACION!$A$1:$C$269,2,FALSE)</f>
        <v>SUELDOS</v>
      </c>
      <c r="J648" s="188" t="s">
        <v>19</v>
      </c>
    </row>
    <row r="649" spans="1:10" ht="15.75" customHeight="1" x14ac:dyDescent="0.25">
      <c r="A649" s="1">
        <v>45046</v>
      </c>
      <c r="B649" s="188" t="s">
        <v>82</v>
      </c>
      <c r="C649" s="188" t="s">
        <v>191</v>
      </c>
      <c r="D649" s="188">
        <v>0</v>
      </c>
      <c r="E649" s="4">
        <v>0</v>
      </c>
      <c r="F649" s="5">
        <v>470000</v>
      </c>
      <c r="G649" s="4">
        <v>0</v>
      </c>
      <c r="H649" s="4">
        <v>470000</v>
      </c>
      <c r="I649" s="188" t="str">
        <f>VLOOKUP(C649,CATEGORIZACION!$A$1:$C$269,2,FALSE)</f>
        <v>SUELDOS</v>
      </c>
      <c r="J649" s="188" t="s">
        <v>19</v>
      </c>
    </row>
    <row r="650" spans="1:10" ht="15.75" customHeight="1" x14ac:dyDescent="0.25">
      <c r="A650" s="1">
        <v>45046</v>
      </c>
      <c r="B650" s="188" t="s">
        <v>82</v>
      </c>
      <c r="C650" s="188" t="s">
        <v>192</v>
      </c>
      <c r="D650" s="188">
        <v>0</v>
      </c>
      <c r="E650" s="4">
        <v>0</v>
      </c>
      <c r="F650" s="3">
        <v>175000</v>
      </c>
      <c r="G650" s="4">
        <v>0</v>
      </c>
      <c r="H650" s="4">
        <v>150000</v>
      </c>
      <c r="I650" s="188" t="str">
        <f>VLOOKUP(C650,CATEGORIZACION!$A$1:$C$269,2,FALSE)</f>
        <v>SUELDOS</v>
      </c>
      <c r="J650" s="188" t="s">
        <v>103</v>
      </c>
    </row>
    <row r="651" spans="1:10" ht="15.75" customHeight="1" x14ac:dyDescent="0.25">
      <c r="A651" s="1">
        <v>45046</v>
      </c>
      <c r="B651" s="188" t="s">
        <v>82</v>
      </c>
      <c r="C651" s="188" t="s">
        <v>193</v>
      </c>
      <c r="D651" s="188">
        <v>0</v>
      </c>
      <c r="E651" s="4">
        <v>0</v>
      </c>
      <c r="F651" s="5">
        <v>0</v>
      </c>
      <c r="G651" s="4">
        <v>0</v>
      </c>
      <c r="H651" s="4">
        <v>175000</v>
      </c>
      <c r="I651" s="188" t="str">
        <f>VLOOKUP(C651,CATEGORIZACION!$A$1:$C$269,2,FALSE)</f>
        <v>SUELDOS</v>
      </c>
      <c r="J651" s="188" t="s">
        <v>19</v>
      </c>
    </row>
    <row r="652" spans="1:10" ht="15.75" customHeight="1" x14ac:dyDescent="0.25">
      <c r="A652" s="1">
        <v>45046</v>
      </c>
      <c r="B652" s="188" t="s">
        <v>82</v>
      </c>
      <c r="C652" s="188" t="s">
        <v>194</v>
      </c>
      <c r="D652" s="188">
        <v>0</v>
      </c>
      <c r="E652" s="4">
        <v>0</v>
      </c>
      <c r="F652" s="3">
        <v>110680</v>
      </c>
      <c r="G652" s="4">
        <v>0</v>
      </c>
      <c r="H652" s="4">
        <v>896400</v>
      </c>
      <c r="I652" s="188" t="str">
        <f>VLOOKUP(C652,CATEGORIZACION!$A$1:$C$269,2,FALSE)</f>
        <v>ALQUILER</v>
      </c>
      <c r="J652" s="188" t="s">
        <v>103</v>
      </c>
    </row>
    <row r="653" spans="1:10" ht="15.75" customHeight="1" x14ac:dyDescent="0.25">
      <c r="A653" s="1">
        <v>45046</v>
      </c>
      <c r="B653" s="188" t="s">
        <v>82</v>
      </c>
      <c r="C653" s="188" t="s">
        <v>195</v>
      </c>
      <c r="D653" s="188">
        <v>0</v>
      </c>
      <c r="E653" s="4">
        <v>0</v>
      </c>
      <c r="F653" s="3">
        <v>345000</v>
      </c>
      <c r="G653" s="4">
        <v>0</v>
      </c>
      <c r="H653" s="4">
        <v>575000</v>
      </c>
      <c r="I653" s="188" t="str">
        <f>VLOOKUP(C653,CATEGORIZACION!$A$1:$C$269,2,FALSE)</f>
        <v>ALQUILER</v>
      </c>
      <c r="J653" s="188" t="s">
        <v>103</v>
      </c>
    </row>
    <row r="654" spans="1:10" ht="15.75" customHeight="1" x14ac:dyDescent="0.25">
      <c r="A654" s="1">
        <v>45046</v>
      </c>
      <c r="B654" s="188" t="s">
        <v>82</v>
      </c>
      <c r="C654" s="188" t="s">
        <v>196</v>
      </c>
      <c r="D654" s="188">
        <v>0</v>
      </c>
      <c r="E654" s="4">
        <v>0</v>
      </c>
      <c r="F654" s="3">
        <v>444045</v>
      </c>
      <c r="G654" s="4">
        <v>0</v>
      </c>
      <c r="H654" s="4">
        <v>268633</v>
      </c>
      <c r="I654" s="188" t="str">
        <f>VLOOKUP(C654,CATEGORIZACION!$A$1:$C$269,2,FALSE)</f>
        <v>ALQUILER</v>
      </c>
      <c r="J654" s="188" t="s">
        <v>103</v>
      </c>
    </row>
    <row r="655" spans="1:10" ht="15.75" customHeight="1" x14ac:dyDescent="0.25">
      <c r="A655" s="1">
        <v>45046</v>
      </c>
      <c r="B655" s="188" t="s">
        <v>82</v>
      </c>
      <c r="C655" s="188" t="s">
        <v>197</v>
      </c>
      <c r="D655" s="188">
        <v>0</v>
      </c>
      <c r="E655" s="4">
        <v>0</v>
      </c>
      <c r="F655" s="3">
        <v>25768.27</v>
      </c>
      <c r="G655" s="4">
        <v>0</v>
      </c>
      <c r="H655" s="4">
        <v>140000</v>
      </c>
      <c r="I655" s="188" t="str">
        <f>VLOOKUP(C655,CATEGORIZACION!$A$1:$C$269,2,FALSE)</f>
        <v>ALQUILER</v>
      </c>
      <c r="J655" s="188" t="s">
        <v>103</v>
      </c>
    </row>
    <row r="656" spans="1:10" ht="15.75" customHeight="1" x14ac:dyDescent="0.25">
      <c r="A656" s="1">
        <v>45046</v>
      </c>
      <c r="B656" s="188" t="s">
        <v>82</v>
      </c>
      <c r="C656" s="188" t="s">
        <v>198</v>
      </c>
      <c r="D656" s="188">
        <v>0</v>
      </c>
      <c r="E656" s="4">
        <v>0</v>
      </c>
      <c r="F656" s="5">
        <v>7928.47</v>
      </c>
      <c r="G656" s="4">
        <v>0</v>
      </c>
      <c r="H656" s="4">
        <v>220000</v>
      </c>
      <c r="I656" s="188" t="str">
        <f>VLOOKUP(C656,CATEGORIZACION!$A$1:$C$269,2,FALSE)</f>
        <v>ALQUILER</v>
      </c>
      <c r="J656" s="188" t="s">
        <v>19</v>
      </c>
    </row>
    <row r="657" spans="1:10" ht="15.75" customHeight="1" x14ac:dyDescent="0.25">
      <c r="A657" s="1">
        <v>45046</v>
      </c>
      <c r="B657" s="188" t="s">
        <v>82</v>
      </c>
      <c r="C657" s="188" t="s">
        <v>199</v>
      </c>
      <c r="D657" s="188">
        <v>0</v>
      </c>
      <c r="E657" s="4">
        <v>0</v>
      </c>
      <c r="F657" s="3">
        <v>13600</v>
      </c>
      <c r="G657" s="4">
        <v>0</v>
      </c>
      <c r="H657" s="4">
        <v>40000</v>
      </c>
      <c r="I657" s="188" t="str">
        <f>VLOOKUP(C657,CATEGORIZACION!$A$1:$C$269,2,FALSE)</f>
        <v>PROOVEDORES</v>
      </c>
      <c r="J657" s="188" t="str">
        <f>VLOOKUP(C657,CATEGORIZACION!$A$1:$C$269,3,FALSE)</f>
        <v>DEPOSITO</v>
      </c>
    </row>
    <row r="658" spans="1:10" ht="15.75" customHeight="1" x14ac:dyDescent="0.25">
      <c r="A658" s="1">
        <v>45046</v>
      </c>
      <c r="B658" s="188" t="s">
        <v>82</v>
      </c>
      <c r="C658" s="188" t="s">
        <v>200</v>
      </c>
      <c r="D658" s="188">
        <v>0</v>
      </c>
      <c r="E658" s="4">
        <v>0</v>
      </c>
      <c r="F658" s="5">
        <v>175000</v>
      </c>
      <c r="G658" s="4">
        <v>0</v>
      </c>
      <c r="H658" s="4">
        <v>0</v>
      </c>
      <c r="I658" s="188" t="str">
        <f>VLOOKUP(C658,CATEGORIZACION!$A$1:$C$269,2,FALSE)</f>
        <v>PROOVEDORES</v>
      </c>
      <c r="J658" s="188" t="str">
        <f>VLOOKUP(C658,CATEGORIZACION!$A$1:$C$269,3,FALSE)</f>
        <v>LOGISTICA</v>
      </c>
    </row>
    <row r="659" spans="1:10" ht="15.75" customHeight="1" x14ac:dyDescent="0.25">
      <c r="A659" s="1">
        <v>45046</v>
      </c>
      <c r="B659" s="188" t="s">
        <v>82</v>
      </c>
      <c r="C659" s="188" t="s">
        <v>201</v>
      </c>
      <c r="D659" s="188">
        <v>0</v>
      </c>
      <c r="E659" s="4">
        <v>0</v>
      </c>
      <c r="F659" s="5">
        <v>0</v>
      </c>
      <c r="G659" s="4">
        <v>0</v>
      </c>
      <c r="H659" s="4">
        <v>110680</v>
      </c>
      <c r="I659" s="188" t="str">
        <f>VLOOKUP(C659,CATEGORIZACION!$A$1:$C$269,2,FALSE)</f>
        <v>PROOVEDORES</v>
      </c>
      <c r="J659" s="188" t="str">
        <f>VLOOKUP(C659,CATEGORIZACION!$A$1:$C$269,3,FALSE)</f>
        <v>LOGISTICA</v>
      </c>
    </row>
    <row r="660" spans="1:10" ht="15.75" customHeight="1" x14ac:dyDescent="0.25">
      <c r="A660" s="1">
        <v>45046</v>
      </c>
      <c r="B660" s="188" t="s">
        <v>82</v>
      </c>
      <c r="C660" s="188" t="s">
        <v>202</v>
      </c>
      <c r="D660" s="188">
        <v>0</v>
      </c>
      <c r="E660" s="4">
        <v>0</v>
      </c>
      <c r="F660" s="5">
        <v>110680</v>
      </c>
      <c r="G660" s="4">
        <v>0</v>
      </c>
      <c r="H660" s="4">
        <v>345000</v>
      </c>
      <c r="I660" s="188" t="str">
        <f>VLOOKUP(C660,CATEGORIZACION!$A$1:$C$269,2,FALSE)</f>
        <v>PROOVEDORES</v>
      </c>
      <c r="J660" s="188" t="str">
        <f>VLOOKUP(C660,CATEGORIZACION!$A$1:$C$269,3,FALSE)</f>
        <v>LOGISTICA</v>
      </c>
    </row>
    <row r="661" spans="1:10" ht="15.75" customHeight="1" x14ac:dyDescent="0.25">
      <c r="A661" s="1">
        <v>45046</v>
      </c>
      <c r="B661" s="188" t="s">
        <v>82</v>
      </c>
      <c r="C661" s="188" t="s">
        <v>363</v>
      </c>
      <c r="D661" s="188">
        <v>0</v>
      </c>
      <c r="E661" s="4">
        <v>0</v>
      </c>
      <c r="F661" s="5">
        <v>345000</v>
      </c>
      <c r="G661" s="4">
        <v>0</v>
      </c>
      <c r="H661" s="4">
        <v>0</v>
      </c>
      <c r="I661" s="188" t="str">
        <f>VLOOKUP(C661,CATEGORIZACION!$A$1:$C$269,2,FALSE)</f>
        <v>PROOVEDORES</v>
      </c>
      <c r="J661" s="188" t="str">
        <f>VLOOKUP(C661,CATEGORIZACION!$A$1:$C$269,3,FALSE)</f>
        <v>LOGISTICA</v>
      </c>
    </row>
    <row r="662" spans="1:10" ht="15.75" customHeight="1" x14ac:dyDescent="0.25">
      <c r="A662" s="1">
        <v>45046</v>
      </c>
      <c r="B662" s="188" t="s">
        <v>82</v>
      </c>
      <c r="C662" s="188" t="s">
        <v>204</v>
      </c>
      <c r="D662" s="188">
        <v>0</v>
      </c>
      <c r="E662" s="4">
        <v>0</v>
      </c>
      <c r="F662" s="5">
        <v>444045</v>
      </c>
      <c r="G662" s="4">
        <v>0</v>
      </c>
      <c r="H662" s="4">
        <v>444045</v>
      </c>
      <c r="I662" s="188" t="str">
        <f>VLOOKUP(C662,CATEGORIZACION!$A$1:$C$269,2,FALSE)</f>
        <v>PROOVEDORES</v>
      </c>
      <c r="J662" s="188" t="str">
        <f>VLOOKUP(C662,CATEGORIZACION!$A$1:$C$269,3,FALSE)</f>
        <v>LOGISTICA</v>
      </c>
    </row>
    <row r="663" spans="1:10" ht="15.75" customHeight="1" x14ac:dyDescent="0.25">
      <c r="A663" s="1">
        <v>45046</v>
      </c>
      <c r="B663" s="188" t="s">
        <v>82</v>
      </c>
      <c r="C663" s="188" t="s">
        <v>205</v>
      </c>
      <c r="D663" s="188">
        <v>0</v>
      </c>
      <c r="E663" s="4">
        <v>0</v>
      </c>
      <c r="F663" s="5">
        <v>189988.96</v>
      </c>
      <c r="G663" s="4">
        <v>0</v>
      </c>
      <c r="H663" s="4">
        <v>189988.96</v>
      </c>
      <c r="I663" s="188" t="str">
        <f>VLOOKUP(C663,CATEGORIZACION!$A$1:$C$269,2,FALSE)</f>
        <v>AFIP</v>
      </c>
      <c r="J663" s="188" t="s">
        <v>19</v>
      </c>
    </row>
    <row r="664" spans="1:10" ht="15.75" customHeight="1" x14ac:dyDescent="0.25">
      <c r="A664" s="1">
        <v>45046</v>
      </c>
      <c r="B664" s="188" t="s">
        <v>82</v>
      </c>
      <c r="C664" s="188" t="s">
        <v>206</v>
      </c>
      <c r="D664" s="188">
        <v>0</v>
      </c>
      <c r="E664" s="4">
        <v>0</v>
      </c>
      <c r="F664" s="5">
        <v>626749</v>
      </c>
      <c r="G664" s="4">
        <v>0</v>
      </c>
      <c r="H664" s="4">
        <v>1253498.26</v>
      </c>
      <c r="I664" s="188" t="str">
        <f>VLOOKUP(C664,CATEGORIZACION!$A$1:$C$269,2,FALSE)</f>
        <v>AFIP</v>
      </c>
      <c r="J664" s="188" t="s">
        <v>19</v>
      </c>
    </row>
    <row r="665" spans="1:10" ht="15.75" customHeight="1" x14ac:dyDescent="0.25">
      <c r="A665" s="1">
        <v>45046</v>
      </c>
      <c r="B665" s="188" t="s">
        <v>82</v>
      </c>
      <c r="C665" s="188" t="s">
        <v>690</v>
      </c>
      <c r="D665" s="188">
        <v>0</v>
      </c>
      <c r="E665" s="4">
        <v>0</v>
      </c>
      <c r="F665" s="3">
        <v>626749</v>
      </c>
      <c r="G665" s="4">
        <v>0</v>
      </c>
      <c r="H665" s="4">
        <v>0</v>
      </c>
      <c r="I665" s="188" t="str">
        <f>VLOOKUP(C665,CATEGORIZACION!$A$1:$C$269,2,FALSE)</f>
        <v>AFIP</v>
      </c>
      <c r="J665" s="188" t="s">
        <v>103</v>
      </c>
    </row>
    <row r="666" spans="1:10" ht="15.75" customHeight="1" x14ac:dyDescent="0.25">
      <c r="A666" s="1">
        <v>45046</v>
      </c>
      <c r="B666" s="188" t="s">
        <v>82</v>
      </c>
      <c r="C666" s="188" t="s">
        <v>207</v>
      </c>
      <c r="D666" s="188">
        <v>0</v>
      </c>
      <c r="E666" s="4">
        <v>0</v>
      </c>
      <c r="F666" s="5">
        <v>330945</v>
      </c>
      <c r="G666" s="4">
        <v>0</v>
      </c>
      <c r="H666" s="4">
        <v>330945</v>
      </c>
      <c r="I666" s="188" t="str">
        <f>VLOOKUP(C666,CATEGORIZACION!$A$1:$C$269,2,FALSE)</f>
        <v>AFIP</v>
      </c>
      <c r="J666" s="188" t="s">
        <v>19</v>
      </c>
    </row>
    <row r="667" spans="1:10" ht="15.75" customHeight="1" x14ac:dyDescent="0.25">
      <c r="A667" s="1">
        <v>45046</v>
      </c>
      <c r="B667" s="188" t="s">
        <v>82</v>
      </c>
      <c r="C667" s="188" t="s">
        <v>208</v>
      </c>
      <c r="D667" s="188">
        <v>0</v>
      </c>
      <c r="E667" s="4">
        <v>0</v>
      </c>
      <c r="F667" s="5">
        <v>0</v>
      </c>
      <c r="G667" s="4">
        <v>0</v>
      </c>
      <c r="H667" s="4">
        <v>0</v>
      </c>
      <c r="I667" s="188" t="str">
        <f>VLOOKUP(C667,CATEGORIZACION!$A$1:$C$269,2,FALSE)</f>
        <v>AFIP</v>
      </c>
      <c r="J667" s="188" t="s">
        <v>19</v>
      </c>
    </row>
    <row r="668" spans="1:10" ht="15.75" customHeight="1" x14ac:dyDescent="0.25">
      <c r="A668" s="1">
        <v>45046</v>
      </c>
      <c r="B668" s="188" t="s">
        <v>82</v>
      </c>
      <c r="C668" s="188" t="s">
        <v>209</v>
      </c>
      <c r="D668" s="188">
        <v>0</v>
      </c>
      <c r="E668" s="4">
        <v>0</v>
      </c>
      <c r="F668" s="5">
        <v>25768.27</v>
      </c>
      <c r="G668" s="4">
        <v>0</v>
      </c>
      <c r="H668" s="4">
        <v>25768.27</v>
      </c>
      <c r="I668" s="188" t="str">
        <f>VLOOKUP(C668,CATEGORIZACION!$A$1:$C$269,2,FALSE)</f>
        <v>PROOVEDORES</v>
      </c>
      <c r="J668" s="188" t="str">
        <f>VLOOKUP(C668,CATEGORIZACION!$A$1:$C$269,3,FALSE)</f>
        <v>LOGISTICA</v>
      </c>
    </row>
    <row r="669" spans="1:10" ht="15.75" customHeight="1" x14ac:dyDescent="0.25">
      <c r="A669" s="1">
        <v>45046</v>
      </c>
      <c r="B669" s="188" t="s">
        <v>82</v>
      </c>
      <c r="C669" s="188" t="s">
        <v>210</v>
      </c>
      <c r="D669" s="188">
        <v>0</v>
      </c>
      <c r="E669" s="4">
        <v>0</v>
      </c>
      <c r="F669" s="5">
        <v>7928.47</v>
      </c>
      <c r="G669" s="4">
        <v>0</v>
      </c>
      <c r="H669" s="4">
        <v>172330.47</v>
      </c>
      <c r="I669" s="188" t="str">
        <f>VLOOKUP(C669,CATEGORIZACION!$A$1:$C$269,2,FALSE)</f>
        <v>PROOVEDORES</v>
      </c>
      <c r="J669" s="188" t="str">
        <f>VLOOKUP(C669,CATEGORIZACION!$A$1:$C$269,3,FALSE)</f>
        <v>LOGISTICA</v>
      </c>
    </row>
    <row r="670" spans="1:10" ht="15.75" customHeight="1" x14ac:dyDescent="0.25">
      <c r="A670" s="1">
        <v>45046</v>
      </c>
      <c r="B670" s="188" t="s">
        <v>82</v>
      </c>
      <c r="C670" s="188" t="s">
        <v>211</v>
      </c>
      <c r="D670" s="188">
        <v>0</v>
      </c>
      <c r="E670" s="4">
        <v>0</v>
      </c>
      <c r="F670" s="5">
        <v>7928.47</v>
      </c>
      <c r="G670" s="4">
        <v>0</v>
      </c>
      <c r="H670" s="4">
        <v>7928.47</v>
      </c>
      <c r="I670" s="188" t="str">
        <f>VLOOKUP(C670,CATEGORIZACION!$A$1:$C$269,2,FALSE)</f>
        <v>PROOVEDORES</v>
      </c>
      <c r="J670" s="188" t="str">
        <f>VLOOKUP(C670,CATEGORIZACION!$A$1:$C$269,3,FALSE)</f>
        <v>LOGISTICA</v>
      </c>
    </row>
    <row r="671" spans="1:10" ht="15.75" customHeight="1" x14ac:dyDescent="0.25">
      <c r="A671" s="1">
        <v>45046</v>
      </c>
      <c r="B671" s="188" t="s">
        <v>82</v>
      </c>
      <c r="C671" s="188" t="s">
        <v>212</v>
      </c>
      <c r="D671" s="188">
        <v>0</v>
      </c>
      <c r="E671" s="4">
        <v>0</v>
      </c>
      <c r="F671" s="5">
        <v>53024.45</v>
      </c>
      <c r="G671" s="4">
        <v>0</v>
      </c>
      <c r="H671" s="4">
        <v>53024.45</v>
      </c>
      <c r="I671" s="188" t="str">
        <f>VLOOKUP(C671,CATEGORIZACION!$A$1:$C$269,2,FALSE)</f>
        <v>PROOVEDORES</v>
      </c>
      <c r="J671" s="188" t="str">
        <f>VLOOKUP(C671,CATEGORIZACION!$A$1:$C$269,3,FALSE)</f>
        <v>LOGISTICA</v>
      </c>
    </row>
    <row r="672" spans="1:10" ht="15.75" customHeight="1" x14ac:dyDescent="0.25">
      <c r="A672" s="1">
        <v>45046</v>
      </c>
      <c r="B672" s="188" t="s">
        <v>82</v>
      </c>
      <c r="C672" s="188" t="s">
        <v>213</v>
      </c>
      <c r="D672" s="188">
        <v>0</v>
      </c>
      <c r="E672" s="4">
        <v>0</v>
      </c>
      <c r="F672" s="5">
        <v>140000</v>
      </c>
      <c r="G672" s="4">
        <v>0</v>
      </c>
      <c r="H672" s="4">
        <v>140000</v>
      </c>
      <c r="I672" s="188" t="str">
        <f>VLOOKUP(C672,CATEGORIZACION!$A$1:$C$269,2,FALSE)</f>
        <v>AFIP</v>
      </c>
      <c r="J672" s="188" t="s">
        <v>19</v>
      </c>
    </row>
    <row r="673" spans="1:10" ht="15.75" customHeight="1" x14ac:dyDescent="0.25">
      <c r="A673" s="1">
        <v>45047</v>
      </c>
      <c r="B673" s="188" t="s">
        <v>691</v>
      </c>
      <c r="C673" s="188" t="s">
        <v>218</v>
      </c>
      <c r="D673" s="188" t="s">
        <v>219</v>
      </c>
      <c r="E673" s="4">
        <v>-1.8626451492309571E-11</v>
      </c>
      <c r="F673" s="5">
        <v>118572.79</v>
      </c>
      <c r="G673" s="4">
        <v>24900.29</v>
      </c>
      <c r="H673" s="4">
        <v>143473.07999999999</v>
      </c>
      <c r="I673" s="188" t="str">
        <f>VLOOKUP(C673,CATEGORIZACION!$A$1:$C$269,2,FALSE)</f>
        <v>PROOVEDORES</v>
      </c>
      <c r="J673" s="188" t="str">
        <f>VLOOKUP(C673,CATEGORIZACION!$A$1:$C$269,3,FALSE)</f>
        <v>LOGISTICA</v>
      </c>
    </row>
    <row r="674" spans="1:10" ht="15.75" customHeight="1" x14ac:dyDescent="0.25">
      <c r="A674" s="1">
        <v>45047</v>
      </c>
      <c r="B674" s="188" t="s">
        <v>692</v>
      </c>
      <c r="C674" s="188" t="s">
        <v>441</v>
      </c>
      <c r="D674" s="188" t="s">
        <v>442</v>
      </c>
      <c r="E674" s="4">
        <v>0</v>
      </c>
      <c r="F674" s="3">
        <v>575000</v>
      </c>
      <c r="G674" s="4">
        <v>120750</v>
      </c>
      <c r="H674" s="4">
        <v>695750</v>
      </c>
      <c r="I674" s="188" t="str">
        <f>VLOOKUP(C674,CATEGORIZACION!$A$1:$C$269,2,FALSE)</f>
        <v>ALQUILER</v>
      </c>
      <c r="J674" s="188" t="s">
        <v>103</v>
      </c>
    </row>
    <row r="675" spans="1:10" ht="15.75" customHeight="1" x14ac:dyDescent="0.25">
      <c r="A675" s="1">
        <v>45047</v>
      </c>
      <c r="B675" s="188" t="s">
        <v>693</v>
      </c>
      <c r="C675" s="188" t="s">
        <v>49</v>
      </c>
      <c r="D675" s="188" t="s">
        <v>50</v>
      </c>
      <c r="E675" s="4">
        <v>0</v>
      </c>
      <c r="F675" s="3">
        <v>500</v>
      </c>
      <c r="G675" s="4">
        <v>105</v>
      </c>
      <c r="H675" s="4">
        <v>605</v>
      </c>
      <c r="I675" s="188" t="str">
        <f>VLOOKUP(C675,CATEGORIZACION!$A$1:$C$269,2,FALSE)</f>
        <v>PROOVEDORES</v>
      </c>
      <c r="J675" s="188" t="str">
        <f>VLOOKUP(C675,CATEGORIZACION!$A$1:$C$269,3,FALSE)</f>
        <v>DEPOSITO</v>
      </c>
    </row>
    <row r="676" spans="1:10" ht="15.75" customHeight="1" x14ac:dyDescent="0.25">
      <c r="A676" s="1">
        <v>45047</v>
      </c>
      <c r="B676" s="188" t="s">
        <v>694</v>
      </c>
      <c r="C676" s="188" t="s">
        <v>49</v>
      </c>
      <c r="D676" s="188" t="s">
        <v>50</v>
      </c>
      <c r="E676" s="4">
        <v>0</v>
      </c>
      <c r="F676" s="3">
        <v>500</v>
      </c>
      <c r="G676" s="4">
        <v>105</v>
      </c>
      <c r="H676" s="4">
        <v>605</v>
      </c>
      <c r="I676" s="188" t="str">
        <f>VLOOKUP(C676,CATEGORIZACION!$A$1:$C$269,2,FALSE)</f>
        <v>PROOVEDORES</v>
      </c>
      <c r="J676" s="188" t="str">
        <f>VLOOKUP(C676,CATEGORIZACION!$A$1:$C$269,3,FALSE)</f>
        <v>DEPOSITO</v>
      </c>
    </row>
    <row r="677" spans="1:10" ht="15.75" customHeight="1" x14ac:dyDescent="0.25">
      <c r="A677" s="1">
        <v>45047</v>
      </c>
      <c r="B677" s="188" t="s">
        <v>695</v>
      </c>
      <c r="C677" s="188" t="s">
        <v>14</v>
      </c>
      <c r="D677" s="188" t="s">
        <v>15</v>
      </c>
      <c r="E677" s="4">
        <v>0</v>
      </c>
      <c r="F677" s="3">
        <v>27480</v>
      </c>
      <c r="G677" s="4">
        <v>5770.8</v>
      </c>
      <c r="H677" s="4">
        <v>33250.800000000003</v>
      </c>
      <c r="I677" s="188" t="str">
        <f>VLOOKUP(C677,CATEGORIZACION!$A$1:$C$269,2,FALSE)</f>
        <v>PROOVEDORES</v>
      </c>
      <c r="J677" s="188" t="str">
        <f>VLOOKUP(C677,CATEGORIZACION!$A$1:$C$269,3,FALSE)</f>
        <v>DEPOSITO</v>
      </c>
    </row>
    <row r="678" spans="1:10" ht="15.75" customHeight="1" x14ac:dyDescent="0.25">
      <c r="A678" s="1">
        <v>45047</v>
      </c>
      <c r="B678" s="188" t="s">
        <v>696</v>
      </c>
      <c r="C678" s="188" t="s">
        <v>17</v>
      </c>
      <c r="D678" s="188" t="s">
        <v>18</v>
      </c>
      <c r="E678" s="4">
        <v>25496</v>
      </c>
      <c r="F678" s="5">
        <v>320750</v>
      </c>
      <c r="G678" s="4">
        <v>67357.5</v>
      </c>
      <c r="H678" s="4">
        <v>413603.5</v>
      </c>
      <c r="I678" s="188" t="str">
        <f>VLOOKUP(C678,CATEGORIZACION!$A$1:$C$269,2,FALSE)</f>
        <v>TRANSPORTE</v>
      </c>
      <c r="J678" s="188" t="s">
        <v>19</v>
      </c>
    </row>
    <row r="679" spans="1:10" ht="15.75" customHeight="1" x14ac:dyDescent="0.25">
      <c r="A679" s="1">
        <v>45047</v>
      </c>
      <c r="B679" s="188" t="s">
        <v>697</v>
      </c>
      <c r="C679" s="188" t="s">
        <v>17</v>
      </c>
      <c r="D679" s="188" t="s">
        <v>18</v>
      </c>
      <c r="E679" s="4">
        <v>33120</v>
      </c>
      <c r="F679" s="5">
        <v>273000</v>
      </c>
      <c r="G679" s="4">
        <v>57330</v>
      </c>
      <c r="H679" s="4">
        <v>363450</v>
      </c>
      <c r="I679" s="188" t="str">
        <f>VLOOKUP(C679,CATEGORIZACION!$A$1:$C$269,2,FALSE)</f>
        <v>TRANSPORTE</v>
      </c>
      <c r="J679" s="188" t="s">
        <v>19</v>
      </c>
    </row>
    <row r="680" spans="1:10" ht="15.75" customHeight="1" x14ac:dyDescent="0.25">
      <c r="A680" s="1">
        <v>45047</v>
      </c>
      <c r="B680" s="188" t="s">
        <v>698</v>
      </c>
      <c r="C680" s="188" t="s">
        <v>248</v>
      </c>
      <c r="D680" s="188" t="s">
        <v>249</v>
      </c>
      <c r="E680" s="4">
        <v>0</v>
      </c>
      <c r="F680" s="5">
        <v>164324</v>
      </c>
      <c r="G680" s="4">
        <v>34508.04</v>
      </c>
      <c r="H680" s="4">
        <v>198832.04</v>
      </c>
      <c r="I680" s="188" t="str">
        <f>VLOOKUP(C680,CATEGORIZACION!$A$1:$C$269,2,FALSE)</f>
        <v>PROOVEDORES</v>
      </c>
      <c r="J680" s="188" t="str">
        <f>VLOOKUP(C680,CATEGORIZACION!$A$1:$C$269,3,FALSE)</f>
        <v>LOGISTICA</v>
      </c>
    </row>
    <row r="681" spans="1:10" ht="15.75" customHeight="1" x14ac:dyDescent="0.25">
      <c r="A681" s="1">
        <v>45047</v>
      </c>
      <c r="B681" s="188" t="s">
        <v>699</v>
      </c>
      <c r="C681" s="188" t="s">
        <v>59</v>
      </c>
      <c r="D681" s="188" t="s">
        <v>60</v>
      </c>
      <c r="E681" s="4">
        <v>0</v>
      </c>
      <c r="F681" s="3">
        <v>-60000</v>
      </c>
      <c r="G681" s="4">
        <v>-12600</v>
      </c>
      <c r="H681" s="4">
        <v>-72600</v>
      </c>
      <c r="I681" s="188" t="str">
        <f>VLOOKUP(C681,CATEGORIZACION!$A$1:$C$269,2,FALSE)</f>
        <v>PROOVEDORES</v>
      </c>
      <c r="J681" s="188" t="str">
        <f>VLOOKUP(C681,CATEGORIZACION!$A$1:$C$269,3,FALSE)</f>
        <v>DEPOSITO</v>
      </c>
    </row>
    <row r="682" spans="1:10" ht="15.75" customHeight="1" x14ac:dyDescent="0.25">
      <c r="A682" s="1">
        <v>45047</v>
      </c>
      <c r="B682" s="188" t="s">
        <v>700</v>
      </c>
      <c r="C682" s="188" t="s">
        <v>36</v>
      </c>
      <c r="D682" s="188" t="s">
        <v>37</v>
      </c>
      <c r="E682" s="4">
        <v>0</v>
      </c>
      <c r="F682" s="5">
        <v>-73150</v>
      </c>
      <c r="G682" s="4">
        <v>-15361.5</v>
      </c>
      <c r="H682" s="4">
        <v>-88511.5</v>
      </c>
      <c r="I682" s="188" t="str">
        <f>VLOOKUP(C682,CATEGORIZACION!$A$1:$C$269,2,FALSE)</f>
        <v>TRANSPORTE</v>
      </c>
      <c r="J682" s="188" t="s">
        <v>19</v>
      </c>
    </row>
    <row r="683" spans="1:10" ht="15.75" customHeight="1" x14ac:dyDescent="0.25">
      <c r="A683" s="1">
        <v>45047</v>
      </c>
      <c r="B683" s="188" t="s">
        <v>701</v>
      </c>
      <c r="C683" s="188" t="s">
        <v>101</v>
      </c>
      <c r="D683" s="188" t="s">
        <v>102</v>
      </c>
      <c r="E683" s="4">
        <v>8605.44</v>
      </c>
      <c r="F683" s="3">
        <v>1075680</v>
      </c>
      <c r="G683" s="4">
        <v>225892.8</v>
      </c>
      <c r="H683" s="4">
        <v>1310178.24</v>
      </c>
      <c r="I683" s="188" t="str">
        <f>VLOOKUP(C683,CATEGORIZACION!$A$1:$C$269,2,FALSE)</f>
        <v>ALQUILER</v>
      </c>
      <c r="J683" s="188" t="s">
        <v>103</v>
      </c>
    </row>
    <row r="684" spans="1:10" ht="15.75" customHeight="1" x14ac:dyDescent="0.25">
      <c r="A684" s="1">
        <v>45047</v>
      </c>
      <c r="B684" s="188" t="s">
        <v>702</v>
      </c>
      <c r="C684" s="188" t="s">
        <v>36</v>
      </c>
      <c r="D684" s="188" t="s">
        <v>37</v>
      </c>
      <c r="E684" s="4">
        <v>8900</v>
      </c>
      <c r="F684" s="5">
        <v>104500</v>
      </c>
      <c r="G684" s="4">
        <v>21945</v>
      </c>
      <c r="H684" s="4">
        <v>135345</v>
      </c>
      <c r="I684" s="188" t="str">
        <f>VLOOKUP(C684,CATEGORIZACION!$A$1:$C$269,2,FALSE)</f>
        <v>TRANSPORTE</v>
      </c>
      <c r="J684" s="188" t="s">
        <v>19</v>
      </c>
    </row>
    <row r="685" spans="1:10" ht="15.75" customHeight="1" x14ac:dyDescent="0.25">
      <c r="A685" s="1">
        <v>45047</v>
      </c>
      <c r="B685" s="188" t="s">
        <v>703</v>
      </c>
      <c r="C685" s="188" t="s">
        <v>36</v>
      </c>
      <c r="D685" s="188" t="s">
        <v>37</v>
      </c>
      <c r="E685" s="4">
        <v>11000</v>
      </c>
      <c r="F685" s="5">
        <v>76500</v>
      </c>
      <c r="G685" s="4">
        <v>16065</v>
      </c>
      <c r="H685" s="4">
        <v>103565</v>
      </c>
      <c r="I685" s="188" t="str">
        <f>VLOOKUP(C685,CATEGORIZACION!$A$1:$C$269,2,FALSE)</f>
        <v>TRANSPORTE</v>
      </c>
      <c r="J685" s="188" t="s">
        <v>19</v>
      </c>
    </row>
    <row r="686" spans="1:10" ht="15.75" customHeight="1" x14ac:dyDescent="0.25">
      <c r="A686" s="1">
        <v>45047</v>
      </c>
      <c r="B686" s="188" t="s">
        <v>704</v>
      </c>
      <c r="C686" s="188" t="s">
        <v>36</v>
      </c>
      <c r="D686" s="188" t="s">
        <v>37</v>
      </c>
      <c r="E686" s="4">
        <v>10900</v>
      </c>
      <c r="F686" s="5">
        <v>149280</v>
      </c>
      <c r="G686" s="4">
        <v>31348.799999999999</v>
      </c>
      <c r="H686" s="4">
        <v>191528.8</v>
      </c>
      <c r="I686" s="188" t="str">
        <f>VLOOKUP(C686,CATEGORIZACION!$A$1:$C$269,2,FALSE)</f>
        <v>TRANSPORTE</v>
      </c>
      <c r="J686" s="188" t="s">
        <v>19</v>
      </c>
    </row>
    <row r="687" spans="1:10" ht="15.75" customHeight="1" x14ac:dyDescent="0.25">
      <c r="A687" s="1">
        <v>45047</v>
      </c>
      <c r="B687" s="188" t="s">
        <v>705</v>
      </c>
      <c r="C687" s="188" t="s">
        <v>36</v>
      </c>
      <c r="D687" s="188" t="s">
        <v>37</v>
      </c>
      <c r="E687" s="4">
        <v>9199.9999999999909</v>
      </c>
      <c r="F687" s="5">
        <v>60840</v>
      </c>
      <c r="G687" s="4">
        <v>12776.4</v>
      </c>
      <c r="H687" s="4">
        <v>82816.399999999994</v>
      </c>
      <c r="I687" s="188" t="str">
        <f>VLOOKUP(C687,CATEGORIZACION!$A$1:$C$269,2,FALSE)</f>
        <v>TRANSPORTE</v>
      </c>
      <c r="J687" s="188" t="s">
        <v>19</v>
      </c>
    </row>
    <row r="688" spans="1:10" ht="15.75" customHeight="1" x14ac:dyDescent="0.25">
      <c r="A688" s="1">
        <v>45047</v>
      </c>
      <c r="B688" s="188" t="s">
        <v>706</v>
      </c>
      <c r="C688" s="188" t="s">
        <v>36</v>
      </c>
      <c r="D688" s="188" t="s">
        <v>37</v>
      </c>
      <c r="E688" s="4">
        <v>9199.9999999999909</v>
      </c>
      <c r="F688" s="5">
        <v>60840</v>
      </c>
      <c r="G688" s="4">
        <v>12776.4</v>
      </c>
      <c r="H688" s="4">
        <v>82816.399999999994</v>
      </c>
      <c r="I688" s="188" t="str">
        <f>VLOOKUP(C688,CATEGORIZACION!$A$1:$C$269,2,FALSE)</f>
        <v>TRANSPORTE</v>
      </c>
      <c r="J688" s="188" t="s">
        <v>19</v>
      </c>
    </row>
    <row r="689" spans="1:10" ht="15.75" customHeight="1" x14ac:dyDescent="0.25">
      <c r="A689" s="1">
        <v>45047</v>
      </c>
      <c r="B689" s="188" t="s">
        <v>707</v>
      </c>
      <c r="C689" s="188" t="s">
        <v>36</v>
      </c>
      <c r="D689" s="188" t="s">
        <v>37</v>
      </c>
      <c r="E689" s="4">
        <v>9199.9999999999909</v>
      </c>
      <c r="F689" s="5">
        <v>60840</v>
      </c>
      <c r="G689" s="4">
        <v>12776.4</v>
      </c>
      <c r="H689" s="4">
        <v>82816.399999999994</v>
      </c>
      <c r="I689" s="188" t="str">
        <f>VLOOKUP(C689,CATEGORIZACION!$A$1:$C$269,2,FALSE)</f>
        <v>TRANSPORTE</v>
      </c>
      <c r="J689" s="188" t="s">
        <v>19</v>
      </c>
    </row>
    <row r="690" spans="1:10" ht="15.75" customHeight="1" x14ac:dyDescent="0.25">
      <c r="A690" s="1">
        <v>45047</v>
      </c>
      <c r="B690" s="188" t="s">
        <v>708</v>
      </c>
      <c r="C690" s="188" t="s">
        <v>36</v>
      </c>
      <c r="D690" s="188" t="s">
        <v>37</v>
      </c>
      <c r="E690" s="4">
        <v>9199.9999999999909</v>
      </c>
      <c r="F690" s="5">
        <v>60840</v>
      </c>
      <c r="G690" s="4">
        <v>12776.4</v>
      </c>
      <c r="H690" s="4">
        <v>82816.399999999994</v>
      </c>
      <c r="I690" s="188" t="str">
        <f>VLOOKUP(C690,CATEGORIZACION!$A$1:$C$269,2,FALSE)</f>
        <v>TRANSPORTE</v>
      </c>
      <c r="J690" s="188" t="s">
        <v>19</v>
      </c>
    </row>
    <row r="691" spans="1:10" ht="15.75" customHeight="1" x14ac:dyDescent="0.25">
      <c r="A691" s="1">
        <v>45047</v>
      </c>
      <c r="B691" s="188" t="s">
        <v>709</v>
      </c>
      <c r="C691" s="188" t="s">
        <v>36</v>
      </c>
      <c r="D691" s="188" t="s">
        <v>37</v>
      </c>
      <c r="E691" s="4">
        <v>9199.9999999999909</v>
      </c>
      <c r="F691" s="5">
        <v>60840</v>
      </c>
      <c r="G691" s="4">
        <v>12776.4</v>
      </c>
      <c r="H691" s="4">
        <v>82816.399999999994</v>
      </c>
      <c r="I691" s="188" t="str">
        <f>VLOOKUP(C691,CATEGORIZACION!$A$1:$C$269,2,FALSE)</f>
        <v>TRANSPORTE</v>
      </c>
      <c r="J691" s="188" t="s">
        <v>19</v>
      </c>
    </row>
    <row r="692" spans="1:10" ht="15.75" customHeight="1" x14ac:dyDescent="0.25">
      <c r="A692" s="1">
        <v>45047</v>
      </c>
      <c r="B692" s="188" t="s">
        <v>710</v>
      </c>
      <c r="C692" s="188" t="s">
        <v>36</v>
      </c>
      <c r="D692" s="188" t="s">
        <v>37</v>
      </c>
      <c r="E692" s="4">
        <v>11500</v>
      </c>
      <c r="F692" s="5">
        <v>66550</v>
      </c>
      <c r="G692" s="4">
        <v>13975.5</v>
      </c>
      <c r="H692" s="4">
        <v>92025.5</v>
      </c>
      <c r="I692" s="188" t="str">
        <f>VLOOKUP(C692,CATEGORIZACION!$A$1:$C$269,2,FALSE)</f>
        <v>TRANSPORTE</v>
      </c>
      <c r="J692" s="188" t="s">
        <v>19</v>
      </c>
    </row>
    <row r="693" spans="1:10" ht="15.75" customHeight="1" x14ac:dyDescent="0.25">
      <c r="A693" s="1">
        <v>45047</v>
      </c>
      <c r="B693" s="188" t="s">
        <v>711</v>
      </c>
      <c r="C693" s="188" t="s">
        <v>36</v>
      </c>
      <c r="D693" s="188" t="s">
        <v>37</v>
      </c>
      <c r="E693" s="4">
        <v>0</v>
      </c>
      <c r="F693" s="5">
        <v>73150</v>
      </c>
      <c r="G693" s="4">
        <v>15361.5</v>
      </c>
      <c r="H693" s="4">
        <v>88511.5</v>
      </c>
      <c r="I693" s="188" t="str">
        <f>VLOOKUP(C693,CATEGORIZACION!$A$1:$C$269,2,FALSE)</f>
        <v>TRANSPORTE</v>
      </c>
      <c r="J693" s="188" t="s">
        <v>19</v>
      </c>
    </row>
    <row r="694" spans="1:10" ht="15.75" customHeight="1" x14ac:dyDescent="0.25">
      <c r="A694" s="1">
        <v>45047</v>
      </c>
      <c r="B694" s="188" t="s">
        <v>712</v>
      </c>
      <c r="C694" s="188" t="s">
        <v>36</v>
      </c>
      <c r="D694" s="188" t="s">
        <v>37</v>
      </c>
      <c r="E694" s="4">
        <v>6800</v>
      </c>
      <c r="F694" s="5">
        <v>60500</v>
      </c>
      <c r="G694" s="4">
        <v>12705</v>
      </c>
      <c r="H694" s="4">
        <v>80005</v>
      </c>
      <c r="I694" s="188" t="str">
        <f>VLOOKUP(C694,CATEGORIZACION!$A$1:$C$269,2,FALSE)</f>
        <v>TRANSPORTE</v>
      </c>
      <c r="J694" s="188" t="s">
        <v>19</v>
      </c>
    </row>
    <row r="695" spans="1:10" ht="15.75" customHeight="1" x14ac:dyDescent="0.25">
      <c r="A695" s="1">
        <v>45047</v>
      </c>
      <c r="B695" s="188" t="s">
        <v>713</v>
      </c>
      <c r="C695" s="188" t="s">
        <v>714</v>
      </c>
      <c r="D695" s="188" t="s">
        <v>715</v>
      </c>
      <c r="E695" s="4">
        <v>0</v>
      </c>
      <c r="F695" s="3">
        <v>102046.39999999999</v>
      </c>
      <c r="G695" s="4">
        <v>21429.74</v>
      </c>
      <c r="H695" s="4">
        <v>123476.14</v>
      </c>
      <c r="I695" s="188" t="str">
        <f>VLOOKUP(C695,CATEGORIZACION!$A$1:$C$269,2,FALSE)</f>
        <v>PROOVEDORES</v>
      </c>
      <c r="J695" s="188" t="str">
        <f>VLOOKUP(C695,CATEGORIZACION!$A$1:$C$269,3,FALSE)</f>
        <v>DEPOSITO</v>
      </c>
    </row>
    <row r="696" spans="1:10" ht="15.75" customHeight="1" x14ac:dyDescent="0.25">
      <c r="A696" s="1">
        <v>45047</v>
      </c>
      <c r="B696" s="188" t="s">
        <v>716</v>
      </c>
      <c r="C696" s="188" t="s">
        <v>714</v>
      </c>
      <c r="D696" s="188" t="s">
        <v>715</v>
      </c>
      <c r="E696" s="4">
        <v>0</v>
      </c>
      <c r="F696" s="3">
        <v>91876.4</v>
      </c>
      <c r="G696" s="4">
        <v>19294.04</v>
      </c>
      <c r="H696" s="4">
        <v>111170.44</v>
      </c>
      <c r="I696" s="188" t="str">
        <f>VLOOKUP(C696,CATEGORIZACION!$A$1:$C$269,2,FALSE)</f>
        <v>PROOVEDORES</v>
      </c>
      <c r="J696" s="188" t="str">
        <f>VLOOKUP(C696,CATEGORIZACION!$A$1:$C$269,3,FALSE)</f>
        <v>DEPOSITO</v>
      </c>
    </row>
    <row r="697" spans="1:10" ht="15.75" customHeight="1" x14ac:dyDescent="0.25">
      <c r="A697" s="1">
        <v>45047</v>
      </c>
      <c r="B697" s="188" t="s">
        <v>717</v>
      </c>
      <c r="C697" s="188" t="s">
        <v>17</v>
      </c>
      <c r="D697" s="188" t="s">
        <v>18</v>
      </c>
      <c r="E697" s="4">
        <v>51050</v>
      </c>
      <c r="F697" s="5">
        <v>439000</v>
      </c>
      <c r="G697" s="4">
        <v>92190</v>
      </c>
      <c r="H697" s="4">
        <v>582240</v>
      </c>
      <c r="I697" s="188" t="str">
        <f>VLOOKUP(C697,CATEGORIZACION!$A$1:$C$269,2,FALSE)</f>
        <v>TRANSPORTE</v>
      </c>
      <c r="J697" s="188" t="s">
        <v>19</v>
      </c>
    </row>
    <row r="698" spans="1:10" ht="15.75" customHeight="1" x14ac:dyDescent="0.25">
      <c r="A698" s="1">
        <v>45047</v>
      </c>
      <c r="B698" s="188" t="s">
        <v>718</v>
      </c>
      <c r="C698" s="188" t="s">
        <v>17</v>
      </c>
      <c r="D698" s="188" t="s">
        <v>18</v>
      </c>
      <c r="E698" s="4">
        <v>17360</v>
      </c>
      <c r="F698" s="5">
        <v>364000</v>
      </c>
      <c r="G698" s="4">
        <v>76440</v>
      </c>
      <c r="H698" s="4">
        <v>457800</v>
      </c>
      <c r="I698" s="188" t="str">
        <f>VLOOKUP(C698,CATEGORIZACION!$A$1:$C$269,2,FALSE)</f>
        <v>TRANSPORTE</v>
      </c>
      <c r="J698" s="188" t="s">
        <v>19</v>
      </c>
    </row>
    <row r="699" spans="1:10" ht="15.75" customHeight="1" x14ac:dyDescent="0.25">
      <c r="A699" s="1">
        <v>45047</v>
      </c>
      <c r="B699" s="188" t="s">
        <v>719</v>
      </c>
      <c r="C699" s="188" t="s">
        <v>253</v>
      </c>
      <c r="D699" s="188" t="s">
        <v>57</v>
      </c>
      <c r="E699" s="4">
        <v>0</v>
      </c>
      <c r="F699" s="5">
        <v>14454.38</v>
      </c>
      <c r="G699" s="4">
        <v>3035.42</v>
      </c>
      <c r="H699" s="4">
        <v>17489.8</v>
      </c>
      <c r="I699" s="188" t="str">
        <f>VLOOKUP(C699,CATEGORIZACION!$A$1:$C$269,2,FALSE)</f>
        <v>PROOVEDORES</v>
      </c>
      <c r="J699" s="188" t="str">
        <f>VLOOKUP(C699,CATEGORIZACION!$A$1:$C$269,3,FALSE)</f>
        <v>LOGISTICA</v>
      </c>
    </row>
    <row r="700" spans="1:10" ht="15.75" customHeight="1" x14ac:dyDescent="0.25">
      <c r="A700" s="1">
        <v>45047</v>
      </c>
      <c r="B700" s="188" t="s">
        <v>720</v>
      </c>
      <c r="C700" s="188" t="s">
        <v>721</v>
      </c>
      <c r="D700" s="188" t="s">
        <v>722</v>
      </c>
      <c r="E700" s="4">
        <v>0</v>
      </c>
      <c r="F700" s="5">
        <v>14462.81</v>
      </c>
      <c r="G700" s="4">
        <v>3037.19</v>
      </c>
      <c r="H700" s="4">
        <v>17500</v>
      </c>
      <c r="I700" s="188" t="str">
        <f>VLOOKUP(C700,CATEGORIZACION!$A$1:$C$269,2,FALSE)</f>
        <v>PROOVEDORES</v>
      </c>
      <c r="J700" s="188" t="str">
        <f>VLOOKUP(C700,CATEGORIZACION!$A$1:$C$269,3,FALSE)</f>
        <v>LOGISTICA</v>
      </c>
    </row>
    <row r="701" spans="1:10" ht="15.75" customHeight="1" x14ac:dyDescent="0.25">
      <c r="A701" s="1">
        <v>45047</v>
      </c>
      <c r="B701" s="188" t="s">
        <v>723</v>
      </c>
      <c r="C701" s="188" t="s">
        <v>650</v>
      </c>
      <c r="D701" s="188" t="s">
        <v>130</v>
      </c>
      <c r="E701" s="4">
        <v>760</v>
      </c>
      <c r="F701" s="3">
        <v>95000</v>
      </c>
      <c r="G701" s="4">
        <v>19950</v>
      </c>
      <c r="H701" s="4">
        <v>115710</v>
      </c>
      <c r="I701" s="188" t="str">
        <f>VLOOKUP(C701,CATEGORIZACION!$A$1:$C$269,2,FALSE)</f>
        <v>PROOVEDORES</v>
      </c>
      <c r="J701" s="188" t="str">
        <f>VLOOKUP(C701,CATEGORIZACION!$A$1:$C$269,3,FALSE)</f>
        <v>DEPOSITO</v>
      </c>
    </row>
    <row r="702" spans="1:10" ht="15.75" customHeight="1" x14ac:dyDescent="0.25">
      <c r="A702" s="1">
        <v>45047</v>
      </c>
      <c r="B702" s="188" t="s">
        <v>724</v>
      </c>
      <c r="C702" s="188" t="s">
        <v>36</v>
      </c>
      <c r="D702" s="188" t="s">
        <v>37</v>
      </c>
      <c r="E702" s="4">
        <v>9300</v>
      </c>
      <c r="F702" s="5">
        <v>95200</v>
      </c>
      <c r="G702" s="4">
        <v>19992</v>
      </c>
      <c r="H702" s="4">
        <v>124492</v>
      </c>
      <c r="I702" s="188" t="str">
        <f>VLOOKUP(C702,CATEGORIZACION!$A$1:$C$269,2,FALSE)</f>
        <v>TRANSPORTE</v>
      </c>
      <c r="J702" s="188" t="s">
        <v>19</v>
      </c>
    </row>
    <row r="703" spans="1:10" ht="15.75" customHeight="1" x14ac:dyDescent="0.25">
      <c r="A703" s="1">
        <v>45047</v>
      </c>
      <c r="B703" s="188" t="s">
        <v>725</v>
      </c>
      <c r="C703" s="188" t="s">
        <v>36</v>
      </c>
      <c r="D703" s="188" t="s">
        <v>37</v>
      </c>
      <c r="E703" s="4">
        <v>15000</v>
      </c>
      <c r="F703" s="5">
        <v>82500</v>
      </c>
      <c r="G703" s="4">
        <v>17325</v>
      </c>
      <c r="H703" s="4">
        <v>114825</v>
      </c>
      <c r="I703" s="188" t="str">
        <f>VLOOKUP(C703,CATEGORIZACION!$A$1:$C$269,2,FALSE)</f>
        <v>TRANSPORTE</v>
      </c>
      <c r="J703" s="188" t="s">
        <v>19</v>
      </c>
    </row>
    <row r="704" spans="1:10" ht="15.75" customHeight="1" x14ac:dyDescent="0.25">
      <c r="A704" s="1">
        <v>45047</v>
      </c>
      <c r="B704" s="188" t="s">
        <v>726</v>
      </c>
      <c r="C704" s="188" t="s">
        <v>36</v>
      </c>
      <c r="D704" s="188" t="s">
        <v>37</v>
      </c>
      <c r="E704" s="4">
        <v>15000</v>
      </c>
      <c r="F704" s="5">
        <v>82500</v>
      </c>
      <c r="G704" s="4">
        <v>17325</v>
      </c>
      <c r="H704" s="4">
        <v>114825</v>
      </c>
      <c r="I704" s="188" t="str">
        <f>VLOOKUP(C704,CATEGORIZACION!$A$1:$C$269,2,FALSE)</f>
        <v>TRANSPORTE</v>
      </c>
      <c r="J704" s="188" t="s">
        <v>19</v>
      </c>
    </row>
    <row r="705" spans="1:10" ht="15.75" customHeight="1" x14ac:dyDescent="0.25">
      <c r="A705" s="1">
        <v>45047</v>
      </c>
      <c r="B705" s="188" t="s">
        <v>727</v>
      </c>
      <c r="C705" s="188" t="s">
        <v>36</v>
      </c>
      <c r="D705" s="188" t="s">
        <v>37</v>
      </c>
      <c r="E705" s="4">
        <v>15000</v>
      </c>
      <c r="F705" s="5">
        <v>82500</v>
      </c>
      <c r="G705" s="4">
        <v>17325</v>
      </c>
      <c r="H705" s="4">
        <v>114825</v>
      </c>
      <c r="I705" s="188" t="str">
        <f>VLOOKUP(C705,CATEGORIZACION!$A$1:$C$269,2,FALSE)</f>
        <v>TRANSPORTE</v>
      </c>
      <c r="J705" s="188" t="s">
        <v>19</v>
      </c>
    </row>
    <row r="706" spans="1:10" ht="15.75" customHeight="1" x14ac:dyDescent="0.25">
      <c r="A706" s="1">
        <v>45047</v>
      </c>
      <c r="B706" s="188" t="s">
        <v>728</v>
      </c>
      <c r="C706" s="188" t="s">
        <v>36</v>
      </c>
      <c r="D706" s="188" t="s">
        <v>37</v>
      </c>
      <c r="E706" s="4">
        <v>15000</v>
      </c>
      <c r="F706" s="5">
        <v>82500</v>
      </c>
      <c r="G706" s="4">
        <v>17325</v>
      </c>
      <c r="H706" s="4">
        <v>114825</v>
      </c>
      <c r="I706" s="188" t="str">
        <f>VLOOKUP(C706,CATEGORIZACION!$A$1:$C$269,2,FALSE)</f>
        <v>TRANSPORTE</v>
      </c>
      <c r="J706" s="188" t="s">
        <v>19</v>
      </c>
    </row>
    <row r="707" spans="1:10" ht="15.75" customHeight="1" x14ac:dyDescent="0.25">
      <c r="A707" s="1">
        <v>45047</v>
      </c>
      <c r="B707" s="188" t="s">
        <v>729</v>
      </c>
      <c r="C707" s="188" t="s">
        <v>36</v>
      </c>
      <c r="D707" s="188" t="s">
        <v>37</v>
      </c>
      <c r="E707" s="4">
        <v>5200</v>
      </c>
      <c r="F707" s="5">
        <v>59700</v>
      </c>
      <c r="G707" s="4">
        <v>12537</v>
      </c>
      <c r="H707" s="4">
        <v>77437</v>
      </c>
      <c r="I707" s="188" t="str">
        <f>VLOOKUP(C707,CATEGORIZACION!$A$1:$C$269,2,FALSE)</f>
        <v>TRANSPORTE</v>
      </c>
      <c r="J707" s="188" t="s">
        <v>19</v>
      </c>
    </row>
    <row r="708" spans="1:10" ht="15.75" customHeight="1" x14ac:dyDescent="0.25">
      <c r="A708" s="1">
        <v>45047</v>
      </c>
      <c r="B708" s="188" t="s">
        <v>730</v>
      </c>
      <c r="C708" s="188" t="s">
        <v>36</v>
      </c>
      <c r="D708" s="188" t="s">
        <v>37</v>
      </c>
      <c r="E708" s="4">
        <v>5200</v>
      </c>
      <c r="F708" s="5">
        <v>89550</v>
      </c>
      <c r="G708" s="4">
        <v>18805.5</v>
      </c>
      <c r="H708" s="4">
        <v>113555.5</v>
      </c>
      <c r="I708" s="188" t="str">
        <f>VLOOKUP(C708,CATEGORIZACION!$A$1:$C$269,2,FALSE)</f>
        <v>TRANSPORTE</v>
      </c>
      <c r="J708" s="188" t="s">
        <v>19</v>
      </c>
    </row>
    <row r="709" spans="1:10" ht="15.75" customHeight="1" x14ac:dyDescent="0.25">
      <c r="A709" s="1">
        <v>45047</v>
      </c>
      <c r="B709" s="188" t="s">
        <v>731</v>
      </c>
      <c r="C709" s="188" t="s">
        <v>36</v>
      </c>
      <c r="D709" s="188" t="s">
        <v>37</v>
      </c>
      <c r="E709" s="4">
        <v>9199.9999999999909</v>
      </c>
      <c r="F709" s="5">
        <v>60840</v>
      </c>
      <c r="G709" s="4">
        <v>12776.4</v>
      </c>
      <c r="H709" s="4">
        <v>82816.399999999994</v>
      </c>
      <c r="I709" s="188" t="str">
        <f>VLOOKUP(C709,CATEGORIZACION!$A$1:$C$269,2,FALSE)</f>
        <v>TRANSPORTE</v>
      </c>
      <c r="J709" s="188" t="s">
        <v>19</v>
      </c>
    </row>
    <row r="710" spans="1:10" ht="15.75" customHeight="1" x14ac:dyDescent="0.25">
      <c r="A710" s="1">
        <v>45047</v>
      </c>
      <c r="B710" s="188" t="s">
        <v>732</v>
      </c>
      <c r="C710" s="188" t="s">
        <v>36</v>
      </c>
      <c r="D710" s="188" t="s">
        <v>37</v>
      </c>
      <c r="E710" s="4">
        <v>9199.9999999999909</v>
      </c>
      <c r="F710" s="5">
        <v>60840</v>
      </c>
      <c r="G710" s="4">
        <v>12776.4</v>
      </c>
      <c r="H710" s="4">
        <v>82816.399999999994</v>
      </c>
      <c r="I710" s="188" t="str">
        <f>VLOOKUP(C710,CATEGORIZACION!$A$1:$C$269,2,FALSE)</f>
        <v>TRANSPORTE</v>
      </c>
      <c r="J710" s="188" t="s">
        <v>19</v>
      </c>
    </row>
    <row r="711" spans="1:10" ht="15.75" customHeight="1" x14ac:dyDescent="0.25">
      <c r="A711" s="1">
        <v>45047</v>
      </c>
      <c r="B711" s="188" t="s">
        <v>733</v>
      </c>
      <c r="C711" s="188" t="s">
        <v>36</v>
      </c>
      <c r="D711" s="188" t="s">
        <v>37</v>
      </c>
      <c r="E711" s="4">
        <v>11500</v>
      </c>
      <c r="F711" s="5">
        <v>95200</v>
      </c>
      <c r="G711" s="4">
        <v>19992</v>
      </c>
      <c r="H711" s="4">
        <v>126692</v>
      </c>
      <c r="I711" s="188" t="str">
        <f>VLOOKUP(C711,CATEGORIZACION!$A$1:$C$269,2,FALSE)</f>
        <v>TRANSPORTE</v>
      </c>
      <c r="J711" s="188" t="s">
        <v>19</v>
      </c>
    </row>
    <row r="712" spans="1:10" ht="15.75" customHeight="1" x14ac:dyDescent="0.25">
      <c r="A712" s="1">
        <v>45047</v>
      </c>
      <c r="B712" s="188" t="s">
        <v>734</v>
      </c>
      <c r="C712" s="188" t="s">
        <v>36</v>
      </c>
      <c r="D712" s="188" t="s">
        <v>37</v>
      </c>
      <c r="E712" s="4">
        <v>11500</v>
      </c>
      <c r="F712" s="5">
        <v>66550</v>
      </c>
      <c r="G712" s="4">
        <v>13975.5</v>
      </c>
      <c r="H712" s="4">
        <v>92025.5</v>
      </c>
      <c r="I712" s="188" t="str">
        <f>VLOOKUP(C712,CATEGORIZACION!$A$1:$C$269,2,FALSE)</f>
        <v>TRANSPORTE</v>
      </c>
      <c r="J712" s="188" t="s">
        <v>19</v>
      </c>
    </row>
    <row r="713" spans="1:10" ht="15.75" customHeight="1" x14ac:dyDescent="0.25">
      <c r="A713" s="1">
        <v>45047</v>
      </c>
      <c r="B713" s="188" t="s">
        <v>735</v>
      </c>
      <c r="C713" s="188" t="s">
        <v>36</v>
      </c>
      <c r="D713" s="188" t="s">
        <v>37</v>
      </c>
      <c r="E713" s="4">
        <v>15000</v>
      </c>
      <c r="F713" s="5">
        <v>82500</v>
      </c>
      <c r="G713" s="4">
        <v>17325</v>
      </c>
      <c r="H713" s="4">
        <v>114825</v>
      </c>
      <c r="I713" s="188" t="str">
        <f>VLOOKUP(C713,CATEGORIZACION!$A$1:$C$269,2,FALSE)</f>
        <v>TRANSPORTE</v>
      </c>
      <c r="J713" s="188" t="s">
        <v>19</v>
      </c>
    </row>
    <row r="714" spans="1:10" ht="15.75" customHeight="1" x14ac:dyDescent="0.25">
      <c r="A714" s="1">
        <v>45047</v>
      </c>
      <c r="B714" s="188" t="s">
        <v>736</v>
      </c>
      <c r="C714" s="188" t="s">
        <v>36</v>
      </c>
      <c r="D714" s="188" t="s">
        <v>37</v>
      </c>
      <c r="E714" s="4">
        <v>15000</v>
      </c>
      <c r="F714" s="5">
        <v>82500</v>
      </c>
      <c r="G714" s="4">
        <v>17325</v>
      </c>
      <c r="H714" s="4">
        <v>114825</v>
      </c>
      <c r="I714" s="188" t="str">
        <f>VLOOKUP(C714,CATEGORIZACION!$A$1:$C$269,2,FALSE)</f>
        <v>TRANSPORTE</v>
      </c>
      <c r="J714" s="188" t="s">
        <v>19</v>
      </c>
    </row>
    <row r="715" spans="1:10" ht="15.75" customHeight="1" x14ac:dyDescent="0.25">
      <c r="A715" s="1">
        <v>45047</v>
      </c>
      <c r="B715" s="188" t="s">
        <v>737</v>
      </c>
      <c r="C715" s="188" t="s">
        <v>36</v>
      </c>
      <c r="D715" s="188" t="s">
        <v>37</v>
      </c>
      <c r="E715" s="4">
        <v>15000</v>
      </c>
      <c r="F715" s="5">
        <v>82500</v>
      </c>
      <c r="G715" s="4">
        <v>17325</v>
      </c>
      <c r="H715" s="4">
        <v>114825</v>
      </c>
      <c r="I715" s="188" t="str">
        <f>VLOOKUP(C715,CATEGORIZACION!$A$1:$C$269,2,FALSE)</f>
        <v>TRANSPORTE</v>
      </c>
      <c r="J715" s="188" t="s">
        <v>19</v>
      </c>
    </row>
    <row r="716" spans="1:10" ht="15.75" customHeight="1" x14ac:dyDescent="0.25">
      <c r="A716" s="1">
        <v>45047</v>
      </c>
      <c r="B716" s="188" t="s">
        <v>738</v>
      </c>
      <c r="C716" s="188" t="s">
        <v>36</v>
      </c>
      <c r="D716" s="188" t="s">
        <v>37</v>
      </c>
      <c r="E716" s="4">
        <v>2500</v>
      </c>
      <c r="F716" s="5">
        <v>89580</v>
      </c>
      <c r="G716" s="4">
        <v>18811.8</v>
      </c>
      <c r="H716" s="4">
        <v>110891.8</v>
      </c>
      <c r="I716" s="188" t="str">
        <f>VLOOKUP(C716,CATEGORIZACION!$A$1:$C$269,2,FALSE)</f>
        <v>TRANSPORTE</v>
      </c>
      <c r="J716" s="188" t="s">
        <v>19</v>
      </c>
    </row>
    <row r="717" spans="1:10" ht="15.75" customHeight="1" x14ac:dyDescent="0.25">
      <c r="A717" s="1">
        <v>45047</v>
      </c>
      <c r="B717" s="188" t="s">
        <v>739</v>
      </c>
      <c r="C717" s="188" t="s">
        <v>36</v>
      </c>
      <c r="D717" s="188" t="s">
        <v>37</v>
      </c>
      <c r="E717" s="4">
        <v>6800</v>
      </c>
      <c r="F717" s="5">
        <v>60500</v>
      </c>
      <c r="G717" s="4">
        <v>12705</v>
      </c>
      <c r="H717" s="4">
        <v>80005</v>
      </c>
      <c r="I717" s="188" t="str">
        <f>VLOOKUP(C717,CATEGORIZACION!$A$1:$C$269,2,FALSE)</f>
        <v>TRANSPORTE</v>
      </c>
      <c r="J717" s="188" t="s">
        <v>19</v>
      </c>
    </row>
    <row r="718" spans="1:10" ht="15.75" customHeight="1" x14ac:dyDescent="0.25">
      <c r="A718" s="1">
        <v>45047</v>
      </c>
      <c r="B718" s="188" t="s">
        <v>740</v>
      </c>
      <c r="C718" s="188" t="s">
        <v>36</v>
      </c>
      <c r="D718" s="188" t="s">
        <v>37</v>
      </c>
      <c r="E718" s="4">
        <v>2500</v>
      </c>
      <c r="F718" s="5">
        <v>89580</v>
      </c>
      <c r="G718" s="4">
        <v>18811.8</v>
      </c>
      <c r="H718" s="4">
        <v>110891.8</v>
      </c>
      <c r="I718" s="188" t="str">
        <f>VLOOKUP(C718,CATEGORIZACION!$A$1:$C$269,2,FALSE)</f>
        <v>TRANSPORTE</v>
      </c>
      <c r="J718" s="188" t="s">
        <v>19</v>
      </c>
    </row>
    <row r="719" spans="1:10" ht="15.75" customHeight="1" x14ac:dyDescent="0.25">
      <c r="A719" s="1">
        <v>45047</v>
      </c>
      <c r="B719" s="188" t="s">
        <v>741</v>
      </c>
      <c r="C719" s="188" t="s">
        <v>36</v>
      </c>
      <c r="D719" s="188" t="s">
        <v>37</v>
      </c>
      <c r="E719" s="4">
        <v>9200</v>
      </c>
      <c r="F719" s="5">
        <v>46800</v>
      </c>
      <c r="G719" s="4">
        <v>9828</v>
      </c>
      <c r="H719" s="4">
        <v>65828</v>
      </c>
      <c r="I719" s="188" t="str">
        <f>VLOOKUP(C719,CATEGORIZACION!$A$1:$C$269,2,FALSE)</f>
        <v>TRANSPORTE</v>
      </c>
      <c r="J719" s="188" t="s">
        <v>19</v>
      </c>
    </row>
    <row r="720" spans="1:10" ht="15.75" customHeight="1" x14ac:dyDescent="0.25">
      <c r="A720" s="1">
        <v>45047</v>
      </c>
      <c r="B720" s="188" t="s">
        <v>742</v>
      </c>
      <c r="C720" s="188" t="s">
        <v>36</v>
      </c>
      <c r="D720" s="188" t="s">
        <v>37</v>
      </c>
      <c r="E720" s="4">
        <v>9200</v>
      </c>
      <c r="F720" s="5">
        <v>51480</v>
      </c>
      <c r="G720" s="4">
        <v>10810.8</v>
      </c>
      <c r="H720" s="4">
        <v>71490.8</v>
      </c>
      <c r="I720" s="188" t="str">
        <f>VLOOKUP(C720,CATEGORIZACION!$A$1:$C$269,2,FALSE)</f>
        <v>TRANSPORTE</v>
      </c>
      <c r="J720" s="188" t="s">
        <v>19</v>
      </c>
    </row>
    <row r="721" spans="1:10" ht="15.75" customHeight="1" x14ac:dyDescent="0.25">
      <c r="A721" s="1">
        <v>45047</v>
      </c>
      <c r="B721" s="188" t="s">
        <v>743</v>
      </c>
      <c r="C721" s="188" t="s">
        <v>36</v>
      </c>
      <c r="D721" s="188" t="s">
        <v>37</v>
      </c>
      <c r="E721" s="4">
        <v>6800</v>
      </c>
      <c r="F721" s="5">
        <v>60500</v>
      </c>
      <c r="G721" s="4">
        <v>12705</v>
      </c>
      <c r="H721" s="4">
        <v>80005</v>
      </c>
      <c r="I721" s="188" t="str">
        <f>VLOOKUP(C721,CATEGORIZACION!$A$1:$C$269,2,FALSE)</f>
        <v>TRANSPORTE</v>
      </c>
      <c r="J721" s="188" t="s">
        <v>19</v>
      </c>
    </row>
    <row r="722" spans="1:10" ht="15.75" customHeight="1" x14ac:dyDescent="0.25">
      <c r="A722" s="1">
        <v>45047</v>
      </c>
      <c r="B722" s="188" t="s">
        <v>744</v>
      </c>
      <c r="C722" s="188" t="s">
        <v>426</v>
      </c>
      <c r="D722" s="188" t="s">
        <v>427</v>
      </c>
      <c r="E722" s="4">
        <v>1848</v>
      </c>
      <c r="F722" s="5">
        <v>23679.34</v>
      </c>
      <c r="G722" s="4">
        <v>4972.66</v>
      </c>
      <c r="H722" s="4">
        <v>30500</v>
      </c>
      <c r="I722" s="188" t="str">
        <f>VLOOKUP(C722,CATEGORIZACION!$A$1:$C$269,2,FALSE)</f>
        <v>PROOVEDORES</v>
      </c>
      <c r="J722" s="188" t="str">
        <f>VLOOKUP(C722,CATEGORIZACION!$A$1:$C$269,3,FALSE)</f>
        <v>LOGISTICA</v>
      </c>
    </row>
    <row r="723" spans="1:10" ht="15.75" customHeight="1" x14ac:dyDescent="0.25">
      <c r="A723" s="1">
        <v>45047</v>
      </c>
      <c r="B723" s="188" t="s">
        <v>745</v>
      </c>
      <c r="C723" s="188" t="s">
        <v>746</v>
      </c>
      <c r="D723" s="188" t="s">
        <v>747</v>
      </c>
      <c r="E723" s="4">
        <v>0</v>
      </c>
      <c r="F723" s="5">
        <v>117200</v>
      </c>
      <c r="G723" s="4">
        <v>24612</v>
      </c>
      <c r="H723" s="4">
        <v>141812</v>
      </c>
      <c r="I723" s="188" t="str">
        <f>VLOOKUP(C723,CATEGORIZACION!$A$1:$C$269,2,FALSE)</f>
        <v>PROOVEDORES</v>
      </c>
      <c r="J723" s="188" t="str">
        <f>VLOOKUP(C723,CATEGORIZACION!$A$1:$C$269,3,FALSE)</f>
        <v>LOGISTICA</v>
      </c>
    </row>
    <row r="724" spans="1:10" ht="15.75" customHeight="1" x14ac:dyDescent="0.25">
      <c r="A724" s="1">
        <v>45047</v>
      </c>
      <c r="B724" s="188" t="s">
        <v>748</v>
      </c>
      <c r="C724" s="188" t="s">
        <v>46</v>
      </c>
      <c r="D724" s="188" t="s">
        <v>47</v>
      </c>
      <c r="E724" s="4">
        <v>0</v>
      </c>
      <c r="F724" s="5">
        <v>377500</v>
      </c>
      <c r="G724" s="4">
        <v>79275</v>
      </c>
      <c r="H724" s="4">
        <v>456775</v>
      </c>
      <c r="I724" s="188" t="str">
        <f>VLOOKUP(C724,CATEGORIZACION!$A$1:$C$269,2,FALSE)</f>
        <v>TRANSPORTE</v>
      </c>
      <c r="J724" s="188" t="s">
        <v>19</v>
      </c>
    </row>
    <row r="725" spans="1:10" ht="15.75" customHeight="1" x14ac:dyDescent="0.25">
      <c r="A725" s="1">
        <v>45047</v>
      </c>
      <c r="B725" s="188" t="s">
        <v>749</v>
      </c>
      <c r="C725" s="188" t="s">
        <v>21</v>
      </c>
      <c r="D725" s="188" t="s">
        <v>22</v>
      </c>
      <c r="E725" s="4">
        <v>17760</v>
      </c>
      <c r="F725" s="5">
        <v>401500</v>
      </c>
      <c r="G725" s="4">
        <v>84315</v>
      </c>
      <c r="H725" s="4">
        <v>503575</v>
      </c>
      <c r="I725" s="188" t="str">
        <f>VLOOKUP(C725,CATEGORIZACION!$A$1:$C$269,2,FALSE)</f>
        <v>TRANSPORTE</v>
      </c>
      <c r="J725" s="188" t="s">
        <v>19</v>
      </c>
    </row>
    <row r="726" spans="1:10" ht="15.75" customHeight="1" x14ac:dyDescent="0.25">
      <c r="A726" s="1">
        <v>45047</v>
      </c>
      <c r="B726" s="188" t="s">
        <v>750</v>
      </c>
      <c r="C726" s="188" t="s">
        <v>21</v>
      </c>
      <c r="D726" s="188" t="s">
        <v>22</v>
      </c>
      <c r="E726" s="4">
        <v>37600</v>
      </c>
      <c r="F726" s="5">
        <v>726750</v>
      </c>
      <c r="G726" s="4">
        <v>152617.5</v>
      </c>
      <c r="H726" s="4">
        <v>916967.5</v>
      </c>
      <c r="I726" s="188" t="str">
        <f>VLOOKUP(C726,CATEGORIZACION!$A$1:$C$269,2,FALSE)</f>
        <v>TRANSPORTE</v>
      </c>
      <c r="J726" s="188" t="s">
        <v>19</v>
      </c>
    </row>
    <row r="727" spans="1:10" ht="15.75" customHeight="1" x14ac:dyDescent="0.25">
      <c r="A727" s="1">
        <v>45047</v>
      </c>
      <c r="B727" s="188" t="s">
        <v>751</v>
      </c>
      <c r="C727" s="188" t="s">
        <v>21</v>
      </c>
      <c r="D727" s="188" t="s">
        <v>22</v>
      </c>
      <c r="E727" s="4">
        <v>34680</v>
      </c>
      <c r="F727" s="5">
        <v>517150</v>
      </c>
      <c r="G727" s="4">
        <v>108601.5</v>
      </c>
      <c r="H727" s="4">
        <v>660431.5</v>
      </c>
      <c r="I727" s="188" t="str">
        <f>VLOOKUP(C727,CATEGORIZACION!$A$1:$C$269,2,FALSE)</f>
        <v>TRANSPORTE</v>
      </c>
      <c r="J727" s="188" t="s">
        <v>19</v>
      </c>
    </row>
    <row r="728" spans="1:10" ht="15.75" customHeight="1" x14ac:dyDescent="0.25">
      <c r="A728" s="1">
        <v>45047</v>
      </c>
      <c r="B728" s="188" t="s">
        <v>752</v>
      </c>
      <c r="C728" s="188" t="s">
        <v>21</v>
      </c>
      <c r="D728" s="188" t="s">
        <v>22</v>
      </c>
      <c r="E728" s="4">
        <v>23520</v>
      </c>
      <c r="F728" s="5">
        <v>274800</v>
      </c>
      <c r="G728" s="4">
        <v>57708</v>
      </c>
      <c r="H728" s="4">
        <v>356028</v>
      </c>
      <c r="I728" s="188" t="str">
        <f>VLOOKUP(C728,CATEGORIZACION!$A$1:$C$269,2,FALSE)</f>
        <v>TRANSPORTE</v>
      </c>
      <c r="J728" s="188" t="s">
        <v>19</v>
      </c>
    </row>
    <row r="729" spans="1:10" ht="15.75" customHeight="1" x14ac:dyDescent="0.25">
      <c r="A729" s="1">
        <v>45047</v>
      </c>
      <c r="B729" s="188" t="s">
        <v>753</v>
      </c>
      <c r="C729" s="188" t="s">
        <v>754</v>
      </c>
      <c r="D729" s="188" t="s">
        <v>755</v>
      </c>
      <c r="E729" s="4">
        <v>0</v>
      </c>
      <c r="F729" s="5">
        <v>4628.1000000000004</v>
      </c>
      <c r="G729" s="4">
        <v>971.9</v>
      </c>
      <c r="H729" s="4">
        <v>5600</v>
      </c>
      <c r="I729" s="188" t="str">
        <f>VLOOKUP(C729,CATEGORIZACION!$A$1:$C$269,2,FALSE)</f>
        <v>PROOVEDORES</v>
      </c>
      <c r="J729" s="188" t="str">
        <f>VLOOKUP(C729,CATEGORIZACION!$A$1:$C$269,3,FALSE)</f>
        <v>LOGISTICA</v>
      </c>
    </row>
    <row r="730" spans="1:10" ht="15.75" customHeight="1" x14ac:dyDescent="0.25">
      <c r="A730" s="1">
        <v>45047</v>
      </c>
      <c r="B730" s="188" t="s">
        <v>756</v>
      </c>
      <c r="C730" s="188" t="s">
        <v>21</v>
      </c>
      <c r="D730" s="188" t="s">
        <v>22</v>
      </c>
      <c r="E730" s="4">
        <v>18240</v>
      </c>
      <c r="F730" s="5">
        <v>180000</v>
      </c>
      <c r="G730" s="4">
        <v>37800</v>
      </c>
      <c r="H730" s="4">
        <v>236040</v>
      </c>
      <c r="I730" s="188" t="str">
        <f>VLOOKUP(C730,CATEGORIZACION!$A$1:$C$269,2,FALSE)</f>
        <v>TRANSPORTE</v>
      </c>
      <c r="J730" s="188" t="s">
        <v>19</v>
      </c>
    </row>
    <row r="731" spans="1:10" ht="15.75" customHeight="1" x14ac:dyDescent="0.25">
      <c r="A731" s="1">
        <v>45047</v>
      </c>
      <c r="B731" s="188" t="s">
        <v>757</v>
      </c>
      <c r="C731" s="188" t="s">
        <v>21</v>
      </c>
      <c r="D731" s="188" t="s">
        <v>22</v>
      </c>
      <c r="E731" s="4">
        <v>33880</v>
      </c>
      <c r="F731" s="5">
        <v>420000</v>
      </c>
      <c r="G731" s="4">
        <v>88200</v>
      </c>
      <c r="H731" s="4">
        <v>542080</v>
      </c>
      <c r="I731" s="188" t="str">
        <f>VLOOKUP(C731,CATEGORIZACION!$A$1:$C$269,2,FALSE)</f>
        <v>TRANSPORTE</v>
      </c>
      <c r="J731" s="188" t="s">
        <v>19</v>
      </c>
    </row>
    <row r="732" spans="1:10" ht="15.75" customHeight="1" x14ac:dyDescent="0.25">
      <c r="A732" s="1">
        <v>45047</v>
      </c>
      <c r="B732" s="188" t="s">
        <v>758</v>
      </c>
      <c r="C732" s="188" t="s">
        <v>21</v>
      </c>
      <c r="D732" s="188" t="s">
        <v>22</v>
      </c>
      <c r="E732" s="4">
        <v>27840</v>
      </c>
      <c r="F732" s="5">
        <v>528200</v>
      </c>
      <c r="G732" s="4">
        <v>110922</v>
      </c>
      <c r="H732" s="4">
        <v>666962</v>
      </c>
      <c r="I732" s="188" t="str">
        <f>VLOOKUP(C732,CATEGORIZACION!$A$1:$C$269,2,FALSE)</f>
        <v>TRANSPORTE</v>
      </c>
      <c r="J732" s="188" t="s">
        <v>19</v>
      </c>
    </row>
    <row r="733" spans="1:10" ht="15.75" customHeight="1" x14ac:dyDescent="0.25">
      <c r="A733" s="1">
        <v>45047</v>
      </c>
      <c r="B733" s="188" t="s">
        <v>759</v>
      </c>
      <c r="C733" s="188" t="s">
        <v>36</v>
      </c>
      <c r="D733" s="188" t="s">
        <v>37</v>
      </c>
      <c r="E733" s="4">
        <v>11500</v>
      </c>
      <c r="F733" s="5">
        <v>95200</v>
      </c>
      <c r="G733" s="4">
        <v>19992</v>
      </c>
      <c r="H733" s="4">
        <v>126692</v>
      </c>
      <c r="I733" s="188" t="str">
        <f>VLOOKUP(C733,CATEGORIZACION!$A$1:$C$269,2,FALSE)</f>
        <v>TRANSPORTE</v>
      </c>
      <c r="J733" s="188" t="s">
        <v>19</v>
      </c>
    </row>
    <row r="734" spans="1:10" ht="15.75" customHeight="1" x14ac:dyDescent="0.25">
      <c r="A734" s="1">
        <v>45047</v>
      </c>
      <c r="B734" s="188" t="s">
        <v>760</v>
      </c>
      <c r="C734" s="188" t="s">
        <v>36</v>
      </c>
      <c r="D734" s="188" t="s">
        <v>37</v>
      </c>
      <c r="E734" s="4">
        <v>11500</v>
      </c>
      <c r="F734" s="5">
        <v>114240</v>
      </c>
      <c r="G734" s="4">
        <v>23990.400000000001</v>
      </c>
      <c r="H734" s="4">
        <v>149730.4</v>
      </c>
      <c r="I734" s="188" t="str">
        <f>VLOOKUP(C734,CATEGORIZACION!$A$1:$C$269,2,FALSE)</f>
        <v>TRANSPORTE</v>
      </c>
      <c r="J734" s="188" t="s">
        <v>19</v>
      </c>
    </row>
    <row r="735" spans="1:10" ht="15.75" customHeight="1" x14ac:dyDescent="0.25">
      <c r="A735" s="1">
        <v>45047</v>
      </c>
      <c r="B735" s="188" t="s">
        <v>761</v>
      </c>
      <c r="C735" s="188" t="s">
        <v>36</v>
      </c>
      <c r="D735" s="188" t="s">
        <v>37</v>
      </c>
      <c r="E735" s="4">
        <v>11500</v>
      </c>
      <c r="F735" s="5">
        <v>95200</v>
      </c>
      <c r="G735" s="4">
        <v>19992</v>
      </c>
      <c r="H735" s="4">
        <v>126692</v>
      </c>
      <c r="I735" s="188" t="str">
        <f>VLOOKUP(C735,CATEGORIZACION!$A$1:$C$269,2,FALSE)</f>
        <v>TRANSPORTE</v>
      </c>
      <c r="J735" s="188" t="s">
        <v>19</v>
      </c>
    </row>
    <row r="736" spans="1:10" ht="15.75" customHeight="1" x14ac:dyDescent="0.25">
      <c r="A736" s="1">
        <v>45047</v>
      </c>
      <c r="B736" s="188" t="s">
        <v>762</v>
      </c>
      <c r="C736" s="188" t="s">
        <v>36</v>
      </c>
      <c r="D736" s="188" t="s">
        <v>37</v>
      </c>
      <c r="E736" s="4">
        <v>15000</v>
      </c>
      <c r="F736" s="5">
        <v>82500</v>
      </c>
      <c r="G736" s="4">
        <v>17325</v>
      </c>
      <c r="H736" s="4">
        <v>114825</v>
      </c>
      <c r="I736" s="188" t="str">
        <f>VLOOKUP(C736,CATEGORIZACION!$A$1:$C$269,2,FALSE)</f>
        <v>TRANSPORTE</v>
      </c>
      <c r="J736" s="188" t="s">
        <v>19</v>
      </c>
    </row>
    <row r="737" spans="1:10" ht="15.75" customHeight="1" x14ac:dyDescent="0.25">
      <c r="A737" s="1">
        <v>45047</v>
      </c>
      <c r="B737" s="188" t="s">
        <v>763</v>
      </c>
      <c r="C737" s="188" t="s">
        <v>36</v>
      </c>
      <c r="D737" s="188" t="s">
        <v>37</v>
      </c>
      <c r="E737" s="4">
        <v>15000</v>
      </c>
      <c r="F737" s="5">
        <v>82500</v>
      </c>
      <c r="G737" s="4">
        <v>17325</v>
      </c>
      <c r="H737" s="4">
        <v>114825</v>
      </c>
      <c r="I737" s="188" t="str">
        <f>VLOOKUP(C737,CATEGORIZACION!$A$1:$C$269,2,FALSE)</f>
        <v>TRANSPORTE</v>
      </c>
      <c r="J737" s="188" t="s">
        <v>19</v>
      </c>
    </row>
    <row r="738" spans="1:10" ht="15.75" customHeight="1" x14ac:dyDescent="0.25">
      <c r="A738" s="1">
        <v>45047</v>
      </c>
      <c r="B738" s="188" t="s">
        <v>764</v>
      </c>
      <c r="C738" s="188" t="s">
        <v>36</v>
      </c>
      <c r="D738" s="188" t="s">
        <v>37</v>
      </c>
      <c r="E738" s="4">
        <v>15000</v>
      </c>
      <c r="F738" s="5">
        <v>82500</v>
      </c>
      <c r="G738" s="4">
        <v>17325</v>
      </c>
      <c r="H738" s="4">
        <v>114825</v>
      </c>
      <c r="I738" s="188" t="str">
        <f>VLOOKUP(C738,CATEGORIZACION!$A$1:$C$269,2,FALSE)</f>
        <v>TRANSPORTE</v>
      </c>
      <c r="J738" s="188" t="s">
        <v>19</v>
      </c>
    </row>
    <row r="739" spans="1:10" ht="15.75" customHeight="1" x14ac:dyDescent="0.25">
      <c r="A739" s="1">
        <v>45047</v>
      </c>
      <c r="B739" s="188" t="s">
        <v>765</v>
      </c>
      <c r="C739" s="188" t="s">
        <v>36</v>
      </c>
      <c r="D739" s="188" t="s">
        <v>37</v>
      </c>
      <c r="E739" s="4">
        <v>4200</v>
      </c>
      <c r="F739" s="5">
        <v>38750</v>
      </c>
      <c r="G739" s="4">
        <v>8137.5</v>
      </c>
      <c r="H739" s="4">
        <v>51087.5</v>
      </c>
      <c r="I739" s="188" t="str">
        <f>VLOOKUP(C739,CATEGORIZACION!$A$1:$C$269,2,FALSE)</f>
        <v>TRANSPORTE</v>
      </c>
      <c r="J739" s="188" t="s">
        <v>19</v>
      </c>
    </row>
    <row r="740" spans="1:10" ht="15.75" customHeight="1" x14ac:dyDescent="0.25">
      <c r="A740" s="1">
        <v>45047</v>
      </c>
      <c r="B740" s="188" t="s">
        <v>766</v>
      </c>
      <c r="C740" s="188" t="s">
        <v>36</v>
      </c>
      <c r="D740" s="188" t="s">
        <v>37</v>
      </c>
      <c r="E740" s="4">
        <v>16200</v>
      </c>
      <c r="F740" s="5">
        <v>105700</v>
      </c>
      <c r="G740" s="4">
        <v>22197</v>
      </c>
      <c r="H740" s="4">
        <v>144097</v>
      </c>
      <c r="I740" s="188" t="str">
        <f>VLOOKUP(C740,CATEGORIZACION!$A$1:$C$269,2,FALSE)</f>
        <v>TRANSPORTE</v>
      </c>
      <c r="J740" s="188" t="s">
        <v>19</v>
      </c>
    </row>
    <row r="741" spans="1:10" ht="15.75" customHeight="1" x14ac:dyDescent="0.25">
      <c r="A741" s="1">
        <v>45047</v>
      </c>
      <c r="B741" s="188" t="s">
        <v>767</v>
      </c>
      <c r="C741" s="188" t="s">
        <v>36</v>
      </c>
      <c r="D741" s="188" t="s">
        <v>37</v>
      </c>
      <c r="E741" s="4">
        <v>11500</v>
      </c>
      <c r="F741" s="5">
        <v>114240</v>
      </c>
      <c r="G741" s="4">
        <v>23990.400000000001</v>
      </c>
      <c r="H741" s="4">
        <v>149730.4</v>
      </c>
      <c r="I741" s="188" t="str">
        <f>VLOOKUP(C741,CATEGORIZACION!$A$1:$C$269,2,FALSE)</f>
        <v>TRANSPORTE</v>
      </c>
      <c r="J741" s="188" t="s">
        <v>19</v>
      </c>
    </row>
    <row r="742" spans="1:10" ht="15.75" customHeight="1" x14ac:dyDescent="0.25">
      <c r="A742" s="1">
        <v>45047</v>
      </c>
      <c r="B742" s="188" t="s">
        <v>768</v>
      </c>
      <c r="C742" s="188" t="s">
        <v>36</v>
      </c>
      <c r="D742" s="188" t="s">
        <v>37</v>
      </c>
      <c r="E742" s="4">
        <v>5000</v>
      </c>
      <c r="F742" s="5">
        <v>59700</v>
      </c>
      <c r="G742" s="4">
        <v>12537</v>
      </c>
      <c r="H742" s="4">
        <v>77237</v>
      </c>
      <c r="I742" s="188" t="str">
        <f>VLOOKUP(C742,CATEGORIZACION!$A$1:$C$269,2,FALSE)</f>
        <v>TRANSPORTE</v>
      </c>
      <c r="J742" s="188" t="s">
        <v>19</v>
      </c>
    </row>
    <row r="743" spans="1:10" ht="15.75" customHeight="1" x14ac:dyDescent="0.25">
      <c r="A743" s="1">
        <v>45047</v>
      </c>
      <c r="B743" s="188" t="s">
        <v>769</v>
      </c>
      <c r="C743" s="188" t="s">
        <v>36</v>
      </c>
      <c r="D743" s="188" t="s">
        <v>37</v>
      </c>
      <c r="E743" s="4">
        <v>5000</v>
      </c>
      <c r="F743" s="5">
        <v>89580</v>
      </c>
      <c r="G743" s="4">
        <v>18811.8</v>
      </c>
      <c r="H743" s="4">
        <v>113391.8</v>
      </c>
      <c r="I743" s="188" t="str">
        <f>VLOOKUP(C743,CATEGORIZACION!$A$1:$C$269,2,FALSE)</f>
        <v>TRANSPORTE</v>
      </c>
      <c r="J743" s="188" t="s">
        <v>19</v>
      </c>
    </row>
    <row r="744" spans="1:10" ht="15.75" customHeight="1" x14ac:dyDescent="0.25">
      <c r="A744" s="1">
        <v>45047</v>
      </c>
      <c r="B744" s="188" t="s">
        <v>770</v>
      </c>
      <c r="C744" s="188" t="s">
        <v>36</v>
      </c>
      <c r="D744" s="188" t="s">
        <v>37</v>
      </c>
      <c r="E744" s="4">
        <v>5000</v>
      </c>
      <c r="F744" s="5">
        <v>59700</v>
      </c>
      <c r="G744" s="4">
        <v>12537</v>
      </c>
      <c r="H744" s="4">
        <v>77237</v>
      </c>
      <c r="I744" s="188" t="str">
        <f>VLOOKUP(C744,CATEGORIZACION!$A$1:$C$269,2,FALSE)</f>
        <v>TRANSPORTE</v>
      </c>
      <c r="J744" s="188" t="s">
        <v>19</v>
      </c>
    </row>
    <row r="745" spans="1:10" ht="15.75" customHeight="1" x14ac:dyDescent="0.25">
      <c r="A745" s="1">
        <v>45047</v>
      </c>
      <c r="B745" s="188" t="s">
        <v>771</v>
      </c>
      <c r="C745" s="188" t="s">
        <v>36</v>
      </c>
      <c r="D745" s="188" t="s">
        <v>37</v>
      </c>
      <c r="E745" s="4">
        <v>5000</v>
      </c>
      <c r="F745" s="5">
        <v>89580</v>
      </c>
      <c r="G745" s="4">
        <v>18811.8</v>
      </c>
      <c r="H745" s="4">
        <v>113391.8</v>
      </c>
      <c r="I745" s="188" t="str">
        <f>VLOOKUP(C745,CATEGORIZACION!$A$1:$C$269,2,FALSE)</f>
        <v>TRANSPORTE</v>
      </c>
      <c r="J745" s="188" t="s">
        <v>19</v>
      </c>
    </row>
    <row r="746" spans="1:10" ht="15.75" customHeight="1" x14ac:dyDescent="0.25">
      <c r="A746" s="1">
        <v>45047</v>
      </c>
      <c r="B746" s="188" t="s">
        <v>772</v>
      </c>
      <c r="C746" s="188" t="s">
        <v>426</v>
      </c>
      <c r="D746" s="188" t="s">
        <v>427</v>
      </c>
      <c r="E746" s="4">
        <v>1848</v>
      </c>
      <c r="F746" s="5">
        <v>23679.34</v>
      </c>
      <c r="G746" s="4">
        <v>4972.66</v>
      </c>
      <c r="H746" s="4">
        <v>30500</v>
      </c>
      <c r="I746" s="188" t="str">
        <f>VLOOKUP(C746,CATEGORIZACION!$A$1:$C$269,2,FALSE)</f>
        <v>PROOVEDORES</v>
      </c>
      <c r="J746" s="188" t="str">
        <f>VLOOKUP(C746,CATEGORIZACION!$A$1:$C$269,3,FALSE)</f>
        <v>LOGISTICA</v>
      </c>
    </row>
    <row r="747" spans="1:10" ht="15.75" customHeight="1" x14ac:dyDescent="0.25">
      <c r="A747" s="1">
        <v>45047</v>
      </c>
      <c r="B747" s="188" t="s">
        <v>548</v>
      </c>
      <c r="C747" s="188" t="s">
        <v>714</v>
      </c>
      <c r="D747" s="188" t="s">
        <v>715</v>
      </c>
      <c r="E747" s="4">
        <v>0</v>
      </c>
      <c r="F747" s="3">
        <v>28000</v>
      </c>
      <c r="G747" s="4">
        <v>5880</v>
      </c>
      <c r="H747" s="4">
        <v>33880</v>
      </c>
      <c r="I747" s="188" t="str">
        <f>VLOOKUP(C747,CATEGORIZACION!$A$1:$C$269,2,FALSE)</f>
        <v>PROOVEDORES</v>
      </c>
      <c r="J747" s="188" t="str">
        <f>VLOOKUP(C747,CATEGORIZACION!$A$1:$C$269,3,FALSE)</f>
        <v>DEPOSITO</v>
      </c>
    </row>
    <row r="748" spans="1:10" ht="15.75" customHeight="1" x14ac:dyDescent="0.25">
      <c r="A748" s="1">
        <v>45047</v>
      </c>
      <c r="B748" s="188" t="s">
        <v>773</v>
      </c>
      <c r="C748" s="188" t="s">
        <v>21</v>
      </c>
      <c r="D748" s="188" t="s">
        <v>22</v>
      </c>
      <c r="E748" s="4">
        <v>19360</v>
      </c>
      <c r="F748" s="5">
        <v>532800</v>
      </c>
      <c r="G748" s="4">
        <v>111888</v>
      </c>
      <c r="H748" s="4">
        <v>664048</v>
      </c>
      <c r="I748" s="188" t="str">
        <f>VLOOKUP(C748,CATEGORIZACION!$A$1:$C$269,2,FALSE)</f>
        <v>TRANSPORTE</v>
      </c>
      <c r="J748" s="188" t="s">
        <v>19</v>
      </c>
    </row>
    <row r="749" spans="1:10" ht="15.75" customHeight="1" x14ac:dyDescent="0.25">
      <c r="A749" s="1">
        <v>45047</v>
      </c>
      <c r="B749" s="188" t="s">
        <v>774</v>
      </c>
      <c r="C749" s="188" t="s">
        <v>21</v>
      </c>
      <c r="D749" s="188" t="s">
        <v>22</v>
      </c>
      <c r="E749" s="4">
        <v>42560</v>
      </c>
      <c r="F749" s="5">
        <v>420000</v>
      </c>
      <c r="G749" s="4">
        <v>88200</v>
      </c>
      <c r="H749" s="4">
        <v>550760</v>
      </c>
      <c r="I749" s="188" t="str">
        <f>VLOOKUP(C749,CATEGORIZACION!$A$1:$C$269,2,FALSE)</f>
        <v>TRANSPORTE</v>
      </c>
      <c r="J749" s="188" t="s">
        <v>19</v>
      </c>
    </row>
    <row r="750" spans="1:10" ht="15.75" customHeight="1" x14ac:dyDescent="0.25">
      <c r="A750" s="1">
        <v>45047</v>
      </c>
      <c r="B750" s="188" t="s">
        <v>775</v>
      </c>
      <c r="C750" s="188" t="s">
        <v>36</v>
      </c>
      <c r="D750" s="188" t="s">
        <v>37</v>
      </c>
      <c r="E750" s="4">
        <v>16200</v>
      </c>
      <c r="F750" s="5">
        <v>105700</v>
      </c>
      <c r="G750" s="4">
        <v>22197</v>
      </c>
      <c r="H750" s="4">
        <v>144097</v>
      </c>
      <c r="I750" s="188" t="str">
        <f>VLOOKUP(C750,CATEGORIZACION!$A$1:$C$269,2,FALSE)</f>
        <v>TRANSPORTE</v>
      </c>
      <c r="J750" s="188" t="s">
        <v>19</v>
      </c>
    </row>
    <row r="751" spans="1:10" ht="15.75" customHeight="1" x14ac:dyDescent="0.25">
      <c r="A751" s="1">
        <v>45047</v>
      </c>
      <c r="B751" s="188" t="s">
        <v>776</v>
      </c>
      <c r="C751" s="188" t="s">
        <v>36</v>
      </c>
      <c r="D751" s="188" t="s">
        <v>37</v>
      </c>
      <c r="E751" s="4">
        <v>9200</v>
      </c>
      <c r="F751" s="5">
        <v>46800</v>
      </c>
      <c r="G751" s="4">
        <v>9828</v>
      </c>
      <c r="H751" s="4">
        <v>65828</v>
      </c>
      <c r="I751" s="188" t="str">
        <f>VLOOKUP(C751,CATEGORIZACION!$A$1:$C$269,2,FALSE)</f>
        <v>TRANSPORTE</v>
      </c>
      <c r="J751" s="188" t="s">
        <v>19</v>
      </c>
    </row>
    <row r="752" spans="1:10" ht="15.75" customHeight="1" x14ac:dyDescent="0.25">
      <c r="A752" s="1">
        <v>45047</v>
      </c>
      <c r="B752" s="188" t="s">
        <v>777</v>
      </c>
      <c r="C752" s="188" t="s">
        <v>36</v>
      </c>
      <c r="D752" s="188" t="s">
        <v>37</v>
      </c>
      <c r="E752" s="4">
        <v>7900</v>
      </c>
      <c r="F752" s="5">
        <v>66550</v>
      </c>
      <c r="G752" s="4">
        <v>13975.5</v>
      </c>
      <c r="H752" s="4">
        <v>88425.5</v>
      </c>
      <c r="I752" s="188" t="str">
        <f>VLOOKUP(C752,CATEGORIZACION!$A$1:$C$269,2,FALSE)</f>
        <v>TRANSPORTE</v>
      </c>
      <c r="J752" s="188" t="s">
        <v>19</v>
      </c>
    </row>
    <row r="753" spans="1:10" ht="15.75" customHeight="1" x14ac:dyDescent="0.25">
      <c r="A753" s="1">
        <v>45047</v>
      </c>
      <c r="B753" s="188" t="s">
        <v>778</v>
      </c>
      <c r="C753" s="188" t="s">
        <v>36</v>
      </c>
      <c r="D753" s="188" t="s">
        <v>37</v>
      </c>
      <c r="E753" s="4">
        <v>9200</v>
      </c>
      <c r="F753" s="5">
        <v>46800</v>
      </c>
      <c r="G753" s="4">
        <v>9828</v>
      </c>
      <c r="H753" s="4">
        <v>65828</v>
      </c>
      <c r="I753" s="188" t="str">
        <f>VLOOKUP(C753,CATEGORIZACION!$A$1:$C$269,2,FALSE)</f>
        <v>TRANSPORTE</v>
      </c>
      <c r="J753" s="188" t="s">
        <v>19</v>
      </c>
    </row>
    <row r="754" spans="1:10" ht="15.75" customHeight="1" x14ac:dyDescent="0.25">
      <c r="A754" s="1">
        <v>45047</v>
      </c>
      <c r="B754" s="188" t="s">
        <v>779</v>
      </c>
      <c r="C754" s="188" t="s">
        <v>36</v>
      </c>
      <c r="D754" s="188" t="s">
        <v>37</v>
      </c>
      <c r="E754" s="4">
        <v>7200</v>
      </c>
      <c r="F754" s="5">
        <v>113400</v>
      </c>
      <c r="G754" s="4">
        <v>23814</v>
      </c>
      <c r="H754" s="4">
        <v>144414</v>
      </c>
      <c r="I754" s="188" t="str">
        <f>VLOOKUP(C754,CATEGORIZACION!$A$1:$C$269,2,FALSE)</f>
        <v>TRANSPORTE</v>
      </c>
      <c r="J754" s="188" t="s">
        <v>19</v>
      </c>
    </row>
    <row r="755" spans="1:10" ht="15.75" customHeight="1" x14ac:dyDescent="0.25">
      <c r="A755" s="1">
        <v>45047</v>
      </c>
      <c r="B755" s="188" t="s">
        <v>780</v>
      </c>
      <c r="C755" s="188" t="s">
        <v>36</v>
      </c>
      <c r="D755" s="188" t="s">
        <v>37</v>
      </c>
      <c r="E755" s="4">
        <v>15000</v>
      </c>
      <c r="F755" s="5">
        <v>82500</v>
      </c>
      <c r="G755" s="4">
        <v>17325</v>
      </c>
      <c r="H755" s="4">
        <v>114825</v>
      </c>
      <c r="I755" s="188" t="str">
        <f>VLOOKUP(C755,CATEGORIZACION!$A$1:$C$269,2,FALSE)</f>
        <v>TRANSPORTE</v>
      </c>
      <c r="J755" s="188" t="s">
        <v>19</v>
      </c>
    </row>
    <row r="756" spans="1:10" ht="15.75" customHeight="1" x14ac:dyDescent="0.25">
      <c r="A756" s="1">
        <v>45047</v>
      </c>
      <c r="B756" s="188" t="s">
        <v>781</v>
      </c>
      <c r="C756" s="188" t="s">
        <v>36</v>
      </c>
      <c r="D756" s="188" t="s">
        <v>37</v>
      </c>
      <c r="E756" s="4">
        <v>9200</v>
      </c>
      <c r="F756" s="5">
        <v>46800</v>
      </c>
      <c r="G756" s="4">
        <v>9828</v>
      </c>
      <c r="H756" s="4">
        <v>65828</v>
      </c>
      <c r="I756" s="188" t="str">
        <f>VLOOKUP(C756,CATEGORIZACION!$A$1:$C$269,2,FALSE)</f>
        <v>TRANSPORTE</v>
      </c>
      <c r="J756" s="188" t="s">
        <v>19</v>
      </c>
    </row>
    <row r="757" spans="1:10" ht="15.75" customHeight="1" x14ac:dyDescent="0.25">
      <c r="A757" s="1">
        <v>45047</v>
      </c>
      <c r="B757" s="188" t="s">
        <v>782</v>
      </c>
      <c r="C757" s="188" t="s">
        <v>36</v>
      </c>
      <c r="D757" s="188" t="s">
        <v>37</v>
      </c>
      <c r="E757" s="4">
        <v>9200</v>
      </c>
      <c r="F757" s="5">
        <v>46800</v>
      </c>
      <c r="G757" s="4">
        <v>9828</v>
      </c>
      <c r="H757" s="4">
        <v>65828</v>
      </c>
      <c r="I757" s="188" t="str">
        <f>VLOOKUP(C757,CATEGORIZACION!$A$1:$C$269,2,FALSE)</f>
        <v>TRANSPORTE</v>
      </c>
      <c r="J757" s="188" t="s">
        <v>19</v>
      </c>
    </row>
    <row r="758" spans="1:10" ht="15.75" customHeight="1" x14ac:dyDescent="0.25">
      <c r="A758" s="1">
        <v>45047</v>
      </c>
      <c r="B758" s="188" t="s">
        <v>783</v>
      </c>
      <c r="C758" s="188" t="s">
        <v>36</v>
      </c>
      <c r="D758" s="188" t="s">
        <v>37</v>
      </c>
      <c r="E758" s="4">
        <v>11500</v>
      </c>
      <c r="F758" s="5">
        <v>66550</v>
      </c>
      <c r="G758" s="4">
        <v>13975.5</v>
      </c>
      <c r="H758" s="4">
        <v>92025.5</v>
      </c>
      <c r="I758" s="188" t="str">
        <f>VLOOKUP(C758,CATEGORIZACION!$A$1:$C$269,2,FALSE)</f>
        <v>TRANSPORTE</v>
      </c>
      <c r="J758" s="188" t="s">
        <v>19</v>
      </c>
    </row>
    <row r="759" spans="1:10" ht="15.75" customHeight="1" x14ac:dyDescent="0.25">
      <c r="A759" s="1">
        <v>45047</v>
      </c>
      <c r="B759" s="188" t="s">
        <v>784</v>
      </c>
      <c r="C759" s="188" t="s">
        <v>36</v>
      </c>
      <c r="D759" s="188" t="s">
        <v>37</v>
      </c>
      <c r="E759" s="4">
        <v>9200</v>
      </c>
      <c r="F759" s="5">
        <v>46800</v>
      </c>
      <c r="G759" s="4">
        <v>9828</v>
      </c>
      <c r="H759" s="4">
        <v>65828</v>
      </c>
      <c r="I759" s="188" t="str">
        <f>VLOOKUP(C759,CATEGORIZACION!$A$1:$C$269,2,FALSE)</f>
        <v>TRANSPORTE</v>
      </c>
      <c r="J759" s="188" t="s">
        <v>19</v>
      </c>
    </row>
    <row r="760" spans="1:10" ht="15.75" customHeight="1" x14ac:dyDescent="0.25">
      <c r="A760" s="1">
        <v>45047</v>
      </c>
      <c r="B760" s="188" t="s">
        <v>785</v>
      </c>
      <c r="C760" s="188" t="s">
        <v>36</v>
      </c>
      <c r="D760" s="188" t="s">
        <v>37</v>
      </c>
      <c r="E760" s="4">
        <v>9800</v>
      </c>
      <c r="F760" s="5">
        <v>116300</v>
      </c>
      <c r="G760" s="4">
        <v>24423</v>
      </c>
      <c r="H760" s="4">
        <v>150523</v>
      </c>
      <c r="I760" s="188" t="str">
        <f>VLOOKUP(C760,CATEGORIZACION!$A$1:$C$269,2,FALSE)</f>
        <v>TRANSPORTE</v>
      </c>
      <c r="J760" s="188" t="s">
        <v>19</v>
      </c>
    </row>
    <row r="761" spans="1:10" ht="15.75" customHeight="1" x14ac:dyDescent="0.25">
      <c r="A761" s="1">
        <v>45047</v>
      </c>
      <c r="B761" s="188" t="s">
        <v>786</v>
      </c>
      <c r="C761" s="188" t="s">
        <v>36</v>
      </c>
      <c r="D761" s="188" t="s">
        <v>37</v>
      </c>
      <c r="E761" s="4">
        <v>9200</v>
      </c>
      <c r="F761" s="5">
        <v>46800</v>
      </c>
      <c r="G761" s="4">
        <v>9828</v>
      </c>
      <c r="H761" s="4">
        <v>65828</v>
      </c>
      <c r="I761" s="188" t="str">
        <f>VLOOKUP(C761,CATEGORIZACION!$A$1:$C$269,2,FALSE)</f>
        <v>TRANSPORTE</v>
      </c>
      <c r="J761" s="188" t="s">
        <v>19</v>
      </c>
    </row>
    <row r="762" spans="1:10" ht="15.75" customHeight="1" x14ac:dyDescent="0.25">
      <c r="A762" s="1">
        <v>45047</v>
      </c>
      <c r="B762" s="188" t="s">
        <v>787</v>
      </c>
      <c r="C762" s="188" t="s">
        <v>36</v>
      </c>
      <c r="D762" s="188" t="s">
        <v>37</v>
      </c>
      <c r="E762" s="4">
        <v>9800</v>
      </c>
      <c r="F762" s="5">
        <v>116300</v>
      </c>
      <c r="G762" s="4">
        <v>24423</v>
      </c>
      <c r="H762" s="4">
        <v>150523</v>
      </c>
      <c r="I762" s="188" t="str">
        <f>VLOOKUP(C762,CATEGORIZACION!$A$1:$C$269,2,FALSE)</f>
        <v>TRANSPORTE</v>
      </c>
      <c r="J762" s="188" t="s">
        <v>19</v>
      </c>
    </row>
    <row r="763" spans="1:10" ht="15.75" customHeight="1" x14ac:dyDescent="0.25">
      <c r="A763" s="1">
        <v>45047</v>
      </c>
      <c r="B763" s="188" t="s">
        <v>788</v>
      </c>
      <c r="C763" s="188" t="s">
        <v>36</v>
      </c>
      <c r="D763" s="188" t="s">
        <v>37</v>
      </c>
      <c r="E763" s="4">
        <v>9200</v>
      </c>
      <c r="F763" s="5">
        <v>95200</v>
      </c>
      <c r="G763" s="4">
        <v>19992</v>
      </c>
      <c r="H763" s="4">
        <v>124392</v>
      </c>
      <c r="I763" s="188" t="str">
        <f>VLOOKUP(C763,CATEGORIZACION!$A$1:$C$269,2,FALSE)</f>
        <v>TRANSPORTE</v>
      </c>
      <c r="J763" s="188" t="s">
        <v>19</v>
      </c>
    </row>
    <row r="764" spans="1:10" ht="15.75" customHeight="1" x14ac:dyDescent="0.25">
      <c r="A764" s="1">
        <v>45047</v>
      </c>
      <c r="B764" s="188" t="s">
        <v>789</v>
      </c>
      <c r="C764" s="188" t="s">
        <v>36</v>
      </c>
      <c r="D764" s="188" t="s">
        <v>37</v>
      </c>
      <c r="E764" s="4">
        <v>6800</v>
      </c>
      <c r="F764" s="5">
        <v>60500</v>
      </c>
      <c r="G764" s="4">
        <v>12705</v>
      </c>
      <c r="H764" s="4">
        <v>80005</v>
      </c>
      <c r="I764" s="188" t="str">
        <f>VLOOKUP(C764,CATEGORIZACION!$A$1:$C$269,2,FALSE)</f>
        <v>TRANSPORTE</v>
      </c>
      <c r="J764" s="188" t="s">
        <v>19</v>
      </c>
    </row>
    <row r="765" spans="1:10" ht="15.75" customHeight="1" x14ac:dyDescent="0.25">
      <c r="A765" s="1">
        <v>45047</v>
      </c>
      <c r="B765" s="188" t="s">
        <v>790</v>
      </c>
      <c r="C765" s="188" t="s">
        <v>36</v>
      </c>
      <c r="D765" s="188" t="s">
        <v>37</v>
      </c>
      <c r="E765" s="4">
        <v>5000</v>
      </c>
      <c r="F765" s="5">
        <v>97050</v>
      </c>
      <c r="G765" s="4">
        <v>20380.5</v>
      </c>
      <c r="H765" s="4">
        <v>122430.5</v>
      </c>
      <c r="I765" s="188" t="str">
        <f>VLOOKUP(C765,CATEGORIZACION!$A$1:$C$269,2,FALSE)</f>
        <v>TRANSPORTE</v>
      </c>
      <c r="J765" s="188" t="s">
        <v>19</v>
      </c>
    </row>
    <row r="766" spans="1:10" ht="15.75" customHeight="1" x14ac:dyDescent="0.25">
      <c r="A766" s="1">
        <v>45047</v>
      </c>
      <c r="B766" s="188" t="s">
        <v>791</v>
      </c>
      <c r="C766" s="188" t="s">
        <v>36</v>
      </c>
      <c r="D766" s="188" t="s">
        <v>37</v>
      </c>
      <c r="E766" s="4">
        <v>6800</v>
      </c>
      <c r="F766" s="5">
        <v>60500</v>
      </c>
      <c r="G766" s="4">
        <v>12705</v>
      </c>
      <c r="H766" s="4">
        <v>80005</v>
      </c>
      <c r="I766" s="188" t="str">
        <f>VLOOKUP(C766,CATEGORIZACION!$A$1:$C$269,2,FALSE)</f>
        <v>TRANSPORTE</v>
      </c>
      <c r="J766" s="188" t="s">
        <v>19</v>
      </c>
    </row>
    <row r="767" spans="1:10" ht="15.75" customHeight="1" x14ac:dyDescent="0.25">
      <c r="A767" s="1">
        <v>45047</v>
      </c>
      <c r="B767" s="188" t="s">
        <v>792</v>
      </c>
      <c r="C767" s="188" t="s">
        <v>36</v>
      </c>
      <c r="D767" s="188" t="s">
        <v>37</v>
      </c>
      <c r="E767" s="4">
        <v>11500</v>
      </c>
      <c r="F767" s="5">
        <v>114240</v>
      </c>
      <c r="G767" s="4">
        <v>23990.400000000001</v>
      </c>
      <c r="H767" s="4">
        <v>149730.4</v>
      </c>
      <c r="I767" s="188" t="str">
        <f>VLOOKUP(C767,CATEGORIZACION!$A$1:$C$269,2,FALSE)</f>
        <v>TRANSPORTE</v>
      </c>
      <c r="J767" s="188" t="s">
        <v>19</v>
      </c>
    </row>
    <row r="768" spans="1:10" ht="15.75" customHeight="1" x14ac:dyDescent="0.25">
      <c r="A768" s="1">
        <v>45047</v>
      </c>
      <c r="B768" s="188" t="s">
        <v>793</v>
      </c>
      <c r="C768" s="188" t="s">
        <v>36</v>
      </c>
      <c r="D768" s="188" t="s">
        <v>37</v>
      </c>
      <c r="E768" s="4">
        <v>16200</v>
      </c>
      <c r="F768" s="5">
        <v>105700</v>
      </c>
      <c r="G768" s="4">
        <v>22197</v>
      </c>
      <c r="H768" s="4">
        <v>144097</v>
      </c>
      <c r="I768" s="188" t="str">
        <f>VLOOKUP(C768,CATEGORIZACION!$A$1:$C$269,2,FALSE)</f>
        <v>TRANSPORTE</v>
      </c>
      <c r="J768" s="188" t="s">
        <v>19</v>
      </c>
    </row>
    <row r="769" spans="1:10" ht="15.75" customHeight="1" x14ac:dyDescent="0.25">
      <c r="A769" s="1">
        <v>45047</v>
      </c>
      <c r="B769" s="188" t="s">
        <v>794</v>
      </c>
      <c r="C769" s="188" t="s">
        <v>409</v>
      </c>
      <c r="D769" s="188" t="s">
        <v>410</v>
      </c>
      <c r="E769" s="4">
        <v>6320.94</v>
      </c>
      <c r="F769" s="5">
        <v>790117.53</v>
      </c>
      <c r="G769" s="4">
        <v>165924.68</v>
      </c>
      <c r="H769" s="4">
        <v>962363.15</v>
      </c>
      <c r="I769" s="188" t="str">
        <f>VLOOKUP(C769,CATEGORIZACION!$A$1:$C$269,2,FALSE)</f>
        <v>PROOVEDORES</v>
      </c>
      <c r="J769" s="188" t="str">
        <f>VLOOKUP(C769,CATEGORIZACION!$A$1:$C$269,3,FALSE)</f>
        <v>LOGISTICA</v>
      </c>
    </row>
    <row r="770" spans="1:10" ht="15.75" customHeight="1" x14ac:dyDescent="0.25">
      <c r="A770" s="1">
        <v>45047</v>
      </c>
      <c r="B770" s="188" t="s">
        <v>795</v>
      </c>
      <c r="C770" s="188" t="s">
        <v>84</v>
      </c>
      <c r="D770" s="188" t="s">
        <v>85</v>
      </c>
      <c r="E770" s="4">
        <v>61033.73</v>
      </c>
      <c r="F770" s="5">
        <v>643527.51</v>
      </c>
      <c r="G770" s="4">
        <v>135140.78</v>
      </c>
      <c r="H770" s="4">
        <v>839702.02</v>
      </c>
      <c r="I770" s="188" t="str">
        <f>VLOOKUP(C770,CATEGORIZACION!$A$1:$C$269,2,FALSE)</f>
        <v>PROOVEDORES</v>
      </c>
      <c r="J770" s="188" t="str">
        <f>VLOOKUP(C770,CATEGORIZACION!$A$1:$C$269,3,FALSE)</f>
        <v>LOGISTICA</v>
      </c>
    </row>
    <row r="771" spans="1:10" ht="15.75" customHeight="1" x14ac:dyDescent="0.25">
      <c r="A771" s="1">
        <v>45047</v>
      </c>
      <c r="B771" s="188" t="s">
        <v>796</v>
      </c>
      <c r="C771" s="188" t="s">
        <v>21</v>
      </c>
      <c r="D771" s="188" t="s">
        <v>22</v>
      </c>
      <c r="E771" s="4">
        <v>29040</v>
      </c>
      <c r="F771" s="5">
        <v>360000</v>
      </c>
      <c r="G771" s="4">
        <v>75600</v>
      </c>
      <c r="H771" s="4">
        <v>464640</v>
      </c>
      <c r="I771" s="188" t="str">
        <f>VLOOKUP(C771,CATEGORIZACION!$A$1:$C$269,2,FALSE)</f>
        <v>TRANSPORTE</v>
      </c>
      <c r="J771" s="188" t="s">
        <v>19</v>
      </c>
    </row>
    <row r="772" spans="1:10" ht="15.75" customHeight="1" x14ac:dyDescent="0.25">
      <c r="A772" s="1">
        <v>45047</v>
      </c>
      <c r="B772" s="188" t="s">
        <v>797</v>
      </c>
      <c r="C772" s="188" t="s">
        <v>21</v>
      </c>
      <c r="D772" s="188" t="s">
        <v>22</v>
      </c>
      <c r="E772" s="4">
        <v>30280</v>
      </c>
      <c r="F772" s="5">
        <v>326400</v>
      </c>
      <c r="G772" s="4">
        <v>68544</v>
      </c>
      <c r="H772" s="4">
        <v>425224</v>
      </c>
      <c r="I772" s="188" t="str">
        <f>VLOOKUP(C772,CATEGORIZACION!$A$1:$C$269,2,FALSE)</f>
        <v>TRANSPORTE</v>
      </c>
      <c r="J772" s="188" t="s">
        <v>19</v>
      </c>
    </row>
    <row r="773" spans="1:10" ht="15.75" customHeight="1" x14ac:dyDescent="0.25">
      <c r="A773" s="1">
        <v>45047</v>
      </c>
      <c r="B773" s="188" t="s">
        <v>798</v>
      </c>
      <c r="C773" s="188" t="s">
        <v>21</v>
      </c>
      <c r="D773" s="188" t="s">
        <v>22</v>
      </c>
      <c r="E773" s="4">
        <v>18240</v>
      </c>
      <c r="F773" s="5">
        <v>219600</v>
      </c>
      <c r="G773" s="4">
        <v>46116</v>
      </c>
      <c r="H773" s="4">
        <v>283956</v>
      </c>
      <c r="I773" s="188" t="str">
        <f>VLOOKUP(C773,CATEGORIZACION!$A$1:$C$269,2,FALSE)</f>
        <v>TRANSPORTE</v>
      </c>
      <c r="J773" s="188" t="s">
        <v>19</v>
      </c>
    </row>
    <row r="774" spans="1:10" ht="15.75" customHeight="1" x14ac:dyDescent="0.25">
      <c r="A774" s="1">
        <v>45047</v>
      </c>
      <c r="B774" s="188" t="s">
        <v>799</v>
      </c>
      <c r="C774" s="188" t="s">
        <v>52</v>
      </c>
      <c r="D774" s="188" t="s">
        <v>53</v>
      </c>
      <c r="E774" s="4">
        <v>0</v>
      </c>
      <c r="F774" s="3">
        <v>49454.61</v>
      </c>
      <c r="G774" s="4">
        <v>10385.469999999999</v>
      </c>
      <c r="H774" s="4">
        <v>59840.08</v>
      </c>
      <c r="I774" s="188" t="str">
        <f>VLOOKUP(C774,CATEGORIZACION!$A$1:$C$269,2,FALSE)</f>
        <v>PROOVEDORES</v>
      </c>
      <c r="J774" s="188" t="str">
        <f>VLOOKUP(C774,CATEGORIZACION!$A$1:$C$269,3,FALSE)</f>
        <v>DEPOSITO</v>
      </c>
    </row>
    <row r="775" spans="1:10" ht="15.75" customHeight="1" x14ac:dyDescent="0.25">
      <c r="A775" s="1">
        <v>45047</v>
      </c>
      <c r="B775" s="188" t="s">
        <v>800</v>
      </c>
      <c r="C775" s="188" t="s">
        <v>801</v>
      </c>
      <c r="D775" s="188" t="s">
        <v>802</v>
      </c>
      <c r="E775" s="4">
        <v>4370.17</v>
      </c>
      <c r="F775" s="5">
        <v>33615</v>
      </c>
      <c r="G775" s="4">
        <v>7059.15</v>
      </c>
      <c r="H775" s="4">
        <v>45044.32</v>
      </c>
      <c r="I775" s="188" t="str">
        <f>VLOOKUP(C775,CATEGORIZACION!$A$1:$C$269,2,FALSE)</f>
        <v>PROOVEDORES</v>
      </c>
      <c r="J775" s="188" t="str">
        <f>VLOOKUP(C775,CATEGORIZACION!$A$1:$C$269,3,FALSE)</f>
        <v>LOGISTICA</v>
      </c>
    </row>
    <row r="776" spans="1:10" ht="15.75" customHeight="1" x14ac:dyDescent="0.25">
      <c r="A776" s="1">
        <v>45047</v>
      </c>
      <c r="B776" s="188" t="s">
        <v>803</v>
      </c>
      <c r="C776" s="188" t="s">
        <v>804</v>
      </c>
      <c r="D776" s="188" t="s">
        <v>805</v>
      </c>
      <c r="E776" s="4">
        <v>188.41</v>
      </c>
      <c r="F776" s="5">
        <v>3925</v>
      </c>
      <c r="G776" s="4">
        <v>824.25</v>
      </c>
      <c r="H776" s="4">
        <v>4937.66</v>
      </c>
      <c r="I776" s="188" t="str">
        <f>VLOOKUP(C776,CATEGORIZACION!$A$1:$C$269,2,FALSE)</f>
        <v>PROOVEDORES</v>
      </c>
      <c r="J776" s="188" t="str">
        <f>VLOOKUP(C776,CATEGORIZACION!$A$1:$C$269,3,FALSE)</f>
        <v>LOGISTICA</v>
      </c>
    </row>
    <row r="777" spans="1:10" ht="15.75" customHeight="1" x14ac:dyDescent="0.25">
      <c r="A777" s="1">
        <v>45047</v>
      </c>
      <c r="B777" s="188" t="s">
        <v>806</v>
      </c>
      <c r="C777" s="188" t="s">
        <v>36</v>
      </c>
      <c r="D777" s="188" t="s">
        <v>37</v>
      </c>
      <c r="E777" s="4">
        <v>16200</v>
      </c>
      <c r="F777" s="5">
        <v>105700</v>
      </c>
      <c r="G777" s="4">
        <v>22197</v>
      </c>
      <c r="H777" s="4">
        <v>144097</v>
      </c>
      <c r="I777" s="188" t="str">
        <f>VLOOKUP(C777,CATEGORIZACION!$A$1:$C$269,2,FALSE)</f>
        <v>TRANSPORTE</v>
      </c>
      <c r="J777" s="188" t="s">
        <v>19</v>
      </c>
    </row>
    <row r="778" spans="1:10" ht="15.75" customHeight="1" x14ac:dyDescent="0.25">
      <c r="A778" s="1">
        <v>45047</v>
      </c>
      <c r="B778" s="188" t="s">
        <v>807</v>
      </c>
      <c r="C778" s="188" t="s">
        <v>36</v>
      </c>
      <c r="D778" s="188" t="s">
        <v>37</v>
      </c>
      <c r="E778" s="4">
        <v>15000</v>
      </c>
      <c r="F778" s="5">
        <v>82500</v>
      </c>
      <c r="G778" s="4">
        <v>17325</v>
      </c>
      <c r="H778" s="4">
        <v>114825</v>
      </c>
      <c r="I778" s="188" t="str">
        <f>VLOOKUP(C778,CATEGORIZACION!$A$1:$C$269,2,FALSE)</f>
        <v>TRANSPORTE</v>
      </c>
      <c r="J778" s="188" t="s">
        <v>19</v>
      </c>
    </row>
    <row r="779" spans="1:10" ht="15.75" customHeight="1" x14ac:dyDescent="0.25">
      <c r="A779" s="1">
        <v>45047</v>
      </c>
      <c r="B779" s="188" t="s">
        <v>808</v>
      </c>
      <c r="C779" s="188" t="s">
        <v>36</v>
      </c>
      <c r="D779" s="188" t="s">
        <v>37</v>
      </c>
      <c r="E779" s="4">
        <v>15000</v>
      </c>
      <c r="F779" s="5">
        <v>82500</v>
      </c>
      <c r="G779" s="4">
        <v>17325</v>
      </c>
      <c r="H779" s="4">
        <v>114825</v>
      </c>
      <c r="I779" s="188" t="str">
        <f>VLOOKUP(C779,CATEGORIZACION!$A$1:$C$269,2,FALSE)</f>
        <v>TRANSPORTE</v>
      </c>
      <c r="J779" s="188" t="s">
        <v>19</v>
      </c>
    </row>
    <row r="780" spans="1:10" ht="15.75" customHeight="1" x14ac:dyDescent="0.25">
      <c r="A780" s="1">
        <v>45047</v>
      </c>
      <c r="B780" s="188" t="s">
        <v>809</v>
      </c>
      <c r="C780" s="188" t="s">
        <v>36</v>
      </c>
      <c r="D780" s="188" t="s">
        <v>37</v>
      </c>
      <c r="E780" s="4">
        <v>8500</v>
      </c>
      <c r="F780" s="5">
        <v>95200</v>
      </c>
      <c r="G780" s="4">
        <v>19992</v>
      </c>
      <c r="H780" s="4">
        <v>123692</v>
      </c>
      <c r="I780" s="188" t="str">
        <f>VLOOKUP(C780,CATEGORIZACION!$A$1:$C$269,2,FALSE)</f>
        <v>TRANSPORTE</v>
      </c>
      <c r="J780" s="188" t="s">
        <v>19</v>
      </c>
    </row>
    <row r="781" spans="1:10" ht="15.75" customHeight="1" x14ac:dyDescent="0.25">
      <c r="A781" s="1">
        <v>45047</v>
      </c>
      <c r="B781" s="188" t="s">
        <v>810</v>
      </c>
      <c r="C781" s="188" t="s">
        <v>36</v>
      </c>
      <c r="D781" s="188" t="s">
        <v>37</v>
      </c>
      <c r="E781" s="4">
        <v>5000</v>
      </c>
      <c r="F781" s="5">
        <v>59700</v>
      </c>
      <c r="G781" s="4">
        <v>12537</v>
      </c>
      <c r="H781" s="4">
        <v>77237</v>
      </c>
      <c r="I781" s="188" t="str">
        <f>VLOOKUP(C781,CATEGORIZACION!$A$1:$C$269,2,FALSE)</f>
        <v>TRANSPORTE</v>
      </c>
      <c r="J781" s="188" t="s">
        <v>19</v>
      </c>
    </row>
    <row r="782" spans="1:10" ht="15.75" customHeight="1" x14ac:dyDescent="0.25">
      <c r="A782" s="1">
        <v>45047</v>
      </c>
      <c r="B782" s="188" t="s">
        <v>811</v>
      </c>
      <c r="C782" s="188" t="s">
        <v>36</v>
      </c>
      <c r="D782" s="188" t="s">
        <v>37</v>
      </c>
      <c r="E782" s="4">
        <v>5000</v>
      </c>
      <c r="F782" s="5">
        <v>59700</v>
      </c>
      <c r="G782" s="4">
        <v>12537</v>
      </c>
      <c r="H782" s="4">
        <v>77237</v>
      </c>
      <c r="I782" s="188" t="str">
        <f>VLOOKUP(C782,CATEGORIZACION!$A$1:$C$269,2,FALSE)</f>
        <v>TRANSPORTE</v>
      </c>
      <c r="J782" s="188" t="s">
        <v>19</v>
      </c>
    </row>
    <row r="783" spans="1:10" ht="15.75" customHeight="1" x14ac:dyDescent="0.25">
      <c r="A783" s="1">
        <v>45047</v>
      </c>
      <c r="B783" s="188" t="s">
        <v>812</v>
      </c>
      <c r="C783" s="188" t="s">
        <v>36</v>
      </c>
      <c r="D783" s="188" t="s">
        <v>37</v>
      </c>
      <c r="E783" s="4">
        <v>15000</v>
      </c>
      <c r="F783" s="5">
        <v>107400</v>
      </c>
      <c r="G783" s="4">
        <v>22554</v>
      </c>
      <c r="H783" s="4">
        <v>144954</v>
      </c>
      <c r="I783" s="188" t="str">
        <f>VLOOKUP(C783,CATEGORIZACION!$A$1:$C$269,2,FALSE)</f>
        <v>TRANSPORTE</v>
      </c>
      <c r="J783" s="188" t="s">
        <v>19</v>
      </c>
    </row>
    <row r="784" spans="1:10" ht="15.75" customHeight="1" x14ac:dyDescent="0.25">
      <c r="A784" s="1">
        <v>45047</v>
      </c>
      <c r="B784" s="188" t="s">
        <v>813</v>
      </c>
      <c r="C784" s="188" t="s">
        <v>36</v>
      </c>
      <c r="D784" s="188" t="s">
        <v>37</v>
      </c>
      <c r="E784" s="4">
        <v>15000</v>
      </c>
      <c r="F784" s="5">
        <v>82500</v>
      </c>
      <c r="G784" s="4">
        <v>17325</v>
      </c>
      <c r="H784" s="4">
        <v>114825</v>
      </c>
      <c r="I784" s="188" t="str">
        <f>VLOOKUP(C784,CATEGORIZACION!$A$1:$C$269,2,FALSE)</f>
        <v>TRANSPORTE</v>
      </c>
      <c r="J784" s="188" t="s">
        <v>19</v>
      </c>
    </row>
    <row r="785" spans="1:10" ht="15.75" customHeight="1" x14ac:dyDescent="0.25">
      <c r="A785" s="1">
        <v>45047</v>
      </c>
      <c r="B785" s="188" t="s">
        <v>814</v>
      </c>
      <c r="C785" s="188" t="s">
        <v>36</v>
      </c>
      <c r="D785" s="188" t="s">
        <v>37</v>
      </c>
      <c r="E785" s="4">
        <v>9800</v>
      </c>
      <c r="F785" s="5">
        <v>118400</v>
      </c>
      <c r="G785" s="4">
        <v>24864</v>
      </c>
      <c r="H785" s="4">
        <v>153064</v>
      </c>
      <c r="I785" s="188" t="str">
        <f>VLOOKUP(C785,CATEGORIZACION!$A$1:$C$269,2,FALSE)</f>
        <v>TRANSPORTE</v>
      </c>
      <c r="J785" s="188" t="s">
        <v>19</v>
      </c>
    </row>
    <row r="786" spans="1:10" ht="15.75" customHeight="1" x14ac:dyDescent="0.25">
      <c r="A786" s="1">
        <v>45047</v>
      </c>
      <c r="B786" s="188" t="s">
        <v>815</v>
      </c>
      <c r="C786" s="188" t="s">
        <v>36</v>
      </c>
      <c r="D786" s="188" t="s">
        <v>37</v>
      </c>
      <c r="E786" s="4">
        <v>9800</v>
      </c>
      <c r="F786" s="5">
        <v>116300</v>
      </c>
      <c r="G786" s="4">
        <v>24423</v>
      </c>
      <c r="H786" s="4">
        <v>150523</v>
      </c>
      <c r="I786" s="188" t="str">
        <f>VLOOKUP(C786,CATEGORIZACION!$A$1:$C$269,2,FALSE)</f>
        <v>TRANSPORTE</v>
      </c>
      <c r="J786" s="188" t="s">
        <v>19</v>
      </c>
    </row>
    <row r="787" spans="1:10" ht="15.75" customHeight="1" x14ac:dyDescent="0.25">
      <c r="A787" s="1">
        <v>45047</v>
      </c>
      <c r="B787" s="188" t="s">
        <v>816</v>
      </c>
      <c r="C787" s="188" t="s">
        <v>36</v>
      </c>
      <c r="D787" s="188" t="s">
        <v>37</v>
      </c>
      <c r="E787" s="4">
        <v>11500</v>
      </c>
      <c r="F787" s="5">
        <v>66550</v>
      </c>
      <c r="G787" s="4">
        <v>13975.5</v>
      </c>
      <c r="H787" s="4">
        <v>92025.5</v>
      </c>
      <c r="I787" s="188" t="str">
        <f>VLOOKUP(C787,CATEGORIZACION!$A$1:$C$269,2,FALSE)</f>
        <v>TRANSPORTE</v>
      </c>
      <c r="J787" s="188" t="s">
        <v>19</v>
      </c>
    </row>
    <row r="788" spans="1:10" ht="15.75" customHeight="1" x14ac:dyDescent="0.25">
      <c r="A788" s="1">
        <v>45047</v>
      </c>
      <c r="B788" s="188" t="s">
        <v>817</v>
      </c>
      <c r="C788" s="188" t="s">
        <v>36</v>
      </c>
      <c r="D788" s="188" t="s">
        <v>37</v>
      </c>
      <c r="E788" s="4">
        <v>11500</v>
      </c>
      <c r="F788" s="5">
        <v>66550</v>
      </c>
      <c r="G788" s="4">
        <v>13975.5</v>
      </c>
      <c r="H788" s="4">
        <v>92025.5</v>
      </c>
      <c r="I788" s="188" t="str">
        <f>VLOOKUP(C788,CATEGORIZACION!$A$1:$C$269,2,FALSE)</f>
        <v>TRANSPORTE</v>
      </c>
      <c r="J788" s="188" t="s">
        <v>19</v>
      </c>
    </row>
    <row r="789" spans="1:10" ht="15.75" customHeight="1" x14ac:dyDescent="0.25">
      <c r="A789" s="1">
        <v>45047</v>
      </c>
      <c r="B789" s="188" t="s">
        <v>818</v>
      </c>
      <c r="C789" s="188" t="s">
        <v>253</v>
      </c>
      <c r="D789" s="188" t="s">
        <v>57</v>
      </c>
      <c r="E789" s="4">
        <v>0</v>
      </c>
      <c r="F789" s="5">
        <v>11462.81</v>
      </c>
      <c r="G789" s="4">
        <v>2407.19</v>
      </c>
      <c r="H789" s="4">
        <v>13870</v>
      </c>
      <c r="I789" s="188" t="str">
        <f>VLOOKUP(C789,CATEGORIZACION!$A$1:$C$269,2,FALSE)</f>
        <v>PROOVEDORES</v>
      </c>
      <c r="J789" s="188" t="str">
        <f>VLOOKUP(C789,CATEGORIZACION!$A$1:$C$269,3,FALSE)</f>
        <v>LOGISTICA</v>
      </c>
    </row>
    <row r="790" spans="1:10" ht="15.75" customHeight="1" x14ac:dyDescent="0.25">
      <c r="A790" s="1">
        <v>45047</v>
      </c>
      <c r="B790" s="188" t="s">
        <v>819</v>
      </c>
      <c r="C790" s="188" t="s">
        <v>714</v>
      </c>
      <c r="D790" s="188" t="s">
        <v>715</v>
      </c>
      <c r="E790" s="4">
        <v>0</v>
      </c>
      <c r="F790" s="3">
        <v>252481</v>
      </c>
      <c r="G790" s="4">
        <v>53021.01</v>
      </c>
      <c r="H790" s="4">
        <v>305502.01</v>
      </c>
      <c r="I790" s="188" t="str">
        <f>VLOOKUP(C790,CATEGORIZACION!$A$1:$C$269,2,FALSE)</f>
        <v>PROOVEDORES</v>
      </c>
      <c r="J790" s="188" t="str">
        <f>VLOOKUP(C790,CATEGORIZACION!$A$1:$C$269,3,FALSE)</f>
        <v>DEPOSITO</v>
      </c>
    </row>
    <row r="791" spans="1:10" ht="15.75" customHeight="1" x14ac:dyDescent="0.25">
      <c r="A791" s="1">
        <v>45047</v>
      </c>
      <c r="B791" s="188" t="s">
        <v>820</v>
      </c>
      <c r="C791" s="188" t="s">
        <v>21</v>
      </c>
      <c r="D791" s="188" t="s">
        <v>22</v>
      </c>
      <c r="E791" s="4">
        <v>12880</v>
      </c>
      <c r="F791" s="5">
        <v>380750</v>
      </c>
      <c r="G791" s="4">
        <v>79957.5</v>
      </c>
      <c r="H791" s="4">
        <v>473587.5</v>
      </c>
      <c r="I791" s="188" t="str">
        <f>VLOOKUP(C791,CATEGORIZACION!$A$1:$C$269,2,FALSE)</f>
        <v>TRANSPORTE</v>
      </c>
      <c r="J791" s="188" t="s">
        <v>19</v>
      </c>
    </row>
    <row r="792" spans="1:10" ht="15.75" customHeight="1" x14ac:dyDescent="0.25">
      <c r="A792" s="1">
        <v>45047</v>
      </c>
      <c r="B792" s="188" t="s">
        <v>821</v>
      </c>
      <c r="C792" s="188" t="s">
        <v>21</v>
      </c>
      <c r="D792" s="188" t="s">
        <v>22</v>
      </c>
      <c r="E792" s="4">
        <v>19125</v>
      </c>
      <c r="F792" s="5">
        <v>271550</v>
      </c>
      <c r="G792" s="4">
        <v>57025.5</v>
      </c>
      <c r="H792" s="4">
        <v>347700.5</v>
      </c>
      <c r="I792" s="188" t="str">
        <f>VLOOKUP(C792,CATEGORIZACION!$A$1:$C$269,2,FALSE)</f>
        <v>TRANSPORTE</v>
      </c>
      <c r="J792" s="188" t="s">
        <v>19</v>
      </c>
    </row>
    <row r="793" spans="1:10" ht="15.75" customHeight="1" x14ac:dyDescent="0.25">
      <c r="A793" s="1">
        <v>45047</v>
      </c>
      <c r="B793" s="188" t="s">
        <v>822</v>
      </c>
      <c r="C793" s="188" t="s">
        <v>36</v>
      </c>
      <c r="D793" s="188" t="s">
        <v>37</v>
      </c>
      <c r="E793" s="4">
        <v>8500</v>
      </c>
      <c r="F793" s="5">
        <v>56000</v>
      </c>
      <c r="G793" s="4">
        <v>11760</v>
      </c>
      <c r="H793" s="4">
        <v>76260</v>
      </c>
      <c r="I793" s="188" t="str">
        <f>VLOOKUP(C793,CATEGORIZACION!$A$1:$C$269,2,FALSE)</f>
        <v>TRANSPORTE</v>
      </c>
      <c r="J793" s="188" t="s">
        <v>19</v>
      </c>
    </row>
    <row r="794" spans="1:10" ht="15.75" customHeight="1" x14ac:dyDescent="0.25">
      <c r="A794" s="1">
        <v>45047</v>
      </c>
      <c r="B794" s="188" t="s">
        <v>823</v>
      </c>
      <c r="C794" s="188" t="s">
        <v>36</v>
      </c>
      <c r="D794" s="188" t="s">
        <v>37</v>
      </c>
      <c r="E794" s="4">
        <v>9200</v>
      </c>
      <c r="F794" s="5">
        <v>52500</v>
      </c>
      <c r="G794" s="4">
        <v>11025</v>
      </c>
      <c r="H794" s="4">
        <v>72725</v>
      </c>
      <c r="I794" s="188" t="str">
        <f>VLOOKUP(C794,CATEGORIZACION!$A$1:$C$269,2,FALSE)</f>
        <v>TRANSPORTE</v>
      </c>
      <c r="J794" s="188" t="s">
        <v>19</v>
      </c>
    </row>
    <row r="795" spans="1:10" ht="15.75" customHeight="1" x14ac:dyDescent="0.25">
      <c r="A795" s="1">
        <v>45047</v>
      </c>
      <c r="B795" s="188" t="s">
        <v>824</v>
      </c>
      <c r="C795" s="188" t="s">
        <v>36</v>
      </c>
      <c r="D795" s="188" t="s">
        <v>37</v>
      </c>
      <c r="E795" s="4">
        <v>15000</v>
      </c>
      <c r="F795" s="5">
        <v>82500</v>
      </c>
      <c r="G795" s="4">
        <v>17325</v>
      </c>
      <c r="H795" s="4">
        <v>114825</v>
      </c>
      <c r="I795" s="188" t="str">
        <f>VLOOKUP(C795,CATEGORIZACION!$A$1:$C$269,2,FALSE)</f>
        <v>TRANSPORTE</v>
      </c>
      <c r="J795" s="188" t="s">
        <v>19</v>
      </c>
    </row>
    <row r="796" spans="1:10" ht="15.75" customHeight="1" x14ac:dyDescent="0.25">
      <c r="A796" s="1">
        <v>45047</v>
      </c>
      <c r="B796" s="188" t="s">
        <v>825</v>
      </c>
      <c r="C796" s="188" t="s">
        <v>36</v>
      </c>
      <c r="D796" s="188" t="s">
        <v>37</v>
      </c>
      <c r="E796" s="4">
        <v>15000</v>
      </c>
      <c r="F796" s="5">
        <v>82500</v>
      </c>
      <c r="G796" s="4">
        <v>17325</v>
      </c>
      <c r="H796" s="4">
        <v>114825</v>
      </c>
      <c r="I796" s="188" t="str">
        <f>VLOOKUP(C796,CATEGORIZACION!$A$1:$C$269,2,FALSE)</f>
        <v>TRANSPORTE</v>
      </c>
      <c r="J796" s="188" t="s">
        <v>19</v>
      </c>
    </row>
    <row r="797" spans="1:10" ht="15.75" customHeight="1" x14ac:dyDescent="0.25">
      <c r="A797" s="1">
        <v>45047</v>
      </c>
      <c r="B797" s="188" t="s">
        <v>826</v>
      </c>
      <c r="C797" s="188" t="s">
        <v>36</v>
      </c>
      <c r="D797" s="188" t="s">
        <v>37</v>
      </c>
      <c r="E797" s="4">
        <v>15000</v>
      </c>
      <c r="F797" s="5">
        <v>82500</v>
      </c>
      <c r="G797" s="4">
        <v>17325</v>
      </c>
      <c r="H797" s="4">
        <v>114825</v>
      </c>
      <c r="I797" s="188" t="str">
        <f>VLOOKUP(C797,CATEGORIZACION!$A$1:$C$269,2,FALSE)</f>
        <v>TRANSPORTE</v>
      </c>
      <c r="J797" s="188" t="s">
        <v>19</v>
      </c>
    </row>
    <row r="798" spans="1:10" ht="15.75" customHeight="1" x14ac:dyDescent="0.25">
      <c r="A798" s="1">
        <v>45047</v>
      </c>
      <c r="B798" s="188" t="s">
        <v>827</v>
      </c>
      <c r="C798" s="188" t="s">
        <v>36</v>
      </c>
      <c r="D798" s="188" t="s">
        <v>37</v>
      </c>
      <c r="E798" s="4">
        <v>1800</v>
      </c>
      <c r="F798" s="5">
        <v>43400</v>
      </c>
      <c r="G798" s="4">
        <v>9114</v>
      </c>
      <c r="H798" s="4">
        <v>54314</v>
      </c>
      <c r="I798" s="188" t="str">
        <f>VLOOKUP(C798,CATEGORIZACION!$A$1:$C$269,2,FALSE)</f>
        <v>TRANSPORTE</v>
      </c>
      <c r="J798" s="188" t="s">
        <v>19</v>
      </c>
    </row>
    <row r="799" spans="1:10" ht="15.75" customHeight="1" x14ac:dyDescent="0.25">
      <c r="A799" s="1">
        <v>45047</v>
      </c>
      <c r="B799" s="188" t="s">
        <v>828</v>
      </c>
      <c r="C799" s="188" t="s">
        <v>426</v>
      </c>
      <c r="D799" s="188" t="s">
        <v>427</v>
      </c>
      <c r="E799" s="4">
        <v>1848</v>
      </c>
      <c r="F799" s="5">
        <v>23679.34</v>
      </c>
      <c r="G799" s="4">
        <v>4972.66</v>
      </c>
      <c r="H799" s="4">
        <v>30500</v>
      </c>
      <c r="I799" s="188" t="str">
        <f>VLOOKUP(C799,CATEGORIZACION!$A$1:$C$269,2,FALSE)</f>
        <v>PROOVEDORES</v>
      </c>
      <c r="J799" s="188" t="str">
        <f>VLOOKUP(C799,CATEGORIZACION!$A$1:$C$269,3,FALSE)</f>
        <v>LOGISTICA</v>
      </c>
    </row>
    <row r="800" spans="1:10" ht="15.75" customHeight="1" x14ac:dyDescent="0.25">
      <c r="A800" s="1">
        <v>45047</v>
      </c>
      <c r="B800" s="188" t="s">
        <v>829</v>
      </c>
      <c r="C800" s="188" t="s">
        <v>21</v>
      </c>
      <c r="D800" s="188" t="s">
        <v>22</v>
      </c>
      <c r="E800" s="4">
        <v>-3215</v>
      </c>
      <c r="F800" s="5">
        <v>-70800</v>
      </c>
      <c r="G800" s="4">
        <v>-14868</v>
      </c>
      <c r="H800" s="4">
        <v>-88883</v>
      </c>
      <c r="I800" s="188" t="str">
        <f>VLOOKUP(C800,CATEGORIZACION!$A$1:$C$269,2,FALSE)</f>
        <v>TRANSPORTE</v>
      </c>
      <c r="J800" s="188" t="s">
        <v>19</v>
      </c>
    </row>
    <row r="801" spans="1:10" ht="15.75" customHeight="1" x14ac:dyDescent="0.25">
      <c r="A801" s="1">
        <v>45047</v>
      </c>
      <c r="B801" s="188" t="s">
        <v>830</v>
      </c>
      <c r="C801" s="188" t="s">
        <v>21</v>
      </c>
      <c r="D801" s="188" t="s">
        <v>22</v>
      </c>
      <c r="E801" s="4">
        <v>40080</v>
      </c>
      <c r="F801" s="5">
        <v>420000</v>
      </c>
      <c r="G801" s="4">
        <v>88200</v>
      </c>
      <c r="H801" s="4">
        <v>548280</v>
      </c>
      <c r="I801" s="188" t="str">
        <f>VLOOKUP(C801,CATEGORIZACION!$A$1:$C$269,2,FALSE)</f>
        <v>TRANSPORTE</v>
      </c>
      <c r="J801" s="188" t="s">
        <v>19</v>
      </c>
    </row>
    <row r="802" spans="1:10" ht="15.75" customHeight="1" x14ac:dyDescent="0.25">
      <c r="A802" s="1">
        <v>45047</v>
      </c>
      <c r="B802" s="188" t="s">
        <v>831</v>
      </c>
      <c r="C802" s="188" t="s">
        <v>46</v>
      </c>
      <c r="D802" s="188" t="s">
        <v>47</v>
      </c>
      <c r="E802" s="4">
        <v>0</v>
      </c>
      <c r="F802" s="5">
        <v>900000</v>
      </c>
      <c r="G802" s="4">
        <v>189000</v>
      </c>
      <c r="H802" s="4">
        <v>1089000</v>
      </c>
      <c r="I802" s="188" t="str">
        <f>VLOOKUP(C802,CATEGORIZACION!$A$1:$C$269,2,FALSE)</f>
        <v>TRANSPORTE</v>
      </c>
      <c r="J802" s="188" t="s">
        <v>19</v>
      </c>
    </row>
    <row r="803" spans="1:10" ht="15.75" customHeight="1" x14ac:dyDescent="0.25">
      <c r="A803" s="1">
        <v>45047</v>
      </c>
      <c r="B803" s="188" t="s">
        <v>832</v>
      </c>
      <c r="C803" s="188" t="s">
        <v>670</v>
      </c>
      <c r="D803" s="188" t="s">
        <v>671</v>
      </c>
      <c r="E803" s="4">
        <v>52.89</v>
      </c>
      <c r="F803" s="5">
        <v>5289.26</v>
      </c>
      <c r="G803" s="4">
        <v>1110.74</v>
      </c>
      <c r="H803" s="4">
        <v>6452.89</v>
      </c>
      <c r="I803" s="188" t="str">
        <f>VLOOKUP(C803,CATEGORIZACION!$A$1:$C$269,2,FALSE)</f>
        <v>PROOVEDORES</v>
      </c>
      <c r="J803" s="188" t="str">
        <f>VLOOKUP(C803,CATEGORIZACION!$A$1:$C$269,3,FALSE)</f>
        <v>LOGISTICA</v>
      </c>
    </row>
    <row r="804" spans="1:10" ht="15.75" customHeight="1" x14ac:dyDescent="0.25">
      <c r="A804" s="1">
        <v>45047</v>
      </c>
      <c r="B804" s="188" t="s">
        <v>833</v>
      </c>
      <c r="C804" s="188" t="s">
        <v>36</v>
      </c>
      <c r="D804" s="188" t="s">
        <v>37</v>
      </c>
      <c r="E804" s="4">
        <v>9200</v>
      </c>
      <c r="F804" s="5">
        <v>52500</v>
      </c>
      <c r="G804" s="4">
        <v>11025</v>
      </c>
      <c r="H804" s="4">
        <v>72725</v>
      </c>
      <c r="I804" s="188" t="str">
        <f>VLOOKUP(C804,CATEGORIZACION!$A$1:$C$269,2,FALSE)</f>
        <v>TRANSPORTE</v>
      </c>
      <c r="J804" s="188" t="s">
        <v>19</v>
      </c>
    </row>
    <row r="805" spans="1:10" ht="15.75" customHeight="1" x14ac:dyDescent="0.25">
      <c r="A805" s="1">
        <v>45047</v>
      </c>
      <c r="B805" s="188" t="s">
        <v>834</v>
      </c>
      <c r="C805" s="188" t="s">
        <v>36</v>
      </c>
      <c r="D805" s="188" t="s">
        <v>37</v>
      </c>
      <c r="E805" s="4">
        <v>9200</v>
      </c>
      <c r="F805" s="5">
        <v>52500</v>
      </c>
      <c r="G805" s="4">
        <v>11025</v>
      </c>
      <c r="H805" s="4">
        <v>72725</v>
      </c>
      <c r="I805" s="188" t="str">
        <f>VLOOKUP(C805,CATEGORIZACION!$A$1:$C$269,2,FALSE)</f>
        <v>TRANSPORTE</v>
      </c>
      <c r="J805" s="188" t="s">
        <v>19</v>
      </c>
    </row>
    <row r="806" spans="1:10" ht="15.75" customHeight="1" x14ac:dyDescent="0.25">
      <c r="A806" s="1">
        <v>45047</v>
      </c>
      <c r="B806" s="188" t="s">
        <v>835</v>
      </c>
      <c r="C806" s="188" t="s">
        <v>36</v>
      </c>
      <c r="D806" s="188" t="s">
        <v>37</v>
      </c>
      <c r="E806" s="4">
        <v>8500</v>
      </c>
      <c r="F806" s="5">
        <v>95200</v>
      </c>
      <c r="G806" s="4">
        <v>19992</v>
      </c>
      <c r="H806" s="4">
        <v>123692</v>
      </c>
      <c r="I806" s="188" t="str">
        <f>VLOOKUP(C806,CATEGORIZACION!$A$1:$C$269,2,FALSE)</f>
        <v>TRANSPORTE</v>
      </c>
      <c r="J806" s="188" t="s">
        <v>19</v>
      </c>
    </row>
    <row r="807" spans="1:10" ht="15.75" customHeight="1" x14ac:dyDescent="0.25">
      <c r="A807" s="1">
        <v>45047</v>
      </c>
      <c r="B807" s="188" t="s">
        <v>836</v>
      </c>
      <c r="C807" s="188" t="s">
        <v>36</v>
      </c>
      <c r="D807" s="188" t="s">
        <v>37</v>
      </c>
      <c r="E807" s="4">
        <v>4250</v>
      </c>
      <c r="F807" s="5">
        <v>122350</v>
      </c>
      <c r="G807" s="4">
        <v>25693.5</v>
      </c>
      <c r="H807" s="4">
        <v>152293.5</v>
      </c>
      <c r="I807" s="188" t="str">
        <f>VLOOKUP(C807,CATEGORIZACION!$A$1:$C$269,2,FALSE)</f>
        <v>TRANSPORTE</v>
      </c>
      <c r="J807" s="188" t="s">
        <v>19</v>
      </c>
    </row>
    <row r="808" spans="1:10" ht="15.75" customHeight="1" x14ac:dyDescent="0.25">
      <c r="A808" s="1">
        <v>45047</v>
      </c>
      <c r="B808" s="188" t="s">
        <v>837</v>
      </c>
      <c r="C808" s="188" t="s">
        <v>36</v>
      </c>
      <c r="D808" s="188" t="s">
        <v>37</v>
      </c>
      <c r="E808" s="4">
        <v>9500</v>
      </c>
      <c r="F808" s="5">
        <v>66960</v>
      </c>
      <c r="G808" s="4">
        <v>14061.6</v>
      </c>
      <c r="H808" s="4">
        <v>90521.600000000006</v>
      </c>
      <c r="I808" s="188" t="str">
        <f>VLOOKUP(C808,CATEGORIZACION!$A$1:$C$269,2,FALSE)</f>
        <v>TRANSPORTE</v>
      </c>
      <c r="J808" s="188" t="s">
        <v>19</v>
      </c>
    </row>
    <row r="809" spans="1:10" ht="15.75" customHeight="1" x14ac:dyDescent="0.25">
      <c r="A809" s="1">
        <v>45047</v>
      </c>
      <c r="B809" s="188" t="s">
        <v>838</v>
      </c>
      <c r="C809" s="188" t="s">
        <v>36</v>
      </c>
      <c r="D809" s="188" t="s">
        <v>37</v>
      </c>
      <c r="E809" s="4">
        <v>10800</v>
      </c>
      <c r="F809" s="5">
        <v>95200</v>
      </c>
      <c r="G809" s="4">
        <v>19992</v>
      </c>
      <c r="H809" s="4">
        <v>125992</v>
      </c>
      <c r="I809" s="188" t="str">
        <f>VLOOKUP(C809,CATEGORIZACION!$A$1:$C$269,2,FALSE)</f>
        <v>TRANSPORTE</v>
      </c>
      <c r="J809" s="188" t="s">
        <v>19</v>
      </c>
    </row>
    <row r="810" spans="1:10" ht="15.75" customHeight="1" x14ac:dyDescent="0.25">
      <c r="A810" s="1">
        <v>45047</v>
      </c>
      <c r="B810" s="188" t="s">
        <v>839</v>
      </c>
      <c r="C810" s="188" t="s">
        <v>36</v>
      </c>
      <c r="D810" s="188" t="s">
        <v>37</v>
      </c>
      <c r="E810" s="4">
        <v>8500</v>
      </c>
      <c r="F810" s="5">
        <v>66550</v>
      </c>
      <c r="G810" s="4">
        <v>13975.5</v>
      </c>
      <c r="H810" s="4">
        <v>89025.5</v>
      </c>
      <c r="I810" s="188" t="str">
        <f>VLOOKUP(C810,CATEGORIZACION!$A$1:$C$269,2,FALSE)</f>
        <v>TRANSPORTE</v>
      </c>
      <c r="J810" s="188" t="s">
        <v>19</v>
      </c>
    </row>
    <row r="811" spans="1:10" ht="15.75" customHeight="1" x14ac:dyDescent="0.25">
      <c r="A811" s="1">
        <v>45047</v>
      </c>
      <c r="B811" s="188" t="s">
        <v>840</v>
      </c>
      <c r="C811" s="188" t="s">
        <v>36</v>
      </c>
      <c r="D811" s="188" t="s">
        <v>37</v>
      </c>
      <c r="E811" s="4">
        <v>9200</v>
      </c>
      <c r="F811" s="5">
        <v>52500</v>
      </c>
      <c r="G811" s="4">
        <v>11025</v>
      </c>
      <c r="H811" s="4">
        <v>72725</v>
      </c>
      <c r="I811" s="188" t="str">
        <f>VLOOKUP(C811,CATEGORIZACION!$A$1:$C$269,2,FALSE)</f>
        <v>TRANSPORTE</v>
      </c>
      <c r="J811" s="188" t="s">
        <v>19</v>
      </c>
    </row>
    <row r="812" spans="1:10" ht="15.75" customHeight="1" x14ac:dyDescent="0.25">
      <c r="A812" s="1">
        <v>45047</v>
      </c>
      <c r="B812" s="188" t="s">
        <v>841</v>
      </c>
      <c r="C812" s="188" t="s">
        <v>36</v>
      </c>
      <c r="D812" s="188" t="s">
        <v>37</v>
      </c>
      <c r="E812" s="4">
        <v>9200</v>
      </c>
      <c r="F812" s="5">
        <v>52500</v>
      </c>
      <c r="G812" s="4">
        <v>11025</v>
      </c>
      <c r="H812" s="4">
        <v>72725</v>
      </c>
      <c r="I812" s="188" t="str">
        <f>VLOOKUP(C812,CATEGORIZACION!$A$1:$C$269,2,FALSE)</f>
        <v>TRANSPORTE</v>
      </c>
      <c r="J812" s="188" t="s">
        <v>19</v>
      </c>
    </row>
    <row r="813" spans="1:10" ht="15.75" customHeight="1" x14ac:dyDescent="0.25">
      <c r="A813" s="1">
        <v>45047</v>
      </c>
      <c r="B813" s="188" t="s">
        <v>842</v>
      </c>
      <c r="C813" s="188" t="s">
        <v>36</v>
      </c>
      <c r="D813" s="188" t="s">
        <v>37</v>
      </c>
      <c r="E813" s="4">
        <v>9200</v>
      </c>
      <c r="F813" s="5">
        <v>52500</v>
      </c>
      <c r="G813" s="4">
        <v>11025</v>
      </c>
      <c r="H813" s="4">
        <v>72725</v>
      </c>
      <c r="I813" s="188" t="str">
        <f>VLOOKUP(C813,CATEGORIZACION!$A$1:$C$269,2,FALSE)</f>
        <v>TRANSPORTE</v>
      </c>
      <c r="J813" s="188" t="s">
        <v>19</v>
      </c>
    </row>
    <row r="814" spans="1:10" ht="15.75" customHeight="1" x14ac:dyDescent="0.25">
      <c r="A814" s="1">
        <v>45047</v>
      </c>
      <c r="B814" s="188" t="s">
        <v>843</v>
      </c>
      <c r="C814" s="188" t="s">
        <v>844</v>
      </c>
      <c r="D814" s="188" t="s">
        <v>845</v>
      </c>
      <c r="E814" s="4">
        <v>4.6566128730773927E-12</v>
      </c>
      <c r="F814" s="5">
        <v>34074.379999999997</v>
      </c>
      <c r="G814" s="4">
        <v>7155.62</v>
      </c>
      <c r="H814" s="4">
        <v>41230</v>
      </c>
      <c r="I814" s="188" t="str">
        <f>VLOOKUP(C814,CATEGORIZACION!$A$1:$C$269,2,FALSE)</f>
        <v>PROOVEDORES</v>
      </c>
      <c r="J814" s="188" t="str">
        <f>VLOOKUP(C814,CATEGORIZACION!$A$1:$C$269,3,FALSE)</f>
        <v>LOGISTICA</v>
      </c>
    </row>
    <row r="815" spans="1:10" ht="15.75" customHeight="1" x14ac:dyDescent="0.25">
      <c r="A815" s="1">
        <v>45047</v>
      </c>
      <c r="B815" s="188" t="s">
        <v>846</v>
      </c>
      <c r="C815" s="188" t="s">
        <v>17</v>
      </c>
      <c r="D815" s="188" t="s">
        <v>18</v>
      </c>
      <c r="E815" s="4">
        <v>46320</v>
      </c>
      <c r="F815" s="5">
        <v>481500</v>
      </c>
      <c r="G815" s="4">
        <v>101115</v>
      </c>
      <c r="H815" s="4">
        <v>628935</v>
      </c>
      <c r="I815" s="188" t="str">
        <f>VLOOKUP(C815,CATEGORIZACION!$A$1:$C$269,2,FALSE)</f>
        <v>TRANSPORTE</v>
      </c>
      <c r="J815" s="188" t="s">
        <v>19</v>
      </c>
    </row>
    <row r="816" spans="1:10" ht="15.75" customHeight="1" x14ac:dyDescent="0.25">
      <c r="A816" s="1">
        <v>45047</v>
      </c>
      <c r="B816" s="188" t="s">
        <v>847</v>
      </c>
      <c r="C816" s="188" t="s">
        <v>153</v>
      </c>
      <c r="D816" s="188" t="s">
        <v>154</v>
      </c>
      <c r="E816" s="4">
        <v>234.44</v>
      </c>
      <c r="F816" s="3">
        <v>29304.74</v>
      </c>
      <c r="G816" s="4">
        <v>6154</v>
      </c>
      <c r="H816" s="4">
        <v>35693.18</v>
      </c>
      <c r="I816" s="188" t="str">
        <f>VLOOKUP(C816,CATEGORIZACION!$A$1:$C$269,2,FALSE)</f>
        <v>PROOVEDORES</v>
      </c>
      <c r="J816" s="188" t="str">
        <f>VLOOKUP(C816,CATEGORIZACION!$A$1:$C$269,3,FALSE)</f>
        <v>DEPOSITO</v>
      </c>
    </row>
    <row r="817" spans="1:10" ht="15.75" customHeight="1" x14ac:dyDescent="0.25">
      <c r="A817" s="1">
        <v>45047</v>
      </c>
      <c r="B817" s="188" t="s">
        <v>848</v>
      </c>
      <c r="C817" s="188" t="s">
        <v>337</v>
      </c>
      <c r="D817" s="188" t="s">
        <v>174</v>
      </c>
      <c r="E817" s="4">
        <v>0</v>
      </c>
      <c r="F817" s="5">
        <v>10900</v>
      </c>
      <c r="G817" s="4">
        <v>2289</v>
      </c>
      <c r="H817" s="4">
        <v>13189</v>
      </c>
      <c r="I817" s="188" t="str">
        <f>VLOOKUP(C817,CATEGORIZACION!$A$1:$C$269,2,FALSE)</f>
        <v>TRANSPORTE</v>
      </c>
      <c r="J817" s="188" t="s">
        <v>19</v>
      </c>
    </row>
    <row r="818" spans="1:10" ht="15.75" customHeight="1" x14ac:dyDescent="0.25">
      <c r="A818" s="1">
        <v>45047</v>
      </c>
      <c r="B818" s="188" t="s">
        <v>849</v>
      </c>
      <c r="C818" s="188" t="s">
        <v>36</v>
      </c>
      <c r="D818" s="188" t="s">
        <v>37</v>
      </c>
      <c r="E818" s="4">
        <v>6200</v>
      </c>
      <c r="F818" s="5">
        <v>43500</v>
      </c>
      <c r="G818" s="4">
        <v>9135</v>
      </c>
      <c r="H818" s="4">
        <v>58835</v>
      </c>
      <c r="I818" s="188" t="str">
        <f>VLOOKUP(C818,CATEGORIZACION!$A$1:$C$269,2,FALSE)</f>
        <v>TRANSPORTE</v>
      </c>
      <c r="J818" s="188" t="s">
        <v>19</v>
      </c>
    </row>
    <row r="819" spans="1:10" ht="15.75" customHeight="1" x14ac:dyDescent="0.25">
      <c r="A819" s="1">
        <v>45047</v>
      </c>
      <c r="B819" s="188" t="s">
        <v>850</v>
      </c>
      <c r="C819" s="188" t="s">
        <v>36</v>
      </c>
      <c r="D819" s="188" t="s">
        <v>37</v>
      </c>
      <c r="E819" s="4">
        <v>6200</v>
      </c>
      <c r="F819" s="5">
        <v>43500</v>
      </c>
      <c r="G819" s="4">
        <v>9135</v>
      </c>
      <c r="H819" s="4">
        <v>58835</v>
      </c>
      <c r="I819" s="188" t="str">
        <f>VLOOKUP(C819,CATEGORIZACION!$A$1:$C$269,2,FALSE)</f>
        <v>TRANSPORTE</v>
      </c>
      <c r="J819" s="188" t="s">
        <v>19</v>
      </c>
    </row>
    <row r="820" spans="1:10" ht="15.75" customHeight="1" x14ac:dyDescent="0.25">
      <c r="A820" s="1">
        <v>45047</v>
      </c>
      <c r="B820" s="188" t="s">
        <v>851</v>
      </c>
      <c r="C820" s="188" t="s">
        <v>36</v>
      </c>
      <c r="D820" s="188" t="s">
        <v>37</v>
      </c>
      <c r="E820" s="4">
        <v>2500</v>
      </c>
      <c r="F820" s="5">
        <v>122350</v>
      </c>
      <c r="G820" s="4">
        <v>25693.5</v>
      </c>
      <c r="H820" s="4">
        <v>150543.5</v>
      </c>
      <c r="I820" s="188" t="str">
        <f>VLOOKUP(C820,CATEGORIZACION!$A$1:$C$269,2,FALSE)</f>
        <v>TRANSPORTE</v>
      </c>
      <c r="J820" s="188" t="s">
        <v>19</v>
      </c>
    </row>
    <row r="821" spans="1:10" ht="15.75" customHeight="1" x14ac:dyDescent="0.25">
      <c r="A821" s="1">
        <v>45047</v>
      </c>
      <c r="B821" s="188" t="s">
        <v>852</v>
      </c>
      <c r="C821" s="188" t="s">
        <v>36</v>
      </c>
      <c r="D821" s="188" t="s">
        <v>37</v>
      </c>
      <c r="E821" s="4">
        <v>9200</v>
      </c>
      <c r="F821" s="5">
        <v>52500</v>
      </c>
      <c r="G821" s="4">
        <v>11025</v>
      </c>
      <c r="H821" s="4">
        <v>72725</v>
      </c>
      <c r="I821" s="188" t="str">
        <f>VLOOKUP(C821,CATEGORIZACION!$A$1:$C$269,2,FALSE)</f>
        <v>TRANSPORTE</v>
      </c>
      <c r="J821" s="188" t="s">
        <v>19</v>
      </c>
    </row>
    <row r="822" spans="1:10" ht="15.75" customHeight="1" x14ac:dyDescent="0.25">
      <c r="A822" s="1">
        <v>45047</v>
      </c>
      <c r="B822" s="188" t="s">
        <v>853</v>
      </c>
      <c r="C822" s="188" t="s">
        <v>36</v>
      </c>
      <c r="D822" s="188" t="s">
        <v>37</v>
      </c>
      <c r="E822" s="4">
        <v>9200</v>
      </c>
      <c r="F822" s="5">
        <v>52500</v>
      </c>
      <c r="G822" s="4">
        <v>11025</v>
      </c>
      <c r="H822" s="4">
        <v>72725</v>
      </c>
      <c r="I822" s="188" t="str">
        <f>VLOOKUP(C822,CATEGORIZACION!$A$1:$C$269,2,FALSE)</f>
        <v>TRANSPORTE</v>
      </c>
      <c r="J822" s="188" t="s">
        <v>19</v>
      </c>
    </row>
    <row r="823" spans="1:10" ht="15.75" customHeight="1" x14ac:dyDescent="0.25">
      <c r="A823" s="1">
        <v>45047</v>
      </c>
      <c r="B823" s="188" t="s">
        <v>854</v>
      </c>
      <c r="C823" s="188" t="s">
        <v>36</v>
      </c>
      <c r="D823" s="188" t="s">
        <v>37</v>
      </c>
      <c r="E823" s="4">
        <v>14500</v>
      </c>
      <c r="F823" s="5">
        <v>149750</v>
      </c>
      <c r="G823" s="4">
        <v>31447.5</v>
      </c>
      <c r="H823" s="4">
        <v>195697.5</v>
      </c>
      <c r="I823" s="188" t="str">
        <f>VLOOKUP(C823,CATEGORIZACION!$A$1:$C$269,2,FALSE)</f>
        <v>TRANSPORTE</v>
      </c>
      <c r="J823" s="188" t="s">
        <v>19</v>
      </c>
    </row>
    <row r="824" spans="1:10" ht="15.75" customHeight="1" x14ac:dyDescent="0.25">
      <c r="A824" s="1">
        <v>45047</v>
      </c>
      <c r="B824" s="188" t="s">
        <v>855</v>
      </c>
      <c r="C824" s="188" t="s">
        <v>36</v>
      </c>
      <c r="D824" s="188" t="s">
        <v>37</v>
      </c>
      <c r="E824" s="4">
        <v>14500</v>
      </c>
      <c r="F824" s="5">
        <v>149750</v>
      </c>
      <c r="G824" s="4">
        <v>31447.5</v>
      </c>
      <c r="H824" s="4">
        <v>195697.5</v>
      </c>
      <c r="I824" s="188" t="str">
        <f>VLOOKUP(C824,CATEGORIZACION!$A$1:$C$269,2,FALSE)</f>
        <v>TRANSPORTE</v>
      </c>
      <c r="J824" s="188" t="s">
        <v>19</v>
      </c>
    </row>
    <row r="825" spans="1:10" ht="15.75" customHeight="1" x14ac:dyDescent="0.25">
      <c r="A825" s="1">
        <v>45047</v>
      </c>
      <c r="B825" s="188" t="s">
        <v>856</v>
      </c>
      <c r="C825" s="188" t="s">
        <v>36</v>
      </c>
      <c r="D825" s="188" t="s">
        <v>37</v>
      </c>
      <c r="E825" s="4">
        <v>11500</v>
      </c>
      <c r="F825" s="5">
        <v>95200</v>
      </c>
      <c r="G825" s="4">
        <v>19992</v>
      </c>
      <c r="H825" s="4">
        <v>126692</v>
      </c>
      <c r="I825" s="188" t="str">
        <f>VLOOKUP(C825,CATEGORIZACION!$A$1:$C$269,2,FALSE)</f>
        <v>TRANSPORTE</v>
      </c>
      <c r="J825" s="188" t="s">
        <v>19</v>
      </c>
    </row>
    <row r="826" spans="1:10" ht="15.75" customHeight="1" x14ac:dyDescent="0.25">
      <c r="A826" s="1">
        <v>45047</v>
      </c>
      <c r="B826" s="188" t="s">
        <v>857</v>
      </c>
      <c r="C826" s="188" t="s">
        <v>36</v>
      </c>
      <c r="D826" s="188" t="s">
        <v>37</v>
      </c>
      <c r="E826" s="4">
        <v>11500</v>
      </c>
      <c r="F826" s="5">
        <v>66550</v>
      </c>
      <c r="G826" s="4">
        <v>13975.5</v>
      </c>
      <c r="H826" s="4">
        <v>92025.5</v>
      </c>
      <c r="I826" s="188" t="str">
        <f>VLOOKUP(C826,CATEGORIZACION!$A$1:$C$269,2,FALSE)</f>
        <v>TRANSPORTE</v>
      </c>
      <c r="J826" s="188" t="s">
        <v>19</v>
      </c>
    </row>
    <row r="827" spans="1:10" ht="15.75" customHeight="1" x14ac:dyDescent="0.25">
      <c r="A827" s="1">
        <v>45047</v>
      </c>
      <c r="B827" s="188" t="s">
        <v>858</v>
      </c>
      <c r="C827" s="188" t="s">
        <v>36</v>
      </c>
      <c r="D827" s="188" t="s">
        <v>37</v>
      </c>
      <c r="E827" s="4">
        <v>5000</v>
      </c>
      <c r="F827" s="5">
        <v>146820</v>
      </c>
      <c r="G827" s="4">
        <v>30832.2</v>
      </c>
      <c r="H827" s="4">
        <v>182652.2</v>
      </c>
      <c r="I827" s="188" t="str">
        <f>VLOOKUP(C827,CATEGORIZACION!$A$1:$C$269,2,FALSE)</f>
        <v>TRANSPORTE</v>
      </c>
      <c r="J827" s="188" t="s">
        <v>19</v>
      </c>
    </row>
    <row r="828" spans="1:10" ht="15.75" customHeight="1" x14ac:dyDescent="0.25">
      <c r="A828" s="1">
        <v>45047</v>
      </c>
      <c r="B828" s="188" t="s">
        <v>859</v>
      </c>
      <c r="C828" s="188" t="s">
        <v>36</v>
      </c>
      <c r="D828" s="188" t="s">
        <v>37</v>
      </c>
      <c r="E828" s="4">
        <v>14000</v>
      </c>
      <c r="F828" s="5">
        <v>159720</v>
      </c>
      <c r="G828" s="4">
        <v>33541.199999999997</v>
      </c>
      <c r="H828" s="4">
        <v>207261.2</v>
      </c>
      <c r="I828" s="188" t="str">
        <f>VLOOKUP(C828,CATEGORIZACION!$A$1:$C$269,2,FALSE)</f>
        <v>TRANSPORTE</v>
      </c>
      <c r="J828" s="188" t="s">
        <v>19</v>
      </c>
    </row>
    <row r="829" spans="1:10" ht="15.75" customHeight="1" x14ac:dyDescent="0.25">
      <c r="A829" s="1">
        <v>45047</v>
      </c>
      <c r="B829" s="188" t="s">
        <v>860</v>
      </c>
      <c r="C829" s="188" t="s">
        <v>658</v>
      </c>
      <c r="D829" s="188" t="s">
        <v>659</v>
      </c>
      <c r="E829" s="4">
        <v>1250.02</v>
      </c>
      <c r="F829" s="3">
        <v>156252</v>
      </c>
      <c r="G829" s="4">
        <v>32812.92</v>
      </c>
      <c r="H829" s="4">
        <v>190314.94</v>
      </c>
      <c r="I829" s="188" t="str">
        <f>VLOOKUP(C829,CATEGORIZACION!$A$1:$C$269,2,FALSE)</f>
        <v>PROOVEDORES</v>
      </c>
      <c r="J829" s="188" t="str">
        <f>VLOOKUP(C829,CATEGORIZACION!$A$1:$C$269,3,FALSE)</f>
        <v>DEPOSITO</v>
      </c>
    </row>
    <row r="830" spans="1:10" ht="15.75" customHeight="1" x14ac:dyDescent="0.25">
      <c r="A830" s="1">
        <v>45047</v>
      </c>
      <c r="B830" s="188" t="s">
        <v>861</v>
      </c>
      <c r="C830" s="188" t="s">
        <v>658</v>
      </c>
      <c r="D830" s="188" t="s">
        <v>659</v>
      </c>
      <c r="E830" s="4">
        <v>871.72</v>
      </c>
      <c r="F830" s="3">
        <v>108964.79</v>
      </c>
      <c r="G830" s="4">
        <v>22882.61</v>
      </c>
      <c r="H830" s="4">
        <v>132719.12</v>
      </c>
      <c r="I830" s="188" t="str">
        <f>VLOOKUP(C830,CATEGORIZACION!$A$1:$C$269,2,FALSE)</f>
        <v>PROOVEDORES</v>
      </c>
      <c r="J830" s="188" t="str">
        <f>VLOOKUP(C830,CATEGORIZACION!$A$1:$C$269,3,FALSE)</f>
        <v>DEPOSITO</v>
      </c>
    </row>
    <row r="831" spans="1:10" ht="15.75" customHeight="1" x14ac:dyDescent="0.25">
      <c r="A831" s="1">
        <v>45047</v>
      </c>
      <c r="B831" s="188" t="s">
        <v>862</v>
      </c>
      <c r="C831" s="188" t="s">
        <v>658</v>
      </c>
      <c r="D831" s="188" t="s">
        <v>659</v>
      </c>
      <c r="E831" s="4">
        <v>10486.99</v>
      </c>
      <c r="F831" s="3">
        <v>1310874.24</v>
      </c>
      <c r="G831" s="4">
        <v>275283.59000000003</v>
      </c>
      <c r="H831" s="4">
        <v>1596644.82</v>
      </c>
      <c r="I831" s="188" t="str">
        <f>VLOOKUP(C831,CATEGORIZACION!$A$1:$C$269,2,FALSE)</f>
        <v>PROOVEDORES</v>
      </c>
      <c r="J831" s="188" t="str">
        <f>VLOOKUP(C831,CATEGORIZACION!$A$1:$C$269,3,FALSE)</f>
        <v>DEPOSITO</v>
      </c>
    </row>
    <row r="832" spans="1:10" ht="15.75" customHeight="1" x14ac:dyDescent="0.25">
      <c r="A832" s="1">
        <v>45047</v>
      </c>
      <c r="B832" s="188" t="s">
        <v>863</v>
      </c>
      <c r="C832" s="188" t="s">
        <v>658</v>
      </c>
      <c r="D832" s="188" t="s">
        <v>659</v>
      </c>
      <c r="E832" s="4">
        <v>2193.0100000000002</v>
      </c>
      <c r="F832" s="3">
        <v>274126.56</v>
      </c>
      <c r="G832" s="4">
        <v>57566.58</v>
      </c>
      <c r="H832" s="4">
        <v>333886.15000000002</v>
      </c>
      <c r="I832" s="188" t="str">
        <f>VLOOKUP(C832,CATEGORIZACION!$A$1:$C$269,2,FALSE)</f>
        <v>PROOVEDORES</v>
      </c>
      <c r="J832" s="188" t="str">
        <f>VLOOKUP(C832,CATEGORIZACION!$A$1:$C$269,3,FALSE)</f>
        <v>DEPOSITO</v>
      </c>
    </row>
    <row r="833" spans="1:10" ht="15.75" customHeight="1" x14ac:dyDescent="0.25">
      <c r="A833" s="1">
        <v>45047</v>
      </c>
      <c r="B833" s="188" t="s">
        <v>864</v>
      </c>
      <c r="C833" s="188" t="s">
        <v>658</v>
      </c>
      <c r="D833" s="188" t="s">
        <v>659</v>
      </c>
      <c r="E833" s="4">
        <v>85.69</v>
      </c>
      <c r="F833" s="3">
        <v>10711.39</v>
      </c>
      <c r="G833" s="4">
        <v>2249.39</v>
      </c>
      <c r="H833" s="4">
        <v>13046.47</v>
      </c>
      <c r="I833" s="188" t="str">
        <f>VLOOKUP(C833,CATEGORIZACION!$A$1:$C$269,2,FALSE)</f>
        <v>PROOVEDORES</v>
      </c>
      <c r="J833" s="188" t="str">
        <f>VLOOKUP(C833,CATEGORIZACION!$A$1:$C$269,3,FALSE)</f>
        <v>DEPOSITO</v>
      </c>
    </row>
    <row r="834" spans="1:10" ht="15.75" customHeight="1" x14ac:dyDescent="0.25">
      <c r="A834" s="1">
        <v>45047</v>
      </c>
      <c r="B834" s="188" t="s">
        <v>865</v>
      </c>
      <c r="C834" s="188" t="s">
        <v>866</v>
      </c>
      <c r="D834" s="188" t="s">
        <v>867</v>
      </c>
      <c r="E834" s="4">
        <v>1848</v>
      </c>
      <c r="F834" s="5">
        <v>23679.34</v>
      </c>
      <c r="G834" s="4">
        <v>4972.66</v>
      </c>
      <c r="H834" s="4">
        <v>30500</v>
      </c>
      <c r="I834" s="188" t="str">
        <f>VLOOKUP(C834,CATEGORIZACION!$A$1:$C$269,2,FALSE)</f>
        <v>PROOVEDORES</v>
      </c>
      <c r="J834" s="188" t="str">
        <f>VLOOKUP(C834,CATEGORIZACION!$A$1:$C$269,3,FALSE)</f>
        <v>LOGISTICA</v>
      </c>
    </row>
    <row r="835" spans="1:10" ht="15.75" customHeight="1" x14ac:dyDescent="0.25">
      <c r="A835" s="1">
        <v>45047</v>
      </c>
      <c r="B835" s="188" t="s">
        <v>868</v>
      </c>
      <c r="C835" s="188" t="s">
        <v>21</v>
      </c>
      <c r="D835" s="188" t="s">
        <v>22</v>
      </c>
      <c r="E835" s="4">
        <v>24200</v>
      </c>
      <c r="F835" s="5">
        <v>512400</v>
      </c>
      <c r="G835" s="4">
        <v>107604</v>
      </c>
      <c r="H835" s="4">
        <v>644204</v>
      </c>
      <c r="I835" s="188" t="str">
        <f>VLOOKUP(C835,CATEGORIZACION!$A$1:$C$269,2,FALSE)</f>
        <v>TRANSPORTE</v>
      </c>
      <c r="J835" s="188" t="s">
        <v>19</v>
      </c>
    </row>
    <row r="836" spans="1:10" ht="15.75" customHeight="1" x14ac:dyDescent="0.25">
      <c r="A836" s="1">
        <v>45047</v>
      </c>
      <c r="B836" s="188" t="s">
        <v>869</v>
      </c>
      <c r="C836" s="188" t="s">
        <v>21</v>
      </c>
      <c r="D836" s="188" t="s">
        <v>22</v>
      </c>
      <c r="E836" s="4">
        <v>54720</v>
      </c>
      <c r="F836" s="5">
        <v>876600</v>
      </c>
      <c r="G836" s="4">
        <v>184086</v>
      </c>
      <c r="H836" s="4">
        <v>1115406</v>
      </c>
      <c r="I836" s="188" t="str">
        <f>VLOOKUP(C836,CATEGORIZACION!$A$1:$C$269,2,FALSE)</f>
        <v>TRANSPORTE</v>
      </c>
      <c r="J836" s="188" t="s">
        <v>19</v>
      </c>
    </row>
    <row r="837" spans="1:10" ht="15.75" customHeight="1" x14ac:dyDescent="0.25">
      <c r="A837" s="1">
        <v>45047</v>
      </c>
      <c r="B837" s="188" t="s">
        <v>870</v>
      </c>
      <c r="C837" s="188" t="s">
        <v>84</v>
      </c>
      <c r="D837" s="188" t="s">
        <v>85</v>
      </c>
      <c r="E837" s="4">
        <v>56013.919999999998</v>
      </c>
      <c r="F837" s="5">
        <v>640384.13</v>
      </c>
      <c r="G837" s="4">
        <v>134480.67000000001</v>
      </c>
      <c r="H837" s="4">
        <v>830878.71999999997</v>
      </c>
      <c r="I837" s="188" t="str">
        <f>VLOOKUP(C837,CATEGORIZACION!$A$1:$C$269,2,FALSE)</f>
        <v>PROOVEDORES</v>
      </c>
      <c r="J837" s="188" t="str">
        <f>VLOOKUP(C837,CATEGORIZACION!$A$1:$C$269,3,FALSE)</f>
        <v>LOGISTICA</v>
      </c>
    </row>
    <row r="838" spans="1:10" ht="15.75" customHeight="1" x14ac:dyDescent="0.25">
      <c r="A838" s="1">
        <v>45047</v>
      </c>
      <c r="B838" s="188" t="s">
        <v>871</v>
      </c>
      <c r="C838" s="188" t="s">
        <v>84</v>
      </c>
      <c r="D838" s="188" t="s">
        <v>85</v>
      </c>
      <c r="E838" s="4">
        <v>33592.980000000003</v>
      </c>
      <c r="F838" s="5">
        <v>28510.5</v>
      </c>
      <c r="G838" s="4">
        <v>93131.9</v>
      </c>
      <c r="H838" s="5">
        <v>28510.5</v>
      </c>
      <c r="I838" s="188" t="str">
        <f>VLOOKUP(C838,CATEGORIZACION!$A$1:$C$269,2,FALSE)</f>
        <v>PROOVEDORES</v>
      </c>
      <c r="J838" s="188" t="str">
        <f>VLOOKUP(C838,CATEGORIZACION!$A$1:$C$269,3,FALSE)</f>
        <v>LOGISTICA</v>
      </c>
    </row>
    <row r="839" spans="1:10" ht="15.75" customHeight="1" x14ac:dyDescent="0.25">
      <c r="A839" s="1">
        <v>45047</v>
      </c>
      <c r="B839" s="188" t="s">
        <v>872</v>
      </c>
      <c r="C839" s="188" t="s">
        <v>21</v>
      </c>
      <c r="D839" s="188" t="s">
        <v>22</v>
      </c>
      <c r="E839" s="4">
        <v>17000</v>
      </c>
      <c r="F839" s="5">
        <v>180000</v>
      </c>
      <c r="G839" s="4">
        <v>37800</v>
      </c>
      <c r="H839" s="4">
        <v>234800</v>
      </c>
      <c r="I839" s="188" t="str">
        <f>VLOOKUP(C839,CATEGORIZACION!$A$1:$C$269,2,FALSE)</f>
        <v>TRANSPORTE</v>
      </c>
      <c r="J839" s="188" t="s">
        <v>19</v>
      </c>
    </row>
    <row r="840" spans="1:10" ht="15.75" customHeight="1" x14ac:dyDescent="0.25">
      <c r="A840" s="1">
        <v>45047</v>
      </c>
      <c r="B840" s="188" t="s">
        <v>873</v>
      </c>
      <c r="C840" s="188" t="s">
        <v>21</v>
      </c>
      <c r="D840" s="188" t="s">
        <v>22</v>
      </c>
      <c r="E840" s="4">
        <v>18280</v>
      </c>
      <c r="F840" s="5">
        <v>312950</v>
      </c>
      <c r="G840" s="4">
        <v>65719.5</v>
      </c>
      <c r="H840" s="4">
        <v>396949.5</v>
      </c>
      <c r="I840" s="188" t="str">
        <f>VLOOKUP(C840,CATEGORIZACION!$A$1:$C$269,2,FALSE)</f>
        <v>TRANSPORTE</v>
      </c>
      <c r="J840" s="188" t="s">
        <v>19</v>
      </c>
    </row>
    <row r="841" spans="1:10" ht="15.75" customHeight="1" x14ac:dyDescent="0.25">
      <c r="A841" s="1">
        <v>45047</v>
      </c>
      <c r="B841" s="188" t="s">
        <v>874</v>
      </c>
      <c r="C841" s="188" t="s">
        <v>21</v>
      </c>
      <c r="D841" s="188" t="s">
        <v>22</v>
      </c>
      <c r="E841" s="4">
        <v>12160</v>
      </c>
      <c r="F841" s="5">
        <v>146400</v>
      </c>
      <c r="G841" s="4">
        <v>30744</v>
      </c>
      <c r="H841" s="4">
        <v>189304</v>
      </c>
      <c r="I841" s="188" t="str">
        <f>VLOOKUP(C841,CATEGORIZACION!$A$1:$C$269,2,FALSE)</f>
        <v>TRANSPORTE</v>
      </c>
      <c r="J841" s="188" t="s">
        <v>19</v>
      </c>
    </row>
    <row r="842" spans="1:10" ht="15.75" customHeight="1" x14ac:dyDescent="0.25">
      <c r="A842" s="1">
        <v>45047</v>
      </c>
      <c r="B842" s="188" t="s">
        <v>875</v>
      </c>
      <c r="C842" s="188" t="s">
        <v>21</v>
      </c>
      <c r="D842" s="188" t="s">
        <v>22</v>
      </c>
      <c r="E842" s="4">
        <v>85120</v>
      </c>
      <c r="F842" s="5">
        <v>840000</v>
      </c>
      <c r="G842" s="4">
        <v>176400</v>
      </c>
      <c r="H842" s="4">
        <v>1101520</v>
      </c>
      <c r="I842" s="188" t="str">
        <f>VLOOKUP(C842,CATEGORIZACION!$A$1:$C$269,2,FALSE)</f>
        <v>TRANSPORTE</v>
      </c>
      <c r="J842" s="188" t="s">
        <v>19</v>
      </c>
    </row>
    <row r="843" spans="1:10" ht="15.75" customHeight="1" x14ac:dyDescent="0.25">
      <c r="A843" s="1">
        <v>45047</v>
      </c>
      <c r="B843" s="188" t="s">
        <v>876</v>
      </c>
      <c r="C843" s="188" t="s">
        <v>339</v>
      </c>
      <c r="D843" s="188" t="s">
        <v>340</v>
      </c>
      <c r="E843" s="4">
        <v>0</v>
      </c>
      <c r="F843" s="5">
        <v>54577.11</v>
      </c>
      <c r="G843" s="4">
        <v>11461.19</v>
      </c>
      <c r="H843" s="4">
        <v>66038.3</v>
      </c>
      <c r="I843" s="188" t="str">
        <f>VLOOKUP(C843,CATEGORIZACION!$A$1:$C$269,2,FALSE)</f>
        <v>PROOVEDORES</v>
      </c>
      <c r="J843" s="188" t="str">
        <f>VLOOKUP(C843,CATEGORIZACION!$A$1:$C$269,3,FALSE)</f>
        <v>LOGISTICA</v>
      </c>
    </row>
    <row r="844" spans="1:10" ht="15.75" customHeight="1" x14ac:dyDescent="0.25">
      <c r="A844" s="1">
        <v>45047</v>
      </c>
      <c r="B844" s="188" t="s">
        <v>877</v>
      </c>
      <c r="C844" s="188" t="s">
        <v>36</v>
      </c>
      <c r="D844" s="188" t="s">
        <v>37</v>
      </c>
      <c r="E844" s="4">
        <v>5000</v>
      </c>
      <c r="F844" s="5">
        <v>100440</v>
      </c>
      <c r="G844" s="4">
        <v>21092.400000000001</v>
      </c>
      <c r="H844" s="4">
        <v>126532.4</v>
      </c>
      <c r="I844" s="188" t="str">
        <f>VLOOKUP(C844,CATEGORIZACION!$A$1:$C$269,2,FALSE)</f>
        <v>TRANSPORTE</v>
      </c>
      <c r="J844" s="188" t="s">
        <v>19</v>
      </c>
    </row>
    <row r="845" spans="1:10" ht="15.75" customHeight="1" x14ac:dyDescent="0.25">
      <c r="A845" s="1">
        <v>45047</v>
      </c>
      <c r="B845" s="188" t="s">
        <v>878</v>
      </c>
      <c r="C845" s="188" t="s">
        <v>36</v>
      </c>
      <c r="D845" s="188" t="s">
        <v>37</v>
      </c>
      <c r="E845" s="4">
        <v>5000</v>
      </c>
      <c r="F845" s="5">
        <v>100440</v>
      </c>
      <c r="G845" s="4">
        <v>21092.400000000001</v>
      </c>
      <c r="H845" s="4">
        <v>126532.4</v>
      </c>
      <c r="I845" s="188" t="str">
        <f>VLOOKUP(C845,CATEGORIZACION!$A$1:$C$269,2,FALSE)</f>
        <v>TRANSPORTE</v>
      </c>
      <c r="J845" s="188" t="s">
        <v>19</v>
      </c>
    </row>
    <row r="846" spans="1:10" ht="15.75" customHeight="1" x14ac:dyDescent="0.25">
      <c r="A846" s="1">
        <v>45047</v>
      </c>
      <c r="B846" s="188" t="s">
        <v>879</v>
      </c>
      <c r="C846" s="188" t="s">
        <v>36</v>
      </c>
      <c r="D846" s="188" t="s">
        <v>37</v>
      </c>
      <c r="E846" s="4">
        <v>13400</v>
      </c>
      <c r="F846" s="5">
        <v>133100</v>
      </c>
      <c r="G846" s="4">
        <v>27951</v>
      </c>
      <c r="H846" s="4">
        <v>174451</v>
      </c>
      <c r="I846" s="188" t="str">
        <f>VLOOKUP(C846,CATEGORIZACION!$A$1:$C$269,2,FALSE)</f>
        <v>TRANSPORTE</v>
      </c>
      <c r="J846" s="188" t="s">
        <v>19</v>
      </c>
    </row>
    <row r="847" spans="1:10" ht="15.75" customHeight="1" x14ac:dyDescent="0.25">
      <c r="A847" s="1">
        <v>45047</v>
      </c>
      <c r="B847" s="188" t="s">
        <v>880</v>
      </c>
      <c r="C847" s="188" t="s">
        <v>36</v>
      </c>
      <c r="D847" s="188" t="s">
        <v>37</v>
      </c>
      <c r="E847" s="4">
        <v>14100</v>
      </c>
      <c r="F847" s="5">
        <v>146820</v>
      </c>
      <c r="G847" s="4">
        <v>30832.2</v>
      </c>
      <c r="H847" s="4">
        <v>191752.2</v>
      </c>
      <c r="I847" s="188" t="str">
        <f>VLOOKUP(C847,CATEGORIZACION!$A$1:$C$269,2,FALSE)</f>
        <v>TRANSPORTE</v>
      </c>
      <c r="J847" s="188" t="s">
        <v>19</v>
      </c>
    </row>
    <row r="848" spans="1:10" ht="15.75" customHeight="1" x14ac:dyDescent="0.25">
      <c r="A848" s="1">
        <v>45047</v>
      </c>
      <c r="B848" s="188" t="s">
        <v>881</v>
      </c>
      <c r="C848" s="188" t="s">
        <v>36</v>
      </c>
      <c r="D848" s="188" t="s">
        <v>37</v>
      </c>
      <c r="E848" s="4">
        <v>5000</v>
      </c>
      <c r="F848" s="5">
        <v>146820</v>
      </c>
      <c r="G848" s="4">
        <v>30832.2</v>
      </c>
      <c r="H848" s="4">
        <v>182652.2</v>
      </c>
      <c r="I848" s="188" t="str">
        <f>VLOOKUP(C848,CATEGORIZACION!$A$1:$C$269,2,FALSE)</f>
        <v>TRANSPORTE</v>
      </c>
      <c r="J848" s="188" t="s">
        <v>19</v>
      </c>
    </row>
    <row r="849" spans="1:10" ht="15.75" customHeight="1" x14ac:dyDescent="0.25">
      <c r="A849" s="1">
        <v>45047</v>
      </c>
      <c r="B849" s="188" t="s">
        <v>882</v>
      </c>
      <c r="C849" s="188" t="s">
        <v>36</v>
      </c>
      <c r="D849" s="188" t="s">
        <v>37</v>
      </c>
      <c r="E849" s="4">
        <v>5000</v>
      </c>
      <c r="F849" s="5">
        <v>180300</v>
      </c>
      <c r="G849" s="4">
        <v>37863</v>
      </c>
      <c r="H849" s="4">
        <v>223163</v>
      </c>
      <c r="I849" s="188" t="str">
        <f>VLOOKUP(C849,CATEGORIZACION!$A$1:$C$269,2,FALSE)</f>
        <v>TRANSPORTE</v>
      </c>
      <c r="J849" s="188" t="s">
        <v>19</v>
      </c>
    </row>
    <row r="850" spans="1:10" ht="15.75" customHeight="1" x14ac:dyDescent="0.25">
      <c r="A850" s="1">
        <v>45047</v>
      </c>
      <c r="B850" s="188" t="s">
        <v>883</v>
      </c>
      <c r="C850" s="188" t="s">
        <v>36</v>
      </c>
      <c r="D850" s="188" t="s">
        <v>37</v>
      </c>
      <c r="E850" s="4">
        <v>5000</v>
      </c>
      <c r="F850" s="5">
        <v>180300</v>
      </c>
      <c r="G850" s="4">
        <v>37863</v>
      </c>
      <c r="H850" s="4">
        <v>223163</v>
      </c>
      <c r="I850" s="188" t="str">
        <f>VLOOKUP(C850,CATEGORIZACION!$A$1:$C$269,2,FALSE)</f>
        <v>TRANSPORTE</v>
      </c>
      <c r="J850" s="188" t="s">
        <v>19</v>
      </c>
    </row>
    <row r="851" spans="1:10" ht="15.75" customHeight="1" x14ac:dyDescent="0.25">
      <c r="A851" s="1">
        <v>45047</v>
      </c>
      <c r="B851" s="188" t="s">
        <v>884</v>
      </c>
      <c r="C851" s="188" t="s">
        <v>36</v>
      </c>
      <c r="D851" s="188" t="s">
        <v>37</v>
      </c>
      <c r="E851" s="4">
        <v>5000</v>
      </c>
      <c r="F851" s="5">
        <v>180300</v>
      </c>
      <c r="G851" s="4">
        <v>37863</v>
      </c>
      <c r="H851" s="4">
        <v>223163</v>
      </c>
      <c r="I851" s="188" t="str">
        <f>VLOOKUP(C851,CATEGORIZACION!$A$1:$C$269,2,FALSE)</f>
        <v>TRANSPORTE</v>
      </c>
      <c r="J851" s="188" t="s">
        <v>19</v>
      </c>
    </row>
    <row r="852" spans="1:10" ht="15.75" customHeight="1" x14ac:dyDescent="0.25">
      <c r="A852" s="1">
        <v>45047</v>
      </c>
      <c r="B852" s="188" t="s">
        <v>885</v>
      </c>
      <c r="C852" s="188" t="s">
        <v>36</v>
      </c>
      <c r="D852" s="188" t="s">
        <v>37</v>
      </c>
      <c r="E852" s="4">
        <v>0</v>
      </c>
      <c r="F852" s="5">
        <v>55800</v>
      </c>
      <c r="G852" s="4">
        <v>11718</v>
      </c>
      <c r="H852" s="4">
        <v>67518</v>
      </c>
      <c r="I852" s="188" t="str">
        <f>VLOOKUP(C852,CATEGORIZACION!$A$1:$C$269,2,FALSE)</f>
        <v>TRANSPORTE</v>
      </c>
      <c r="J852" s="188" t="s">
        <v>19</v>
      </c>
    </row>
    <row r="853" spans="1:10" ht="15.75" customHeight="1" x14ac:dyDescent="0.25">
      <c r="A853" s="1">
        <v>45047</v>
      </c>
      <c r="B853" s="188" t="s">
        <v>886</v>
      </c>
      <c r="C853" s="188" t="s">
        <v>36</v>
      </c>
      <c r="D853" s="188" t="s">
        <v>37</v>
      </c>
      <c r="E853" s="4">
        <v>0</v>
      </c>
      <c r="F853" s="5">
        <v>55800</v>
      </c>
      <c r="G853" s="4">
        <v>11718</v>
      </c>
      <c r="H853" s="4">
        <v>67518</v>
      </c>
      <c r="I853" s="188" t="str">
        <f>VLOOKUP(C853,CATEGORIZACION!$A$1:$C$269,2,FALSE)</f>
        <v>TRANSPORTE</v>
      </c>
      <c r="J853" s="188" t="s">
        <v>19</v>
      </c>
    </row>
    <row r="854" spans="1:10" ht="15.75" customHeight="1" x14ac:dyDescent="0.25">
      <c r="A854" s="1">
        <v>45047</v>
      </c>
      <c r="B854" s="188" t="s">
        <v>887</v>
      </c>
      <c r="C854" s="188" t="s">
        <v>36</v>
      </c>
      <c r="D854" s="188" t="s">
        <v>37</v>
      </c>
      <c r="E854" s="4">
        <v>0</v>
      </c>
      <c r="F854" s="5">
        <v>55800</v>
      </c>
      <c r="G854" s="4">
        <v>11718</v>
      </c>
      <c r="H854" s="4">
        <v>67518</v>
      </c>
      <c r="I854" s="188" t="str">
        <f>VLOOKUP(C854,CATEGORIZACION!$A$1:$C$269,2,FALSE)</f>
        <v>TRANSPORTE</v>
      </c>
      <c r="J854" s="188" t="s">
        <v>19</v>
      </c>
    </row>
    <row r="855" spans="1:10" ht="15.75" customHeight="1" x14ac:dyDescent="0.25">
      <c r="A855" s="1">
        <v>45047</v>
      </c>
      <c r="B855" s="188" t="s">
        <v>888</v>
      </c>
      <c r="C855" s="188" t="s">
        <v>36</v>
      </c>
      <c r="D855" s="188" t="s">
        <v>37</v>
      </c>
      <c r="E855" s="4">
        <v>9200</v>
      </c>
      <c r="F855" s="5">
        <v>57750</v>
      </c>
      <c r="G855" s="4">
        <v>12127.5</v>
      </c>
      <c r="H855" s="4">
        <v>79077.5</v>
      </c>
      <c r="I855" s="188" t="str">
        <f>VLOOKUP(C855,CATEGORIZACION!$A$1:$C$269,2,FALSE)</f>
        <v>TRANSPORTE</v>
      </c>
      <c r="J855" s="188" t="s">
        <v>19</v>
      </c>
    </row>
    <row r="856" spans="1:10" ht="15.75" customHeight="1" x14ac:dyDescent="0.25">
      <c r="A856" s="1">
        <v>45047</v>
      </c>
      <c r="B856" s="188" t="s">
        <v>889</v>
      </c>
      <c r="C856" s="188" t="s">
        <v>36</v>
      </c>
      <c r="D856" s="188" t="s">
        <v>37</v>
      </c>
      <c r="E856" s="4">
        <v>9200</v>
      </c>
      <c r="F856" s="5">
        <v>57750</v>
      </c>
      <c r="G856" s="4">
        <v>12127.5</v>
      </c>
      <c r="H856" s="4">
        <v>79077.5</v>
      </c>
      <c r="I856" s="188" t="str">
        <f>VLOOKUP(C856,CATEGORIZACION!$A$1:$C$269,2,FALSE)</f>
        <v>TRANSPORTE</v>
      </c>
      <c r="J856" s="188" t="s">
        <v>19</v>
      </c>
    </row>
    <row r="857" spans="1:10" ht="15.75" customHeight="1" x14ac:dyDescent="0.25">
      <c r="A857" s="1">
        <v>45047</v>
      </c>
      <c r="B857" s="188" t="s">
        <v>890</v>
      </c>
      <c r="C857" s="188" t="s">
        <v>36</v>
      </c>
      <c r="D857" s="188" t="s">
        <v>37</v>
      </c>
      <c r="E857" s="4">
        <v>9200</v>
      </c>
      <c r="F857" s="5">
        <v>52500</v>
      </c>
      <c r="G857" s="4">
        <v>11025</v>
      </c>
      <c r="H857" s="4">
        <v>72725</v>
      </c>
      <c r="I857" s="188" t="str">
        <f>VLOOKUP(C857,CATEGORIZACION!$A$1:$C$269,2,FALSE)</f>
        <v>TRANSPORTE</v>
      </c>
      <c r="J857" s="188" t="s">
        <v>19</v>
      </c>
    </row>
    <row r="858" spans="1:10" ht="15.75" customHeight="1" x14ac:dyDescent="0.25">
      <c r="A858" s="1">
        <v>45047</v>
      </c>
      <c r="B858" s="188" t="s">
        <v>891</v>
      </c>
      <c r="C858" s="188" t="s">
        <v>36</v>
      </c>
      <c r="D858" s="188" t="s">
        <v>37</v>
      </c>
      <c r="E858" s="4">
        <v>9200</v>
      </c>
      <c r="F858" s="5">
        <v>52500</v>
      </c>
      <c r="G858" s="4">
        <v>11025</v>
      </c>
      <c r="H858" s="4">
        <v>72725</v>
      </c>
      <c r="I858" s="188" t="str">
        <f>VLOOKUP(C858,CATEGORIZACION!$A$1:$C$269,2,FALSE)</f>
        <v>TRANSPORTE</v>
      </c>
      <c r="J858" s="188" t="s">
        <v>19</v>
      </c>
    </row>
    <row r="859" spans="1:10" ht="15.75" customHeight="1" x14ac:dyDescent="0.25">
      <c r="A859" s="1">
        <v>45047</v>
      </c>
      <c r="B859" s="188" t="s">
        <v>892</v>
      </c>
      <c r="C859" s="188" t="s">
        <v>36</v>
      </c>
      <c r="D859" s="188" t="s">
        <v>37</v>
      </c>
      <c r="E859" s="4">
        <v>9200</v>
      </c>
      <c r="F859" s="5">
        <v>52500</v>
      </c>
      <c r="G859" s="4">
        <v>11025</v>
      </c>
      <c r="H859" s="4">
        <v>72725</v>
      </c>
      <c r="I859" s="188" t="str">
        <f>VLOOKUP(C859,CATEGORIZACION!$A$1:$C$269,2,FALSE)</f>
        <v>TRANSPORTE</v>
      </c>
      <c r="J859" s="188" t="s">
        <v>19</v>
      </c>
    </row>
    <row r="860" spans="1:10" ht="15.75" customHeight="1" x14ac:dyDescent="0.25">
      <c r="A860" s="1">
        <v>45047</v>
      </c>
      <c r="B860" s="188" t="s">
        <v>893</v>
      </c>
      <c r="C860" s="188" t="s">
        <v>36</v>
      </c>
      <c r="D860" s="188" t="s">
        <v>37</v>
      </c>
      <c r="E860" s="4">
        <v>9200</v>
      </c>
      <c r="F860" s="5">
        <v>52500</v>
      </c>
      <c r="G860" s="4">
        <v>11025</v>
      </c>
      <c r="H860" s="4">
        <v>72725</v>
      </c>
      <c r="I860" s="188" t="str">
        <f>VLOOKUP(C860,CATEGORIZACION!$A$1:$C$269,2,FALSE)</f>
        <v>TRANSPORTE</v>
      </c>
      <c r="J860" s="188" t="s">
        <v>19</v>
      </c>
    </row>
    <row r="861" spans="1:10" ht="15.75" customHeight="1" x14ac:dyDescent="0.25">
      <c r="A861" s="1">
        <v>45047</v>
      </c>
      <c r="B861" s="188" t="s">
        <v>894</v>
      </c>
      <c r="C861" s="188" t="s">
        <v>36</v>
      </c>
      <c r="D861" s="188" t="s">
        <v>37</v>
      </c>
      <c r="E861" s="4">
        <v>9200</v>
      </c>
      <c r="F861" s="5">
        <v>52500</v>
      </c>
      <c r="G861" s="4">
        <v>11025</v>
      </c>
      <c r="H861" s="4">
        <v>72725</v>
      </c>
      <c r="I861" s="188" t="str">
        <f>VLOOKUP(C861,CATEGORIZACION!$A$1:$C$269,2,FALSE)</f>
        <v>TRANSPORTE</v>
      </c>
      <c r="J861" s="188" t="s">
        <v>19</v>
      </c>
    </row>
    <row r="862" spans="1:10" ht="15.75" customHeight="1" x14ac:dyDescent="0.25">
      <c r="A862" s="1">
        <v>45047</v>
      </c>
      <c r="B862" s="188" t="s">
        <v>895</v>
      </c>
      <c r="C862" s="188" t="s">
        <v>36</v>
      </c>
      <c r="D862" s="188" t="s">
        <v>37</v>
      </c>
      <c r="E862" s="4">
        <v>9200</v>
      </c>
      <c r="F862" s="5">
        <v>52500</v>
      </c>
      <c r="G862" s="4">
        <v>11025</v>
      </c>
      <c r="H862" s="4">
        <v>72725</v>
      </c>
      <c r="I862" s="188" t="str">
        <f>VLOOKUP(C862,CATEGORIZACION!$A$1:$C$269,2,FALSE)</f>
        <v>TRANSPORTE</v>
      </c>
      <c r="J862" s="188" t="s">
        <v>19</v>
      </c>
    </row>
    <row r="863" spans="1:10" ht="15.75" customHeight="1" x14ac:dyDescent="0.25">
      <c r="A863" s="1">
        <v>45047</v>
      </c>
      <c r="B863" s="188" t="s">
        <v>896</v>
      </c>
      <c r="C863" s="188" t="s">
        <v>36</v>
      </c>
      <c r="D863" s="188" t="s">
        <v>37</v>
      </c>
      <c r="E863" s="4">
        <v>9200</v>
      </c>
      <c r="F863" s="5">
        <v>52500</v>
      </c>
      <c r="G863" s="4">
        <v>11025</v>
      </c>
      <c r="H863" s="4">
        <v>72725</v>
      </c>
      <c r="I863" s="188" t="str">
        <f>VLOOKUP(C863,CATEGORIZACION!$A$1:$C$269,2,FALSE)</f>
        <v>TRANSPORTE</v>
      </c>
      <c r="J863" s="188" t="s">
        <v>19</v>
      </c>
    </row>
    <row r="864" spans="1:10" ht="15.75" customHeight="1" x14ac:dyDescent="0.25">
      <c r="A864" s="1">
        <v>45047</v>
      </c>
      <c r="B864" s="188" t="s">
        <v>897</v>
      </c>
      <c r="C864" s="188" t="s">
        <v>36</v>
      </c>
      <c r="D864" s="188" t="s">
        <v>37</v>
      </c>
      <c r="E864" s="4">
        <v>9200</v>
      </c>
      <c r="F864" s="5">
        <v>52500</v>
      </c>
      <c r="G864" s="4">
        <v>11025</v>
      </c>
      <c r="H864" s="4">
        <v>72725</v>
      </c>
      <c r="I864" s="188" t="str">
        <f>VLOOKUP(C864,CATEGORIZACION!$A$1:$C$269,2,FALSE)</f>
        <v>TRANSPORTE</v>
      </c>
      <c r="J864" s="188" t="s">
        <v>19</v>
      </c>
    </row>
    <row r="865" spans="1:10" ht="15.75" customHeight="1" x14ac:dyDescent="0.25">
      <c r="A865" s="1">
        <v>45047</v>
      </c>
      <c r="B865" s="188" t="s">
        <v>898</v>
      </c>
      <c r="C865" s="188" t="s">
        <v>36</v>
      </c>
      <c r="D865" s="188" t="s">
        <v>37</v>
      </c>
      <c r="E865" s="4">
        <v>9200</v>
      </c>
      <c r="F865" s="5">
        <v>52500</v>
      </c>
      <c r="G865" s="4">
        <v>11025</v>
      </c>
      <c r="H865" s="4">
        <v>72725</v>
      </c>
      <c r="I865" s="188" t="str">
        <f>VLOOKUP(C865,CATEGORIZACION!$A$1:$C$269,2,FALSE)</f>
        <v>TRANSPORTE</v>
      </c>
      <c r="J865" s="188" t="s">
        <v>19</v>
      </c>
    </row>
    <row r="866" spans="1:10" ht="15.75" customHeight="1" x14ac:dyDescent="0.25">
      <c r="A866" s="1">
        <v>45077</v>
      </c>
      <c r="B866" s="188" t="s">
        <v>82</v>
      </c>
      <c r="C866" s="188" t="s">
        <v>188</v>
      </c>
      <c r="D866" s="188">
        <v>0</v>
      </c>
      <c r="E866" s="4">
        <v>0</v>
      </c>
      <c r="F866" s="3">
        <v>1319399</v>
      </c>
      <c r="G866" s="4">
        <v>0</v>
      </c>
      <c r="H866" s="4">
        <v>0</v>
      </c>
      <c r="I866" s="188" t="str">
        <f>VLOOKUP(C866,CATEGORIZACION!$A$1:$C$269,2,FALSE)</f>
        <v>SUELDOS</v>
      </c>
      <c r="J866" s="188" t="s">
        <v>103</v>
      </c>
    </row>
    <row r="867" spans="1:10" ht="15.75" customHeight="1" x14ac:dyDescent="0.25">
      <c r="A867" s="1">
        <v>45077</v>
      </c>
      <c r="B867" s="188" t="s">
        <v>82</v>
      </c>
      <c r="C867" s="188" t="s">
        <v>189</v>
      </c>
      <c r="D867" s="188">
        <v>0</v>
      </c>
      <c r="E867" s="4">
        <v>0</v>
      </c>
      <c r="F867" s="3">
        <v>395200</v>
      </c>
      <c r="G867" s="4">
        <v>0</v>
      </c>
      <c r="H867" s="4">
        <v>0</v>
      </c>
      <c r="I867" s="188" t="str">
        <f>VLOOKUP(C867,CATEGORIZACION!$A$1:$C$269,2,FALSE)</f>
        <v>SUELDOS</v>
      </c>
      <c r="J867" s="188" t="s">
        <v>103</v>
      </c>
    </row>
    <row r="868" spans="1:10" ht="15.75" customHeight="1" x14ac:dyDescent="0.25">
      <c r="A868" s="1">
        <v>45077</v>
      </c>
      <c r="B868" s="188" t="s">
        <v>82</v>
      </c>
      <c r="C868" s="188" t="s">
        <v>190</v>
      </c>
      <c r="D868" s="188">
        <v>0</v>
      </c>
      <c r="E868" s="4">
        <v>0</v>
      </c>
      <c r="F868" s="5">
        <v>2426500</v>
      </c>
      <c r="G868" s="4">
        <v>0</v>
      </c>
      <c r="H868" s="4">
        <v>0</v>
      </c>
      <c r="I868" s="188" t="str">
        <f>VLOOKUP(C868,CATEGORIZACION!$A$1:$C$269,2,FALSE)</f>
        <v>SUELDOS</v>
      </c>
      <c r="J868" s="188" t="s">
        <v>19</v>
      </c>
    </row>
    <row r="869" spans="1:10" ht="15.75" customHeight="1" x14ac:dyDescent="0.25">
      <c r="A869" s="1">
        <v>45077</v>
      </c>
      <c r="B869" s="188" t="s">
        <v>82</v>
      </c>
      <c r="C869" s="188" t="s">
        <v>191</v>
      </c>
      <c r="D869" s="188">
        <v>0</v>
      </c>
      <c r="E869" s="4">
        <v>0</v>
      </c>
      <c r="F869" s="5">
        <v>491500</v>
      </c>
      <c r="G869" s="4">
        <v>0</v>
      </c>
      <c r="H869" s="4">
        <v>0</v>
      </c>
      <c r="I869" s="188" t="str">
        <f>VLOOKUP(C869,CATEGORIZACION!$A$1:$C$269,2,FALSE)</f>
        <v>SUELDOS</v>
      </c>
      <c r="J869" s="188" t="s">
        <v>19</v>
      </c>
    </row>
    <row r="870" spans="1:10" ht="15.75" customHeight="1" x14ac:dyDescent="0.25">
      <c r="A870" s="1">
        <v>45077</v>
      </c>
      <c r="B870" s="188" t="s">
        <v>82</v>
      </c>
      <c r="C870" s="188" t="s">
        <v>192</v>
      </c>
      <c r="D870" s="188">
        <v>0</v>
      </c>
      <c r="E870" s="4">
        <v>0</v>
      </c>
      <c r="F870" s="3">
        <v>150000</v>
      </c>
      <c r="G870" s="4">
        <v>0</v>
      </c>
      <c r="H870" s="4">
        <v>0</v>
      </c>
      <c r="I870" s="188" t="str">
        <f>VLOOKUP(C870,CATEGORIZACION!$A$1:$C$269,2,FALSE)</f>
        <v>SUELDOS</v>
      </c>
      <c r="J870" s="188" t="s">
        <v>103</v>
      </c>
    </row>
    <row r="871" spans="1:10" ht="15.75" customHeight="1" x14ac:dyDescent="0.25">
      <c r="A871" s="1">
        <v>45077</v>
      </c>
      <c r="B871" s="188" t="s">
        <v>82</v>
      </c>
      <c r="C871" s="188" t="s">
        <v>193</v>
      </c>
      <c r="D871" s="188">
        <v>0</v>
      </c>
      <c r="E871" s="4">
        <v>0</v>
      </c>
      <c r="F871" s="5">
        <v>125000</v>
      </c>
      <c r="G871" s="4">
        <v>0</v>
      </c>
      <c r="H871" s="4">
        <v>0</v>
      </c>
      <c r="I871" s="188" t="str">
        <f>VLOOKUP(C871,CATEGORIZACION!$A$1:$C$269,2,FALSE)</f>
        <v>SUELDOS</v>
      </c>
      <c r="J871" s="188" t="s">
        <v>19</v>
      </c>
    </row>
    <row r="872" spans="1:10" ht="15.75" customHeight="1" x14ac:dyDescent="0.25">
      <c r="A872" s="1">
        <v>45077</v>
      </c>
      <c r="B872" s="188" t="s">
        <v>82</v>
      </c>
      <c r="C872" s="188" t="s">
        <v>194</v>
      </c>
      <c r="D872" s="188">
        <v>0</v>
      </c>
      <c r="E872" s="4">
        <v>0</v>
      </c>
      <c r="F872" s="3">
        <v>1075680</v>
      </c>
      <c r="G872" s="4">
        <v>0</v>
      </c>
      <c r="H872" s="4">
        <v>0</v>
      </c>
      <c r="I872" s="188" t="str">
        <f>VLOOKUP(C872,CATEGORIZACION!$A$1:$C$269,2,FALSE)</f>
        <v>ALQUILER</v>
      </c>
      <c r="J872" s="188" t="s">
        <v>103</v>
      </c>
    </row>
    <row r="873" spans="1:10" ht="15.75" customHeight="1" x14ac:dyDescent="0.25">
      <c r="A873" s="1">
        <v>45077</v>
      </c>
      <c r="B873" s="188" t="s">
        <v>82</v>
      </c>
      <c r="C873" s="188" t="s">
        <v>195</v>
      </c>
      <c r="D873" s="188">
        <v>0</v>
      </c>
      <c r="E873" s="4">
        <v>0</v>
      </c>
      <c r="F873" s="3">
        <v>661250</v>
      </c>
      <c r="G873" s="4">
        <v>0</v>
      </c>
      <c r="H873" s="4">
        <v>0</v>
      </c>
      <c r="I873" s="188" t="str">
        <f>VLOOKUP(C873,CATEGORIZACION!$A$1:$C$269,2,FALSE)</f>
        <v>ALQUILER</v>
      </c>
      <c r="J873" s="188" t="s">
        <v>103</v>
      </c>
    </row>
    <row r="874" spans="1:10" ht="15.75" customHeight="1" x14ac:dyDescent="0.25">
      <c r="A874" s="1">
        <v>45077</v>
      </c>
      <c r="B874" s="188" t="s">
        <v>82</v>
      </c>
      <c r="C874" s="188" t="s">
        <v>196</v>
      </c>
      <c r="D874" s="188">
        <v>0</v>
      </c>
      <c r="E874" s="4">
        <v>0</v>
      </c>
      <c r="F874" s="3">
        <v>278643</v>
      </c>
      <c r="G874" s="4">
        <v>0</v>
      </c>
      <c r="H874" s="4">
        <v>0</v>
      </c>
      <c r="I874" s="188" t="str">
        <f>VLOOKUP(C874,CATEGORIZACION!$A$1:$C$269,2,FALSE)</f>
        <v>ALQUILER</v>
      </c>
      <c r="J874" s="188" t="s">
        <v>103</v>
      </c>
    </row>
    <row r="875" spans="1:10" ht="15.75" customHeight="1" x14ac:dyDescent="0.25">
      <c r="A875" s="1">
        <v>45077</v>
      </c>
      <c r="B875" s="188" t="s">
        <v>82</v>
      </c>
      <c r="C875" s="188" t="s">
        <v>197</v>
      </c>
      <c r="D875" s="188">
        <v>0</v>
      </c>
      <c r="E875" s="4">
        <v>0</v>
      </c>
      <c r="F875" s="3">
        <v>38764</v>
      </c>
      <c r="G875" s="4">
        <v>0</v>
      </c>
      <c r="H875" s="4">
        <v>0</v>
      </c>
      <c r="I875" s="188" t="str">
        <f>VLOOKUP(C875,CATEGORIZACION!$A$1:$C$269,2,FALSE)</f>
        <v>ALQUILER</v>
      </c>
      <c r="J875" s="188" t="s">
        <v>103</v>
      </c>
    </row>
    <row r="876" spans="1:10" ht="15.75" customHeight="1" x14ac:dyDescent="0.25">
      <c r="A876" s="1">
        <v>45077</v>
      </c>
      <c r="B876" s="188" t="s">
        <v>82</v>
      </c>
      <c r="C876" s="188" t="s">
        <v>198</v>
      </c>
      <c r="D876" s="188">
        <v>0</v>
      </c>
      <c r="E876" s="4">
        <v>0</v>
      </c>
      <c r="F876" s="5">
        <v>220000</v>
      </c>
      <c r="G876" s="4">
        <v>0</v>
      </c>
      <c r="H876" s="4">
        <v>220000</v>
      </c>
      <c r="I876" s="188" t="str">
        <f>VLOOKUP(C876,CATEGORIZACION!$A$1:$C$269,2,FALSE)</f>
        <v>ALQUILER</v>
      </c>
      <c r="J876" s="188" t="s">
        <v>19</v>
      </c>
    </row>
    <row r="877" spans="1:10" ht="15.75" customHeight="1" x14ac:dyDescent="0.25">
      <c r="A877" s="1">
        <v>45077</v>
      </c>
      <c r="B877" s="188" t="s">
        <v>82</v>
      </c>
      <c r="C877" s="188" t="s">
        <v>199</v>
      </c>
      <c r="D877" s="188">
        <v>0</v>
      </c>
      <c r="E877" s="4">
        <v>0</v>
      </c>
      <c r="F877" s="3">
        <v>5000</v>
      </c>
      <c r="G877" s="4">
        <v>0</v>
      </c>
      <c r="H877" s="4">
        <v>10730</v>
      </c>
      <c r="I877" s="188" t="str">
        <f>VLOOKUP(C877,CATEGORIZACION!$A$1:$C$269,2,FALSE)</f>
        <v>PROOVEDORES</v>
      </c>
      <c r="J877" s="188" t="str">
        <f>VLOOKUP(C877,CATEGORIZACION!$A$1:$C$269,3,FALSE)</f>
        <v>DEPOSITO</v>
      </c>
    </row>
    <row r="878" spans="1:10" ht="15.75" customHeight="1" x14ac:dyDescent="0.25">
      <c r="A878" s="1">
        <v>45077</v>
      </c>
      <c r="B878" s="188" t="s">
        <v>82</v>
      </c>
      <c r="C878" s="188" t="s">
        <v>200</v>
      </c>
      <c r="D878" s="188">
        <v>0</v>
      </c>
      <c r="E878" s="4">
        <v>0</v>
      </c>
      <c r="F878" s="5">
        <v>180425</v>
      </c>
      <c r="G878" s="4">
        <v>0</v>
      </c>
      <c r="H878" s="4">
        <v>180425</v>
      </c>
      <c r="I878" s="188" t="str">
        <f>VLOOKUP(C878,CATEGORIZACION!$A$1:$C$269,2,FALSE)</f>
        <v>PROOVEDORES</v>
      </c>
      <c r="J878" s="188" t="str">
        <f>VLOOKUP(C878,CATEGORIZACION!$A$1:$C$269,3,FALSE)</f>
        <v>LOGISTICA</v>
      </c>
    </row>
    <row r="879" spans="1:10" ht="15.75" customHeight="1" x14ac:dyDescent="0.25">
      <c r="A879" s="1">
        <v>45077</v>
      </c>
      <c r="B879" s="188" t="s">
        <v>82</v>
      </c>
      <c r="C879" s="188" t="s">
        <v>201</v>
      </c>
      <c r="D879" s="188">
        <v>0</v>
      </c>
      <c r="E879" s="4">
        <v>0</v>
      </c>
      <c r="F879" s="5">
        <v>121000</v>
      </c>
      <c r="G879" s="4">
        <v>0</v>
      </c>
      <c r="H879" s="4">
        <v>121000</v>
      </c>
      <c r="I879" s="188" t="str">
        <f>VLOOKUP(C879,CATEGORIZACION!$A$1:$C$269,2,FALSE)</f>
        <v>PROOVEDORES</v>
      </c>
      <c r="J879" s="188" t="str">
        <f>VLOOKUP(C879,CATEGORIZACION!$A$1:$C$269,3,FALSE)</f>
        <v>LOGISTICA</v>
      </c>
    </row>
    <row r="880" spans="1:10" ht="15.75" customHeight="1" x14ac:dyDescent="0.25">
      <c r="A880" s="1">
        <v>45077</v>
      </c>
      <c r="B880" s="188" t="s">
        <v>82</v>
      </c>
      <c r="C880" s="188" t="s">
        <v>202</v>
      </c>
      <c r="D880" s="188">
        <v>0</v>
      </c>
      <c r="E880" s="4">
        <v>0</v>
      </c>
      <c r="F880" s="5">
        <v>1160473.71</v>
      </c>
      <c r="G880" s="4">
        <v>0</v>
      </c>
      <c r="H880" s="4">
        <v>1160473.71</v>
      </c>
      <c r="I880" s="188" t="str">
        <f>VLOOKUP(C880,CATEGORIZACION!$A$1:$C$269,2,FALSE)</f>
        <v>PROOVEDORES</v>
      </c>
      <c r="J880" s="188" t="str">
        <f>VLOOKUP(C880,CATEGORIZACION!$A$1:$C$269,3,FALSE)</f>
        <v>LOGISTICA</v>
      </c>
    </row>
    <row r="881" spans="1:10" ht="15.75" customHeight="1" x14ac:dyDescent="0.25">
      <c r="A881" s="1">
        <v>45077</v>
      </c>
      <c r="B881" s="188" t="s">
        <v>82</v>
      </c>
      <c r="C881" s="188" t="s">
        <v>363</v>
      </c>
      <c r="D881" s="188">
        <v>0</v>
      </c>
      <c r="E881" s="4">
        <v>0</v>
      </c>
      <c r="F881" s="5">
        <v>0</v>
      </c>
      <c r="G881" s="4">
        <v>0</v>
      </c>
      <c r="H881" s="4">
        <v>0</v>
      </c>
      <c r="I881" s="188" t="str">
        <f>VLOOKUP(C881,CATEGORIZACION!$A$1:$C$269,2,FALSE)</f>
        <v>PROOVEDORES</v>
      </c>
      <c r="J881" s="188" t="str">
        <f>VLOOKUP(C881,CATEGORIZACION!$A$1:$C$269,3,FALSE)</f>
        <v>LOGISTICA</v>
      </c>
    </row>
    <row r="882" spans="1:10" ht="15.75" customHeight="1" x14ac:dyDescent="0.25">
      <c r="A882" s="1">
        <v>45077</v>
      </c>
      <c r="B882" s="188" t="s">
        <v>82</v>
      </c>
      <c r="C882" s="188" t="s">
        <v>204</v>
      </c>
      <c r="D882" s="188">
        <v>0</v>
      </c>
      <c r="E882" s="4">
        <v>0</v>
      </c>
      <c r="F882" s="5">
        <v>444054</v>
      </c>
      <c r="G882" s="4">
        <v>0</v>
      </c>
      <c r="H882" s="4">
        <v>444054</v>
      </c>
      <c r="I882" s="188" t="str">
        <f>VLOOKUP(C882,CATEGORIZACION!$A$1:$C$269,2,FALSE)</f>
        <v>PROOVEDORES</v>
      </c>
      <c r="J882" s="188" t="str">
        <f>VLOOKUP(C882,CATEGORIZACION!$A$1:$C$269,3,FALSE)</f>
        <v>LOGISTICA</v>
      </c>
    </row>
    <row r="883" spans="1:10" ht="15.75" customHeight="1" x14ac:dyDescent="0.25">
      <c r="A883" s="1">
        <v>45077</v>
      </c>
      <c r="B883" s="188" t="s">
        <v>82</v>
      </c>
      <c r="C883" s="188" t="s">
        <v>205</v>
      </c>
      <c r="D883" s="188">
        <v>0</v>
      </c>
      <c r="E883" s="4">
        <v>0</v>
      </c>
      <c r="F883" s="5">
        <v>190000</v>
      </c>
      <c r="G883" s="4">
        <v>0</v>
      </c>
      <c r="H883" s="4">
        <v>190000</v>
      </c>
      <c r="I883" s="188" t="str">
        <f>VLOOKUP(C883,CATEGORIZACION!$A$1:$C$269,2,FALSE)</f>
        <v>AFIP</v>
      </c>
      <c r="J883" s="188" t="s">
        <v>19</v>
      </c>
    </row>
    <row r="884" spans="1:10" ht="15.75" customHeight="1" x14ac:dyDescent="0.25">
      <c r="A884" s="1">
        <v>45077</v>
      </c>
      <c r="B884" s="188" t="s">
        <v>82</v>
      </c>
      <c r="C884" s="188" t="s">
        <v>206</v>
      </c>
      <c r="D884" s="188">
        <v>0</v>
      </c>
      <c r="E884" s="4">
        <v>0</v>
      </c>
      <c r="F884" s="5">
        <v>752099</v>
      </c>
      <c r="G884" s="4">
        <v>0</v>
      </c>
      <c r="H884" s="4">
        <v>1253498</v>
      </c>
      <c r="I884" s="188" t="str">
        <f>VLOOKUP(C884,CATEGORIZACION!$A$1:$C$269,2,FALSE)</f>
        <v>AFIP</v>
      </c>
      <c r="J884" s="188" t="s">
        <v>19</v>
      </c>
    </row>
    <row r="885" spans="1:10" ht="15.75" customHeight="1" x14ac:dyDescent="0.25">
      <c r="A885" s="1">
        <v>45077</v>
      </c>
      <c r="B885" s="188" t="s">
        <v>82</v>
      </c>
      <c r="C885" s="188" t="s">
        <v>207</v>
      </c>
      <c r="D885" s="188">
        <v>0</v>
      </c>
      <c r="E885" s="4">
        <v>0</v>
      </c>
      <c r="F885" s="5">
        <v>537678.93000000005</v>
      </c>
      <c r="G885" s="4">
        <v>0</v>
      </c>
      <c r="H885" s="4">
        <v>537678.93000000005</v>
      </c>
      <c r="I885" s="188" t="str">
        <f>VLOOKUP(C885,CATEGORIZACION!$A$1:$C$269,2,FALSE)</f>
        <v>AFIP</v>
      </c>
      <c r="J885" s="188" t="s">
        <v>19</v>
      </c>
    </row>
    <row r="886" spans="1:10" ht="15.75" customHeight="1" x14ac:dyDescent="0.25">
      <c r="A886" s="1">
        <v>45077</v>
      </c>
      <c r="B886" s="188" t="s">
        <v>82</v>
      </c>
      <c r="C886" s="188" t="s">
        <v>208</v>
      </c>
      <c r="D886" s="188">
        <v>0</v>
      </c>
      <c r="E886" s="4">
        <v>0</v>
      </c>
      <c r="F886" s="5">
        <v>0</v>
      </c>
      <c r="G886" s="4">
        <v>0</v>
      </c>
      <c r="H886" s="4">
        <v>0</v>
      </c>
      <c r="I886" s="188" t="str">
        <f>VLOOKUP(C886,CATEGORIZACION!$A$1:$C$269,2,FALSE)</f>
        <v>AFIP</v>
      </c>
      <c r="J886" s="188" t="s">
        <v>19</v>
      </c>
    </row>
    <row r="887" spans="1:10" ht="15.75" customHeight="1" x14ac:dyDescent="0.25">
      <c r="A887" s="1">
        <v>45077</v>
      </c>
      <c r="B887" s="188" t="s">
        <v>82</v>
      </c>
      <c r="C887" s="188" t="s">
        <v>209</v>
      </c>
      <c r="D887" s="188">
        <v>0</v>
      </c>
      <c r="E887" s="4">
        <v>0</v>
      </c>
      <c r="F887" s="5">
        <v>29038.77</v>
      </c>
      <c r="G887" s="4">
        <v>0</v>
      </c>
      <c r="H887" s="4">
        <v>29038.77</v>
      </c>
      <c r="I887" s="188" t="str">
        <f>VLOOKUP(C887,CATEGORIZACION!$A$1:$C$269,2,FALSE)</f>
        <v>PROOVEDORES</v>
      </c>
      <c r="J887" s="188" t="str">
        <f>VLOOKUP(C887,CATEGORIZACION!$A$1:$C$269,3,FALSE)</f>
        <v>LOGISTICA</v>
      </c>
    </row>
    <row r="888" spans="1:10" ht="15.75" customHeight="1" x14ac:dyDescent="0.25">
      <c r="A888" s="1">
        <v>45077</v>
      </c>
      <c r="B888" s="188" t="s">
        <v>82</v>
      </c>
      <c r="C888" s="188" t="s">
        <v>210</v>
      </c>
      <c r="D888" s="188">
        <v>0</v>
      </c>
      <c r="E888" s="4">
        <v>0</v>
      </c>
      <c r="F888" s="5">
        <v>175566</v>
      </c>
      <c r="G888" s="4">
        <v>0</v>
      </c>
      <c r="H888" s="4">
        <v>175566</v>
      </c>
      <c r="I888" s="188" t="str">
        <f>VLOOKUP(C888,CATEGORIZACION!$A$1:$C$269,2,FALSE)</f>
        <v>PROOVEDORES</v>
      </c>
      <c r="J888" s="188" t="str">
        <f>VLOOKUP(C888,CATEGORIZACION!$A$1:$C$269,3,FALSE)</f>
        <v>LOGISTICA</v>
      </c>
    </row>
    <row r="889" spans="1:10" ht="15.75" customHeight="1" x14ac:dyDescent="0.25">
      <c r="A889" s="1">
        <v>45077</v>
      </c>
      <c r="B889" s="188" t="s">
        <v>82</v>
      </c>
      <c r="C889" s="188" t="s">
        <v>211</v>
      </c>
      <c r="D889" s="188">
        <v>0</v>
      </c>
      <c r="E889" s="4">
        <v>0</v>
      </c>
      <c r="F889" s="5">
        <v>8935</v>
      </c>
      <c r="G889" s="4">
        <v>0</v>
      </c>
      <c r="H889" s="4">
        <v>8935</v>
      </c>
      <c r="I889" s="188" t="str">
        <f>VLOOKUP(C889,CATEGORIZACION!$A$1:$C$269,2,FALSE)</f>
        <v>PROOVEDORES</v>
      </c>
      <c r="J889" s="188" t="str">
        <f>VLOOKUP(C889,CATEGORIZACION!$A$1:$C$269,3,FALSE)</f>
        <v>LOGISTICA</v>
      </c>
    </row>
    <row r="890" spans="1:10" ht="15.75" customHeight="1" x14ac:dyDescent="0.25">
      <c r="A890" s="1">
        <v>45077</v>
      </c>
      <c r="B890" s="188" t="s">
        <v>82</v>
      </c>
      <c r="C890" s="188" t="s">
        <v>212</v>
      </c>
      <c r="D890" s="188">
        <v>0</v>
      </c>
      <c r="E890" s="4">
        <v>0</v>
      </c>
      <c r="F890" s="5">
        <v>54020.49</v>
      </c>
      <c r="G890" s="4">
        <v>0</v>
      </c>
      <c r="H890" s="4">
        <v>54020.49</v>
      </c>
      <c r="I890" s="188" t="str">
        <f>VLOOKUP(C890,CATEGORIZACION!$A$1:$C$269,2,FALSE)</f>
        <v>PROOVEDORES</v>
      </c>
      <c r="J890" s="188" t="str">
        <f>VLOOKUP(C890,CATEGORIZACION!$A$1:$C$269,3,FALSE)</f>
        <v>LOGISTICA</v>
      </c>
    </row>
    <row r="891" spans="1:10" ht="15.75" customHeight="1" x14ac:dyDescent="0.25">
      <c r="A891" s="1">
        <v>45077</v>
      </c>
      <c r="B891" s="188" t="s">
        <v>82</v>
      </c>
      <c r="C891" s="188" t="s">
        <v>213</v>
      </c>
      <c r="D891" s="188">
        <v>0</v>
      </c>
      <c r="E891" s="4">
        <v>0</v>
      </c>
      <c r="F891" s="5">
        <v>56065.48</v>
      </c>
      <c r="G891" s="4">
        <v>0</v>
      </c>
      <c r="H891" s="4">
        <v>56065.48</v>
      </c>
      <c r="I891" s="188" t="str">
        <f>VLOOKUP(C891,CATEGORIZACION!$A$1:$C$269,2,FALSE)</f>
        <v>AFIP</v>
      </c>
      <c r="J891" s="188" t="s">
        <v>19</v>
      </c>
    </row>
    <row r="892" spans="1:10" ht="15.75" customHeight="1" x14ac:dyDescent="0.25">
      <c r="A892" s="1">
        <v>45077</v>
      </c>
      <c r="B892" s="188" t="s">
        <v>82</v>
      </c>
      <c r="C892" s="188" t="s">
        <v>214</v>
      </c>
      <c r="D892" s="188">
        <v>0</v>
      </c>
      <c r="E892" s="4">
        <v>0</v>
      </c>
      <c r="F892" s="5">
        <v>96000</v>
      </c>
      <c r="G892" s="4">
        <v>0</v>
      </c>
      <c r="H892" s="4">
        <v>96000</v>
      </c>
      <c r="I892" s="188" t="str">
        <f>VLOOKUP(C892,CATEGORIZACION!$A$1:$C$269,2,FALSE)</f>
        <v>PROOVEDORES</v>
      </c>
      <c r="J892" s="188" t="str">
        <f>VLOOKUP(C892,CATEGORIZACION!$A$1:$C$269,3,FALSE)</f>
        <v>LOGISTICA</v>
      </c>
    </row>
    <row r="893" spans="1:10" ht="15.75" customHeight="1" x14ac:dyDescent="0.25">
      <c r="A893" s="1">
        <v>45078</v>
      </c>
      <c r="B893" s="188" t="s">
        <v>899</v>
      </c>
      <c r="C893" s="188" t="s">
        <v>14</v>
      </c>
      <c r="D893" s="188" t="s">
        <v>15</v>
      </c>
      <c r="E893" s="4">
        <v>0</v>
      </c>
      <c r="F893" s="3">
        <v>29880</v>
      </c>
      <c r="G893" s="4">
        <v>6274.8</v>
      </c>
      <c r="H893" s="4">
        <v>36154.800000000003</v>
      </c>
      <c r="I893" s="188" t="str">
        <f>VLOOKUP(C893,CATEGORIZACION!$A$1:$C$269,2,FALSE)</f>
        <v>PROOVEDORES</v>
      </c>
      <c r="J893" s="188" t="str">
        <f>VLOOKUP(C893,CATEGORIZACION!$A$1:$C$269,3,FALSE)</f>
        <v>DEPOSITO</v>
      </c>
    </row>
    <row r="894" spans="1:10" ht="15.75" customHeight="1" x14ac:dyDescent="0.25">
      <c r="A894" s="1">
        <v>45078</v>
      </c>
      <c r="B894" s="188" t="s">
        <v>900</v>
      </c>
      <c r="C894" s="188" t="s">
        <v>17</v>
      </c>
      <c r="D894" s="188" t="s">
        <v>18</v>
      </c>
      <c r="E894" s="4">
        <v>37730</v>
      </c>
      <c r="F894" s="5">
        <v>268000</v>
      </c>
      <c r="G894" s="4">
        <v>56280</v>
      </c>
      <c r="H894" s="4">
        <v>362010</v>
      </c>
      <c r="I894" s="188" t="str">
        <f>VLOOKUP(C894,CATEGORIZACION!$A$1:$C$269,2,FALSE)</f>
        <v>TRANSPORTE</v>
      </c>
      <c r="J894" s="188" t="s">
        <v>19</v>
      </c>
    </row>
    <row r="895" spans="1:10" ht="15.75" customHeight="1" x14ac:dyDescent="0.25">
      <c r="A895" s="1">
        <v>45078</v>
      </c>
      <c r="B895" s="188" t="s">
        <v>901</v>
      </c>
      <c r="C895" s="188" t="s">
        <v>17</v>
      </c>
      <c r="D895" s="188" t="s">
        <v>18</v>
      </c>
      <c r="E895" s="4">
        <v>60840</v>
      </c>
      <c r="F895" s="5">
        <v>900000</v>
      </c>
      <c r="G895" s="4">
        <v>189000</v>
      </c>
      <c r="H895" s="4">
        <v>1149840</v>
      </c>
      <c r="I895" s="188" t="str">
        <f>VLOOKUP(C895,CATEGORIZACION!$A$1:$C$269,2,FALSE)</f>
        <v>TRANSPORTE</v>
      </c>
      <c r="J895" s="188" t="s">
        <v>19</v>
      </c>
    </row>
    <row r="896" spans="1:10" ht="15.75" customHeight="1" x14ac:dyDescent="0.25">
      <c r="A896" s="1">
        <v>45078</v>
      </c>
      <c r="B896" s="188" t="s">
        <v>902</v>
      </c>
      <c r="C896" s="188" t="s">
        <v>17</v>
      </c>
      <c r="D896" s="188" t="s">
        <v>18</v>
      </c>
      <c r="E896" s="4">
        <v>30040</v>
      </c>
      <c r="F896" s="5">
        <v>216000</v>
      </c>
      <c r="G896" s="4">
        <v>45360</v>
      </c>
      <c r="H896" s="4">
        <v>291400</v>
      </c>
      <c r="I896" s="188" t="str">
        <f>VLOOKUP(C896,CATEGORIZACION!$A$1:$C$269,2,FALSE)</f>
        <v>TRANSPORTE</v>
      </c>
      <c r="J896" s="188" t="s">
        <v>19</v>
      </c>
    </row>
    <row r="897" spans="1:10" ht="15.75" customHeight="1" x14ac:dyDescent="0.25">
      <c r="A897" s="1">
        <v>45078</v>
      </c>
      <c r="B897" s="188" t="s">
        <v>903</v>
      </c>
      <c r="C897" s="188" t="s">
        <v>17</v>
      </c>
      <c r="D897" s="188" t="s">
        <v>18</v>
      </c>
      <c r="E897" s="4">
        <v>37480</v>
      </c>
      <c r="F897" s="5">
        <v>306000</v>
      </c>
      <c r="G897" s="4">
        <v>64260</v>
      </c>
      <c r="H897" s="4">
        <v>407740</v>
      </c>
      <c r="I897" s="188" t="str">
        <f>VLOOKUP(C897,CATEGORIZACION!$A$1:$C$269,2,FALSE)</f>
        <v>TRANSPORTE</v>
      </c>
      <c r="J897" s="188" t="s">
        <v>19</v>
      </c>
    </row>
    <row r="898" spans="1:10" ht="15.75" customHeight="1" x14ac:dyDescent="0.25">
      <c r="A898" s="1">
        <v>45078</v>
      </c>
      <c r="B898" s="188" t="s">
        <v>904</v>
      </c>
      <c r="C898" s="188" t="s">
        <v>658</v>
      </c>
      <c r="D898" s="188" t="s">
        <v>659</v>
      </c>
      <c r="E898" s="4">
        <v>2102.6199999999626</v>
      </c>
      <c r="F898" s="3">
        <v>262827</v>
      </c>
      <c r="G898" s="4">
        <v>55193.67</v>
      </c>
      <c r="H898" s="4">
        <v>320123.28999999998</v>
      </c>
      <c r="I898" s="188" t="str">
        <f>VLOOKUP(C898,CATEGORIZACION!$A$1:$C$269,2,FALSE)</f>
        <v>PROOVEDORES</v>
      </c>
      <c r="J898" s="188" t="str">
        <f>VLOOKUP(C898,CATEGORIZACION!$A$1:$C$269,3,FALSE)</f>
        <v>DEPOSITO</v>
      </c>
    </row>
    <row r="899" spans="1:10" ht="15.75" customHeight="1" x14ac:dyDescent="0.25">
      <c r="A899" s="1">
        <v>45078</v>
      </c>
      <c r="B899" s="188" t="s">
        <v>905</v>
      </c>
      <c r="C899" s="188" t="s">
        <v>658</v>
      </c>
      <c r="D899" s="188" t="s">
        <v>659</v>
      </c>
      <c r="E899" s="4">
        <v>2040.53</v>
      </c>
      <c r="F899" s="3">
        <v>255066.6</v>
      </c>
      <c r="G899" s="4">
        <v>53563.99</v>
      </c>
      <c r="H899" s="4">
        <v>310671.12</v>
      </c>
      <c r="I899" s="188" t="str">
        <f>VLOOKUP(C899,CATEGORIZACION!$A$1:$C$269,2,FALSE)</f>
        <v>PROOVEDORES</v>
      </c>
      <c r="J899" s="188" t="str">
        <f>VLOOKUP(C899,CATEGORIZACION!$A$1:$C$269,3,FALSE)</f>
        <v>DEPOSITO</v>
      </c>
    </row>
    <row r="900" spans="1:10" ht="15.75" customHeight="1" x14ac:dyDescent="0.25">
      <c r="A900" s="1">
        <v>45078</v>
      </c>
      <c r="B900" s="188" t="s">
        <v>906</v>
      </c>
      <c r="C900" s="188" t="s">
        <v>658</v>
      </c>
      <c r="D900" s="188" t="s">
        <v>659</v>
      </c>
      <c r="E900" s="4">
        <v>905.22</v>
      </c>
      <c r="F900" s="3">
        <v>113152.4</v>
      </c>
      <c r="G900" s="4">
        <v>23762</v>
      </c>
      <c r="H900" s="4">
        <v>137819.62</v>
      </c>
      <c r="I900" s="188" t="str">
        <f>VLOOKUP(C900,CATEGORIZACION!$A$1:$C$269,2,FALSE)</f>
        <v>PROOVEDORES</v>
      </c>
      <c r="J900" s="188" t="str">
        <f>VLOOKUP(C900,CATEGORIZACION!$A$1:$C$269,3,FALSE)</f>
        <v>DEPOSITO</v>
      </c>
    </row>
    <row r="901" spans="1:10" ht="15.75" customHeight="1" x14ac:dyDescent="0.25">
      <c r="A901" s="1">
        <v>45078</v>
      </c>
      <c r="B901" s="188" t="s">
        <v>907</v>
      </c>
      <c r="C901" s="188" t="s">
        <v>658</v>
      </c>
      <c r="D901" s="188" t="s">
        <v>659</v>
      </c>
      <c r="E901" s="4">
        <v>696.63</v>
      </c>
      <c r="F901" s="3">
        <v>87078.3</v>
      </c>
      <c r="G901" s="4">
        <v>18286.439999999999</v>
      </c>
      <c r="H901" s="4">
        <v>106061.37</v>
      </c>
      <c r="I901" s="188" t="str">
        <f>VLOOKUP(C901,CATEGORIZACION!$A$1:$C$269,2,FALSE)</f>
        <v>PROOVEDORES</v>
      </c>
      <c r="J901" s="188" t="str">
        <f>VLOOKUP(C901,CATEGORIZACION!$A$1:$C$269,3,FALSE)</f>
        <v>DEPOSITO</v>
      </c>
    </row>
    <row r="902" spans="1:10" ht="15.75" customHeight="1" x14ac:dyDescent="0.25">
      <c r="A902" s="1">
        <v>45078</v>
      </c>
      <c r="B902" s="188" t="s">
        <v>908</v>
      </c>
      <c r="C902" s="188" t="s">
        <v>658</v>
      </c>
      <c r="D902" s="188" t="s">
        <v>659</v>
      </c>
      <c r="E902" s="4">
        <v>558.76</v>
      </c>
      <c r="F902" s="3">
        <v>69845.5</v>
      </c>
      <c r="G902" s="4">
        <v>14667.56</v>
      </c>
      <c r="H902" s="4">
        <v>85071.82</v>
      </c>
      <c r="I902" s="188" t="str">
        <f>VLOOKUP(C902,CATEGORIZACION!$A$1:$C$269,2,FALSE)</f>
        <v>PROOVEDORES</v>
      </c>
      <c r="J902" s="188" t="str">
        <f>VLOOKUP(C902,CATEGORIZACION!$A$1:$C$269,3,FALSE)</f>
        <v>DEPOSITO</v>
      </c>
    </row>
    <row r="903" spans="1:10" ht="15.75" customHeight="1" x14ac:dyDescent="0.25">
      <c r="A903" s="1">
        <v>45078</v>
      </c>
      <c r="B903" s="188" t="s">
        <v>909</v>
      </c>
      <c r="C903" s="188" t="s">
        <v>658</v>
      </c>
      <c r="D903" s="188" t="s">
        <v>659</v>
      </c>
      <c r="E903" s="4">
        <v>300.18</v>
      </c>
      <c r="F903" s="3">
        <v>37523</v>
      </c>
      <c r="G903" s="4">
        <v>7879.83</v>
      </c>
      <c r="H903" s="4">
        <v>45703.01</v>
      </c>
      <c r="I903" s="188" t="str">
        <f>VLOOKUP(C903,CATEGORIZACION!$A$1:$C$269,2,FALSE)</f>
        <v>PROOVEDORES</v>
      </c>
      <c r="J903" s="188" t="str">
        <f>VLOOKUP(C903,CATEGORIZACION!$A$1:$C$269,3,FALSE)</f>
        <v>DEPOSITO</v>
      </c>
    </row>
    <row r="904" spans="1:10" ht="15.75" customHeight="1" x14ac:dyDescent="0.25">
      <c r="A904" s="1">
        <v>45078</v>
      </c>
      <c r="B904" s="188" t="s">
        <v>910</v>
      </c>
      <c r="C904" s="188" t="s">
        <v>658</v>
      </c>
      <c r="D904" s="188" t="s">
        <v>659</v>
      </c>
      <c r="E904" s="4">
        <v>1673.88</v>
      </c>
      <c r="F904" s="3">
        <v>209235</v>
      </c>
      <c r="G904" s="4">
        <v>43939.35</v>
      </c>
      <c r="H904" s="4">
        <v>254848.23</v>
      </c>
      <c r="I904" s="188" t="str">
        <f>VLOOKUP(C904,CATEGORIZACION!$A$1:$C$269,2,FALSE)</f>
        <v>PROOVEDORES</v>
      </c>
      <c r="J904" s="188" t="str">
        <f>VLOOKUP(C904,CATEGORIZACION!$A$1:$C$269,3,FALSE)</f>
        <v>DEPOSITO</v>
      </c>
    </row>
    <row r="905" spans="1:10" ht="15.75" customHeight="1" x14ac:dyDescent="0.25">
      <c r="A905" s="1">
        <v>45078</v>
      </c>
      <c r="B905" s="188" t="s">
        <v>911</v>
      </c>
      <c r="C905" s="188" t="s">
        <v>658</v>
      </c>
      <c r="D905" s="188" t="s">
        <v>659</v>
      </c>
      <c r="E905" s="4">
        <v>1582.01</v>
      </c>
      <c r="F905" s="3">
        <v>197751</v>
      </c>
      <c r="G905" s="4">
        <v>41527.71</v>
      </c>
      <c r="H905" s="4">
        <v>240860.72</v>
      </c>
      <c r="I905" s="188" t="str">
        <f>VLOOKUP(C905,CATEGORIZACION!$A$1:$C$269,2,FALSE)</f>
        <v>PROOVEDORES</v>
      </c>
      <c r="J905" s="188" t="str">
        <f>VLOOKUP(C905,CATEGORIZACION!$A$1:$C$269,3,FALSE)</f>
        <v>DEPOSITO</v>
      </c>
    </row>
    <row r="906" spans="1:10" ht="15.75" customHeight="1" x14ac:dyDescent="0.25">
      <c r="A906" s="1">
        <v>45078</v>
      </c>
      <c r="B906" s="188" t="s">
        <v>912</v>
      </c>
      <c r="C906" s="188" t="s">
        <v>658</v>
      </c>
      <c r="D906" s="188" t="s">
        <v>659</v>
      </c>
      <c r="E906" s="4">
        <v>148.25</v>
      </c>
      <c r="F906" s="3">
        <v>18531</v>
      </c>
      <c r="G906" s="4">
        <v>3891.51</v>
      </c>
      <c r="H906" s="4">
        <v>22570.76</v>
      </c>
      <c r="I906" s="188" t="str">
        <f>VLOOKUP(C906,CATEGORIZACION!$A$1:$C$269,2,FALSE)</f>
        <v>PROOVEDORES</v>
      </c>
      <c r="J906" s="188" t="str">
        <f>VLOOKUP(C906,CATEGORIZACION!$A$1:$C$269,3,FALSE)</f>
        <v>DEPOSITO</v>
      </c>
    </row>
    <row r="907" spans="1:10" ht="15.75" customHeight="1" x14ac:dyDescent="0.25">
      <c r="A907" s="1">
        <v>45078</v>
      </c>
      <c r="B907" s="188" t="s">
        <v>913</v>
      </c>
      <c r="C907" s="188" t="s">
        <v>218</v>
      </c>
      <c r="D907" s="188" t="s">
        <v>219</v>
      </c>
      <c r="E907" s="4">
        <v>-1.8626451492309571E-11</v>
      </c>
      <c r="F907" s="5">
        <v>118572.79</v>
      </c>
      <c r="G907" s="4">
        <v>24900.29</v>
      </c>
      <c r="H907" s="4">
        <v>143473.07999999999</v>
      </c>
      <c r="I907" s="188" t="str">
        <f>VLOOKUP(C907,CATEGORIZACION!$A$1:$C$269,2,FALSE)</f>
        <v>PROOVEDORES</v>
      </c>
      <c r="J907" s="188" t="str">
        <f>VLOOKUP(C907,CATEGORIZACION!$A$1:$C$269,3,FALSE)</f>
        <v>LOGISTICA</v>
      </c>
    </row>
    <row r="908" spans="1:10" ht="15.75" customHeight="1" x14ac:dyDescent="0.25">
      <c r="A908" s="1">
        <v>45079</v>
      </c>
      <c r="B908" s="188" t="s">
        <v>914</v>
      </c>
      <c r="C908" s="188" t="s">
        <v>441</v>
      </c>
      <c r="D908" s="188" t="s">
        <v>442</v>
      </c>
      <c r="E908" s="4">
        <v>0</v>
      </c>
      <c r="F908" s="3">
        <v>575000</v>
      </c>
      <c r="G908" s="4">
        <v>120750</v>
      </c>
      <c r="H908" s="4">
        <v>695750</v>
      </c>
      <c r="I908" s="188" t="str">
        <f>VLOOKUP(C908,CATEGORIZACION!$A$1:$C$269,2,FALSE)</f>
        <v>ALQUILER</v>
      </c>
      <c r="J908" s="188" t="s">
        <v>103</v>
      </c>
    </row>
    <row r="909" spans="1:10" ht="15.75" customHeight="1" x14ac:dyDescent="0.25">
      <c r="A909" s="1">
        <v>45079</v>
      </c>
      <c r="B909" s="188" t="s">
        <v>915</v>
      </c>
      <c r="C909" s="188" t="s">
        <v>801</v>
      </c>
      <c r="D909" s="188" t="s">
        <v>802</v>
      </c>
      <c r="E909" s="4">
        <v>3827.83</v>
      </c>
      <c r="F909" s="5">
        <v>27342</v>
      </c>
      <c r="G909" s="4">
        <v>5741.82</v>
      </c>
      <c r="H909" s="4">
        <v>36911.65</v>
      </c>
      <c r="I909" s="188" t="str">
        <f>VLOOKUP(C909,CATEGORIZACION!$A$1:$C$269,2,FALSE)</f>
        <v>PROOVEDORES</v>
      </c>
      <c r="J909" s="188" t="str">
        <f>VLOOKUP(C909,CATEGORIZACION!$A$1:$C$269,3,FALSE)</f>
        <v>LOGISTICA</v>
      </c>
    </row>
    <row r="910" spans="1:10" ht="15.75" customHeight="1" x14ac:dyDescent="0.25">
      <c r="A910" s="1">
        <v>45079</v>
      </c>
      <c r="B910" s="188" t="s">
        <v>916</v>
      </c>
      <c r="C910" s="188" t="s">
        <v>801</v>
      </c>
      <c r="D910" s="188" t="s">
        <v>802</v>
      </c>
      <c r="E910" s="4">
        <v>8861.24</v>
      </c>
      <c r="F910" s="5">
        <v>63296</v>
      </c>
      <c r="G910" s="4">
        <v>13292.16</v>
      </c>
      <c r="H910" s="4">
        <v>85449.4</v>
      </c>
      <c r="I910" s="188" t="str">
        <f>VLOOKUP(C910,CATEGORIZACION!$A$1:$C$269,2,FALSE)</f>
        <v>PROOVEDORES</v>
      </c>
      <c r="J910" s="188" t="str">
        <f>VLOOKUP(C910,CATEGORIZACION!$A$1:$C$269,3,FALSE)</f>
        <v>LOGISTICA</v>
      </c>
    </row>
    <row r="911" spans="1:10" ht="15.75" customHeight="1" x14ac:dyDescent="0.25">
      <c r="A911" s="1">
        <v>45079</v>
      </c>
      <c r="B911" s="188" t="s">
        <v>917</v>
      </c>
      <c r="C911" s="188" t="s">
        <v>918</v>
      </c>
      <c r="D911" s="188" t="s">
        <v>919</v>
      </c>
      <c r="E911" s="4">
        <v>358.51</v>
      </c>
      <c r="F911" s="5">
        <v>19917</v>
      </c>
      <c r="G911" s="4">
        <v>4182.57</v>
      </c>
      <c r="H911" s="4">
        <v>24458.080000000002</v>
      </c>
      <c r="I911" s="188" t="str">
        <f>VLOOKUP(C911,CATEGORIZACION!$A$1:$C$269,2,FALSE)</f>
        <v>PROOVEDORES</v>
      </c>
      <c r="J911" s="188" t="str">
        <f>VLOOKUP(C911,CATEGORIZACION!$A$1:$C$269,3,FALSE)</f>
        <v>LOGISTICA</v>
      </c>
    </row>
    <row r="912" spans="1:10" ht="15.75" customHeight="1" x14ac:dyDescent="0.25">
      <c r="A912" s="1">
        <v>45079</v>
      </c>
      <c r="B912" s="188" t="s">
        <v>920</v>
      </c>
      <c r="C912" s="188" t="s">
        <v>918</v>
      </c>
      <c r="D912" s="188" t="s">
        <v>919</v>
      </c>
      <c r="E912" s="4">
        <v>40.65</v>
      </c>
      <c r="F912" s="5">
        <v>2231</v>
      </c>
      <c r="G912" s="4">
        <v>468.51</v>
      </c>
      <c r="H912" s="4">
        <v>2740.16</v>
      </c>
      <c r="I912" s="188" t="str">
        <f>VLOOKUP(C912,CATEGORIZACION!$A$1:$C$269,2,FALSE)</f>
        <v>PROOVEDORES</v>
      </c>
      <c r="J912" s="188" t="str">
        <f>VLOOKUP(C912,CATEGORIZACION!$A$1:$C$269,3,FALSE)</f>
        <v>LOGISTICA</v>
      </c>
    </row>
    <row r="913" spans="1:10" ht="15.75" customHeight="1" x14ac:dyDescent="0.25">
      <c r="A913" s="1">
        <v>45079</v>
      </c>
      <c r="B913" s="188" t="s">
        <v>921</v>
      </c>
      <c r="C913" s="188" t="s">
        <v>804</v>
      </c>
      <c r="D913" s="188" t="s">
        <v>805</v>
      </c>
      <c r="E913" s="4">
        <v>232.07</v>
      </c>
      <c r="F913" s="5">
        <v>4835</v>
      </c>
      <c r="G913" s="4">
        <v>1015.35</v>
      </c>
      <c r="H913" s="4">
        <v>6082.42</v>
      </c>
      <c r="I913" s="188" t="str">
        <f>VLOOKUP(C913,CATEGORIZACION!$A$1:$C$269,2,FALSE)</f>
        <v>PROOVEDORES</v>
      </c>
      <c r="J913" s="188" t="str">
        <f>VLOOKUP(C913,CATEGORIZACION!$A$1:$C$269,3,FALSE)</f>
        <v>LOGISTICA</v>
      </c>
    </row>
    <row r="914" spans="1:10" ht="15.75" customHeight="1" x14ac:dyDescent="0.25">
      <c r="A914" s="1">
        <v>45079</v>
      </c>
      <c r="B914" s="188" t="s">
        <v>922</v>
      </c>
      <c r="C914" s="188" t="s">
        <v>804</v>
      </c>
      <c r="D914" s="188" t="s">
        <v>805</v>
      </c>
      <c r="E914" s="4">
        <v>597.02</v>
      </c>
      <c r="F914" s="5">
        <v>12438</v>
      </c>
      <c r="G914" s="4">
        <v>2611.98</v>
      </c>
      <c r="H914" s="4">
        <v>15647</v>
      </c>
      <c r="I914" s="188" t="str">
        <f>VLOOKUP(C914,CATEGORIZACION!$A$1:$C$269,2,FALSE)</f>
        <v>PROOVEDORES</v>
      </c>
      <c r="J914" s="188" t="str">
        <f>VLOOKUP(C914,CATEGORIZACION!$A$1:$C$269,3,FALSE)</f>
        <v>LOGISTICA</v>
      </c>
    </row>
    <row r="915" spans="1:10" ht="15.75" customHeight="1" x14ac:dyDescent="0.25">
      <c r="A915" s="1">
        <v>45082</v>
      </c>
      <c r="B915" s="188" t="s">
        <v>923</v>
      </c>
      <c r="C915" s="188" t="s">
        <v>101</v>
      </c>
      <c r="D915" s="188" t="s">
        <v>102</v>
      </c>
      <c r="E915" s="4">
        <v>8605.44</v>
      </c>
      <c r="F915" s="3">
        <v>1075680</v>
      </c>
      <c r="G915" s="4">
        <v>225892.8</v>
      </c>
      <c r="H915" s="4">
        <v>1310178.24</v>
      </c>
      <c r="I915" s="188" t="str">
        <f>VLOOKUP(C915,CATEGORIZACION!$A$1:$C$269,2,FALSE)</f>
        <v>ALQUILER</v>
      </c>
      <c r="J915" s="188" t="s">
        <v>103</v>
      </c>
    </row>
    <row r="916" spans="1:10" ht="15.75" customHeight="1" x14ac:dyDescent="0.25">
      <c r="A916" s="1">
        <v>45082</v>
      </c>
      <c r="B916" s="188" t="s">
        <v>924</v>
      </c>
      <c r="C916" s="188" t="s">
        <v>49</v>
      </c>
      <c r="D916" s="188" t="s">
        <v>50</v>
      </c>
      <c r="E916" s="4">
        <v>0</v>
      </c>
      <c r="F916" s="3">
        <v>120425</v>
      </c>
      <c r="G916" s="4">
        <v>25289.25</v>
      </c>
      <c r="H916" s="4">
        <v>145714.25</v>
      </c>
      <c r="I916" s="188" t="str">
        <f>VLOOKUP(C916,CATEGORIZACION!$A$1:$C$269,2,FALSE)</f>
        <v>PROOVEDORES</v>
      </c>
      <c r="J916" s="188" t="str">
        <f>VLOOKUP(C916,CATEGORIZACION!$A$1:$C$269,3,FALSE)</f>
        <v>DEPOSITO</v>
      </c>
    </row>
    <row r="917" spans="1:10" ht="15.75" customHeight="1" x14ac:dyDescent="0.25">
      <c r="A917" s="1">
        <v>45082</v>
      </c>
      <c r="B917" s="188" t="s">
        <v>925</v>
      </c>
      <c r="C917" s="188" t="s">
        <v>49</v>
      </c>
      <c r="D917" s="188" t="s">
        <v>50</v>
      </c>
      <c r="E917" s="4">
        <v>0</v>
      </c>
      <c r="F917" s="3">
        <v>120425</v>
      </c>
      <c r="G917" s="4">
        <v>25289.25</v>
      </c>
      <c r="H917" s="4">
        <v>145714.25</v>
      </c>
      <c r="I917" s="188" t="str">
        <f>VLOOKUP(C917,CATEGORIZACION!$A$1:$C$269,2,FALSE)</f>
        <v>PROOVEDORES</v>
      </c>
      <c r="J917" s="188" t="str">
        <f>VLOOKUP(C917,CATEGORIZACION!$A$1:$C$269,3,FALSE)</f>
        <v>DEPOSITO</v>
      </c>
    </row>
    <row r="918" spans="1:10" ht="15.75" customHeight="1" x14ac:dyDescent="0.25">
      <c r="A918" s="1">
        <v>45082</v>
      </c>
      <c r="B918" s="188" t="s">
        <v>926</v>
      </c>
      <c r="C918" s="188" t="s">
        <v>36</v>
      </c>
      <c r="D918" s="188" t="s">
        <v>37</v>
      </c>
      <c r="E918" s="4">
        <v>6200</v>
      </c>
      <c r="F918" s="5">
        <v>43500</v>
      </c>
      <c r="G918" s="4">
        <v>9135</v>
      </c>
      <c r="H918" s="4">
        <v>58835</v>
      </c>
      <c r="I918" s="188" t="str">
        <f>VLOOKUP(C918,CATEGORIZACION!$A$1:$C$269,2,FALSE)</f>
        <v>TRANSPORTE</v>
      </c>
      <c r="J918" s="188" t="s">
        <v>19</v>
      </c>
    </row>
    <row r="919" spans="1:10" ht="15.75" customHeight="1" x14ac:dyDescent="0.25">
      <c r="A919" s="1">
        <v>45082</v>
      </c>
      <c r="B919" s="188" t="s">
        <v>927</v>
      </c>
      <c r="C919" s="188" t="s">
        <v>36</v>
      </c>
      <c r="D919" s="188" t="s">
        <v>37</v>
      </c>
      <c r="E919" s="4">
        <v>6200</v>
      </c>
      <c r="F919" s="5">
        <v>43500</v>
      </c>
      <c r="G919" s="4">
        <v>9135</v>
      </c>
      <c r="H919" s="4">
        <v>58835</v>
      </c>
      <c r="I919" s="188" t="str">
        <f>VLOOKUP(C919,CATEGORIZACION!$A$1:$C$269,2,FALSE)</f>
        <v>TRANSPORTE</v>
      </c>
      <c r="J919" s="188" t="s">
        <v>19</v>
      </c>
    </row>
    <row r="920" spans="1:10" ht="15.75" customHeight="1" x14ac:dyDescent="0.25">
      <c r="A920" s="1">
        <v>45082</v>
      </c>
      <c r="B920" s="188" t="s">
        <v>928</v>
      </c>
      <c r="C920" s="188" t="s">
        <v>36</v>
      </c>
      <c r="D920" s="188" t="s">
        <v>37</v>
      </c>
      <c r="E920" s="4">
        <v>6200</v>
      </c>
      <c r="F920" s="5">
        <v>43500</v>
      </c>
      <c r="G920" s="4">
        <v>9135</v>
      </c>
      <c r="H920" s="4">
        <v>58835</v>
      </c>
      <c r="I920" s="188" t="str">
        <f>VLOOKUP(C920,CATEGORIZACION!$A$1:$C$269,2,FALSE)</f>
        <v>TRANSPORTE</v>
      </c>
      <c r="J920" s="188" t="s">
        <v>19</v>
      </c>
    </row>
    <row r="921" spans="1:10" ht="15.75" customHeight="1" x14ac:dyDescent="0.25">
      <c r="A921" s="1">
        <v>45082</v>
      </c>
      <c r="B921" s="188" t="s">
        <v>929</v>
      </c>
      <c r="C921" s="188" t="s">
        <v>36</v>
      </c>
      <c r="D921" s="188" t="s">
        <v>37</v>
      </c>
      <c r="E921" s="4">
        <v>6200</v>
      </c>
      <c r="F921" s="5">
        <v>43500</v>
      </c>
      <c r="G921" s="4">
        <v>9135</v>
      </c>
      <c r="H921" s="4">
        <v>58835</v>
      </c>
      <c r="I921" s="188" t="str">
        <f>VLOOKUP(C921,CATEGORIZACION!$A$1:$C$269,2,FALSE)</f>
        <v>TRANSPORTE</v>
      </c>
      <c r="J921" s="188" t="s">
        <v>19</v>
      </c>
    </row>
    <row r="922" spans="1:10" ht="15.75" customHeight="1" x14ac:dyDescent="0.25">
      <c r="A922" s="1">
        <v>45082</v>
      </c>
      <c r="B922" s="188" t="s">
        <v>930</v>
      </c>
      <c r="C922" s="188" t="s">
        <v>36</v>
      </c>
      <c r="D922" s="188" t="s">
        <v>37</v>
      </c>
      <c r="E922" s="4">
        <v>15000</v>
      </c>
      <c r="F922" s="5">
        <v>82500</v>
      </c>
      <c r="G922" s="4">
        <v>17325</v>
      </c>
      <c r="H922" s="4">
        <v>114825</v>
      </c>
      <c r="I922" s="188" t="str">
        <f>VLOOKUP(C922,CATEGORIZACION!$A$1:$C$269,2,FALSE)</f>
        <v>TRANSPORTE</v>
      </c>
      <c r="J922" s="188" t="s">
        <v>19</v>
      </c>
    </row>
    <row r="923" spans="1:10" ht="15.75" customHeight="1" x14ac:dyDescent="0.25">
      <c r="A923" s="1">
        <v>45082</v>
      </c>
      <c r="B923" s="188" t="s">
        <v>931</v>
      </c>
      <c r="C923" s="188" t="s">
        <v>36</v>
      </c>
      <c r="D923" s="188" t="s">
        <v>37</v>
      </c>
      <c r="E923" s="4">
        <v>6200</v>
      </c>
      <c r="F923" s="5">
        <v>43500</v>
      </c>
      <c r="G923" s="4">
        <v>9135</v>
      </c>
      <c r="H923" s="4">
        <v>58835</v>
      </c>
      <c r="I923" s="188" t="str">
        <f>VLOOKUP(C923,CATEGORIZACION!$A$1:$C$269,2,FALSE)</f>
        <v>TRANSPORTE</v>
      </c>
      <c r="J923" s="188" t="s">
        <v>19</v>
      </c>
    </row>
    <row r="924" spans="1:10" ht="15.75" customHeight="1" x14ac:dyDescent="0.25">
      <c r="A924" s="1">
        <v>45082</v>
      </c>
      <c r="B924" s="188" t="s">
        <v>932</v>
      </c>
      <c r="C924" s="188" t="s">
        <v>36</v>
      </c>
      <c r="D924" s="188" t="s">
        <v>37</v>
      </c>
      <c r="E924" s="4">
        <v>11500</v>
      </c>
      <c r="F924" s="5">
        <v>95200</v>
      </c>
      <c r="G924" s="4">
        <v>19992</v>
      </c>
      <c r="H924" s="4">
        <v>126692</v>
      </c>
      <c r="I924" s="188" t="str">
        <f>VLOOKUP(C924,CATEGORIZACION!$A$1:$C$269,2,FALSE)</f>
        <v>TRANSPORTE</v>
      </c>
      <c r="J924" s="188" t="s">
        <v>19</v>
      </c>
    </row>
    <row r="925" spans="1:10" ht="15.75" customHeight="1" x14ac:dyDescent="0.25">
      <c r="A925" s="1">
        <v>45082</v>
      </c>
      <c r="B925" s="188" t="s">
        <v>933</v>
      </c>
      <c r="C925" s="188" t="s">
        <v>36</v>
      </c>
      <c r="D925" s="188" t="s">
        <v>37</v>
      </c>
      <c r="E925" s="4">
        <v>11500</v>
      </c>
      <c r="F925" s="5">
        <v>95200</v>
      </c>
      <c r="G925" s="4">
        <v>19992</v>
      </c>
      <c r="H925" s="4">
        <v>126692</v>
      </c>
      <c r="I925" s="188" t="str">
        <f>VLOOKUP(C925,CATEGORIZACION!$A$1:$C$269,2,FALSE)</f>
        <v>TRANSPORTE</v>
      </c>
      <c r="J925" s="188" t="s">
        <v>19</v>
      </c>
    </row>
    <row r="926" spans="1:10" ht="15.75" customHeight="1" x14ac:dyDescent="0.25">
      <c r="A926" s="1">
        <v>45082</v>
      </c>
      <c r="B926" s="188" t="s">
        <v>934</v>
      </c>
      <c r="C926" s="188" t="s">
        <v>36</v>
      </c>
      <c r="D926" s="188" t="s">
        <v>37</v>
      </c>
      <c r="E926" s="4">
        <v>14500</v>
      </c>
      <c r="F926" s="5">
        <v>93050</v>
      </c>
      <c r="G926" s="4">
        <v>19540.5</v>
      </c>
      <c r="H926" s="4">
        <v>127090.5</v>
      </c>
      <c r="I926" s="188" t="str">
        <f>VLOOKUP(C926,CATEGORIZACION!$A$1:$C$269,2,FALSE)</f>
        <v>TRANSPORTE</v>
      </c>
      <c r="J926" s="188" t="s">
        <v>19</v>
      </c>
    </row>
    <row r="927" spans="1:10" ht="15.75" customHeight="1" x14ac:dyDescent="0.25">
      <c r="A927" s="1">
        <v>45082</v>
      </c>
      <c r="B927" s="188" t="s">
        <v>935</v>
      </c>
      <c r="C927" s="188" t="s">
        <v>36</v>
      </c>
      <c r="D927" s="188" t="s">
        <v>37</v>
      </c>
      <c r="E927" s="4">
        <v>14500</v>
      </c>
      <c r="F927" s="5">
        <v>93050</v>
      </c>
      <c r="G927" s="4">
        <v>19540.5</v>
      </c>
      <c r="H927" s="4">
        <v>127090.5</v>
      </c>
      <c r="I927" s="188" t="str">
        <f>VLOOKUP(C927,CATEGORIZACION!$A$1:$C$269,2,FALSE)</f>
        <v>TRANSPORTE</v>
      </c>
      <c r="J927" s="188" t="s">
        <v>19</v>
      </c>
    </row>
    <row r="928" spans="1:10" ht="15.75" customHeight="1" x14ac:dyDescent="0.25">
      <c r="A928" s="1">
        <v>45082</v>
      </c>
      <c r="B928" s="188" t="s">
        <v>936</v>
      </c>
      <c r="C928" s="188" t="s">
        <v>36</v>
      </c>
      <c r="D928" s="188" t="s">
        <v>37</v>
      </c>
      <c r="E928" s="4">
        <v>9200</v>
      </c>
      <c r="F928" s="5">
        <v>52500</v>
      </c>
      <c r="G928" s="4">
        <v>11025</v>
      </c>
      <c r="H928" s="4">
        <v>72725</v>
      </c>
      <c r="I928" s="188" t="str">
        <f>VLOOKUP(C928,CATEGORIZACION!$A$1:$C$269,2,FALSE)</f>
        <v>TRANSPORTE</v>
      </c>
      <c r="J928" s="188" t="s">
        <v>19</v>
      </c>
    </row>
    <row r="929" spans="1:10" ht="15.75" customHeight="1" x14ac:dyDescent="0.25">
      <c r="A929" s="1">
        <v>45082</v>
      </c>
      <c r="B929" s="188" t="s">
        <v>937</v>
      </c>
      <c r="C929" s="188" t="s">
        <v>36</v>
      </c>
      <c r="D929" s="188" t="s">
        <v>37</v>
      </c>
      <c r="E929" s="4">
        <v>9200</v>
      </c>
      <c r="F929" s="5">
        <v>57750</v>
      </c>
      <c r="G929" s="4">
        <v>12127.5</v>
      </c>
      <c r="H929" s="4">
        <v>79077.5</v>
      </c>
      <c r="I929" s="188" t="str">
        <f>VLOOKUP(C929,CATEGORIZACION!$A$1:$C$269,2,FALSE)</f>
        <v>TRANSPORTE</v>
      </c>
      <c r="J929" s="188" t="s">
        <v>19</v>
      </c>
    </row>
    <row r="930" spans="1:10" ht="15.75" customHeight="1" x14ac:dyDescent="0.25">
      <c r="A930" s="1">
        <v>45082</v>
      </c>
      <c r="B930" s="188" t="s">
        <v>938</v>
      </c>
      <c r="C930" s="188" t="s">
        <v>36</v>
      </c>
      <c r="D930" s="188" t="s">
        <v>37</v>
      </c>
      <c r="E930" s="4">
        <v>9200</v>
      </c>
      <c r="F930" s="5">
        <v>52500</v>
      </c>
      <c r="G930" s="4">
        <v>11025</v>
      </c>
      <c r="H930" s="4">
        <v>72725</v>
      </c>
      <c r="I930" s="188" t="str">
        <f>VLOOKUP(C930,CATEGORIZACION!$A$1:$C$269,2,FALSE)</f>
        <v>TRANSPORTE</v>
      </c>
      <c r="J930" s="188" t="s">
        <v>19</v>
      </c>
    </row>
    <row r="931" spans="1:10" ht="15.75" customHeight="1" x14ac:dyDescent="0.25">
      <c r="A931" s="1">
        <v>45082</v>
      </c>
      <c r="B931" s="188" t="s">
        <v>939</v>
      </c>
      <c r="C931" s="188" t="s">
        <v>36</v>
      </c>
      <c r="D931" s="188" t="s">
        <v>37</v>
      </c>
      <c r="E931" s="4">
        <v>16000</v>
      </c>
      <c r="F931" s="5">
        <v>82500</v>
      </c>
      <c r="G931" s="4">
        <v>17325</v>
      </c>
      <c r="H931" s="4">
        <v>115825</v>
      </c>
      <c r="I931" s="188" t="str">
        <f>VLOOKUP(C931,CATEGORIZACION!$A$1:$C$269,2,FALSE)</f>
        <v>TRANSPORTE</v>
      </c>
      <c r="J931" s="188" t="s">
        <v>19</v>
      </c>
    </row>
    <row r="932" spans="1:10" ht="15.75" customHeight="1" x14ac:dyDescent="0.25">
      <c r="A932" s="1">
        <v>45082</v>
      </c>
      <c r="B932" s="188" t="s">
        <v>940</v>
      </c>
      <c r="C932" s="188" t="s">
        <v>36</v>
      </c>
      <c r="D932" s="188" t="s">
        <v>37</v>
      </c>
      <c r="E932" s="4">
        <v>11500</v>
      </c>
      <c r="F932" s="5">
        <v>69850</v>
      </c>
      <c r="G932" s="4">
        <v>14668.5</v>
      </c>
      <c r="H932" s="4">
        <v>96018.5</v>
      </c>
      <c r="I932" s="188" t="str">
        <f>VLOOKUP(C932,CATEGORIZACION!$A$1:$C$269,2,FALSE)</f>
        <v>TRANSPORTE</v>
      </c>
      <c r="J932" s="188" t="s">
        <v>19</v>
      </c>
    </row>
    <row r="933" spans="1:10" ht="15.75" customHeight="1" x14ac:dyDescent="0.25">
      <c r="A933" s="1">
        <v>45082</v>
      </c>
      <c r="B933" s="188" t="s">
        <v>941</v>
      </c>
      <c r="C933" s="188" t="s">
        <v>36</v>
      </c>
      <c r="D933" s="188" t="s">
        <v>37</v>
      </c>
      <c r="E933" s="4">
        <v>5000</v>
      </c>
      <c r="F933" s="5">
        <v>83700</v>
      </c>
      <c r="G933" s="4">
        <v>17577</v>
      </c>
      <c r="H933" s="4">
        <v>106277</v>
      </c>
      <c r="I933" s="188" t="str">
        <f>VLOOKUP(C933,CATEGORIZACION!$A$1:$C$269,2,FALSE)</f>
        <v>TRANSPORTE</v>
      </c>
      <c r="J933" s="188" t="s">
        <v>19</v>
      </c>
    </row>
    <row r="934" spans="1:10" ht="15.75" customHeight="1" x14ac:dyDescent="0.25">
      <c r="A934" s="1">
        <v>45082</v>
      </c>
      <c r="B934" s="188" t="s">
        <v>942</v>
      </c>
      <c r="C934" s="188" t="s">
        <v>36</v>
      </c>
      <c r="D934" s="188" t="s">
        <v>37</v>
      </c>
      <c r="E934" s="4">
        <v>5000</v>
      </c>
      <c r="F934" s="5">
        <v>83700</v>
      </c>
      <c r="G934" s="4">
        <v>17577</v>
      </c>
      <c r="H934" s="4">
        <v>106277</v>
      </c>
      <c r="I934" s="188" t="str">
        <f>VLOOKUP(C934,CATEGORIZACION!$A$1:$C$269,2,FALSE)</f>
        <v>TRANSPORTE</v>
      </c>
      <c r="J934" s="188" t="s">
        <v>19</v>
      </c>
    </row>
    <row r="935" spans="1:10" ht="15.75" customHeight="1" x14ac:dyDescent="0.25">
      <c r="A935" s="1">
        <v>45082</v>
      </c>
      <c r="B935" s="188" t="s">
        <v>943</v>
      </c>
      <c r="C935" s="188" t="s">
        <v>36</v>
      </c>
      <c r="D935" s="188" t="s">
        <v>37</v>
      </c>
      <c r="E935" s="4">
        <v>11500</v>
      </c>
      <c r="F935" s="5">
        <v>72650</v>
      </c>
      <c r="G935" s="4">
        <v>15256.5</v>
      </c>
      <c r="H935" s="4">
        <v>99406.5</v>
      </c>
      <c r="I935" s="188" t="str">
        <f>VLOOKUP(C935,CATEGORIZACION!$A$1:$C$269,2,FALSE)</f>
        <v>TRANSPORTE</v>
      </c>
      <c r="J935" s="188" t="s">
        <v>19</v>
      </c>
    </row>
    <row r="936" spans="1:10" ht="15.75" customHeight="1" x14ac:dyDescent="0.25">
      <c r="A936" s="1">
        <v>45082</v>
      </c>
      <c r="B936" s="188" t="s">
        <v>944</v>
      </c>
      <c r="C936" s="188" t="s">
        <v>36</v>
      </c>
      <c r="D936" s="188" t="s">
        <v>37</v>
      </c>
      <c r="E936" s="4">
        <v>9200</v>
      </c>
      <c r="F936" s="5">
        <v>52500</v>
      </c>
      <c r="G936" s="4">
        <v>11025</v>
      </c>
      <c r="H936" s="4">
        <v>72725</v>
      </c>
      <c r="I936" s="188" t="str">
        <f>VLOOKUP(C936,CATEGORIZACION!$A$1:$C$269,2,FALSE)</f>
        <v>TRANSPORTE</v>
      </c>
      <c r="J936" s="188" t="s">
        <v>19</v>
      </c>
    </row>
    <row r="937" spans="1:10" ht="15.75" customHeight="1" x14ac:dyDescent="0.25">
      <c r="A937" s="1">
        <v>45082</v>
      </c>
      <c r="B937" s="188" t="s">
        <v>945</v>
      </c>
      <c r="C937" s="188" t="s">
        <v>36</v>
      </c>
      <c r="D937" s="188" t="s">
        <v>37</v>
      </c>
      <c r="E937" s="4">
        <v>14500</v>
      </c>
      <c r="F937" s="5">
        <v>83800</v>
      </c>
      <c r="G937" s="4">
        <v>17598</v>
      </c>
      <c r="H937" s="4">
        <v>115898</v>
      </c>
      <c r="I937" s="188" t="str">
        <f>VLOOKUP(C937,CATEGORIZACION!$A$1:$C$269,2,FALSE)</f>
        <v>TRANSPORTE</v>
      </c>
      <c r="J937" s="188" t="s">
        <v>19</v>
      </c>
    </row>
    <row r="938" spans="1:10" ht="15.75" customHeight="1" x14ac:dyDescent="0.25">
      <c r="A938" s="1">
        <v>45082</v>
      </c>
      <c r="B938" s="188" t="s">
        <v>946</v>
      </c>
      <c r="C938" s="188" t="s">
        <v>36</v>
      </c>
      <c r="D938" s="188" t="s">
        <v>37</v>
      </c>
      <c r="E938" s="4">
        <v>9200</v>
      </c>
      <c r="F938" s="5">
        <v>99950</v>
      </c>
      <c r="G938" s="4">
        <v>20989.5</v>
      </c>
      <c r="H938" s="4">
        <v>130139.5</v>
      </c>
      <c r="I938" s="188" t="str">
        <f>VLOOKUP(C938,CATEGORIZACION!$A$1:$C$269,2,FALSE)</f>
        <v>TRANSPORTE</v>
      </c>
      <c r="J938" s="188" t="s">
        <v>19</v>
      </c>
    </row>
    <row r="939" spans="1:10" ht="15.75" customHeight="1" x14ac:dyDescent="0.25">
      <c r="A939" s="1">
        <v>45082</v>
      </c>
      <c r="B939" s="188" t="s">
        <v>947</v>
      </c>
      <c r="C939" s="188" t="s">
        <v>36</v>
      </c>
      <c r="D939" s="188" t="s">
        <v>37</v>
      </c>
      <c r="E939" s="4">
        <v>16000</v>
      </c>
      <c r="F939" s="5">
        <v>83800</v>
      </c>
      <c r="G939" s="4">
        <v>17598</v>
      </c>
      <c r="H939" s="4">
        <v>117398</v>
      </c>
      <c r="I939" s="188" t="str">
        <f>VLOOKUP(C939,CATEGORIZACION!$A$1:$C$269,2,FALSE)</f>
        <v>TRANSPORTE</v>
      </c>
      <c r="J939" s="188" t="s">
        <v>19</v>
      </c>
    </row>
    <row r="940" spans="1:10" ht="15.75" customHeight="1" x14ac:dyDescent="0.25">
      <c r="A940" s="1">
        <v>45082</v>
      </c>
      <c r="B940" s="188" t="s">
        <v>948</v>
      </c>
      <c r="C940" s="188" t="s">
        <v>253</v>
      </c>
      <c r="D940" s="188" t="s">
        <v>57</v>
      </c>
      <c r="E940" s="4">
        <v>-2.3283064365386963E-12</v>
      </c>
      <c r="F940" s="5">
        <v>16519.3</v>
      </c>
      <c r="G940" s="4">
        <v>3469.05</v>
      </c>
      <c r="H940" s="4">
        <v>19988.349999999999</v>
      </c>
      <c r="I940" s="188" t="str">
        <f>VLOOKUP(C940,CATEGORIZACION!$A$1:$C$269,2,FALSE)</f>
        <v>PROOVEDORES</v>
      </c>
      <c r="J940" s="188" t="str">
        <f>VLOOKUP(C940,CATEGORIZACION!$A$1:$C$269,3,FALSE)</f>
        <v>LOGISTICA</v>
      </c>
    </row>
    <row r="941" spans="1:10" ht="15.75" customHeight="1" x14ac:dyDescent="0.25">
      <c r="A941" s="1">
        <v>45083</v>
      </c>
      <c r="B941" s="188" t="s">
        <v>949</v>
      </c>
      <c r="C941" s="188" t="s">
        <v>17</v>
      </c>
      <c r="D941" s="188" t="s">
        <v>18</v>
      </c>
      <c r="E941" s="4">
        <v>0</v>
      </c>
      <c r="F941" s="5">
        <v>-45000</v>
      </c>
      <c r="G941" s="4">
        <v>-9450</v>
      </c>
      <c r="H941" s="4">
        <v>-54450</v>
      </c>
      <c r="I941" s="188" t="str">
        <f>VLOOKUP(C941,CATEGORIZACION!$A$1:$C$269,2,FALSE)</f>
        <v>TRANSPORTE</v>
      </c>
      <c r="J941" s="188" t="s">
        <v>19</v>
      </c>
    </row>
    <row r="942" spans="1:10" ht="15.75" customHeight="1" x14ac:dyDescent="0.25">
      <c r="A942" s="1">
        <v>45083</v>
      </c>
      <c r="B942" s="188" t="s">
        <v>950</v>
      </c>
      <c r="C942" s="188" t="s">
        <v>714</v>
      </c>
      <c r="D942" s="188" t="s">
        <v>715</v>
      </c>
      <c r="E942" s="4">
        <v>2.3283064365386963E-12</v>
      </c>
      <c r="F942" s="3">
        <v>17939.599999999999</v>
      </c>
      <c r="G942" s="4">
        <v>3767.32</v>
      </c>
      <c r="H942" s="4">
        <v>21706.92</v>
      </c>
      <c r="I942" s="188" t="str">
        <f>VLOOKUP(C942,CATEGORIZACION!$A$1:$C$269,2,FALSE)</f>
        <v>PROOVEDORES</v>
      </c>
      <c r="J942" s="188" t="str">
        <f>VLOOKUP(C942,CATEGORIZACION!$A$1:$C$269,3,FALSE)</f>
        <v>DEPOSITO</v>
      </c>
    </row>
    <row r="943" spans="1:10" ht="15.75" customHeight="1" x14ac:dyDescent="0.25">
      <c r="A943" s="1">
        <v>45083</v>
      </c>
      <c r="B943" s="188" t="s">
        <v>951</v>
      </c>
      <c r="C943" s="188" t="s">
        <v>952</v>
      </c>
      <c r="D943" s="188" t="s">
        <v>953</v>
      </c>
      <c r="E943" s="4">
        <v>0</v>
      </c>
      <c r="F943" s="5">
        <v>13222.61</v>
      </c>
      <c r="G943" s="4">
        <v>2776.75</v>
      </c>
      <c r="H943" s="4">
        <v>15999.36</v>
      </c>
      <c r="I943" s="188" t="str">
        <f>VLOOKUP(C943,CATEGORIZACION!$A$1:$C$269,2,FALSE)</f>
        <v>PROOVEDORES</v>
      </c>
      <c r="J943" s="188" t="str">
        <f>VLOOKUP(C943,CATEGORIZACION!$A$1:$C$269,3,FALSE)</f>
        <v>LOGISTICA</v>
      </c>
    </row>
    <row r="944" spans="1:10" ht="15.75" customHeight="1" x14ac:dyDescent="0.25">
      <c r="A944" s="1">
        <v>45083</v>
      </c>
      <c r="B944" s="188" t="s">
        <v>954</v>
      </c>
      <c r="C944" s="188" t="s">
        <v>46</v>
      </c>
      <c r="D944" s="188" t="s">
        <v>47</v>
      </c>
      <c r="E944" s="4">
        <v>0</v>
      </c>
      <c r="F944" s="5">
        <v>2057500</v>
      </c>
      <c r="G944" s="4">
        <v>432075</v>
      </c>
      <c r="H944" s="4">
        <v>2489575</v>
      </c>
      <c r="I944" s="188" t="str">
        <f>VLOOKUP(C944,CATEGORIZACION!$A$1:$C$269,2,FALSE)</f>
        <v>TRANSPORTE</v>
      </c>
      <c r="J944" s="188" t="s">
        <v>19</v>
      </c>
    </row>
    <row r="945" spans="1:10" ht="15.75" customHeight="1" x14ac:dyDescent="0.25">
      <c r="A945" s="1">
        <v>45084</v>
      </c>
      <c r="B945" s="188" t="s">
        <v>955</v>
      </c>
      <c r="C945" s="188" t="s">
        <v>426</v>
      </c>
      <c r="D945" s="188" t="s">
        <v>427</v>
      </c>
      <c r="E945" s="4">
        <v>2495</v>
      </c>
      <c r="F945" s="5">
        <v>21202.33</v>
      </c>
      <c r="G945" s="4">
        <v>4452.49</v>
      </c>
      <c r="H945" s="4">
        <v>28149.82</v>
      </c>
      <c r="I945" s="188" t="str">
        <f>VLOOKUP(C945,CATEGORIZACION!$A$1:$C$269,2,FALSE)</f>
        <v>PROOVEDORES</v>
      </c>
      <c r="J945" s="188" t="str">
        <f>VLOOKUP(C945,CATEGORIZACION!$A$1:$C$269,3,FALSE)</f>
        <v>LOGISTICA</v>
      </c>
    </row>
    <row r="946" spans="1:10" ht="15.75" customHeight="1" x14ac:dyDescent="0.25">
      <c r="A946" s="1">
        <v>45086</v>
      </c>
      <c r="B946" s="188" t="s">
        <v>956</v>
      </c>
      <c r="C946" s="188" t="s">
        <v>21</v>
      </c>
      <c r="D946" s="188" t="s">
        <v>22</v>
      </c>
      <c r="E946" s="4">
        <v>0</v>
      </c>
      <c r="F946" s="5">
        <v>24200</v>
      </c>
      <c r="G946" s="4">
        <v>5082</v>
      </c>
      <c r="H946" s="4">
        <v>29282</v>
      </c>
      <c r="I946" s="188" t="str">
        <f>VLOOKUP(C946,CATEGORIZACION!$A$1:$C$269,2,FALSE)</f>
        <v>TRANSPORTE</v>
      </c>
      <c r="J946" s="188" t="s">
        <v>19</v>
      </c>
    </row>
    <row r="947" spans="1:10" ht="15.75" customHeight="1" x14ac:dyDescent="0.25">
      <c r="A947" s="1">
        <v>45086</v>
      </c>
      <c r="B947" s="188" t="s">
        <v>957</v>
      </c>
      <c r="C947" s="188" t="s">
        <v>36</v>
      </c>
      <c r="D947" s="188" t="s">
        <v>37</v>
      </c>
      <c r="E947" s="4">
        <v>6200</v>
      </c>
      <c r="F947" s="5">
        <v>43500</v>
      </c>
      <c r="G947" s="4">
        <v>9135</v>
      </c>
      <c r="H947" s="4">
        <v>58835</v>
      </c>
      <c r="I947" s="188" t="str">
        <f>VLOOKUP(C947,CATEGORIZACION!$A$1:$C$269,2,FALSE)</f>
        <v>TRANSPORTE</v>
      </c>
      <c r="J947" s="188" t="s">
        <v>19</v>
      </c>
    </row>
    <row r="948" spans="1:10" ht="15.75" customHeight="1" x14ac:dyDescent="0.25">
      <c r="A948" s="1">
        <v>45086</v>
      </c>
      <c r="B948" s="188" t="s">
        <v>958</v>
      </c>
      <c r="C948" s="188" t="s">
        <v>36</v>
      </c>
      <c r="D948" s="188" t="s">
        <v>37</v>
      </c>
      <c r="E948" s="4">
        <v>6200</v>
      </c>
      <c r="F948" s="5">
        <v>43500</v>
      </c>
      <c r="G948" s="4">
        <v>9135</v>
      </c>
      <c r="H948" s="4">
        <v>58835</v>
      </c>
      <c r="I948" s="188" t="str">
        <f>VLOOKUP(C948,CATEGORIZACION!$A$1:$C$269,2,FALSE)</f>
        <v>TRANSPORTE</v>
      </c>
      <c r="J948" s="188" t="s">
        <v>19</v>
      </c>
    </row>
    <row r="949" spans="1:10" ht="15.75" customHeight="1" x14ac:dyDescent="0.25">
      <c r="A949" s="1">
        <v>45086</v>
      </c>
      <c r="B949" s="188" t="s">
        <v>959</v>
      </c>
      <c r="C949" s="188" t="s">
        <v>36</v>
      </c>
      <c r="D949" s="188" t="s">
        <v>37</v>
      </c>
      <c r="E949" s="4">
        <v>6200</v>
      </c>
      <c r="F949" s="5">
        <v>181330</v>
      </c>
      <c r="G949" s="4">
        <v>38079.300000000003</v>
      </c>
      <c r="H949" s="4">
        <v>225609.3</v>
      </c>
      <c r="I949" s="188" t="str">
        <f>VLOOKUP(C949,CATEGORIZACION!$A$1:$C$269,2,FALSE)</f>
        <v>TRANSPORTE</v>
      </c>
      <c r="J949" s="188" t="s">
        <v>19</v>
      </c>
    </row>
    <row r="950" spans="1:10" ht="15.75" customHeight="1" x14ac:dyDescent="0.25">
      <c r="A950" s="1">
        <v>45086</v>
      </c>
      <c r="B950" s="188" t="s">
        <v>960</v>
      </c>
      <c r="C950" s="188" t="s">
        <v>36</v>
      </c>
      <c r="D950" s="188" t="s">
        <v>37</v>
      </c>
      <c r="E950" s="4">
        <v>6200</v>
      </c>
      <c r="F950" s="5">
        <v>181330</v>
      </c>
      <c r="G950" s="4">
        <v>38079.300000000003</v>
      </c>
      <c r="H950" s="4">
        <v>225609.3</v>
      </c>
      <c r="I950" s="188" t="str">
        <f>VLOOKUP(C950,CATEGORIZACION!$A$1:$C$269,2,FALSE)</f>
        <v>TRANSPORTE</v>
      </c>
      <c r="J950" s="188" t="s">
        <v>19</v>
      </c>
    </row>
    <row r="951" spans="1:10" ht="15.75" customHeight="1" x14ac:dyDescent="0.25">
      <c r="A951" s="1">
        <v>45086</v>
      </c>
      <c r="B951" s="188" t="s">
        <v>961</v>
      </c>
      <c r="C951" s="188" t="s">
        <v>36</v>
      </c>
      <c r="D951" s="188" t="s">
        <v>37</v>
      </c>
      <c r="E951" s="4">
        <v>6700</v>
      </c>
      <c r="F951" s="5">
        <v>69850</v>
      </c>
      <c r="G951" s="4">
        <v>14668.5</v>
      </c>
      <c r="H951" s="4">
        <v>91218.5</v>
      </c>
      <c r="I951" s="188" t="str">
        <f>VLOOKUP(C951,CATEGORIZACION!$A$1:$C$269,2,FALSE)</f>
        <v>TRANSPORTE</v>
      </c>
      <c r="J951" s="188" t="s">
        <v>19</v>
      </c>
    </row>
    <row r="952" spans="1:10" ht="15.75" customHeight="1" x14ac:dyDescent="0.25">
      <c r="A952" s="1">
        <v>45086</v>
      </c>
      <c r="B952" s="188" t="s">
        <v>962</v>
      </c>
      <c r="C952" s="188" t="s">
        <v>36</v>
      </c>
      <c r="D952" s="188" t="s">
        <v>37</v>
      </c>
      <c r="E952" s="4">
        <v>9200</v>
      </c>
      <c r="F952" s="5">
        <v>57750</v>
      </c>
      <c r="G952" s="4">
        <v>12127.5</v>
      </c>
      <c r="H952" s="4">
        <v>79077.5</v>
      </c>
      <c r="I952" s="188" t="str">
        <f>VLOOKUP(C952,CATEGORIZACION!$A$1:$C$269,2,FALSE)</f>
        <v>TRANSPORTE</v>
      </c>
      <c r="J952" s="188" t="s">
        <v>19</v>
      </c>
    </row>
    <row r="953" spans="1:10" ht="15.75" customHeight="1" x14ac:dyDescent="0.25">
      <c r="A953" s="1">
        <v>45086</v>
      </c>
      <c r="B953" s="188" t="s">
        <v>963</v>
      </c>
      <c r="C953" s="188" t="s">
        <v>36</v>
      </c>
      <c r="D953" s="188" t="s">
        <v>37</v>
      </c>
      <c r="E953" s="4">
        <v>9200</v>
      </c>
      <c r="F953" s="5">
        <v>57750</v>
      </c>
      <c r="G953" s="4">
        <v>12127.5</v>
      </c>
      <c r="H953" s="4">
        <v>79077.5</v>
      </c>
      <c r="I953" s="188" t="str">
        <f>VLOOKUP(C953,CATEGORIZACION!$A$1:$C$269,2,FALSE)</f>
        <v>TRANSPORTE</v>
      </c>
      <c r="J953" s="188" t="s">
        <v>19</v>
      </c>
    </row>
    <row r="954" spans="1:10" ht="15.75" customHeight="1" x14ac:dyDescent="0.25">
      <c r="A954" s="1">
        <v>45086</v>
      </c>
      <c r="B954" s="188" t="s">
        <v>964</v>
      </c>
      <c r="C954" s="188" t="s">
        <v>36</v>
      </c>
      <c r="D954" s="188" t="s">
        <v>37</v>
      </c>
      <c r="E954" s="4">
        <v>9200</v>
      </c>
      <c r="F954" s="5">
        <v>57750</v>
      </c>
      <c r="G954" s="4">
        <v>12127.5</v>
      </c>
      <c r="H954" s="4">
        <v>79077.5</v>
      </c>
      <c r="I954" s="188" t="str">
        <f>VLOOKUP(C954,CATEGORIZACION!$A$1:$C$269,2,FALSE)</f>
        <v>TRANSPORTE</v>
      </c>
      <c r="J954" s="188" t="s">
        <v>19</v>
      </c>
    </row>
    <row r="955" spans="1:10" ht="15.75" customHeight="1" x14ac:dyDescent="0.25">
      <c r="A955" s="1">
        <v>45086</v>
      </c>
      <c r="B955" s="188" t="s">
        <v>965</v>
      </c>
      <c r="C955" s="188" t="s">
        <v>36</v>
      </c>
      <c r="D955" s="188" t="s">
        <v>37</v>
      </c>
      <c r="E955" s="4">
        <v>16000</v>
      </c>
      <c r="F955" s="5">
        <v>82500</v>
      </c>
      <c r="G955" s="4">
        <v>17325</v>
      </c>
      <c r="H955" s="4">
        <v>115825</v>
      </c>
      <c r="I955" s="188" t="str">
        <f>VLOOKUP(C955,CATEGORIZACION!$A$1:$C$269,2,FALSE)</f>
        <v>TRANSPORTE</v>
      </c>
      <c r="J955" s="188" t="s">
        <v>19</v>
      </c>
    </row>
    <row r="956" spans="1:10" ht="15.75" customHeight="1" x14ac:dyDescent="0.25">
      <c r="A956" s="1">
        <v>45086</v>
      </c>
      <c r="B956" s="188" t="s">
        <v>966</v>
      </c>
      <c r="C956" s="188" t="s">
        <v>36</v>
      </c>
      <c r="D956" s="188" t="s">
        <v>37</v>
      </c>
      <c r="E956" s="4">
        <v>11500</v>
      </c>
      <c r="F956" s="5">
        <v>69850</v>
      </c>
      <c r="G956" s="4">
        <v>14668.5</v>
      </c>
      <c r="H956" s="4">
        <v>96018.5</v>
      </c>
      <c r="I956" s="188" t="str">
        <f>VLOOKUP(C956,CATEGORIZACION!$A$1:$C$269,2,FALSE)</f>
        <v>TRANSPORTE</v>
      </c>
      <c r="J956" s="188" t="s">
        <v>19</v>
      </c>
    </row>
    <row r="957" spans="1:10" ht="15.75" customHeight="1" x14ac:dyDescent="0.25">
      <c r="A957" s="1">
        <v>45086</v>
      </c>
      <c r="B957" s="188" t="s">
        <v>967</v>
      </c>
      <c r="C957" s="188" t="s">
        <v>36</v>
      </c>
      <c r="D957" s="188" t="s">
        <v>37</v>
      </c>
      <c r="E957" s="4">
        <v>6700</v>
      </c>
      <c r="F957" s="5">
        <v>69850</v>
      </c>
      <c r="G957" s="4">
        <v>14668.5</v>
      </c>
      <c r="H957" s="4">
        <v>91218.5</v>
      </c>
      <c r="I957" s="188" t="str">
        <f>VLOOKUP(C957,CATEGORIZACION!$A$1:$C$269,2,FALSE)</f>
        <v>TRANSPORTE</v>
      </c>
      <c r="J957" s="188" t="s">
        <v>19</v>
      </c>
    </row>
    <row r="958" spans="1:10" ht="15.75" customHeight="1" x14ac:dyDescent="0.25">
      <c r="A958" s="1">
        <v>45086</v>
      </c>
      <c r="B958" s="188" t="s">
        <v>968</v>
      </c>
      <c r="C958" s="188" t="s">
        <v>36</v>
      </c>
      <c r="D958" s="188" t="s">
        <v>37</v>
      </c>
      <c r="E958" s="4">
        <v>9200</v>
      </c>
      <c r="F958" s="5">
        <v>99950</v>
      </c>
      <c r="G958" s="4">
        <v>20989.5</v>
      </c>
      <c r="H958" s="4">
        <v>130139.5</v>
      </c>
      <c r="I958" s="188" t="str">
        <f>VLOOKUP(C958,CATEGORIZACION!$A$1:$C$269,2,FALSE)</f>
        <v>TRANSPORTE</v>
      </c>
      <c r="J958" s="188" t="s">
        <v>19</v>
      </c>
    </row>
    <row r="959" spans="1:10" ht="15.75" customHeight="1" x14ac:dyDescent="0.25">
      <c r="A959" s="1">
        <v>45086</v>
      </c>
      <c r="B959" s="188" t="s">
        <v>969</v>
      </c>
      <c r="C959" s="188" t="s">
        <v>36</v>
      </c>
      <c r="D959" s="188" t="s">
        <v>37</v>
      </c>
      <c r="E959" s="4">
        <v>14500</v>
      </c>
      <c r="F959" s="5">
        <v>93050</v>
      </c>
      <c r="G959" s="4">
        <v>19540.5</v>
      </c>
      <c r="H959" s="4">
        <v>127090.5</v>
      </c>
      <c r="I959" s="188" t="str">
        <f>VLOOKUP(C959,CATEGORIZACION!$A$1:$C$269,2,FALSE)</f>
        <v>TRANSPORTE</v>
      </c>
      <c r="J959" s="188" t="s">
        <v>19</v>
      </c>
    </row>
    <row r="960" spans="1:10" ht="15.75" customHeight="1" x14ac:dyDescent="0.25">
      <c r="A960" s="1">
        <v>45086</v>
      </c>
      <c r="B960" s="188" t="s">
        <v>970</v>
      </c>
      <c r="C960" s="188" t="s">
        <v>36</v>
      </c>
      <c r="D960" s="188" t="s">
        <v>37</v>
      </c>
      <c r="E960" s="4">
        <v>9200</v>
      </c>
      <c r="F960" s="5">
        <v>139700</v>
      </c>
      <c r="G960" s="4">
        <v>29337</v>
      </c>
      <c r="H960" s="4">
        <v>178237</v>
      </c>
      <c r="I960" s="188" t="str">
        <f>VLOOKUP(C960,CATEGORIZACION!$A$1:$C$269,2,FALSE)</f>
        <v>TRANSPORTE</v>
      </c>
      <c r="J960" s="188" t="s">
        <v>19</v>
      </c>
    </row>
    <row r="961" spans="1:10" ht="15.75" customHeight="1" x14ac:dyDescent="0.25">
      <c r="A961" s="1">
        <v>45086</v>
      </c>
      <c r="B961" s="188" t="s">
        <v>971</v>
      </c>
      <c r="C961" s="188" t="s">
        <v>36</v>
      </c>
      <c r="D961" s="188" t="s">
        <v>37</v>
      </c>
      <c r="E961" s="4">
        <v>11500</v>
      </c>
      <c r="F961" s="5">
        <v>185640</v>
      </c>
      <c r="G961" s="4">
        <v>38984.400000000001</v>
      </c>
      <c r="H961" s="4">
        <v>236124.4</v>
      </c>
      <c r="I961" s="188" t="str">
        <f>VLOOKUP(C961,CATEGORIZACION!$A$1:$C$269,2,FALSE)</f>
        <v>TRANSPORTE</v>
      </c>
      <c r="J961" s="188" t="s">
        <v>19</v>
      </c>
    </row>
    <row r="962" spans="1:10" ht="15.75" customHeight="1" x14ac:dyDescent="0.25">
      <c r="A962" s="1">
        <v>45086</v>
      </c>
      <c r="B962" s="188" t="s">
        <v>972</v>
      </c>
      <c r="C962" s="188" t="s">
        <v>36</v>
      </c>
      <c r="D962" s="188" t="s">
        <v>37</v>
      </c>
      <c r="E962" s="4">
        <v>11500</v>
      </c>
      <c r="F962" s="5">
        <v>185640</v>
      </c>
      <c r="G962" s="4">
        <v>38984.400000000001</v>
      </c>
      <c r="H962" s="4">
        <v>236124.4</v>
      </c>
      <c r="I962" s="188" t="str">
        <f>VLOOKUP(C962,CATEGORIZACION!$A$1:$C$269,2,FALSE)</f>
        <v>TRANSPORTE</v>
      </c>
      <c r="J962" s="188" t="s">
        <v>19</v>
      </c>
    </row>
    <row r="963" spans="1:10" ht="15.75" customHeight="1" x14ac:dyDescent="0.25">
      <c r="A963" s="1">
        <v>45086</v>
      </c>
      <c r="B963" s="188" t="s">
        <v>973</v>
      </c>
      <c r="C963" s="188" t="s">
        <v>36</v>
      </c>
      <c r="D963" s="188" t="s">
        <v>37</v>
      </c>
      <c r="E963" s="4">
        <v>7400</v>
      </c>
      <c r="F963" s="5">
        <v>120950</v>
      </c>
      <c r="G963" s="4">
        <v>25399.5</v>
      </c>
      <c r="H963" s="4">
        <v>153749.5</v>
      </c>
      <c r="I963" s="188" t="str">
        <f>VLOOKUP(C963,CATEGORIZACION!$A$1:$C$269,2,FALSE)</f>
        <v>TRANSPORTE</v>
      </c>
      <c r="J963" s="188" t="s">
        <v>19</v>
      </c>
    </row>
    <row r="964" spans="1:10" ht="15.75" customHeight="1" x14ac:dyDescent="0.25">
      <c r="A964" s="1">
        <v>45086</v>
      </c>
      <c r="B964" s="188" t="s">
        <v>974</v>
      </c>
      <c r="C964" s="188" t="s">
        <v>36</v>
      </c>
      <c r="D964" s="188" t="s">
        <v>37</v>
      </c>
      <c r="E964" s="4">
        <v>9200</v>
      </c>
      <c r="F964" s="5">
        <v>157150</v>
      </c>
      <c r="G964" s="4">
        <v>33001.5</v>
      </c>
      <c r="H964" s="4">
        <v>199351.5</v>
      </c>
      <c r="I964" s="188" t="str">
        <f>VLOOKUP(C964,CATEGORIZACION!$A$1:$C$269,2,FALSE)</f>
        <v>TRANSPORTE</v>
      </c>
      <c r="J964" s="188" t="s">
        <v>19</v>
      </c>
    </row>
    <row r="965" spans="1:10" ht="15.75" customHeight="1" x14ac:dyDescent="0.25">
      <c r="A965" s="1">
        <v>45089</v>
      </c>
      <c r="B965" s="188" t="s">
        <v>975</v>
      </c>
      <c r="C965" s="188" t="s">
        <v>17</v>
      </c>
      <c r="D965" s="188" t="s">
        <v>18</v>
      </c>
      <c r="E965" s="4">
        <v>51980</v>
      </c>
      <c r="F965" s="5">
        <v>478000</v>
      </c>
      <c r="G965" s="4">
        <v>100380</v>
      </c>
      <c r="H965" s="4">
        <v>630360</v>
      </c>
      <c r="I965" s="188" t="str">
        <f>VLOOKUP(C965,CATEGORIZACION!$A$1:$C$269,2,FALSE)</f>
        <v>TRANSPORTE</v>
      </c>
      <c r="J965" s="188" t="s">
        <v>19</v>
      </c>
    </row>
    <row r="966" spans="1:10" ht="15.75" customHeight="1" x14ac:dyDescent="0.25">
      <c r="A966" s="1">
        <v>45089</v>
      </c>
      <c r="B966" s="188" t="s">
        <v>976</v>
      </c>
      <c r="C966" s="188" t="s">
        <v>21</v>
      </c>
      <c r="D966" s="188" t="s">
        <v>22</v>
      </c>
      <c r="E966" s="4">
        <v>8160</v>
      </c>
      <c r="F966" s="5">
        <v>120000</v>
      </c>
      <c r="G966" s="4">
        <v>25200</v>
      </c>
      <c r="H966" s="4">
        <v>153360</v>
      </c>
      <c r="I966" s="188" t="str">
        <f>VLOOKUP(C966,CATEGORIZACION!$A$1:$C$269,2,FALSE)</f>
        <v>TRANSPORTE</v>
      </c>
      <c r="J966" s="188" t="s">
        <v>19</v>
      </c>
    </row>
    <row r="967" spans="1:10" ht="15.75" customHeight="1" x14ac:dyDescent="0.25">
      <c r="A967" s="1">
        <v>45089</v>
      </c>
      <c r="B967" s="188" t="s">
        <v>977</v>
      </c>
      <c r="C967" s="188" t="s">
        <v>36</v>
      </c>
      <c r="D967" s="188" t="s">
        <v>37</v>
      </c>
      <c r="E967" s="4">
        <v>6200</v>
      </c>
      <c r="F967" s="5">
        <v>43500</v>
      </c>
      <c r="G967" s="4">
        <v>9135</v>
      </c>
      <c r="H967" s="4">
        <v>58835</v>
      </c>
      <c r="I967" s="188" t="str">
        <f>VLOOKUP(C967,CATEGORIZACION!$A$1:$C$269,2,FALSE)</f>
        <v>TRANSPORTE</v>
      </c>
      <c r="J967" s="188" t="s">
        <v>19</v>
      </c>
    </row>
    <row r="968" spans="1:10" ht="15.75" customHeight="1" x14ac:dyDescent="0.25">
      <c r="A968" s="1">
        <v>45089</v>
      </c>
      <c r="B968" s="188" t="s">
        <v>978</v>
      </c>
      <c r="C968" s="188" t="s">
        <v>36</v>
      </c>
      <c r="D968" s="188" t="s">
        <v>37</v>
      </c>
      <c r="E968" s="4">
        <v>6200</v>
      </c>
      <c r="F968" s="5">
        <v>43500</v>
      </c>
      <c r="G968" s="4">
        <v>9135</v>
      </c>
      <c r="H968" s="4">
        <v>58835</v>
      </c>
      <c r="I968" s="188" t="str">
        <f>VLOOKUP(C968,CATEGORIZACION!$A$1:$C$269,2,FALSE)</f>
        <v>TRANSPORTE</v>
      </c>
      <c r="J968" s="188" t="s">
        <v>19</v>
      </c>
    </row>
    <row r="969" spans="1:10" ht="15.75" customHeight="1" x14ac:dyDescent="0.25">
      <c r="A969" s="1">
        <v>45089</v>
      </c>
      <c r="B969" s="188" t="s">
        <v>979</v>
      </c>
      <c r="C969" s="188" t="s">
        <v>36</v>
      </c>
      <c r="D969" s="188" t="s">
        <v>37</v>
      </c>
      <c r="E969" s="4">
        <v>9200</v>
      </c>
      <c r="F969" s="5">
        <v>52500</v>
      </c>
      <c r="G969" s="4">
        <v>11025</v>
      </c>
      <c r="H969" s="4">
        <v>72725</v>
      </c>
      <c r="I969" s="188" t="str">
        <f>VLOOKUP(C969,CATEGORIZACION!$A$1:$C$269,2,FALSE)</f>
        <v>TRANSPORTE</v>
      </c>
      <c r="J969" s="188" t="s">
        <v>19</v>
      </c>
    </row>
    <row r="970" spans="1:10" ht="15.75" customHeight="1" x14ac:dyDescent="0.25">
      <c r="A970" s="1">
        <v>45089</v>
      </c>
      <c r="B970" s="188" t="s">
        <v>980</v>
      </c>
      <c r="C970" s="188" t="s">
        <v>36</v>
      </c>
      <c r="D970" s="188" t="s">
        <v>37</v>
      </c>
      <c r="E970" s="4">
        <v>9200</v>
      </c>
      <c r="F970" s="5">
        <v>52500</v>
      </c>
      <c r="G970" s="4">
        <v>11025</v>
      </c>
      <c r="H970" s="4">
        <v>72725</v>
      </c>
      <c r="I970" s="188" t="str">
        <f>VLOOKUP(C970,CATEGORIZACION!$A$1:$C$269,2,FALSE)</f>
        <v>TRANSPORTE</v>
      </c>
      <c r="J970" s="188" t="s">
        <v>19</v>
      </c>
    </row>
    <row r="971" spans="1:10" ht="15.75" customHeight="1" x14ac:dyDescent="0.25">
      <c r="A971" s="1">
        <v>45089</v>
      </c>
      <c r="B971" s="188" t="s">
        <v>981</v>
      </c>
      <c r="C971" s="188" t="s">
        <v>36</v>
      </c>
      <c r="D971" s="188" t="s">
        <v>37</v>
      </c>
      <c r="E971" s="4">
        <v>9200</v>
      </c>
      <c r="F971" s="5">
        <v>52500</v>
      </c>
      <c r="G971" s="4">
        <v>11025</v>
      </c>
      <c r="H971" s="4">
        <v>72725</v>
      </c>
      <c r="I971" s="188" t="str">
        <f>VLOOKUP(C971,CATEGORIZACION!$A$1:$C$269,2,FALSE)</f>
        <v>TRANSPORTE</v>
      </c>
      <c r="J971" s="188" t="s">
        <v>19</v>
      </c>
    </row>
    <row r="972" spans="1:10" ht="15.75" customHeight="1" x14ac:dyDescent="0.25">
      <c r="A972" s="1">
        <v>45089</v>
      </c>
      <c r="B972" s="188" t="s">
        <v>982</v>
      </c>
      <c r="C972" s="188" t="s">
        <v>36</v>
      </c>
      <c r="D972" s="188" t="s">
        <v>37</v>
      </c>
      <c r="E972" s="4">
        <v>9200</v>
      </c>
      <c r="F972" s="5">
        <v>52500</v>
      </c>
      <c r="G972" s="4">
        <v>11025</v>
      </c>
      <c r="H972" s="4">
        <v>72725</v>
      </c>
      <c r="I972" s="188" t="str">
        <f>VLOOKUP(C972,CATEGORIZACION!$A$1:$C$269,2,FALSE)</f>
        <v>TRANSPORTE</v>
      </c>
      <c r="J972" s="188" t="s">
        <v>19</v>
      </c>
    </row>
    <row r="973" spans="1:10" ht="15.75" customHeight="1" x14ac:dyDescent="0.25">
      <c r="A973" s="1">
        <v>45089</v>
      </c>
      <c r="B973" s="188" t="s">
        <v>983</v>
      </c>
      <c r="C973" s="188" t="s">
        <v>36</v>
      </c>
      <c r="D973" s="188" t="s">
        <v>37</v>
      </c>
      <c r="E973" s="4">
        <v>9200</v>
      </c>
      <c r="F973" s="5">
        <v>52500</v>
      </c>
      <c r="G973" s="4">
        <v>11025</v>
      </c>
      <c r="H973" s="4">
        <v>72725</v>
      </c>
      <c r="I973" s="188" t="str">
        <f>VLOOKUP(C973,CATEGORIZACION!$A$1:$C$269,2,FALSE)</f>
        <v>TRANSPORTE</v>
      </c>
      <c r="J973" s="188" t="s">
        <v>19</v>
      </c>
    </row>
    <row r="974" spans="1:10" ht="15.75" customHeight="1" x14ac:dyDescent="0.25">
      <c r="A974" s="1">
        <v>45089</v>
      </c>
      <c r="B974" s="188" t="s">
        <v>984</v>
      </c>
      <c r="C974" s="188" t="s">
        <v>36</v>
      </c>
      <c r="D974" s="188" t="s">
        <v>37</v>
      </c>
      <c r="E974" s="4">
        <v>9200</v>
      </c>
      <c r="F974" s="5">
        <v>157150</v>
      </c>
      <c r="G974" s="4">
        <v>33001.5</v>
      </c>
      <c r="H974" s="4">
        <v>199351.5</v>
      </c>
      <c r="I974" s="188" t="str">
        <f>VLOOKUP(C974,CATEGORIZACION!$A$1:$C$269,2,FALSE)</f>
        <v>TRANSPORTE</v>
      </c>
      <c r="J974" s="188" t="s">
        <v>19</v>
      </c>
    </row>
    <row r="975" spans="1:10" ht="15.75" customHeight="1" x14ac:dyDescent="0.25">
      <c r="A975" s="1">
        <v>45089</v>
      </c>
      <c r="B975" s="188" t="s">
        <v>985</v>
      </c>
      <c r="C975" s="188" t="s">
        <v>36</v>
      </c>
      <c r="D975" s="188" t="s">
        <v>37</v>
      </c>
      <c r="E975" s="4">
        <v>5500</v>
      </c>
      <c r="F975" s="5">
        <v>188580</v>
      </c>
      <c r="G975" s="4">
        <v>39601.800000000003</v>
      </c>
      <c r="H975" s="4">
        <v>233681.8</v>
      </c>
      <c r="I975" s="188" t="str">
        <f>VLOOKUP(C975,CATEGORIZACION!$A$1:$C$269,2,FALSE)</f>
        <v>TRANSPORTE</v>
      </c>
      <c r="J975" s="188" t="s">
        <v>19</v>
      </c>
    </row>
    <row r="976" spans="1:10" ht="15.75" customHeight="1" x14ac:dyDescent="0.25">
      <c r="A976" s="1">
        <v>45089</v>
      </c>
      <c r="B976" s="188" t="s">
        <v>986</v>
      </c>
      <c r="C976" s="188" t="s">
        <v>36</v>
      </c>
      <c r="D976" s="188" t="s">
        <v>37</v>
      </c>
      <c r="E976" s="4">
        <v>5000</v>
      </c>
      <c r="F976" s="5">
        <v>150780</v>
      </c>
      <c r="G976" s="4">
        <v>31663.8</v>
      </c>
      <c r="H976" s="4">
        <v>187443.8</v>
      </c>
      <c r="I976" s="188" t="str">
        <f>VLOOKUP(C976,CATEGORIZACION!$A$1:$C$269,2,FALSE)</f>
        <v>TRANSPORTE</v>
      </c>
      <c r="J976" s="188" t="s">
        <v>19</v>
      </c>
    </row>
    <row r="977" spans="1:10" ht="15.75" customHeight="1" x14ac:dyDescent="0.25">
      <c r="A977" s="1">
        <v>45089</v>
      </c>
      <c r="B977" s="188" t="s">
        <v>987</v>
      </c>
      <c r="C977" s="188" t="s">
        <v>36</v>
      </c>
      <c r="D977" s="188" t="s">
        <v>37</v>
      </c>
      <c r="E977" s="4">
        <v>1500</v>
      </c>
      <c r="F977" s="5">
        <v>125650</v>
      </c>
      <c r="G977" s="4">
        <v>26386.5</v>
      </c>
      <c r="H977" s="4">
        <v>153536.5</v>
      </c>
      <c r="I977" s="188" t="str">
        <f>VLOOKUP(C977,CATEGORIZACION!$A$1:$C$269,2,FALSE)</f>
        <v>TRANSPORTE</v>
      </c>
      <c r="J977" s="188" t="s">
        <v>19</v>
      </c>
    </row>
    <row r="978" spans="1:10" ht="15.75" customHeight="1" x14ac:dyDescent="0.25">
      <c r="A978" s="1">
        <v>45090</v>
      </c>
      <c r="B978" s="188" t="s">
        <v>988</v>
      </c>
      <c r="C978" s="188" t="s">
        <v>21</v>
      </c>
      <c r="D978" s="188" t="s">
        <v>22</v>
      </c>
      <c r="E978" s="4">
        <v>53360</v>
      </c>
      <c r="F978" s="5">
        <v>600000</v>
      </c>
      <c r="G978" s="4">
        <v>126000</v>
      </c>
      <c r="H978" s="4">
        <v>779360</v>
      </c>
      <c r="I978" s="188" t="str">
        <f>VLOOKUP(C978,CATEGORIZACION!$A$1:$C$269,2,FALSE)</f>
        <v>TRANSPORTE</v>
      </c>
      <c r="J978" s="188" t="s">
        <v>19</v>
      </c>
    </row>
    <row r="979" spans="1:10" ht="15.75" customHeight="1" x14ac:dyDescent="0.25">
      <c r="A979" s="1">
        <v>45090</v>
      </c>
      <c r="B979" s="188" t="s">
        <v>989</v>
      </c>
      <c r="C979" s="188" t="s">
        <v>21</v>
      </c>
      <c r="D979" s="188" t="s">
        <v>22</v>
      </c>
      <c r="E979" s="4">
        <v>38720</v>
      </c>
      <c r="F979" s="5">
        <v>480000</v>
      </c>
      <c r="G979" s="4">
        <v>100800</v>
      </c>
      <c r="H979" s="4">
        <v>619520</v>
      </c>
      <c r="I979" s="188" t="str">
        <f>VLOOKUP(C979,CATEGORIZACION!$A$1:$C$269,2,FALSE)</f>
        <v>TRANSPORTE</v>
      </c>
      <c r="J979" s="188" t="s">
        <v>19</v>
      </c>
    </row>
    <row r="980" spans="1:10" ht="15.75" customHeight="1" x14ac:dyDescent="0.25">
      <c r="A980" s="1">
        <v>45091</v>
      </c>
      <c r="B980" s="188" t="s">
        <v>990</v>
      </c>
      <c r="C980" s="188" t="s">
        <v>21</v>
      </c>
      <c r="D980" s="188" t="s">
        <v>22</v>
      </c>
      <c r="E980" s="4">
        <v>38840</v>
      </c>
      <c r="F980" s="5">
        <v>420000</v>
      </c>
      <c r="G980" s="4">
        <v>88200</v>
      </c>
      <c r="H980" s="4">
        <v>547040</v>
      </c>
      <c r="I980" s="188" t="str">
        <f>VLOOKUP(C980,CATEGORIZACION!$A$1:$C$269,2,FALSE)</f>
        <v>TRANSPORTE</v>
      </c>
      <c r="J980" s="188" t="s">
        <v>19</v>
      </c>
    </row>
    <row r="981" spans="1:10" ht="15.75" customHeight="1" x14ac:dyDescent="0.25">
      <c r="A981" s="1">
        <v>45092</v>
      </c>
      <c r="B981" s="188" t="s">
        <v>991</v>
      </c>
      <c r="C981" s="188" t="s">
        <v>450</v>
      </c>
      <c r="D981" s="188" t="s">
        <v>451</v>
      </c>
      <c r="E981" s="4">
        <v>0</v>
      </c>
      <c r="F981" s="3">
        <v>17934</v>
      </c>
      <c r="G981" s="4">
        <v>3766.14</v>
      </c>
      <c r="H981" s="4">
        <v>21700.14</v>
      </c>
      <c r="I981" s="188" t="str">
        <f>VLOOKUP(C981,CATEGORIZACION!$A$1:$C$269,2,FALSE)</f>
        <v>PROOVEDORES</v>
      </c>
      <c r="J981" s="188" t="str">
        <f>VLOOKUP(C981,CATEGORIZACION!$A$1:$C$269,3,FALSE)</f>
        <v>DEPOSITO</v>
      </c>
    </row>
    <row r="982" spans="1:10" ht="15.75" customHeight="1" x14ac:dyDescent="0.25">
      <c r="A982" s="1">
        <v>45092</v>
      </c>
      <c r="B982" s="188" t="s">
        <v>992</v>
      </c>
      <c r="C982" s="188" t="s">
        <v>52</v>
      </c>
      <c r="D982" s="188" t="s">
        <v>53</v>
      </c>
      <c r="E982" s="4">
        <v>0</v>
      </c>
      <c r="F982" s="3">
        <v>43438.32</v>
      </c>
      <c r="G982" s="4">
        <v>9122.0499999999993</v>
      </c>
      <c r="H982" s="4">
        <v>52560.37</v>
      </c>
      <c r="I982" s="188" t="str">
        <f>VLOOKUP(C982,CATEGORIZACION!$A$1:$C$269,2,FALSE)</f>
        <v>PROOVEDORES</v>
      </c>
      <c r="J982" s="188" t="str">
        <f>VLOOKUP(C982,CATEGORIZACION!$A$1:$C$269,3,FALSE)</f>
        <v>DEPOSITO</v>
      </c>
    </row>
    <row r="983" spans="1:10" ht="15.75" customHeight="1" x14ac:dyDescent="0.25">
      <c r="A983" s="1">
        <v>45092</v>
      </c>
      <c r="B983" s="188" t="s">
        <v>993</v>
      </c>
      <c r="C983" s="188" t="s">
        <v>36</v>
      </c>
      <c r="D983" s="188" t="s">
        <v>37</v>
      </c>
      <c r="E983" s="4">
        <v>14000</v>
      </c>
      <c r="F983" s="5">
        <v>99950</v>
      </c>
      <c r="G983" s="4">
        <v>20989.5</v>
      </c>
      <c r="H983" s="4">
        <v>134939.5</v>
      </c>
      <c r="I983" s="188" t="str">
        <f>VLOOKUP(C983,CATEGORIZACION!$A$1:$C$269,2,FALSE)</f>
        <v>TRANSPORTE</v>
      </c>
      <c r="J983" s="188" t="s">
        <v>19</v>
      </c>
    </row>
    <row r="984" spans="1:10" ht="15.75" customHeight="1" x14ac:dyDescent="0.25">
      <c r="A984" s="1">
        <v>45092</v>
      </c>
      <c r="B984" s="188" t="s">
        <v>994</v>
      </c>
      <c r="C984" s="188" t="s">
        <v>36</v>
      </c>
      <c r="D984" s="188" t="s">
        <v>37</v>
      </c>
      <c r="E984" s="4">
        <v>16000</v>
      </c>
      <c r="F984" s="5">
        <v>89100</v>
      </c>
      <c r="G984" s="4">
        <v>18711</v>
      </c>
      <c r="H984" s="4">
        <v>123811</v>
      </c>
      <c r="I984" s="188" t="str">
        <f>VLOOKUP(C984,CATEGORIZACION!$A$1:$C$269,2,FALSE)</f>
        <v>TRANSPORTE</v>
      </c>
      <c r="J984" s="188" t="s">
        <v>19</v>
      </c>
    </row>
    <row r="985" spans="1:10" ht="15.75" customHeight="1" x14ac:dyDescent="0.25">
      <c r="A985" s="1">
        <v>45092</v>
      </c>
      <c r="B985" s="188" t="s">
        <v>995</v>
      </c>
      <c r="C985" s="188" t="s">
        <v>36</v>
      </c>
      <c r="D985" s="188" t="s">
        <v>37</v>
      </c>
      <c r="E985" s="4">
        <v>11500</v>
      </c>
      <c r="F985" s="5">
        <v>69850</v>
      </c>
      <c r="G985" s="4">
        <v>14668.5</v>
      </c>
      <c r="H985" s="4">
        <v>96018.5</v>
      </c>
      <c r="I985" s="188" t="str">
        <f>VLOOKUP(C985,CATEGORIZACION!$A$1:$C$269,2,FALSE)</f>
        <v>TRANSPORTE</v>
      </c>
      <c r="J985" s="188" t="s">
        <v>19</v>
      </c>
    </row>
    <row r="986" spans="1:10" ht="15.75" customHeight="1" x14ac:dyDescent="0.25">
      <c r="A986" s="1">
        <v>45092</v>
      </c>
      <c r="B986" s="188" t="s">
        <v>996</v>
      </c>
      <c r="C986" s="188" t="s">
        <v>36</v>
      </c>
      <c r="D986" s="188" t="s">
        <v>37</v>
      </c>
      <c r="E986" s="4">
        <v>16000</v>
      </c>
      <c r="F986" s="5">
        <v>89100</v>
      </c>
      <c r="G986" s="4">
        <v>18711</v>
      </c>
      <c r="H986" s="4">
        <v>123811</v>
      </c>
      <c r="I986" s="188" t="str">
        <f>VLOOKUP(C986,CATEGORIZACION!$A$1:$C$269,2,FALSE)</f>
        <v>TRANSPORTE</v>
      </c>
      <c r="J986" s="188" t="s">
        <v>19</v>
      </c>
    </row>
    <row r="987" spans="1:10" ht="15.75" customHeight="1" x14ac:dyDescent="0.25">
      <c r="A987" s="1">
        <v>45092</v>
      </c>
      <c r="B987" s="188" t="s">
        <v>997</v>
      </c>
      <c r="C987" s="188" t="s">
        <v>36</v>
      </c>
      <c r="D987" s="188" t="s">
        <v>37</v>
      </c>
      <c r="E987" s="4">
        <v>9200</v>
      </c>
      <c r="F987" s="5">
        <v>52500</v>
      </c>
      <c r="G987" s="4">
        <v>11025</v>
      </c>
      <c r="H987" s="4">
        <v>72725</v>
      </c>
      <c r="I987" s="188" t="str">
        <f>VLOOKUP(C987,CATEGORIZACION!$A$1:$C$269,2,FALSE)</f>
        <v>TRANSPORTE</v>
      </c>
      <c r="J987" s="188" t="s">
        <v>19</v>
      </c>
    </row>
    <row r="988" spans="1:10" ht="15.75" customHeight="1" x14ac:dyDescent="0.25">
      <c r="A988" s="1">
        <v>45092</v>
      </c>
      <c r="B988" s="188" t="s">
        <v>998</v>
      </c>
      <c r="C988" s="188" t="s">
        <v>36</v>
      </c>
      <c r="D988" s="188" t="s">
        <v>37</v>
      </c>
      <c r="E988" s="4">
        <v>9200</v>
      </c>
      <c r="F988" s="5">
        <v>52500</v>
      </c>
      <c r="G988" s="4">
        <v>11025</v>
      </c>
      <c r="H988" s="4">
        <v>72725</v>
      </c>
      <c r="I988" s="188" t="str">
        <f>VLOOKUP(C988,CATEGORIZACION!$A$1:$C$269,2,FALSE)</f>
        <v>TRANSPORTE</v>
      </c>
      <c r="J988" s="188" t="s">
        <v>19</v>
      </c>
    </row>
    <row r="989" spans="1:10" ht="15.75" customHeight="1" x14ac:dyDescent="0.25">
      <c r="A989" s="1">
        <v>45092</v>
      </c>
      <c r="B989" s="188" t="s">
        <v>999</v>
      </c>
      <c r="C989" s="188" t="s">
        <v>36</v>
      </c>
      <c r="D989" s="188" t="s">
        <v>37</v>
      </c>
      <c r="E989" s="4">
        <v>16000</v>
      </c>
      <c r="F989" s="5">
        <v>117000</v>
      </c>
      <c r="G989" s="4">
        <v>24570</v>
      </c>
      <c r="H989" s="4">
        <v>157570</v>
      </c>
      <c r="I989" s="188" t="str">
        <f>VLOOKUP(C989,CATEGORIZACION!$A$1:$C$269,2,FALSE)</f>
        <v>TRANSPORTE</v>
      </c>
      <c r="J989" s="188" t="s">
        <v>19</v>
      </c>
    </row>
    <row r="990" spans="1:10" ht="15.75" customHeight="1" x14ac:dyDescent="0.25">
      <c r="A990" s="1">
        <v>45092</v>
      </c>
      <c r="B990" s="188" t="s">
        <v>1000</v>
      </c>
      <c r="C990" s="188" t="s">
        <v>36</v>
      </c>
      <c r="D990" s="188" t="s">
        <v>37</v>
      </c>
      <c r="E990" s="4">
        <v>6200</v>
      </c>
      <c r="F990" s="5">
        <v>43500</v>
      </c>
      <c r="G990" s="4">
        <v>9135</v>
      </c>
      <c r="H990" s="4">
        <v>58835</v>
      </c>
      <c r="I990" s="188" t="str">
        <f>VLOOKUP(C990,CATEGORIZACION!$A$1:$C$269,2,FALSE)</f>
        <v>TRANSPORTE</v>
      </c>
      <c r="J990" s="188" t="s">
        <v>19</v>
      </c>
    </row>
    <row r="991" spans="1:10" ht="15.75" customHeight="1" x14ac:dyDescent="0.25">
      <c r="A991" s="1">
        <v>45092</v>
      </c>
      <c r="B991" s="188" t="s">
        <v>1001</v>
      </c>
      <c r="C991" s="188" t="s">
        <v>36</v>
      </c>
      <c r="D991" s="188" t="s">
        <v>37</v>
      </c>
      <c r="E991" s="4">
        <v>6200</v>
      </c>
      <c r="F991" s="5">
        <v>43500</v>
      </c>
      <c r="G991" s="4">
        <v>9135</v>
      </c>
      <c r="H991" s="4">
        <v>58835</v>
      </c>
      <c r="I991" s="188" t="str">
        <f>VLOOKUP(C991,CATEGORIZACION!$A$1:$C$269,2,FALSE)</f>
        <v>TRANSPORTE</v>
      </c>
      <c r="J991" s="188" t="s">
        <v>19</v>
      </c>
    </row>
    <row r="992" spans="1:10" ht="15.75" customHeight="1" x14ac:dyDescent="0.25">
      <c r="A992" s="1">
        <v>45092</v>
      </c>
      <c r="B992" s="188" t="s">
        <v>1002</v>
      </c>
      <c r="C992" s="188" t="s">
        <v>36</v>
      </c>
      <c r="D992" s="188" t="s">
        <v>37</v>
      </c>
      <c r="E992" s="4">
        <v>11500</v>
      </c>
      <c r="F992" s="5">
        <v>83820</v>
      </c>
      <c r="G992" s="4">
        <v>17602.2</v>
      </c>
      <c r="H992" s="4">
        <v>112922.2</v>
      </c>
      <c r="I992" s="188" t="str">
        <f>VLOOKUP(C992,CATEGORIZACION!$A$1:$C$269,2,FALSE)</f>
        <v>TRANSPORTE</v>
      </c>
      <c r="J992" s="188" t="s">
        <v>19</v>
      </c>
    </row>
    <row r="993" spans="1:10" ht="15.75" customHeight="1" x14ac:dyDescent="0.25">
      <c r="A993" s="1">
        <v>45092</v>
      </c>
      <c r="B993" s="188" t="s">
        <v>1003</v>
      </c>
      <c r="C993" s="188" t="s">
        <v>36</v>
      </c>
      <c r="D993" s="188" t="s">
        <v>37</v>
      </c>
      <c r="E993" s="4">
        <v>14000</v>
      </c>
      <c r="F993" s="5">
        <v>99950</v>
      </c>
      <c r="G993" s="4">
        <v>20989.5</v>
      </c>
      <c r="H993" s="4">
        <v>134939.5</v>
      </c>
      <c r="I993" s="188" t="str">
        <f>VLOOKUP(C993,CATEGORIZACION!$A$1:$C$269,2,FALSE)</f>
        <v>TRANSPORTE</v>
      </c>
      <c r="J993" s="188" t="s">
        <v>19</v>
      </c>
    </row>
    <row r="994" spans="1:10" ht="15.75" customHeight="1" x14ac:dyDescent="0.25">
      <c r="A994" s="1">
        <v>45092</v>
      </c>
      <c r="B994" s="188" t="s">
        <v>1004</v>
      </c>
      <c r="C994" s="188" t="s">
        <v>36</v>
      </c>
      <c r="D994" s="188" t="s">
        <v>37</v>
      </c>
      <c r="E994" s="4">
        <v>16000</v>
      </c>
      <c r="F994" s="5">
        <v>89100</v>
      </c>
      <c r="G994" s="4">
        <v>18711</v>
      </c>
      <c r="H994" s="4">
        <v>123811</v>
      </c>
      <c r="I994" s="188" t="str">
        <f>VLOOKUP(C994,CATEGORIZACION!$A$1:$C$269,2,FALSE)</f>
        <v>TRANSPORTE</v>
      </c>
      <c r="J994" s="188" t="s">
        <v>19</v>
      </c>
    </row>
    <row r="995" spans="1:10" ht="15.75" customHeight="1" x14ac:dyDescent="0.25">
      <c r="A995" s="1">
        <v>45092</v>
      </c>
      <c r="B995" s="188" t="s">
        <v>1005</v>
      </c>
      <c r="C995" s="188" t="s">
        <v>36</v>
      </c>
      <c r="D995" s="188" t="s">
        <v>37</v>
      </c>
      <c r="E995" s="4">
        <v>16000</v>
      </c>
      <c r="F995" s="5">
        <v>89100</v>
      </c>
      <c r="G995" s="4">
        <v>18711</v>
      </c>
      <c r="H995" s="4">
        <v>123811</v>
      </c>
      <c r="I995" s="188" t="str">
        <f>VLOOKUP(C995,CATEGORIZACION!$A$1:$C$269,2,FALSE)</f>
        <v>TRANSPORTE</v>
      </c>
      <c r="J995" s="188" t="s">
        <v>19</v>
      </c>
    </row>
    <row r="996" spans="1:10" ht="15.75" customHeight="1" x14ac:dyDescent="0.25">
      <c r="A996" s="1">
        <v>45092</v>
      </c>
      <c r="B996" s="188" t="s">
        <v>1006</v>
      </c>
      <c r="C996" s="188" t="s">
        <v>426</v>
      </c>
      <c r="D996" s="188" t="s">
        <v>427</v>
      </c>
      <c r="E996" s="4">
        <v>2495</v>
      </c>
      <c r="F996" s="5">
        <v>23681.82</v>
      </c>
      <c r="G996" s="4">
        <v>4973.18</v>
      </c>
      <c r="H996" s="4">
        <v>31150</v>
      </c>
      <c r="I996" s="188" t="str">
        <f>VLOOKUP(C996,CATEGORIZACION!$A$1:$C$269,2,FALSE)</f>
        <v>PROOVEDORES</v>
      </c>
      <c r="J996" s="188" t="str">
        <f>VLOOKUP(C996,CATEGORIZACION!$A$1:$C$269,3,FALSE)</f>
        <v>LOGISTICA</v>
      </c>
    </row>
    <row r="997" spans="1:10" ht="15.75" customHeight="1" x14ac:dyDescent="0.25">
      <c r="A997" s="1">
        <v>45093</v>
      </c>
      <c r="B997" s="188" t="s">
        <v>1007</v>
      </c>
      <c r="C997" s="188" t="s">
        <v>21</v>
      </c>
      <c r="D997" s="188" t="s">
        <v>22</v>
      </c>
      <c r="E997" s="4">
        <v>0</v>
      </c>
      <c r="F997" s="5">
        <v>-364552.07</v>
      </c>
      <c r="G997" s="4">
        <v>-76555.929999999993</v>
      </c>
      <c r="H997" s="4">
        <v>-441108</v>
      </c>
      <c r="I997" s="188" t="str">
        <f>VLOOKUP(C997,CATEGORIZACION!$A$1:$C$269,2,FALSE)</f>
        <v>TRANSPORTE</v>
      </c>
      <c r="J997" s="188" t="s">
        <v>19</v>
      </c>
    </row>
    <row r="998" spans="1:10" ht="15.75" customHeight="1" x14ac:dyDescent="0.25">
      <c r="A998" s="1">
        <v>45093</v>
      </c>
      <c r="B998" s="188" t="s">
        <v>1008</v>
      </c>
      <c r="C998" s="188" t="s">
        <v>84</v>
      </c>
      <c r="D998" s="188" t="s">
        <v>85</v>
      </c>
      <c r="E998" s="4">
        <v>56955.930000000073</v>
      </c>
      <c r="F998" s="5">
        <v>649781.44999999995</v>
      </c>
      <c r="G998" s="4">
        <v>136454.1</v>
      </c>
      <c r="H998" s="4">
        <v>843191.48</v>
      </c>
      <c r="I998" s="188" t="str">
        <f>VLOOKUP(C998,CATEGORIZACION!$A$1:$C$269,2,FALSE)</f>
        <v>PROOVEDORES</v>
      </c>
      <c r="J998" s="188" t="str">
        <f>VLOOKUP(C998,CATEGORIZACION!$A$1:$C$269,3,FALSE)</f>
        <v>LOGISTICA</v>
      </c>
    </row>
    <row r="999" spans="1:10" ht="15.75" customHeight="1" x14ac:dyDescent="0.25">
      <c r="A999" s="1">
        <v>45093</v>
      </c>
      <c r="B999" s="188" t="s">
        <v>1009</v>
      </c>
      <c r="C999" s="188" t="s">
        <v>17</v>
      </c>
      <c r="D999" s="188" t="s">
        <v>18</v>
      </c>
      <c r="E999" s="4">
        <v>21280</v>
      </c>
      <c r="F999" s="5">
        <v>314000</v>
      </c>
      <c r="G999" s="4">
        <v>65940</v>
      </c>
      <c r="H999" s="4">
        <v>401220</v>
      </c>
      <c r="I999" s="188" t="str">
        <f>VLOOKUP(C999,CATEGORIZACION!$A$1:$C$269,2,FALSE)</f>
        <v>TRANSPORTE</v>
      </c>
      <c r="J999" s="188" t="s">
        <v>19</v>
      </c>
    </row>
    <row r="1000" spans="1:10" ht="15.75" customHeight="1" x14ac:dyDescent="0.25">
      <c r="A1000" s="1">
        <v>45093</v>
      </c>
      <c r="B1000" s="188" t="s">
        <v>1010</v>
      </c>
      <c r="C1000" s="188" t="s">
        <v>17</v>
      </c>
      <c r="D1000" s="188" t="s">
        <v>18</v>
      </c>
      <c r="E1000" s="4">
        <v>24920</v>
      </c>
      <c r="F1000" s="5">
        <v>346000</v>
      </c>
      <c r="G1000" s="4">
        <v>72660</v>
      </c>
      <c r="H1000" s="4">
        <v>443580</v>
      </c>
      <c r="I1000" s="188" t="str">
        <f>VLOOKUP(C1000,CATEGORIZACION!$A$1:$C$269,2,FALSE)</f>
        <v>TRANSPORTE</v>
      </c>
      <c r="J1000" s="188" t="s">
        <v>19</v>
      </c>
    </row>
    <row r="1001" spans="1:10" ht="15.75" customHeight="1" x14ac:dyDescent="0.25">
      <c r="A1001" s="1">
        <v>45093</v>
      </c>
      <c r="B1001" s="188" t="s">
        <v>1011</v>
      </c>
      <c r="C1001" s="188" t="s">
        <v>21</v>
      </c>
      <c r="D1001" s="188" t="s">
        <v>22</v>
      </c>
      <c r="E1001" s="4">
        <v>0</v>
      </c>
      <c r="F1001" s="5">
        <v>360000</v>
      </c>
      <c r="G1001" s="4">
        <v>75600</v>
      </c>
      <c r="H1001" s="4">
        <v>435600</v>
      </c>
      <c r="I1001" s="188" t="str">
        <f>VLOOKUP(C1001,CATEGORIZACION!$A$1:$C$269,2,FALSE)</f>
        <v>TRANSPORTE</v>
      </c>
      <c r="J1001" s="188" t="s">
        <v>19</v>
      </c>
    </row>
    <row r="1002" spans="1:10" ht="15.75" customHeight="1" x14ac:dyDescent="0.25">
      <c r="A1002" s="1">
        <v>45093</v>
      </c>
      <c r="B1002" s="188" t="s">
        <v>1012</v>
      </c>
      <c r="C1002" s="188" t="s">
        <v>21</v>
      </c>
      <c r="D1002" s="188" t="s">
        <v>22</v>
      </c>
      <c r="E1002" s="4">
        <v>0</v>
      </c>
      <c r="F1002" s="5">
        <v>270000</v>
      </c>
      <c r="G1002" s="4">
        <v>56700</v>
      </c>
      <c r="H1002" s="4">
        <v>326700</v>
      </c>
      <c r="I1002" s="188" t="str">
        <f>VLOOKUP(C1002,CATEGORIZACION!$A$1:$C$269,2,FALSE)</f>
        <v>TRANSPORTE</v>
      </c>
      <c r="J1002" s="188" t="s">
        <v>19</v>
      </c>
    </row>
    <row r="1003" spans="1:10" ht="15.75" customHeight="1" x14ac:dyDescent="0.25">
      <c r="A1003" s="1">
        <v>45093</v>
      </c>
      <c r="B1003" s="188" t="s">
        <v>1013</v>
      </c>
      <c r="C1003" s="188" t="s">
        <v>21</v>
      </c>
      <c r="D1003" s="188" t="s">
        <v>22</v>
      </c>
      <c r="E1003" s="4">
        <v>47520</v>
      </c>
      <c r="F1003" s="5">
        <v>696550</v>
      </c>
      <c r="G1003" s="4">
        <v>146275.5</v>
      </c>
      <c r="H1003" s="4">
        <v>890345.5</v>
      </c>
      <c r="I1003" s="188" t="str">
        <f>VLOOKUP(C1003,CATEGORIZACION!$A$1:$C$269,2,FALSE)</f>
        <v>TRANSPORTE</v>
      </c>
      <c r="J1003" s="188" t="s">
        <v>19</v>
      </c>
    </row>
    <row r="1004" spans="1:10" ht="15.75" customHeight="1" x14ac:dyDescent="0.25">
      <c r="A1004" s="1">
        <v>45093</v>
      </c>
      <c r="B1004" s="188" t="s">
        <v>1014</v>
      </c>
      <c r="C1004" s="188" t="s">
        <v>21</v>
      </c>
      <c r="D1004" s="188" t="s">
        <v>22</v>
      </c>
      <c r="E1004" s="4">
        <v>14520</v>
      </c>
      <c r="F1004" s="5">
        <v>180000</v>
      </c>
      <c r="G1004" s="4">
        <v>37800</v>
      </c>
      <c r="H1004" s="4">
        <v>232320</v>
      </c>
      <c r="I1004" s="188" t="str">
        <f>VLOOKUP(C1004,CATEGORIZACION!$A$1:$C$269,2,FALSE)</f>
        <v>TRANSPORTE</v>
      </c>
      <c r="J1004" s="188" t="s">
        <v>19</v>
      </c>
    </row>
    <row r="1005" spans="1:10" ht="15.75" customHeight="1" x14ac:dyDescent="0.25">
      <c r="A1005" s="1">
        <v>45093</v>
      </c>
      <c r="B1005" s="188" t="s">
        <v>1015</v>
      </c>
      <c r="C1005" s="188" t="s">
        <v>21</v>
      </c>
      <c r="D1005" s="188" t="s">
        <v>22</v>
      </c>
      <c r="E1005" s="4">
        <v>12160</v>
      </c>
      <c r="F1005" s="5">
        <v>120000</v>
      </c>
      <c r="G1005" s="4">
        <v>25200</v>
      </c>
      <c r="H1005" s="4">
        <v>157360</v>
      </c>
      <c r="I1005" s="188" t="str">
        <f>VLOOKUP(C1005,CATEGORIZACION!$A$1:$C$269,2,FALSE)</f>
        <v>TRANSPORTE</v>
      </c>
      <c r="J1005" s="188" t="s">
        <v>19</v>
      </c>
    </row>
    <row r="1006" spans="1:10" ht="15.75" customHeight="1" x14ac:dyDescent="0.25">
      <c r="A1006" s="1">
        <v>45093</v>
      </c>
      <c r="B1006" s="188" t="s">
        <v>1016</v>
      </c>
      <c r="C1006" s="188" t="s">
        <v>21</v>
      </c>
      <c r="D1006" s="188" t="s">
        <v>22</v>
      </c>
      <c r="E1006" s="4">
        <v>31520</v>
      </c>
      <c r="F1006" s="5">
        <v>360000</v>
      </c>
      <c r="G1006" s="4">
        <v>75600</v>
      </c>
      <c r="H1006" s="4">
        <v>467120</v>
      </c>
      <c r="I1006" s="188" t="str">
        <f>VLOOKUP(C1006,CATEGORIZACION!$A$1:$C$269,2,FALSE)</f>
        <v>TRANSPORTE</v>
      </c>
      <c r="J1006" s="188" t="s">
        <v>19</v>
      </c>
    </row>
    <row r="1007" spans="1:10" ht="15.75" customHeight="1" x14ac:dyDescent="0.25">
      <c r="A1007" s="1">
        <v>45093</v>
      </c>
      <c r="B1007" s="188" t="s">
        <v>1017</v>
      </c>
      <c r="C1007" s="188" t="s">
        <v>21</v>
      </c>
      <c r="D1007" s="188" t="s">
        <v>22</v>
      </c>
      <c r="E1007" s="4">
        <v>14220</v>
      </c>
      <c r="F1007" s="5">
        <v>352800</v>
      </c>
      <c r="G1007" s="4">
        <v>74088</v>
      </c>
      <c r="H1007" s="4">
        <v>441108</v>
      </c>
      <c r="I1007" s="188" t="str">
        <f>VLOOKUP(C1007,CATEGORIZACION!$A$1:$C$269,2,FALSE)</f>
        <v>TRANSPORTE</v>
      </c>
      <c r="J1007" s="188" t="s">
        <v>19</v>
      </c>
    </row>
    <row r="1008" spans="1:10" ht="15.75" customHeight="1" x14ac:dyDescent="0.25">
      <c r="A1008" s="1">
        <v>45093</v>
      </c>
      <c r="B1008" s="188" t="s">
        <v>1018</v>
      </c>
      <c r="C1008" s="188" t="s">
        <v>21</v>
      </c>
      <c r="D1008" s="188" t="s">
        <v>22</v>
      </c>
      <c r="E1008" s="4">
        <v>33920</v>
      </c>
      <c r="F1008" s="5">
        <v>484500</v>
      </c>
      <c r="G1008" s="4">
        <v>101745</v>
      </c>
      <c r="H1008" s="4">
        <v>620165</v>
      </c>
      <c r="I1008" s="188" t="str">
        <f>VLOOKUP(C1008,CATEGORIZACION!$A$1:$C$269,2,FALSE)</f>
        <v>TRANSPORTE</v>
      </c>
      <c r="J1008" s="188" t="s">
        <v>19</v>
      </c>
    </row>
    <row r="1009" spans="1:10" ht="15.75" customHeight="1" x14ac:dyDescent="0.25">
      <c r="A1009" s="1">
        <v>45093</v>
      </c>
      <c r="B1009" s="188" t="s">
        <v>1019</v>
      </c>
      <c r="C1009" s="188" t="s">
        <v>21</v>
      </c>
      <c r="D1009" s="188" t="s">
        <v>22</v>
      </c>
      <c r="E1009" s="4">
        <v>0</v>
      </c>
      <c r="F1009" s="5">
        <v>540000</v>
      </c>
      <c r="G1009" s="4">
        <v>113400</v>
      </c>
      <c r="H1009" s="4">
        <v>653400</v>
      </c>
      <c r="I1009" s="188" t="str">
        <f>VLOOKUP(C1009,CATEGORIZACION!$A$1:$C$269,2,FALSE)</f>
        <v>TRANSPORTE</v>
      </c>
      <c r="J1009" s="188" t="s">
        <v>19</v>
      </c>
    </row>
    <row r="1010" spans="1:10" ht="15.75" customHeight="1" x14ac:dyDescent="0.25">
      <c r="A1010" s="1">
        <v>45093</v>
      </c>
      <c r="B1010" s="188" t="s">
        <v>1020</v>
      </c>
      <c r="C1010" s="188" t="s">
        <v>21</v>
      </c>
      <c r="D1010" s="188" t="s">
        <v>22</v>
      </c>
      <c r="E1010" s="4">
        <v>24200</v>
      </c>
      <c r="F1010" s="5">
        <v>315000</v>
      </c>
      <c r="G1010" s="4">
        <v>66150</v>
      </c>
      <c r="H1010" s="4">
        <v>405350</v>
      </c>
      <c r="I1010" s="188" t="str">
        <f>VLOOKUP(C1010,CATEGORIZACION!$A$1:$C$269,2,FALSE)</f>
        <v>TRANSPORTE</v>
      </c>
      <c r="J1010" s="188" t="s">
        <v>19</v>
      </c>
    </row>
    <row r="1011" spans="1:10" ht="15.75" customHeight="1" x14ac:dyDescent="0.25">
      <c r="A1011" s="1">
        <v>45093</v>
      </c>
      <c r="B1011" s="188" t="s">
        <v>1021</v>
      </c>
      <c r="C1011" s="188" t="s">
        <v>21</v>
      </c>
      <c r="D1011" s="188" t="s">
        <v>22</v>
      </c>
      <c r="E1011" s="4">
        <v>14220</v>
      </c>
      <c r="F1011" s="5">
        <v>383000</v>
      </c>
      <c r="G1011" s="4">
        <v>80430</v>
      </c>
      <c r="H1011" s="4">
        <v>477650</v>
      </c>
      <c r="I1011" s="188" t="str">
        <f>VLOOKUP(C1011,CATEGORIZACION!$A$1:$C$269,2,FALSE)</f>
        <v>TRANSPORTE</v>
      </c>
      <c r="J1011" s="188" t="s">
        <v>19</v>
      </c>
    </row>
    <row r="1012" spans="1:10" ht="15.75" customHeight="1" x14ac:dyDescent="0.25">
      <c r="A1012" s="1">
        <v>45093</v>
      </c>
      <c r="B1012" s="188" t="s">
        <v>1022</v>
      </c>
      <c r="C1012" s="188" t="s">
        <v>46</v>
      </c>
      <c r="D1012" s="188" t="s">
        <v>47</v>
      </c>
      <c r="E1012" s="4">
        <v>0</v>
      </c>
      <c r="F1012" s="5">
        <v>2087500</v>
      </c>
      <c r="G1012" s="4">
        <v>438375</v>
      </c>
      <c r="H1012" s="4">
        <v>2525875</v>
      </c>
      <c r="I1012" s="188" t="str">
        <f>VLOOKUP(C1012,CATEGORIZACION!$A$1:$C$269,2,FALSE)</f>
        <v>TRANSPORTE</v>
      </c>
      <c r="J1012" s="188" t="s">
        <v>19</v>
      </c>
    </row>
    <row r="1013" spans="1:10" ht="15.75" customHeight="1" x14ac:dyDescent="0.25">
      <c r="A1013" s="1">
        <v>45093</v>
      </c>
      <c r="B1013" s="188" t="s">
        <v>1023</v>
      </c>
      <c r="C1013" s="188" t="s">
        <v>658</v>
      </c>
      <c r="D1013" s="188" t="s">
        <v>659</v>
      </c>
      <c r="E1013" s="4">
        <v>367.17</v>
      </c>
      <c r="F1013" s="3">
        <v>45896</v>
      </c>
      <c r="G1013" s="4">
        <v>9638.16</v>
      </c>
      <c r="H1013" s="4">
        <v>55901.33</v>
      </c>
      <c r="I1013" s="188" t="str">
        <f>VLOOKUP(C1013,CATEGORIZACION!$A$1:$C$269,2,FALSE)</f>
        <v>PROOVEDORES</v>
      </c>
      <c r="J1013" s="188" t="str">
        <f>VLOOKUP(C1013,CATEGORIZACION!$A$1:$C$269,3,FALSE)</f>
        <v>DEPOSITO</v>
      </c>
    </row>
    <row r="1014" spans="1:10" ht="15.75" customHeight="1" x14ac:dyDescent="0.25">
      <c r="A1014" s="1">
        <v>45094</v>
      </c>
      <c r="B1014" s="188" t="s">
        <v>1024</v>
      </c>
      <c r="C1014" s="188" t="s">
        <v>918</v>
      </c>
      <c r="D1014" s="188" t="s">
        <v>919</v>
      </c>
      <c r="E1014" s="4">
        <v>24.55</v>
      </c>
      <c r="F1014" s="5">
        <v>1364</v>
      </c>
      <c r="G1014" s="4">
        <v>286.44</v>
      </c>
      <c r="H1014" s="4">
        <v>1674.99</v>
      </c>
      <c r="I1014" s="188" t="str">
        <f>VLOOKUP(C1014,CATEGORIZACION!$A$1:$C$269,2,FALSE)</f>
        <v>PROOVEDORES</v>
      </c>
      <c r="J1014" s="188" t="str">
        <f>VLOOKUP(C1014,CATEGORIZACION!$A$1:$C$269,3,FALSE)</f>
        <v>LOGISTICA</v>
      </c>
    </row>
    <row r="1015" spans="1:10" ht="15.75" customHeight="1" x14ac:dyDescent="0.25">
      <c r="A1015" s="1">
        <v>45094</v>
      </c>
      <c r="B1015" s="188" t="s">
        <v>1025</v>
      </c>
      <c r="C1015" s="188" t="s">
        <v>918</v>
      </c>
      <c r="D1015" s="188" t="s">
        <v>919</v>
      </c>
      <c r="E1015" s="4">
        <v>311.64999999999998</v>
      </c>
      <c r="F1015" s="5">
        <v>17314.05</v>
      </c>
      <c r="G1015" s="4">
        <v>3635.95</v>
      </c>
      <c r="H1015" s="4">
        <v>21261.65</v>
      </c>
      <c r="I1015" s="188" t="str">
        <f>VLOOKUP(C1015,CATEGORIZACION!$A$1:$C$269,2,FALSE)</f>
        <v>PROOVEDORES</v>
      </c>
      <c r="J1015" s="188" t="str">
        <f>VLOOKUP(C1015,CATEGORIZACION!$A$1:$C$269,3,FALSE)</f>
        <v>LOGISTICA</v>
      </c>
    </row>
    <row r="1016" spans="1:10" ht="15.75" customHeight="1" x14ac:dyDescent="0.25">
      <c r="A1016" s="1">
        <v>45094</v>
      </c>
      <c r="B1016" s="188" t="s">
        <v>1026</v>
      </c>
      <c r="C1016" s="188" t="s">
        <v>804</v>
      </c>
      <c r="D1016" s="188" t="s">
        <v>805</v>
      </c>
      <c r="E1016" s="4">
        <v>303.47000000000003</v>
      </c>
      <c r="F1016" s="5">
        <v>6322</v>
      </c>
      <c r="G1016" s="4">
        <v>1327.62</v>
      </c>
      <c r="H1016" s="4">
        <v>7953.09</v>
      </c>
      <c r="I1016" s="188" t="str">
        <f>VLOOKUP(C1016,CATEGORIZACION!$A$1:$C$269,2,FALSE)</f>
        <v>PROOVEDORES</v>
      </c>
      <c r="J1016" s="188" t="str">
        <f>VLOOKUP(C1016,CATEGORIZACION!$A$1:$C$269,3,FALSE)</f>
        <v>LOGISTICA</v>
      </c>
    </row>
    <row r="1017" spans="1:10" ht="15.75" customHeight="1" x14ac:dyDescent="0.25">
      <c r="A1017" s="1">
        <v>45096</v>
      </c>
      <c r="B1017" s="188" t="s">
        <v>1027</v>
      </c>
      <c r="C1017" s="188" t="s">
        <v>36</v>
      </c>
      <c r="D1017" s="188" t="s">
        <v>37</v>
      </c>
      <c r="E1017" s="4">
        <v>11500</v>
      </c>
      <c r="F1017" s="5">
        <v>150780</v>
      </c>
      <c r="G1017" s="4">
        <v>31663.8</v>
      </c>
      <c r="H1017" s="4">
        <v>193943.8</v>
      </c>
      <c r="I1017" s="188" t="str">
        <f>VLOOKUP(C1017,CATEGORIZACION!$A$1:$C$269,2,FALSE)</f>
        <v>TRANSPORTE</v>
      </c>
      <c r="J1017" s="188" t="s">
        <v>19</v>
      </c>
    </row>
    <row r="1018" spans="1:10" ht="15.75" customHeight="1" x14ac:dyDescent="0.25">
      <c r="A1018" s="1">
        <v>45096</v>
      </c>
      <c r="B1018" s="188" t="s">
        <v>1028</v>
      </c>
      <c r="C1018" s="188" t="s">
        <v>36</v>
      </c>
      <c r="D1018" s="188" t="s">
        <v>37</v>
      </c>
      <c r="E1018" s="4">
        <v>9500</v>
      </c>
      <c r="F1018" s="5">
        <v>83820</v>
      </c>
      <c r="G1018" s="4">
        <v>17602.2</v>
      </c>
      <c r="H1018" s="4">
        <v>110922.2</v>
      </c>
      <c r="I1018" s="188" t="str">
        <f>VLOOKUP(C1018,CATEGORIZACION!$A$1:$C$269,2,FALSE)</f>
        <v>TRANSPORTE</v>
      </c>
      <c r="J1018" s="188" t="s">
        <v>19</v>
      </c>
    </row>
    <row r="1019" spans="1:10" ht="15.75" customHeight="1" x14ac:dyDescent="0.25">
      <c r="A1019" s="1">
        <v>45096</v>
      </c>
      <c r="B1019" s="188" t="s">
        <v>1029</v>
      </c>
      <c r="C1019" s="188" t="s">
        <v>36</v>
      </c>
      <c r="D1019" s="188" t="s">
        <v>37</v>
      </c>
      <c r="E1019" s="4">
        <v>5000</v>
      </c>
      <c r="F1019" s="5">
        <v>66960</v>
      </c>
      <c r="G1019" s="4">
        <v>14061.6</v>
      </c>
      <c r="H1019" s="4">
        <v>86021.6</v>
      </c>
      <c r="I1019" s="188" t="str">
        <f>VLOOKUP(C1019,CATEGORIZACION!$A$1:$C$269,2,FALSE)</f>
        <v>TRANSPORTE</v>
      </c>
      <c r="J1019" s="188" t="s">
        <v>19</v>
      </c>
    </row>
    <row r="1020" spans="1:10" ht="15.75" customHeight="1" x14ac:dyDescent="0.25">
      <c r="A1020" s="1">
        <v>45096</v>
      </c>
      <c r="B1020" s="188" t="s">
        <v>1030</v>
      </c>
      <c r="C1020" s="188" t="s">
        <v>36</v>
      </c>
      <c r="D1020" s="188" t="s">
        <v>37</v>
      </c>
      <c r="E1020" s="4">
        <v>9200</v>
      </c>
      <c r="F1020" s="5">
        <v>52500</v>
      </c>
      <c r="G1020" s="4">
        <v>11025</v>
      </c>
      <c r="H1020" s="4">
        <v>72725</v>
      </c>
      <c r="I1020" s="188" t="str">
        <f>VLOOKUP(C1020,CATEGORIZACION!$A$1:$C$269,2,FALSE)</f>
        <v>TRANSPORTE</v>
      </c>
      <c r="J1020" s="188" t="s">
        <v>19</v>
      </c>
    </row>
    <row r="1021" spans="1:10" ht="15.75" customHeight="1" x14ac:dyDescent="0.25">
      <c r="A1021" s="1">
        <v>45096</v>
      </c>
      <c r="B1021" s="188" t="s">
        <v>1031</v>
      </c>
      <c r="C1021" s="188" t="s">
        <v>36</v>
      </c>
      <c r="D1021" s="188" t="s">
        <v>37</v>
      </c>
      <c r="E1021" s="4">
        <v>15500</v>
      </c>
      <c r="F1021" s="5">
        <v>162900</v>
      </c>
      <c r="G1021" s="4">
        <v>34209</v>
      </c>
      <c r="H1021" s="4">
        <v>212609</v>
      </c>
      <c r="I1021" s="188" t="str">
        <f>VLOOKUP(C1021,CATEGORIZACION!$A$1:$C$269,2,FALSE)</f>
        <v>TRANSPORTE</v>
      </c>
      <c r="J1021" s="188" t="s">
        <v>19</v>
      </c>
    </row>
    <row r="1022" spans="1:10" ht="15.75" customHeight="1" x14ac:dyDescent="0.25">
      <c r="A1022" s="1">
        <v>45096</v>
      </c>
      <c r="B1022" s="188" t="s">
        <v>1032</v>
      </c>
      <c r="C1022" s="188" t="s">
        <v>36</v>
      </c>
      <c r="D1022" s="188" t="s">
        <v>37</v>
      </c>
      <c r="E1022" s="4">
        <v>6200</v>
      </c>
      <c r="F1022" s="5">
        <v>43500</v>
      </c>
      <c r="G1022" s="4">
        <v>9135</v>
      </c>
      <c r="H1022" s="4">
        <v>58835</v>
      </c>
      <c r="I1022" s="188" t="str">
        <f>VLOOKUP(C1022,CATEGORIZACION!$A$1:$C$269,2,FALSE)</f>
        <v>TRANSPORTE</v>
      </c>
      <c r="J1022" s="188" t="s">
        <v>19</v>
      </c>
    </row>
    <row r="1023" spans="1:10" ht="15.75" customHeight="1" x14ac:dyDescent="0.25">
      <c r="A1023" s="1">
        <v>45096</v>
      </c>
      <c r="B1023" s="188" t="s">
        <v>1033</v>
      </c>
      <c r="C1023" s="188" t="s">
        <v>801</v>
      </c>
      <c r="D1023" s="188" t="s">
        <v>802</v>
      </c>
      <c r="E1023" s="4">
        <v>5871.34</v>
      </c>
      <c r="F1023" s="5">
        <v>41933</v>
      </c>
      <c r="G1023" s="4">
        <v>8805.93</v>
      </c>
      <c r="H1023" s="4">
        <v>56610.27</v>
      </c>
      <c r="I1023" s="188" t="str">
        <f>VLOOKUP(C1023,CATEGORIZACION!$A$1:$C$269,2,FALSE)</f>
        <v>PROOVEDORES</v>
      </c>
      <c r="J1023" s="188" t="str">
        <f>VLOOKUP(C1023,CATEGORIZACION!$A$1:$C$269,3,FALSE)</f>
        <v>LOGISTICA</v>
      </c>
    </row>
    <row r="1024" spans="1:10" ht="15.75" customHeight="1" x14ac:dyDescent="0.25">
      <c r="A1024" s="1">
        <v>45096</v>
      </c>
      <c r="B1024" s="188" t="s">
        <v>1034</v>
      </c>
      <c r="C1024" s="188" t="s">
        <v>801</v>
      </c>
      <c r="D1024" s="188" t="s">
        <v>802</v>
      </c>
      <c r="E1024" s="4">
        <v>25579.75</v>
      </c>
      <c r="F1024" s="5">
        <v>182704</v>
      </c>
      <c r="G1024" s="4">
        <v>38367.839999999997</v>
      </c>
      <c r="H1024" s="4">
        <v>246651.59</v>
      </c>
      <c r="I1024" s="188" t="str">
        <f>VLOOKUP(C1024,CATEGORIZACION!$A$1:$C$269,2,FALSE)</f>
        <v>PROOVEDORES</v>
      </c>
      <c r="J1024" s="188" t="str">
        <f>VLOOKUP(C1024,CATEGORIZACION!$A$1:$C$269,3,FALSE)</f>
        <v>LOGISTICA</v>
      </c>
    </row>
    <row r="1025" spans="1:10" ht="15.75" customHeight="1" x14ac:dyDescent="0.25">
      <c r="A1025" s="1">
        <v>45097</v>
      </c>
      <c r="B1025" s="188" t="s">
        <v>1035</v>
      </c>
      <c r="C1025" s="188" t="s">
        <v>59</v>
      </c>
      <c r="D1025" s="188" t="s">
        <v>60</v>
      </c>
      <c r="E1025" s="4">
        <v>0</v>
      </c>
      <c r="F1025" s="3">
        <v>243156</v>
      </c>
      <c r="G1025" s="4">
        <v>51062.76</v>
      </c>
      <c r="H1025" s="4">
        <v>294218.76</v>
      </c>
      <c r="I1025" s="188" t="str">
        <f>VLOOKUP(C1025,CATEGORIZACION!$A$1:$C$269,2,FALSE)</f>
        <v>PROOVEDORES</v>
      </c>
      <c r="J1025" s="188" t="str">
        <f>VLOOKUP(C1025,CATEGORIZACION!$A$1:$C$269,3,FALSE)</f>
        <v>DEPOSITO</v>
      </c>
    </row>
    <row r="1026" spans="1:10" ht="15.75" customHeight="1" x14ac:dyDescent="0.25">
      <c r="A1026" s="1">
        <v>45098</v>
      </c>
      <c r="B1026" s="188" t="s">
        <v>1036</v>
      </c>
      <c r="C1026" s="188" t="s">
        <v>21</v>
      </c>
      <c r="D1026" s="188" t="s">
        <v>22</v>
      </c>
      <c r="E1026" s="4">
        <v>-14520</v>
      </c>
      <c r="F1026" s="5">
        <v>-180000</v>
      </c>
      <c r="G1026" s="4">
        <v>-37800</v>
      </c>
      <c r="H1026" s="4">
        <v>-232320</v>
      </c>
      <c r="I1026" s="188" t="str">
        <f>VLOOKUP(C1026,CATEGORIZACION!$A$1:$C$269,2,FALSE)</f>
        <v>TRANSPORTE</v>
      </c>
      <c r="J1026" s="188" t="s">
        <v>19</v>
      </c>
    </row>
    <row r="1027" spans="1:10" ht="15.75" customHeight="1" x14ac:dyDescent="0.25">
      <c r="A1027" s="1">
        <v>45098</v>
      </c>
      <c r="B1027" s="188" t="s">
        <v>1037</v>
      </c>
      <c r="C1027" s="188" t="s">
        <v>714</v>
      </c>
      <c r="D1027" s="188" t="s">
        <v>715</v>
      </c>
      <c r="E1027" s="4">
        <v>0</v>
      </c>
      <c r="F1027" s="3">
        <v>206939.6</v>
      </c>
      <c r="G1027" s="4">
        <v>43457.32</v>
      </c>
      <c r="H1027" s="4">
        <v>250396.92</v>
      </c>
      <c r="I1027" s="188" t="str">
        <f>VLOOKUP(C1027,CATEGORIZACION!$A$1:$C$269,2,FALSE)</f>
        <v>PROOVEDORES</v>
      </c>
      <c r="J1027" s="188" t="str">
        <f>VLOOKUP(C1027,CATEGORIZACION!$A$1:$C$269,3,FALSE)</f>
        <v>DEPOSITO</v>
      </c>
    </row>
    <row r="1028" spans="1:10" ht="15.75" customHeight="1" x14ac:dyDescent="0.25">
      <c r="A1028" s="1">
        <v>45098</v>
      </c>
      <c r="B1028" s="188" t="s">
        <v>1038</v>
      </c>
      <c r="C1028" s="188" t="s">
        <v>21</v>
      </c>
      <c r="D1028" s="188" t="s">
        <v>22</v>
      </c>
      <c r="E1028" s="4">
        <v>15270</v>
      </c>
      <c r="F1028" s="5">
        <v>102800</v>
      </c>
      <c r="G1028" s="4">
        <v>21588</v>
      </c>
      <c r="H1028" s="4">
        <v>139658</v>
      </c>
      <c r="I1028" s="188" t="str">
        <f>VLOOKUP(C1028,CATEGORIZACION!$A$1:$C$269,2,FALSE)</f>
        <v>TRANSPORTE</v>
      </c>
      <c r="J1028" s="188" t="s">
        <v>19</v>
      </c>
    </row>
    <row r="1029" spans="1:10" ht="15.75" customHeight="1" x14ac:dyDescent="0.25">
      <c r="A1029" s="1">
        <v>45098</v>
      </c>
      <c r="B1029" s="188" t="s">
        <v>1039</v>
      </c>
      <c r="C1029" s="188" t="s">
        <v>36</v>
      </c>
      <c r="D1029" s="188" t="s">
        <v>37</v>
      </c>
      <c r="E1029" s="4">
        <v>9200</v>
      </c>
      <c r="F1029" s="5">
        <v>68250</v>
      </c>
      <c r="G1029" s="4">
        <v>14332.5</v>
      </c>
      <c r="H1029" s="4">
        <v>91782.5</v>
      </c>
      <c r="I1029" s="188" t="str">
        <f>VLOOKUP(C1029,CATEGORIZACION!$A$1:$C$269,2,FALSE)</f>
        <v>TRANSPORTE</v>
      </c>
      <c r="J1029" s="188" t="s">
        <v>19</v>
      </c>
    </row>
    <row r="1030" spans="1:10" ht="15.75" customHeight="1" x14ac:dyDescent="0.25">
      <c r="A1030" s="1">
        <v>45098</v>
      </c>
      <c r="B1030" s="188" t="s">
        <v>1040</v>
      </c>
      <c r="C1030" s="188" t="s">
        <v>36</v>
      </c>
      <c r="D1030" s="188" t="s">
        <v>37</v>
      </c>
      <c r="E1030" s="4">
        <v>9200</v>
      </c>
      <c r="F1030" s="5">
        <v>68250</v>
      </c>
      <c r="G1030" s="4">
        <v>14332.5</v>
      </c>
      <c r="H1030" s="4">
        <v>91782.5</v>
      </c>
      <c r="I1030" s="188" t="str">
        <f>VLOOKUP(C1030,CATEGORIZACION!$A$1:$C$269,2,FALSE)</f>
        <v>TRANSPORTE</v>
      </c>
      <c r="J1030" s="188" t="s">
        <v>19</v>
      </c>
    </row>
    <row r="1031" spans="1:10" ht="15.75" customHeight="1" x14ac:dyDescent="0.25">
      <c r="A1031" s="1">
        <v>45098</v>
      </c>
      <c r="B1031" s="188" t="s">
        <v>1041</v>
      </c>
      <c r="C1031" s="188" t="s">
        <v>36</v>
      </c>
      <c r="D1031" s="188" t="s">
        <v>37</v>
      </c>
      <c r="E1031" s="4">
        <v>6200</v>
      </c>
      <c r="F1031" s="5">
        <v>43500</v>
      </c>
      <c r="G1031" s="4">
        <v>9135</v>
      </c>
      <c r="H1031" s="4">
        <v>58835</v>
      </c>
      <c r="I1031" s="188" t="str">
        <f>VLOOKUP(C1031,CATEGORIZACION!$A$1:$C$269,2,FALSE)</f>
        <v>TRANSPORTE</v>
      </c>
      <c r="J1031" s="188" t="s">
        <v>19</v>
      </c>
    </row>
    <row r="1032" spans="1:10" ht="15.75" customHeight="1" x14ac:dyDescent="0.25">
      <c r="A1032" s="1">
        <v>45098</v>
      </c>
      <c r="B1032" s="188" t="s">
        <v>1042</v>
      </c>
      <c r="C1032" s="188" t="s">
        <v>36</v>
      </c>
      <c r="D1032" s="188" t="s">
        <v>37</v>
      </c>
      <c r="E1032" s="4">
        <v>6200</v>
      </c>
      <c r="F1032" s="5">
        <v>43500</v>
      </c>
      <c r="G1032" s="4">
        <v>9135</v>
      </c>
      <c r="H1032" s="4">
        <v>58835</v>
      </c>
      <c r="I1032" s="188" t="str">
        <f>VLOOKUP(C1032,CATEGORIZACION!$A$1:$C$269,2,FALSE)</f>
        <v>TRANSPORTE</v>
      </c>
      <c r="J1032" s="188" t="s">
        <v>19</v>
      </c>
    </row>
    <row r="1033" spans="1:10" ht="15.75" customHeight="1" x14ac:dyDescent="0.25">
      <c r="A1033" s="1">
        <v>45098</v>
      </c>
      <c r="B1033" s="188" t="s">
        <v>1043</v>
      </c>
      <c r="C1033" s="188" t="s">
        <v>36</v>
      </c>
      <c r="D1033" s="188" t="s">
        <v>37</v>
      </c>
      <c r="E1033" s="4">
        <v>9200</v>
      </c>
      <c r="F1033" s="5">
        <v>68250</v>
      </c>
      <c r="G1033" s="4">
        <v>14332.5</v>
      </c>
      <c r="H1033" s="4">
        <v>91782.5</v>
      </c>
      <c r="I1033" s="188" t="str">
        <f>VLOOKUP(C1033,CATEGORIZACION!$A$1:$C$269,2,FALSE)</f>
        <v>TRANSPORTE</v>
      </c>
      <c r="J1033" s="188" t="s">
        <v>19</v>
      </c>
    </row>
    <row r="1034" spans="1:10" ht="15.75" customHeight="1" x14ac:dyDescent="0.25">
      <c r="A1034" s="1">
        <v>45098</v>
      </c>
      <c r="B1034" s="188" t="s">
        <v>1044</v>
      </c>
      <c r="C1034" s="188" t="s">
        <v>36</v>
      </c>
      <c r="D1034" s="188" t="s">
        <v>37</v>
      </c>
      <c r="E1034" s="4">
        <v>9200</v>
      </c>
      <c r="F1034" s="5">
        <v>57750</v>
      </c>
      <c r="G1034" s="4">
        <v>12127.5</v>
      </c>
      <c r="H1034" s="4">
        <v>79077.5</v>
      </c>
      <c r="I1034" s="188" t="str">
        <f>VLOOKUP(C1034,CATEGORIZACION!$A$1:$C$269,2,FALSE)</f>
        <v>TRANSPORTE</v>
      </c>
      <c r="J1034" s="188" t="s">
        <v>19</v>
      </c>
    </row>
    <row r="1035" spans="1:10" ht="15.75" customHeight="1" x14ac:dyDescent="0.25">
      <c r="A1035" s="1">
        <v>45098</v>
      </c>
      <c r="B1035" s="188" t="s">
        <v>1045</v>
      </c>
      <c r="C1035" s="188" t="s">
        <v>36</v>
      </c>
      <c r="D1035" s="188" t="s">
        <v>37</v>
      </c>
      <c r="E1035" s="4">
        <v>9200</v>
      </c>
      <c r="F1035" s="5">
        <v>52500</v>
      </c>
      <c r="G1035" s="4">
        <v>11025</v>
      </c>
      <c r="H1035" s="4">
        <v>72725</v>
      </c>
      <c r="I1035" s="188" t="str">
        <f>VLOOKUP(C1035,CATEGORIZACION!$A$1:$C$269,2,FALSE)</f>
        <v>TRANSPORTE</v>
      </c>
      <c r="J1035" s="188" t="s">
        <v>19</v>
      </c>
    </row>
    <row r="1036" spans="1:10" ht="15.75" customHeight="1" x14ac:dyDescent="0.25">
      <c r="A1036" s="1">
        <v>45098</v>
      </c>
      <c r="B1036" s="188" t="s">
        <v>1046</v>
      </c>
      <c r="C1036" s="188" t="s">
        <v>36</v>
      </c>
      <c r="D1036" s="188" t="s">
        <v>37</v>
      </c>
      <c r="E1036" s="4">
        <v>9200</v>
      </c>
      <c r="F1036" s="5">
        <v>57750</v>
      </c>
      <c r="G1036" s="4">
        <v>12127.5</v>
      </c>
      <c r="H1036" s="4">
        <v>79077.5</v>
      </c>
      <c r="I1036" s="188" t="str">
        <f>VLOOKUP(C1036,CATEGORIZACION!$A$1:$C$269,2,FALSE)</f>
        <v>TRANSPORTE</v>
      </c>
      <c r="J1036" s="188" t="s">
        <v>19</v>
      </c>
    </row>
    <row r="1037" spans="1:10" ht="15.75" customHeight="1" x14ac:dyDescent="0.25">
      <c r="A1037" s="1">
        <v>45098</v>
      </c>
      <c r="B1037" s="188" t="s">
        <v>1047</v>
      </c>
      <c r="C1037" s="188" t="s">
        <v>36</v>
      </c>
      <c r="D1037" s="188" t="s">
        <v>37</v>
      </c>
      <c r="E1037" s="4">
        <v>6200</v>
      </c>
      <c r="F1037" s="5">
        <v>43500</v>
      </c>
      <c r="G1037" s="4">
        <v>9135</v>
      </c>
      <c r="H1037" s="4">
        <v>58835</v>
      </c>
      <c r="I1037" s="188" t="str">
        <f>VLOOKUP(C1037,CATEGORIZACION!$A$1:$C$269,2,FALSE)</f>
        <v>TRANSPORTE</v>
      </c>
      <c r="J1037" s="188" t="s">
        <v>19</v>
      </c>
    </row>
    <row r="1038" spans="1:10" ht="15.75" customHeight="1" x14ac:dyDescent="0.25">
      <c r="A1038" s="1">
        <v>45098</v>
      </c>
      <c r="B1038" s="188" t="s">
        <v>1048</v>
      </c>
      <c r="C1038" s="188" t="s">
        <v>36</v>
      </c>
      <c r="D1038" s="188" t="s">
        <v>37</v>
      </c>
      <c r="E1038" s="4">
        <v>9200</v>
      </c>
      <c r="F1038" s="5">
        <v>52500</v>
      </c>
      <c r="G1038" s="4">
        <v>11025</v>
      </c>
      <c r="H1038" s="4">
        <v>72725</v>
      </c>
      <c r="I1038" s="188" t="str">
        <f>VLOOKUP(C1038,CATEGORIZACION!$A$1:$C$269,2,FALSE)</f>
        <v>TRANSPORTE</v>
      </c>
      <c r="J1038" s="188" t="s">
        <v>19</v>
      </c>
    </row>
    <row r="1039" spans="1:10" ht="15.75" customHeight="1" x14ac:dyDescent="0.25">
      <c r="A1039" s="1">
        <v>45098</v>
      </c>
      <c r="B1039" s="188" t="s">
        <v>1049</v>
      </c>
      <c r="C1039" s="188" t="s">
        <v>1050</v>
      </c>
      <c r="D1039" s="188" t="s">
        <v>1051</v>
      </c>
      <c r="E1039" s="4">
        <v>777.27</v>
      </c>
      <c r="F1039" s="5">
        <v>97158.68</v>
      </c>
      <c r="G1039" s="4">
        <v>20403.32</v>
      </c>
      <c r="H1039" s="4">
        <v>121254.04</v>
      </c>
      <c r="I1039" s="188" t="str">
        <f>VLOOKUP(C1039,CATEGORIZACION!$A$1:$C$269,2,FALSE)</f>
        <v>PROOVEDORES</v>
      </c>
      <c r="J1039" s="188" t="str">
        <f>VLOOKUP(C1039,CATEGORIZACION!$A$1:$C$269,3,FALSE)</f>
        <v>LOGISTICA</v>
      </c>
    </row>
    <row r="1040" spans="1:10" ht="15.75" customHeight="1" x14ac:dyDescent="0.25">
      <c r="A1040" s="1">
        <v>45099</v>
      </c>
      <c r="B1040" s="188" t="s">
        <v>1052</v>
      </c>
      <c r="C1040" s="188" t="s">
        <v>59</v>
      </c>
      <c r="D1040" s="188" t="s">
        <v>60</v>
      </c>
      <c r="E1040" s="4">
        <v>-7.4505805969238283E-11</v>
      </c>
      <c r="F1040" s="3">
        <v>527520</v>
      </c>
      <c r="G1040" s="4">
        <v>110779.2</v>
      </c>
      <c r="H1040" s="4">
        <v>638299.19999999995</v>
      </c>
      <c r="I1040" s="188" t="str">
        <f>VLOOKUP(C1040,CATEGORIZACION!$A$1:$C$269,2,FALSE)</f>
        <v>PROOVEDORES</v>
      </c>
      <c r="J1040" s="188" t="str">
        <f>VLOOKUP(C1040,CATEGORIZACION!$A$1:$C$269,3,FALSE)</f>
        <v>DEPOSITO</v>
      </c>
    </row>
    <row r="1041" spans="1:10" ht="15.75" customHeight="1" x14ac:dyDescent="0.25">
      <c r="A1041" s="1">
        <v>45099</v>
      </c>
      <c r="B1041" s="188" t="s">
        <v>1053</v>
      </c>
      <c r="C1041" s="188" t="s">
        <v>59</v>
      </c>
      <c r="D1041" s="188" t="s">
        <v>60</v>
      </c>
      <c r="E1041" s="4">
        <v>0</v>
      </c>
      <c r="F1041" s="3">
        <v>43830</v>
      </c>
      <c r="G1041" s="4">
        <v>9204.2999999999993</v>
      </c>
      <c r="H1041" s="4">
        <v>53034.3</v>
      </c>
      <c r="I1041" s="188" t="str">
        <f>VLOOKUP(C1041,CATEGORIZACION!$A$1:$C$269,2,FALSE)</f>
        <v>PROOVEDORES</v>
      </c>
      <c r="J1041" s="188" t="str">
        <f>VLOOKUP(C1041,CATEGORIZACION!$A$1:$C$269,3,FALSE)</f>
        <v>DEPOSITO</v>
      </c>
    </row>
    <row r="1042" spans="1:10" ht="15.75" customHeight="1" x14ac:dyDescent="0.25">
      <c r="A1042" s="1">
        <v>45099</v>
      </c>
      <c r="B1042" s="188" t="s">
        <v>1054</v>
      </c>
      <c r="C1042" s="188" t="s">
        <v>59</v>
      </c>
      <c r="D1042" s="188" t="s">
        <v>60</v>
      </c>
      <c r="E1042" s="4">
        <v>0</v>
      </c>
      <c r="F1042" s="3">
        <v>127494</v>
      </c>
      <c r="G1042" s="4">
        <v>26773.74</v>
      </c>
      <c r="H1042" s="4">
        <v>154267.74</v>
      </c>
      <c r="I1042" s="188" t="str">
        <f>VLOOKUP(C1042,CATEGORIZACION!$A$1:$C$269,2,FALSE)</f>
        <v>PROOVEDORES</v>
      </c>
      <c r="J1042" s="188" t="str">
        <f>VLOOKUP(C1042,CATEGORIZACION!$A$1:$C$269,3,FALSE)</f>
        <v>DEPOSITO</v>
      </c>
    </row>
    <row r="1043" spans="1:10" ht="15.75" customHeight="1" x14ac:dyDescent="0.25">
      <c r="A1043" s="1">
        <v>45099</v>
      </c>
      <c r="B1043" s="188" t="s">
        <v>1055</v>
      </c>
      <c r="C1043" s="188" t="s">
        <v>59</v>
      </c>
      <c r="D1043" s="188" t="s">
        <v>60</v>
      </c>
      <c r="E1043" s="4">
        <v>0</v>
      </c>
      <c r="F1043" s="3">
        <v>138240</v>
      </c>
      <c r="G1043" s="4">
        <v>29030.400000000001</v>
      </c>
      <c r="H1043" s="4">
        <v>167270.39999999999</v>
      </c>
      <c r="I1043" s="188" t="str">
        <f>VLOOKUP(C1043,CATEGORIZACION!$A$1:$C$269,2,FALSE)</f>
        <v>PROOVEDORES</v>
      </c>
      <c r="J1043" s="188" t="str">
        <f>VLOOKUP(C1043,CATEGORIZACION!$A$1:$C$269,3,FALSE)</f>
        <v>DEPOSITO</v>
      </c>
    </row>
    <row r="1044" spans="1:10" ht="15.75" customHeight="1" x14ac:dyDescent="0.25">
      <c r="A1044" s="1">
        <v>45100</v>
      </c>
      <c r="B1044" s="188" t="s">
        <v>1056</v>
      </c>
      <c r="C1044" s="188" t="s">
        <v>1057</v>
      </c>
      <c r="D1044" s="188" t="s">
        <v>1058</v>
      </c>
      <c r="E1044" s="4">
        <v>0</v>
      </c>
      <c r="F1044" s="5">
        <v>94876.03</v>
      </c>
      <c r="G1044" s="4">
        <v>19923.97</v>
      </c>
      <c r="H1044" s="4">
        <v>114800</v>
      </c>
      <c r="I1044" s="188" t="str">
        <f>VLOOKUP(C1044,CATEGORIZACION!$A$1:$C$269,2,FALSE)</f>
        <v>PROOVEDORES</v>
      </c>
      <c r="J1044" s="188" t="str">
        <f>VLOOKUP(C1044,CATEGORIZACION!$A$1:$C$269,3,FALSE)</f>
        <v>LOGISTICA</v>
      </c>
    </row>
    <row r="1045" spans="1:10" ht="15.75" customHeight="1" x14ac:dyDescent="0.25">
      <c r="A1045" s="1">
        <v>45100</v>
      </c>
      <c r="B1045" s="188" t="s">
        <v>1059</v>
      </c>
      <c r="C1045" s="188" t="s">
        <v>426</v>
      </c>
      <c r="D1045" s="188" t="s">
        <v>427</v>
      </c>
      <c r="E1045" s="4">
        <v>2495</v>
      </c>
      <c r="F1045" s="5">
        <v>23681.82</v>
      </c>
      <c r="G1045" s="4">
        <v>4973.18</v>
      </c>
      <c r="H1045" s="4">
        <v>31150</v>
      </c>
      <c r="I1045" s="188" t="str">
        <f>VLOOKUP(C1045,CATEGORIZACION!$A$1:$C$269,2,FALSE)</f>
        <v>PROOVEDORES</v>
      </c>
      <c r="J1045" s="188" t="str">
        <f>VLOOKUP(C1045,CATEGORIZACION!$A$1:$C$269,3,FALSE)</f>
        <v>LOGISTICA</v>
      </c>
    </row>
    <row r="1046" spans="1:10" ht="15.75" customHeight="1" x14ac:dyDescent="0.25">
      <c r="A1046" s="1">
        <v>45103</v>
      </c>
      <c r="B1046" s="188" t="s">
        <v>1060</v>
      </c>
      <c r="C1046" s="188" t="s">
        <v>59</v>
      </c>
      <c r="D1046" s="188" t="s">
        <v>60</v>
      </c>
      <c r="E1046" s="4">
        <v>0</v>
      </c>
      <c r="F1046" s="3">
        <v>13000</v>
      </c>
      <c r="G1046" s="4">
        <v>2730</v>
      </c>
      <c r="H1046" s="4">
        <v>15730</v>
      </c>
      <c r="I1046" s="188" t="str">
        <f>VLOOKUP(C1046,CATEGORIZACION!$A$1:$C$269,2,FALSE)</f>
        <v>PROOVEDORES</v>
      </c>
      <c r="J1046" s="188" t="str">
        <f>VLOOKUP(C1046,CATEGORIZACION!$A$1:$C$269,3,FALSE)</f>
        <v>DEPOSITO</v>
      </c>
    </row>
    <row r="1047" spans="1:10" ht="15.75" customHeight="1" x14ac:dyDescent="0.25">
      <c r="A1047" s="1">
        <v>45103</v>
      </c>
      <c r="B1047" s="188" t="s">
        <v>1061</v>
      </c>
      <c r="C1047" s="188" t="s">
        <v>21</v>
      </c>
      <c r="D1047" s="188" t="s">
        <v>22</v>
      </c>
      <c r="E1047" s="4">
        <v>14640</v>
      </c>
      <c r="F1047" s="5">
        <v>281200</v>
      </c>
      <c r="G1047" s="4">
        <v>59052</v>
      </c>
      <c r="H1047" s="4">
        <v>354892</v>
      </c>
      <c r="I1047" s="188" t="str">
        <f>VLOOKUP(C1047,CATEGORIZACION!$A$1:$C$269,2,FALSE)</f>
        <v>TRANSPORTE</v>
      </c>
      <c r="J1047" s="188" t="s">
        <v>19</v>
      </c>
    </row>
    <row r="1048" spans="1:10" ht="15.75" customHeight="1" x14ac:dyDescent="0.25">
      <c r="A1048" s="1">
        <v>45103</v>
      </c>
      <c r="B1048" s="188" t="s">
        <v>1062</v>
      </c>
      <c r="C1048" s="188" t="s">
        <v>21</v>
      </c>
      <c r="D1048" s="188" t="s">
        <v>22</v>
      </c>
      <c r="E1048" s="4">
        <v>24880</v>
      </c>
      <c r="F1048" s="5">
        <v>227150</v>
      </c>
      <c r="G1048" s="4">
        <v>47701.5</v>
      </c>
      <c r="H1048" s="4">
        <v>299731.5</v>
      </c>
      <c r="I1048" s="188" t="str">
        <f>VLOOKUP(C1048,CATEGORIZACION!$A$1:$C$269,2,FALSE)</f>
        <v>TRANSPORTE</v>
      </c>
      <c r="J1048" s="188" t="s">
        <v>19</v>
      </c>
    </row>
    <row r="1049" spans="1:10" ht="15.75" customHeight="1" x14ac:dyDescent="0.25">
      <c r="A1049" s="1">
        <v>45103</v>
      </c>
      <c r="B1049" s="188" t="s">
        <v>1063</v>
      </c>
      <c r="C1049" s="188" t="s">
        <v>21</v>
      </c>
      <c r="D1049" s="188" t="s">
        <v>22</v>
      </c>
      <c r="E1049" s="4">
        <v>42400</v>
      </c>
      <c r="F1049" s="5">
        <v>402600</v>
      </c>
      <c r="G1049" s="4">
        <v>84546</v>
      </c>
      <c r="H1049" s="4">
        <v>529546</v>
      </c>
      <c r="I1049" s="188" t="str">
        <f>VLOOKUP(C1049,CATEGORIZACION!$A$1:$C$269,2,FALSE)</f>
        <v>TRANSPORTE</v>
      </c>
      <c r="J1049" s="188" t="s">
        <v>19</v>
      </c>
    </row>
    <row r="1050" spans="1:10" ht="15.75" customHeight="1" x14ac:dyDescent="0.25">
      <c r="A1050" s="1">
        <v>45103</v>
      </c>
      <c r="B1050" s="188" t="s">
        <v>1064</v>
      </c>
      <c r="C1050" s="188" t="s">
        <v>21</v>
      </c>
      <c r="D1050" s="188" t="s">
        <v>22</v>
      </c>
      <c r="E1050" s="4">
        <v>19360</v>
      </c>
      <c r="F1050" s="5">
        <v>360000</v>
      </c>
      <c r="G1050" s="4">
        <v>75600</v>
      </c>
      <c r="H1050" s="4">
        <v>454960</v>
      </c>
      <c r="I1050" s="188" t="str">
        <f>VLOOKUP(C1050,CATEGORIZACION!$A$1:$C$269,2,FALSE)</f>
        <v>TRANSPORTE</v>
      </c>
      <c r="J1050" s="188" t="s">
        <v>19</v>
      </c>
    </row>
    <row r="1051" spans="1:10" ht="15.75" customHeight="1" x14ac:dyDescent="0.25">
      <c r="A1051" s="1">
        <v>45103</v>
      </c>
      <c r="B1051" s="188" t="s">
        <v>1065</v>
      </c>
      <c r="C1051" s="188" t="s">
        <v>21</v>
      </c>
      <c r="D1051" s="188" t="s">
        <v>22</v>
      </c>
      <c r="E1051" s="4">
        <v>24320</v>
      </c>
      <c r="F1051" s="5">
        <v>420000</v>
      </c>
      <c r="G1051" s="4">
        <v>88200</v>
      </c>
      <c r="H1051" s="4">
        <v>532520</v>
      </c>
      <c r="I1051" s="188" t="str">
        <f>VLOOKUP(C1051,CATEGORIZACION!$A$1:$C$269,2,FALSE)</f>
        <v>TRANSPORTE</v>
      </c>
      <c r="J1051" s="188" t="s">
        <v>19</v>
      </c>
    </row>
    <row r="1052" spans="1:10" ht="15.75" customHeight="1" x14ac:dyDescent="0.25">
      <c r="A1052" s="1">
        <v>45103</v>
      </c>
      <c r="B1052" s="188" t="s">
        <v>1066</v>
      </c>
      <c r="C1052" s="188" t="s">
        <v>21</v>
      </c>
      <c r="D1052" s="188" t="s">
        <v>22</v>
      </c>
      <c r="E1052" s="4">
        <v>24320</v>
      </c>
      <c r="F1052" s="5">
        <v>420000</v>
      </c>
      <c r="G1052" s="4">
        <v>88200</v>
      </c>
      <c r="H1052" s="4">
        <v>532520</v>
      </c>
      <c r="I1052" s="188" t="str">
        <f>VLOOKUP(C1052,CATEGORIZACION!$A$1:$C$269,2,FALSE)</f>
        <v>TRANSPORTE</v>
      </c>
      <c r="J1052" s="188" t="s">
        <v>19</v>
      </c>
    </row>
    <row r="1053" spans="1:10" ht="15.75" customHeight="1" x14ac:dyDescent="0.25">
      <c r="A1053" s="1">
        <v>45103</v>
      </c>
      <c r="B1053" s="188" t="s">
        <v>1067</v>
      </c>
      <c r="C1053" s="188" t="s">
        <v>21</v>
      </c>
      <c r="D1053" s="188" t="s">
        <v>22</v>
      </c>
      <c r="E1053" s="4">
        <v>14520</v>
      </c>
      <c r="F1053" s="5">
        <v>242250</v>
      </c>
      <c r="G1053" s="4">
        <v>50872.5</v>
      </c>
      <c r="H1053" s="4">
        <v>307642.5</v>
      </c>
      <c r="I1053" s="188" t="str">
        <f>VLOOKUP(C1053,CATEGORIZACION!$A$1:$C$269,2,FALSE)</f>
        <v>TRANSPORTE</v>
      </c>
      <c r="J1053" s="188" t="s">
        <v>19</v>
      </c>
    </row>
    <row r="1054" spans="1:10" ht="15.75" customHeight="1" x14ac:dyDescent="0.25">
      <c r="A1054" s="1">
        <v>45103</v>
      </c>
      <c r="B1054" s="188" t="s">
        <v>1068</v>
      </c>
      <c r="C1054" s="188" t="s">
        <v>21</v>
      </c>
      <c r="D1054" s="188" t="s">
        <v>22</v>
      </c>
      <c r="E1054" s="4">
        <v>25440</v>
      </c>
      <c r="F1054" s="5">
        <v>329400</v>
      </c>
      <c r="G1054" s="4">
        <v>69174</v>
      </c>
      <c r="H1054" s="4">
        <v>424014</v>
      </c>
      <c r="I1054" s="188" t="str">
        <f>VLOOKUP(C1054,CATEGORIZACION!$A$1:$C$269,2,FALSE)</f>
        <v>TRANSPORTE</v>
      </c>
      <c r="J1054" s="188" t="s">
        <v>19</v>
      </c>
    </row>
    <row r="1055" spans="1:10" ht="15.75" customHeight="1" x14ac:dyDescent="0.25">
      <c r="A1055" s="1">
        <v>45103</v>
      </c>
      <c r="B1055" s="188" t="s">
        <v>1069</v>
      </c>
      <c r="C1055" s="188" t="s">
        <v>21</v>
      </c>
      <c r="D1055" s="188" t="s">
        <v>22</v>
      </c>
      <c r="E1055" s="4">
        <v>26760</v>
      </c>
      <c r="F1055" s="5">
        <v>412050</v>
      </c>
      <c r="G1055" s="4">
        <v>86530.5</v>
      </c>
      <c r="H1055" s="4">
        <v>525340.5</v>
      </c>
      <c r="I1055" s="188" t="str">
        <f>VLOOKUP(C1055,CATEGORIZACION!$A$1:$C$269,2,FALSE)</f>
        <v>TRANSPORTE</v>
      </c>
      <c r="J1055" s="188" t="s">
        <v>19</v>
      </c>
    </row>
    <row r="1056" spans="1:10" ht="15.75" customHeight="1" x14ac:dyDescent="0.25">
      <c r="A1056" s="1">
        <v>45103</v>
      </c>
      <c r="B1056" s="188" t="s">
        <v>1070</v>
      </c>
      <c r="C1056" s="188" t="s">
        <v>21</v>
      </c>
      <c r="D1056" s="188" t="s">
        <v>22</v>
      </c>
      <c r="E1056" s="4">
        <v>7920</v>
      </c>
      <c r="F1056" s="5">
        <v>121125</v>
      </c>
      <c r="G1056" s="4">
        <v>25436.25</v>
      </c>
      <c r="H1056" s="4">
        <v>154481.25</v>
      </c>
      <c r="I1056" s="188" t="str">
        <f>VLOOKUP(C1056,CATEGORIZACION!$A$1:$C$269,2,FALSE)</f>
        <v>TRANSPORTE</v>
      </c>
      <c r="J1056" s="188" t="s">
        <v>19</v>
      </c>
    </row>
    <row r="1057" spans="1:10" ht="15.75" customHeight="1" x14ac:dyDescent="0.25">
      <c r="A1057" s="1">
        <v>45103</v>
      </c>
      <c r="B1057" s="188" t="s">
        <v>1071</v>
      </c>
      <c r="C1057" s="188" t="s">
        <v>21</v>
      </c>
      <c r="D1057" s="188" t="s">
        <v>22</v>
      </c>
      <c r="E1057" s="4">
        <v>1200</v>
      </c>
      <c r="F1057" s="5">
        <v>80750</v>
      </c>
      <c r="G1057" s="4">
        <v>16957.5</v>
      </c>
      <c r="H1057" s="4">
        <v>98907.5</v>
      </c>
      <c r="I1057" s="188" t="str">
        <f>VLOOKUP(C1057,CATEGORIZACION!$A$1:$C$269,2,FALSE)</f>
        <v>TRANSPORTE</v>
      </c>
      <c r="J1057" s="188" t="s">
        <v>19</v>
      </c>
    </row>
    <row r="1058" spans="1:10" ht="15.75" customHeight="1" x14ac:dyDescent="0.25">
      <c r="A1058" s="1">
        <v>45103</v>
      </c>
      <c r="B1058" s="188" t="s">
        <v>1072</v>
      </c>
      <c r="C1058" s="188" t="s">
        <v>36</v>
      </c>
      <c r="D1058" s="188" t="s">
        <v>37</v>
      </c>
      <c r="E1058" s="4">
        <v>6200</v>
      </c>
      <c r="F1058" s="5">
        <v>43500</v>
      </c>
      <c r="G1058" s="4">
        <v>9135</v>
      </c>
      <c r="H1058" s="4">
        <v>58835</v>
      </c>
      <c r="I1058" s="188" t="str">
        <f>VLOOKUP(C1058,CATEGORIZACION!$A$1:$C$269,2,FALSE)</f>
        <v>TRANSPORTE</v>
      </c>
      <c r="J1058" s="188" t="s">
        <v>19</v>
      </c>
    </row>
    <row r="1059" spans="1:10" ht="15.75" customHeight="1" x14ac:dyDescent="0.25">
      <c r="A1059" s="1">
        <v>45103</v>
      </c>
      <c r="B1059" s="188" t="s">
        <v>1073</v>
      </c>
      <c r="C1059" s="188" t="s">
        <v>36</v>
      </c>
      <c r="D1059" s="188" t="s">
        <v>37</v>
      </c>
      <c r="E1059" s="4">
        <v>9200</v>
      </c>
      <c r="F1059" s="5">
        <v>52500</v>
      </c>
      <c r="G1059" s="4">
        <v>11025</v>
      </c>
      <c r="H1059" s="4">
        <v>72725</v>
      </c>
      <c r="I1059" s="188" t="str">
        <f>VLOOKUP(C1059,CATEGORIZACION!$A$1:$C$269,2,FALSE)</f>
        <v>TRANSPORTE</v>
      </c>
      <c r="J1059" s="188" t="s">
        <v>19</v>
      </c>
    </row>
    <row r="1060" spans="1:10" ht="15.75" customHeight="1" x14ac:dyDescent="0.25">
      <c r="A1060" s="1">
        <v>45103</v>
      </c>
      <c r="B1060" s="188" t="s">
        <v>1074</v>
      </c>
      <c r="C1060" s="188" t="s">
        <v>36</v>
      </c>
      <c r="D1060" s="188" t="s">
        <v>37</v>
      </c>
      <c r="E1060" s="4">
        <v>9200</v>
      </c>
      <c r="F1060" s="5">
        <v>52500</v>
      </c>
      <c r="G1060" s="4">
        <v>11025</v>
      </c>
      <c r="H1060" s="4">
        <v>72725</v>
      </c>
      <c r="I1060" s="188" t="str">
        <f>VLOOKUP(C1060,CATEGORIZACION!$A$1:$C$269,2,FALSE)</f>
        <v>TRANSPORTE</v>
      </c>
      <c r="J1060" s="188" t="s">
        <v>19</v>
      </c>
    </row>
    <row r="1061" spans="1:10" ht="15.75" customHeight="1" x14ac:dyDescent="0.25">
      <c r="A1061" s="1">
        <v>45103</v>
      </c>
      <c r="B1061" s="188" t="s">
        <v>1075</v>
      </c>
      <c r="C1061" s="188" t="s">
        <v>36</v>
      </c>
      <c r="D1061" s="188" t="s">
        <v>37</v>
      </c>
      <c r="E1061" s="4">
        <v>12500</v>
      </c>
      <c r="F1061" s="5">
        <v>85000</v>
      </c>
      <c r="G1061" s="4">
        <v>17850</v>
      </c>
      <c r="H1061" s="4">
        <v>115350</v>
      </c>
      <c r="I1061" s="188" t="str">
        <f>VLOOKUP(C1061,CATEGORIZACION!$A$1:$C$269,2,FALSE)</f>
        <v>TRANSPORTE</v>
      </c>
      <c r="J1061" s="188" t="s">
        <v>19</v>
      </c>
    </row>
    <row r="1062" spans="1:10" ht="15.75" customHeight="1" x14ac:dyDescent="0.25">
      <c r="A1062" s="1">
        <v>45103</v>
      </c>
      <c r="B1062" s="188" t="s">
        <v>1076</v>
      </c>
      <c r="C1062" s="188" t="s">
        <v>36</v>
      </c>
      <c r="D1062" s="188" t="s">
        <v>37</v>
      </c>
      <c r="E1062" s="4">
        <v>9200</v>
      </c>
      <c r="F1062" s="5">
        <v>52500</v>
      </c>
      <c r="G1062" s="4">
        <v>11025</v>
      </c>
      <c r="H1062" s="4">
        <v>72725</v>
      </c>
      <c r="I1062" s="188" t="str">
        <f>VLOOKUP(C1062,CATEGORIZACION!$A$1:$C$269,2,FALSE)</f>
        <v>TRANSPORTE</v>
      </c>
      <c r="J1062" s="188" t="s">
        <v>19</v>
      </c>
    </row>
    <row r="1063" spans="1:10" ht="15.75" customHeight="1" x14ac:dyDescent="0.25">
      <c r="A1063" s="1">
        <v>45103</v>
      </c>
      <c r="B1063" s="188" t="s">
        <v>1077</v>
      </c>
      <c r="C1063" s="188" t="s">
        <v>36</v>
      </c>
      <c r="D1063" s="188" t="s">
        <v>37</v>
      </c>
      <c r="E1063" s="4">
        <v>11500</v>
      </c>
      <c r="F1063" s="5">
        <v>83820</v>
      </c>
      <c r="G1063" s="4">
        <v>17602.2</v>
      </c>
      <c r="H1063" s="4">
        <v>112922.2</v>
      </c>
      <c r="I1063" s="188" t="str">
        <f>VLOOKUP(C1063,CATEGORIZACION!$A$1:$C$269,2,FALSE)</f>
        <v>TRANSPORTE</v>
      </c>
      <c r="J1063" s="188" t="s">
        <v>19</v>
      </c>
    </row>
    <row r="1064" spans="1:10" ht="15.75" customHeight="1" x14ac:dyDescent="0.25">
      <c r="A1064" s="1">
        <v>45103</v>
      </c>
      <c r="B1064" s="188" t="s">
        <v>1078</v>
      </c>
      <c r="C1064" s="188" t="s">
        <v>36</v>
      </c>
      <c r="D1064" s="188" t="s">
        <v>37</v>
      </c>
      <c r="E1064" s="4">
        <v>11500</v>
      </c>
      <c r="F1064" s="5">
        <v>83820</v>
      </c>
      <c r="G1064" s="4">
        <v>17602.2</v>
      </c>
      <c r="H1064" s="4">
        <v>112922.2</v>
      </c>
      <c r="I1064" s="188" t="str">
        <f>VLOOKUP(C1064,CATEGORIZACION!$A$1:$C$269,2,FALSE)</f>
        <v>TRANSPORTE</v>
      </c>
      <c r="J1064" s="188" t="s">
        <v>19</v>
      </c>
    </row>
    <row r="1065" spans="1:10" ht="15.75" customHeight="1" x14ac:dyDescent="0.25">
      <c r="A1065" s="1">
        <v>45103</v>
      </c>
      <c r="B1065" s="188" t="s">
        <v>1079</v>
      </c>
      <c r="C1065" s="188" t="s">
        <v>36</v>
      </c>
      <c r="D1065" s="188" t="s">
        <v>37</v>
      </c>
      <c r="E1065" s="4">
        <v>11500</v>
      </c>
      <c r="F1065" s="5">
        <v>83820</v>
      </c>
      <c r="G1065" s="4">
        <v>17602.2</v>
      </c>
      <c r="H1065" s="4">
        <v>112922.2</v>
      </c>
      <c r="I1065" s="188" t="str">
        <f>VLOOKUP(C1065,CATEGORIZACION!$A$1:$C$269,2,FALSE)</f>
        <v>TRANSPORTE</v>
      </c>
      <c r="J1065" s="188" t="s">
        <v>19</v>
      </c>
    </row>
    <row r="1066" spans="1:10" ht="15.75" customHeight="1" x14ac:dyDescent="0.25">
      <c r="A1066" s="1">
        <v>45103</v>
      </c>
      <c r="B1066" s="188" t="s">
        <v>1080</v>
      </c>
      <c r="C1066" s="188" t="s">
        <v>409</v>
      </c>
      <c r="D1066" s="188" t="s">
        <v>410</v>
      </c>
      <c r="E1066" s="4">
        <v>6231.25</v>
      </c>
      <c r="F1066" s="5">
        <v>778905.94</v>
      </c>
      <c r="G1066" s="4">
        <v>163570.25</v>
      </c>
      <c r="H1066" s="4">
        <v>948707.44</v>
      </c>
      <c r="I1066" s="188" t="str">
        <f>VLOOKUP(C1066,CATEGORIZACION!$A$1:$C$269,2,FALSE)</f>
        <v>PROOVEDORES</v>
      </c>
      <c r="J1066" s="188" t="str">
        <f>VLOOKUP(C1066,CATEGORIZACION!$A$1:$C$269,3,FALSE)</f>
        <v>LOGISTICA</v>
      </c>
    </row>
    <row r="1067" spans="1:10" ht="15.75" customHeight="1" x14ac:dyDescent="0.25">
      <c r="A1067" s="1">
        <v>45104</v>
      </c>
      <c r="B1067" s="188" t="s">
        <v>1081</v>
      </c>
      <c r="C1067" s="188" t="s">
        <v>337</v>
      </c>
      <c r="D1067" s="188" t="s">
        <v>174</v>
      </c>
      <c r="E1067" s="4">
        <v>0</v>
      </c>
      <c r="F1067" s="5">
        <v>53400</v>
      </c>
      <c r="G1067" s="4">
        <v>11214</v>
      </c>
      <c r="H1067" s="4">
        <v>64614</v>
      </c>
      <c r="I1067" s="188" t="str">
        <f>VLOOKUP(C1067,CATEGORIZACION!$A$1:$C$269,2,FALSE)</f>
        <v>TRANSPORTE</v>
      </c>
      <c r="J1067" s="188" t="s">
        <v>19</v>
      </c>
    </row>
    <row r="1068" spans="1:10" ht="15.75" customHeight="1" x14ac:dyDescent="0.25">
      <c r="A1068" s="1">
        <v>45104</v>
      </c>
      <c r="B1068" s="188" t="s">
        <v>1082</v>
      </c>
      <c r="C1068" s="188" t="s">
        <v>426</v>
      </c>
      <c r="D1068" s="188" t="s">
        <v>427</v>
      </c>
      <c r="E1068" s="4">
        <v>2495</v>
      </c>
      <c r="F1068" s="5">
        <v>23681.82</v>
      </c>
      <c r="G1068" s="4">
        <v>4973.18</v>
      </c>
      <c r="H1068" s="4">
        <v>31150</v>
      </c>
      <c r="I1068" s="188" t="str">
        <f>VLOOKUP(C1068,CATEGORIZACION!$A$1:$C$269,2,FALSE)</f>
        <v>PROOVEDORES</v>
      </c>
      <c r="J1068" s="188" t="str">
        <f>VLOOKUP(C1068,CATEGORIZACION!$A$1:$C$269,3,FALSE)</f>
        <v>LOGISTICA</v>
      </c>
    </row>
    <row r="1069" spans="1:10" ht="15.75" customHeight="1" x14ac:dyDescent="0.25">
      <c r="A1069" s="1">
        <v>45105</v>
      </c>
      <c r="B1069" s="188" t="s">
        <v>1083</v>
      </c>
      <c r="C1069" s="188" t="s">
        <v>59</v>
      </c>
      <c r="D1069" s="188" t="s">
        <v>60</v>
      </c>
      <c r="E1069" s="4">
        <v>0</v>
      </c>
      <c r="F1069" s="3">
        <v>169884</v>
      </c>
      <c r="G1069" s="4">
        <v>35675.64</v>
      </c>
      <c r="H1069" s="4">
        <v>205559.64</v>
      </c>
      <c r="I1069" s="188" t="str">
        <f>VLOOKUP(C1069,CATEGORIZACION!$A$1:$C$269,2,FALSE)</f>
        <v>PROOVEDORES</v>
      </c>
      <c r="J1069" s="188" t="str">
        <f>VLOOKUP(C1069,CATEGORIZACION!$A$1:$C$269,3,FALSE)</f>
        <v>DEPOSITO</v>
      </c>
    </row>
    <row r="1070" spans="1:10" ht="15.75" customHeight="1" x14ac:dyDescent="0.25">
      <c r="A1070" s="1">
        <v>45105</v>
      </c>
      <c r="B1070" s="188" t="s">
        <v>1084</v>
      </c>
      <c r="C1070" s="188" t="s">
        <v>59</v>
      </c>
      <c r="D1070" s="188" t="s">
        <v>60</v>
      </c>
      <c r="E1070" s="4">
        <v>0</v>
      </c>
      <c r="F1070" s="3">
        <v>113925</v>
      </c>
      <c r="G1070" s="4">
        <v>23924.25</v>
      </c>
      <c r="H1070" s="4">
        <v>137849.25</v>
      </c>
      <c r="I1070" s="188" t="str">
        <f>VLOOKUP(C1070,CATEGORIZACION!$A$1:$C$269,2,FALSE)</f>
        <v>PROOVEDORES</v>
      </c>
      <c r="J1070" s="188" t="str">
        <f>VLOOKUP(C1070,CATEGORIZACION!$A$1:$C$269,3,FALSE)</f>
        <v>DEPOSITO</v>
      </c>
    </row>
    <row r="1071" spans="1:10" ht="15.75" customHeight="1" x14ac:dyDescent="0.25">
      <c r="A1071" s="1">
        <v>45105</v>
      </c>
      <c r="B1071" s="188" t="s">
        <v>1085</v>
      </c>
      <c r="C1071" s="188" t="s">
        <v>59</v>
      </c>
      <c r="D1071" s="188" t="s">
        <v>60</v>
      </c>
      <c r="E1071" s="4">
        <v>0</v>
      </c>
      <c r="F1071" s="3">
        <v>413952</v>
      </c>
      <c r="G1071" s="4">
        <v>86929.919999999998</v>
      </c>
      <c r="H1071" s="4">
        <v>500881.91999999998</v>
      </c>
      <c r="I1071" s="188" t="str">
        <f>VLOOKUP(C1071,CATEGORIZACION!$A$1:$C$269,2,FALSE)</f>
        <v>PROOVEDORES</v>
      </c>
      <c r="J1071" s="188" t="str">
        <f>VLOOKUP(C1071,CATEGORIZACION!$A$1:$C$269,3,FALSE)</f>
        <v>DEPOSITO</v>
      </c>
    </row>
    <row r="1072" spans="1:10" ht="15.75" customHeight="1" x14ac:dyDescent="0.25">
      <c r="A1072" s="1">
        <v>45105</v>
      </c>
      <c r="B1072" s="188" t="s">
        <v>1086</v>
      </c>
      <c r="C1072" s="188" t="s">
        <v>153</v>
      </c>
      <c r="D1072" s="188" t="s">
        <v>154</v>
      </c>
      <c r="E1072" s="4">
        <v>234.44</v>
      </c>
      <c r="F1072" s="3">
        <v>29304.74</v>
      </c>
      <c r="G1072" s="4">
        <v>6154</v>
      </c>
      <c r="H1072" s="4">
        <v>35693.18</v>
      </c>
      <c r="I1072" s="188" t="str">
        <f>VLOOKUP(C1072,CATEGORIZACION!$A$1:$C$269,2,FALSE)</f>
        <v>PROOVEDORES</v>
      </c>
      <c r="J1072" s="188" t="str">
        <f>VLOOKUP(C1072,CATEGORIZACION!$A$1:$C$269,3,FALSE)</f>
        <v>DEPOSITO</v>
      </c>
    </row>
    <row r="1073" spans="1:10" ht="15.75" customHeight="1" x14ac:dyDescent="0.25">
      <c r="A1073" s="1">
        <v>45105</v>
      </c>
      <c r="B1073" s="188" t="s">
        <v>1087</v>
      </c>
      <c r="C1073" s="188" t="s">
        <v>426</v>
      </c>
      <c r="D1073" s="188" t="s">
        <v>427</v>
      </c>
      <c r="E1073" s="4">
        <v>2495</v>
      </c>
      <c r="F1073" s="5">
        <v>23681.82</v>
      </c>
      <c r="G1073" s="4">
        <v>4973.18</v>
      </c>
      <c r="H1073" s="4">
        <v>31150</v>
      </c>
      <c r="I1073" s="188" t="str">
        <f>VLOOKUP(C1073,CATEGORIZACION!$A$1:$C$269,2,FALSE)</f>
        <v>PROOVEDORES</v>
      </c>
      <c r="J1073" s="188" t="str">
        <f>VLOOKUP(C1073,CATEGORIZACION!$A$1:$C$269,3,FALSE)</f>
        <v>LOGISTICA</v>
      </c>
    </row>
    <row r="1074" spans="1:10" ht="15.75" customHeight="1" x14ac:dyDescent="0.25">
      <c r="A1074" s="1">
        <v>45106</v>
      </c>
      <c r="B1074" s="188" t="s">
        <v>1088</v>
      </c>
      <c r="C1074" s="188" t="s">
        <v>52</v>
      </c>
      <c r="D1074" s="188" t="s">
        <v>53</v>
      </c>
      <c r="E1074" s="4">
        <v>0</v>
      </c>
      <c r="F1074" s="3">
        <v>65700</v>
      </c>
      <c r="G1074" s="4">
        <v>13797</v>
      </c>
      <c r="H1074" s="4">
        <v>79497</v>
      </c>
      <c r="I1074" s="188" t="str">
        <f>VLOOKUP(C1074,CATEGORIZACION!$A$1:$C$269,2,FALSE)</f>
        <v>PROOVEDORES</v>
      </c>
      <c r="J1074" s="188" t="str">
        <f>VLOOKUP(C1074,CATEGORIZACION!$A$1:$C$269,3,FALSE)</f>
        <v>DEPOSITO</v>
      </c>
    </row>
    <row r="1075" spans="1:10" ht="15.75" customHeight="1" x14ac:dyDescent="0.25">
      <c r="A1075" s="1">
        <v>45106</v>
      </c>
      <c r="B1075" s="188" t="s">
        <v>1089</v>
      </c>
      <c r="C1075" s="188" t="s">
        <v>339</v>
      </c>
      <c r="D1075" s="188" t="s">
        <v>340</v>
      </c>
      <c r="E1075" s="4">
        <v>2.3283064365386963E-12</v>
      </c>
      <c r="F1075" s="5">
        <v>18539.759999999998</v>
      </c>
      <c r="G1075" s="4">
        <v>3893.35</v>
      </c>
      <c r="H1075" s="4">
        <v>22433.11</v>
      </c>
      <c r="I1075" s="188" t="str">
        <f>VLOOKUP(C1075,CATEGORIZACION!$A$1:$C$269,2,FALSE)</f>
        <v>PROOVEDORES</v>
      </c>
      <c r="J1075" s="188" t="str">
        <f>VLOOKUP(C1075,CATEGORIZACION!$A$1:$C$269,3,FALSE)</f>
        <v>LOGISTICA</v>
      </c>
    </row>
    <row r="1076" spans="1:10" ht="15.75" customHeight="1" x14ac:dyDescent="0.25">
      <c r="A1076" s="1">
        <v>45106</v>
      </c>
      <c r="B1076" s="188" t="s">
        <v>1090</v>
      </c>
      <c r="C1076" s="188" t="s">
        <v>36</v>
      </c>
      <c r="D1076" s="188" t="s">
        <v>37</v>
      </c>
      <c r="E1076" s="4">
        <v>20700</v>
      </c>
      <c r="F1076" s="5">
        <v>154850</v>
      </c>
      <c r="G1076" s="4">
        <v>32518.5</v>
      </c>
      <c r="H1076" s="4">
        <v>208068.5</v>
      </c>
      <c r="I1076" s="188" t="str">
        <f>VLOOKUP(C1076,CATEGORIZACION!$A$1:$C$269,2,FALSE)</f>
        <v>TRANSPORTE</v>
      </c>
      <c r="J1076" s="188" t="s">
        <v>19</v>
      </c>
    </row>
    <row r="1077" spans="1:10" ht="15.75" customHeight="1" x14ac:dyDescent="0.25">
      <c r="A1077" s="1">
        <v>45106</v>
      </c>
      <c r="B1077" s="188" t="s">
        <v>1091</v>
      </c>
      <c r="C1077" s="188" t="s">
        <v>36</v>
      </c>
      <c r="D1077" s="188" t="s">
        <v>37</v>
      </c>
      <c r="E1077" s="4">
        <v>21000</v>
      </c>
      <c r="F1077" s="5">
        <v>150800</v>
      </c>
      <c r="G1077" s="4">
        <v>31668</v>
      </c>
      <c r="H1077" s="4">
        <v>203468</v>
      </c>
      <c r="I1077" s="188" t="str">
        <f>VLOOKUP(C1077,CATEGORIZACION!$A$1:$C$269,2,FALSE)</f>
        <v>TRANSPORTE</v>
      </c>
      <c r="J1077" s="188" t="s">
        <v>19</v>
      </c>
    </row>
    <row r="1078" spans="1:10" ht="15.75" customHeight="1" x14ac:dyDescent="0.25">
      <c r="A1078" s="1">
        <v>45106</v>
      </c>
      <c r="B1078" s="188" t="s">
        <v>1092</v>
      </c>
      <c r="C1078" s="188" t="s">
        <v>36</v>
      </c>
      <c r="D1078" s="188" t="s">
        <v>37</v>
      </c>
      <c r="E1078" s="4">
        <v>14000</v>
      </c>
      <c r="F1078" s="5">
        <v>119940</v>
      </c>
      <c r="G1078" s="4">
        <v>25187.4</v>
      </c>
      <c r="H1078" s="4">
        <v>159127.4</v>
      </c>
      <c r="I1078" s="188" t="str">
        <f>VLOOKUP(C1078,CATEGORIZACION!$A$1:$C$269,2,FALSE)</f>
        <v>TRANSPORTE</v>
      </c>
      <c r="J1078" s="188" t="s">
        <v>19</v>
      </c>
    </row>
    <row r="1079" spans="1:10" ht="15.75" customHeight="1" x14ac:dyDescent="0.25">
      <c r="A1079" s="1">
        <v>45107</v>
      </c>
      <c r="B1079" s="188" t="s">
        <v>1093</v>
      </c>
      <c r="C1079" s="188" t="s">
        <v>21</v>
      </c>
      <c r="D1079" s="188" t="s">
        <v>22</v>
      </c>
      <c r="E1079" s="4">
        <v>0</v>
      </c>
      <c r="F1079" s="5">
        <v>-44500</v>
      </c>
      <c r="G1079" s="4">
        <v>-9345</v>
      </c>
      <c r="H1079" s="4">
        <v>-53845</v>
      </c>
      <c r="I1079" s="188" t="str">
        <f>VLOOKUP(C1079,CATEGORIZACION!$A$1:$C$269,2,FALSE)</f>
        <v>TRANSPORTE</v>
      </c>
      <c r="J1079" s="188" t="s">
        <v>19</v>
      </c>
    </row>
    <row r="1080" spans="1:10" ht="15.75" customHeight="1" x14ac:dyDescent="0.25">
      <c r="A1080" s="1">
        <v>45107</v>
      </c>
      <c r="B1080" s="188" t="s">
        <v>1094</v>
      </c>
      <c r="C1080" s="188" t="s">
        <v>714</v>
      </c>
      <c r="D1080" s="188" t="s">
        <v>715</v>
      </c>
      <c r="E1080" s="4">
        <v>9.3132257461547854E-12</v>
      </c>
      <c r="F1080" s="3">
        <v>79626.399999999994</v>
      </c>
      <c r="G1080" s="4">
        <v>16721.54</v>
      </c>
      <c r="H1080" s="4">
        <v>96347.94</v>
      </c>
      <c r="I1080" s="188" t="str">
        <f>VLOOKUP(C1080,CATEGORIZACION!$A$1:$C$269,2,FALSE)</f>
        <v>PROOVEDORES</v>
      </c>
      <c r="J1080" s="188" t="str">
        <f>VLOOKUP(C1080,CATEGORIZACION!$A$1:$C$269,3,FALSE)</f>
        <v>DEPOSITO</v>
      </c>
    </row>
    <row r="1081" spans="1:10" ht="15.75" customHeight="1" x14ac:dyDescent="0.25">
      <c r="A1081" s="1">
        <v>45107</v>
      </c>
      <c r="B1081" s="188" t="s">
        <v>1095</v>
      </c>
      <c r="C1081" s="188" t="s">
        <v>84</v>
      </c>
      <c r="D1081" s="188" t="s">
        <v>85</v>
      </c>
      <c r="E1081" s="4">
        <v>50735.89</v>
      </c>
      <c r="F1081" s="5">
        <v>597718.38</v>
      </c>
      <c r="G1081" s="4">
        <v>125520.86</v>
      </c>
      <c r="H1081" s="4">
        <v>773975.13</v>
      </c>
      <c r="I1081" s="188" t="str">
        <f>VLOOKUP(C1081,CATEGORIZACION!$A$1:$C$269,2,FALSE)</f>
        <v>PROOVEDORES</v>
      </c>
      <c r="J1081" s="188" t="str">
        <f>VLOOKUP(C1081,CATEGORIZACION!$A$1:$C$269,3,FALSE)</f>
        <v>LOGISTICA</v>
      </c>
    </row>
    <row r="1082" spans="1:10" ht="15.75" customHeight="1" x14ac:dyDescent="0.25">
      <c r="A1082" s="1">
        <v>45107</v>
      </c>
      <c r="B1082" s="188" t="s">
        <v>1096</v>
      </c>
      <c r="C1082" s="188" t="s">
        <v>84</v>
      </c>
      <c r="D1082" s="188" t="s">
        <v>85</v>
      </c>
      <c r="E1082" s="4">
        <v>41805.97</v>
      </c>
      <c r="F1082" s="5">
        <v>32145.279999999999</v>
      </c>
      <c r="G1082" s="4">
        <v>104323.1</v>
      </c>
      <c r="H1082" s="5">
        <v>32145.279999999999</v>
      </c>
      <c r="I1082" s="188" t="str">
        <f>VLOOKUP(C1082,CATEGORIZACION!$A$1:$C$269,2,FALSE)</f>
        <v>PROOVEDORES</v>
      </c>
      <c r="J1082" s="188" t="str">
        <f>VLOOKUP(C1082,CATEGORIZACION!$A$1:$C$269,3,FALSE)</f>
        <v>LOGISTICA</v>
      </c>
    </row>
    <row r="1083" spans="1:10" ht="15.75" customHeight="1" x14ac:dyDescent="0.25">
      <c r="A1083" s="1">
        <v>45107</v>
      </c>
      <c r="B1083" s="188" t="s">
        <v>1097</v>
      </c>
      <c r="C1083" s="188" t="s">
        <v>21</v>
      </c>
      <c r="D1083" s="188" t="s">
        <v>22</v>
      </c>
      <c r="E1083" s="4">
        <v>23080</v>
      </c>
      <c r="F1083" s="5">
        <v>240000</v>
      </c>
      <c r="G1083" s="4">
        <v>50400</v>
      </c>
      <c r="H1083" s="4">
        <v>313480</v>
      </c>
      <c r="I1083" s="188" t="str">
        <f>VLOOKUP(C1083,CATEGORIZACION!$A$1:$C$269,2,FALSE)</f>
        <v>TRANSPORTE</v>
      </c>
      <c r="J1083" s="188" t="s">
        <v>19</v>
      </c>
    </row>
    <row r="1084" spans="1:10" ht="15.75" customHeight="1" x14ac:dyDescent="0.25">
      <c r="A1084" s="1">
        <v>45107</v>
      </c>
      <c r="B1084" s="188" t="s">
        <v>1098</v>
      </c>
      <c r="C1084" s="188" t="s">
        <v>21</v>
      </c>
      <c r="D1084" s="188" t="s">
        <v>22</v>
      </c>
      <c r="E1084" s="4">
        <v>0</v>
      </c>
      <c r="F1084" s="5">
        <v>439300</v>
      </c>
      <c r="G1084" s="4">
        <v>92253</v>
      </c>
      <c r="H1084" s="4">
        <v>531553</v>
      </c>
      <c r="I1084" s="188" t="str">
        <f>VLOOKUP(C1084,CATEGORIZACION!$A$1:$C$269,2,FALSE)</f>
        <v>TRANSPORTE</v>
      </c>
      <c r="J1084" s="188" t="s">
        <v>19</v>
      </c>
    </row>
    <row r="1085" spans="1:10" ht="15.75" customHeight="1" x14ac:dyDescent="0.25">
      <c r="A1085" s="1">
        <v>45107</v>
      </c>
      <c r="B1085" s="188" t="s">
        <v>1099</v>
      </c>
      <c r="C1085" s="188" t="s">
        <v>21</v>
      </c>
      <c r="D1085" s="188" t="s">
        <v>22</v>
      </c>
      <c r="E1085" s="4">
        <v>10920</v>
      </c>
      <c r="F1085" s="5">
        <v>214800</v>
      </c>
      <c r="G1085" s="4">
        <v>45108</v>
      </c>
      <c r="H1085" s="4">
        <v>270828</v>
      </c>
      <c r="I1085" s="188" t="str">
        <f>VLOOKUP(C1085,CATEGORIZACION!$A$1:$C$269,2,FALSE)</f>
        <v>TRANSPORTE</v>
      </c>
      <c r="J1085" s="188" t="s">
        <v>19</v>
      </c>
    </row>
    <row r="1086" spans="1:10" ht="15.75" customHeight="1" x14ac:dyDescent="0.25">
      <c r="A1086" s="1">
        <v>45107</v>
      </c>
      <c r="B1086" s="188" t="s">
        <v>1100</v>
      </c>
      <c r="C1086" s="188" t="s">
        <v>21</v>
      </c>
      <c r="D1086" s="188" t="s">
        <v>22</v>
      </c>
      <c r="E1086" s="4">
        <v>10920</v>
      </c>
      <c r="F1086" s="5">
        <v>154800</v>
      </c>
      <c r="G1086" s="4">
        <v>32508</v>
      </c>
      <c r="H1086" s="4">
        <v>198228</v>
      </c>
      <c r="I1086" s="188" t="str">
        <f>VLOOKUP(C1086,CATEGORIZACION!$A$1:$C$269,2,FALSE)</f>
        <v>TRANSPORTE</v>
      </c>
      <c r="J1086" s="188" t="s">
        <v>19</v>
      </c>
    </row>
    <row r="1087" spans="1:10" ht="15.75" customHeight="1" x14ac:dyDescent="0.25">
      <c r="A1087" s="1">
        <v>45107</v>
      </c>
      <c r="B1087" s="188" t="s">
        <v>1101</v>
      </c>
      <c r="C1087" s="188" t="s">
        <v>21</v>
      </c>
      <c r="D1087" s="188" t="s">
        <v>22</v>
      </c>
      <c r="E1087" s="4">
        <v>20680</v>
      </c>
      <c r="F1087" s="5">
        <v>352050</v>
      </c>
      <c r="G1087" s="4">
        <v>73930.5</v>
      </c>
      <c r="H1087" s="4">
        <v>446660.5</v>
      </c>
      <c r="I1087" s="188" t="str">
        <f>VLOOKUP(C1087,CATEGORIZACION!$A$1:$C$269,2,FALSE)</f>
        <v>TRANSPORTE</v>
      </c>
      <c r="J1087" s="188" t="s">
        <v>19</v>
      </c>
    </row>
    <row r="1088" spans="1:10" ht="15.75" customHeight="1" x14ac:dyDescent="0.25">
      <c r="A1088" s="1">
        <v>45107</v>
      </c>
      <c r="B1088" s="188" t="s">
        <v>1102</v>
      </c>
      <c r="C1088" s="188" t="s">
        <v>21</v>
      </c>
      <c r="D1088" s="188" t="s">
        <v>22</v>
      </c>
      <c r="E1088" s="4">
        <v>26880</v>
      </c>
      <c r="F1088" s="5">
        <v>420200</v>
      </c>
      <c r="G1088" s="4">
        <v>88242</v>
      </c>
      <c r="H1088" s="4">
        <v>535322</v>
      </c>
      <c r="I1088" s="188" t="str">
        <f>VLOOKUP(C1088,CATEGORIZACION!$A$1:$C$269,2,FALSE)</f>
        <v>TRANSPORTE</v>
      </c>
      <c r="J1088" s="188" t="s">
        <v>19</v>
      </c>
    </row>
    <row r="1089" spans="1:10" ht="15.75" customHeight="1" x14ac:dyDescent="0.25">
      <c r="A1089" s="1">
        <v>45107</v>
      </c>
      <c r="B1089" s="188" t="s">
        <v>1103</v>
      </c>
      <c r="C1089" s="188" t="s">
        <v>21</v>
      </c>
      <c r="D1089" s="188" t="s">
        <v>22</v>
      </c>
      <c r="E1089" s="4">
        <v>20160</v>
      </c>
      <c r="F1089" s="5">
        <v>493750</v>
      </c>
      <c r="G1089" s="4">
        <v>103687.5</v>
      </c>
      <c r="H1089" s="4">
        <v>617597.5</v>
      </c>
      <c r="I1089" s="188" t="str">
        <f>VLOOKUP(C1089,CATEGORIZACION!$A$1:$C$269,2,FALSE)</f>
        <v>TRANSPORTE</v>
      </c>
      <c r="J1089" s="188" t="s">
        <v>19</v>
      </c>
    </row>
    <row r="1090" spans="1:10" ht="15.75" customHeight="1" x14ac:dyDescent="0.25">
      <c r="A1090" s="1">
        <v>45107</v>
      </c>
      <c r="B1090" s="188" t="s">
        <v>1104</v>
      </c>
      <c r="C1090" s="188" t="s">
        <v>21</v>
      </c>
      <c r="D1090" s="188" t="s">
        <v>22</v>
      </c>
      <c r="E1090" s="4">
        <v>36480</v>
      </c>
      <c r="F1090" s="5">
        <v>360000</v>
      </c>
      <c r="G1090" s="4">
        <v>75600</v>
      </c>
      <c r="H1090" s="4">
        <v>472080</v>
      </c>
      <c r="I1090" s="188" t="str">
        <f>VLOOKUP(C1090,CATEGORIZACION!$A$1:$C$269,2,FALSE)</f>
        <v>TRANSPORTE</v>
      </c>
      <c r="J1090" s="188" t="s">
        <v>19</v>
      </c>
    </row>
    <row r="1091" spans="1:10" ht="15.75" customHeight="1" x14ac:dyDescent="0.25">
      <c r="A1091" s="1">
        <v>45107</v>
      </c>
      <c r="B1091" s="188" t="s">
        <v>1105</v>
      </c>
      <c r="C1091" s="188" t="s">
        <v>21</v>
      </c>
      <c r="D1091" s="188" t="s">
        <v>22</v>
      </c>
      <c r="E1091" s="4">
        <v>0</v>
      </c>
      <c r="F1091" s="5">
        <v>240000</v>
      </c>
      <c r="G1091" s="4">
        <v>50400</v>
      </c>
      <c r="H1091" s="4">
        <v>290400</v>
      </c>
      <c r="I1091" s="188" t="str">
        <f>VLOOKUP(C1091,CATEGORIZACION!$A$1:$C$269,2,FALSE)</f>
        <v>TRANSPORTE</v>
      </c>
      <c r="J1091" s="188" t="s">
        <v>19</v>
      </c>
    </row>
    <row r="1092" spans="1:10" ht="15.75" customHeight="1" x14ac:dyDescent="0.25">
      <c r="A1092" s="1">
        <v>45107</v>
      </c>
      <c r="B1092" s="188" t="s">
        <v>1106</v>
      </c>
      <c r="C1092" s="188" t="s">
        <v>21</v>
      </c>
      <c r="D1092" s="188" t="s">
        <v>22</v>
      </c>
      <c r="E1092" s="4">
        <v>4840</v>
      </c>
      <c r="F1092" s="5">
        <v>80750</v>
      </c>
      <c r="G1092" s="4">
        <v>16957.5</v>
      </c>
      <c r="H1092" s="4">
        <v>102547.5</v>
      </c>
      <c r="I1092" s="188" t="str">
        <f>VLOOKUP(C1092,CATEGORIZACION!$A$1:$C$269,2,FALSE)</f>
        <v>TRANSPORTE</v>
      </c>
      <c r="J1092" s="188" t="s">
        <v>19</v>
      </c>
    </row>
    <row r="1093" spans="1:10" ht="15.75" customHeight="1" x14ac:dyDescent="0.25">
      <c r="A1093" s="1">
        <v>45107</v>
      </c>
      <c r="B1093" s="188" t="s">
        <v>1107</v>
      </c>
      <c r="C1093" s="188" t="s">
        <v>21</v>
      </c>
      <c r="D1093" s="188" t="s">
        <v>22</v>
      </c>
      <c r="E1093" s="4">
        <v>0</v>
      </c>
      <c r="F1093" s="5">
        <v>360000</v>
      </c>
      <c r="G1093" s="4">
        <v>75600</v>
      </c>
      <c r="H1093" s="4">
        <v>435600</v>
      </c>
      <c r="I1093" s="188" t="str">
        <f>VLOOKUP(C1093,CATEGORIZACION!$A$1:$C$269,2,FALSE)</f>
        <v>TRANSPORTE</v>
      </c>
      <c r="J1093" s="188" t="s">
        <v>19</v>
      </c>
    </row>
    <row r="1094" spans="1:10" ht="15.75" customHeight="1" x14ac:dyDescent="0.25">
      <c r="A1094" s="1">
        <v>45107</v>
      </c>
      <c r="B1094" s="188" t="s">
        <v>1108</v>
      </c>
      <c r="C1094" s="188" t="s">
        <v>21</v>
      </c>
      <c r="D1094" s="188" t="s">
        <v>22</v>
      </c>
      <c r="E1094" s="4">
        <v>0</v>
      </c>
      <c r="F1094" s="5">
        <v>60000</v>
      </c>
      <c r="G1094" s="4">
        <v>12600</v>
      </c>
      <c r="H1094" s="4">
        <v>72600</v>
      </c>
      <c r="I1094" s="188" t="str">
        <f>VLOOKUP(C1094,CATEGORIZACION!$A$1:$C$269,2,FALSE)</f>
        <v>TRANSPORTE</v>
      </c>
      <c r="J1094" s="188" t="s">
        <v>19</v>
      </c>
    </row>
    <row r="1095" spans="1:10" ht="15.75" customHeight="1" x14ac:dyDescent="0.25">
      <c r="A1095" s="1">
        <v>45107</v>
      </c>
      <c r="B1095" s="188" t="s">
        <v>1109</v>
      </c>
      <c r="C1095" s="188" t="s">
        <v>36</v>
      </c>
      <c r="D1095" s="188" t="s">
        <v>37</v>
      </c>
      <c r="E1095" s="4">
        <v>5000</v>
      </c>
      <c r="F1095" s="5">
        <v>133920</v>
      </c>
      <c r="G1095" s="4">
        <v>28123.200000000001</v>
      </c>
      <c r="H1095" s="4">
        <v>167043.20000000001</v>
      </c>
      <c r="I1095" s="188" t="str">
        <f>VLOOKUP(C1095,CATEGORIZACION!$A$1:$C$269,2,FALSE)</f>
        <v>TRANSPORTE</v>
      </c>
      <c r="J1095" s="188" t="s">
        <v>19</v>
      </c>
    </row>
    <row r="1096" spans="1:10" ht="15.75" customHeight="1" x14ac:dyDescent="0.25">
      <c r="A1096" s="1">
        <v>45107</v>
      </c>
      <c r="B1096" s="188" t="s">
        <v>1110</v>
      </c>
      <c r="C1096" s="188" t="s">
        <v>36</v>
      </c>
      <c r="D1096" s="188" t="s">
        <v>37</v>
      </c>
      <c r="E1096" s="4">
        <v>5000</v>
      </c>
      <c r="F1096" s="5">
        <v>133920</v>
      </c>
      <c r="G1096" s="4">
        <v>28123.200000000001</v>
      </c>
      <c r="H1096" s="4">
        <v>167043.20000000001</v>
      </c>
      <c r="I1096" s="188" t="str">
        <f>VLOOKUP(C1096,CATEGORIZACION!$A$1:$C$269,2,FALSE)</f>
        <v>TRANSPORTE</v>
      </c>
      <c r="J1096" s="188" t="s">
        <v>19</v>
      </c>
    </row>
    <row r="1097" spans="1:10" ht="15.75" customHeight="1" x14ac:dyDescent="0.25">
      <c r="A1097" s="1">
        <v>45107</v>
      </c>
      <c r="B1097" s="188" t="s">
        <v>1111</v>
      </c>
      <c r="C1097" s="188" t="s">
        <v>36</v>
      </c>
      <c r="D1097" s="188" t="s">
        <v>37</v>
      </c>
      <c r="E1097" s="4">
        <v>5000</v>
      </c>
      <c r="F1097" s="5">
        <v>133920</v>
      </c>
      <c r="G1097" s="4">
        <v>28123.200000000001</v>
      </c>
      <c r="H1097" s="4">
        <v>167043.20000000001</v>
      </c>
      <c r="I1097" s="188" t="str">
        <f>VLOOKUP(C1097,CATEGORIZACION!$A$1:$C$269,2,FALSE)</f>
        <v>TRANSPORTE</v>
      </c>
      <c r="J1097" s="188" t="s">
        <v>19</v>
      </c>
    </row>
    <row r="1098" spans="1:10" ht="15.75" customHeight="1" x14ac:dyDescent="0.25">
      <c r="A1098" s="1">
        <v>45107</v>
      </c>
      <c r="B1098" s="188" t="s">
        <v>1112</v>
      </c>
      <c r="C1098" s="188" t="s">
        <v>36</v>
      </c>
      <c r="D1098" s="188" t="s">
        <v>37</v>
      </c>
      <c r="E1098" s="4">
        <v>5000</v>
      </c>
      <c r="F1098" s="5">
        <v>133920</v>
      </c>
      <c r="G1098" s="4">
        <v>28123.200000000001</v>
      </c>
      <c r="H1098" s="4">
        <v>167043.20000000001</v>
      </c>
      <c r="I1098" s="188" t="str">
        <f>VLOOKUP(C1098,CATEGORIZACION!$A$1:$C$269,2,FALSE)</f>
        <v>TRANSPORTE</v>
      </c>
      <c r="J1098" s="188" t="s">
        <v>19</v>
      </c>
    </row>
    <row r="1099" spans="1:10" ht="15.75" customHeight="1" x14ac:dyDescent="0.25">
      <c r="A1099" s="1">
        <v>45107</v>
      </c>
      <c r="B1099" s="188" t="s">
        <v>1113</v>
      </c>
      <c r="C1099" s="188" t="s">
        <v>375</v>
      </c>
      <c r="D1099" s="188" t="s">
        <v>376</v>
      </c>
      <c r="E1099" s="4">
        <v>2886.14</v>
      </c>
      <c r="F1099" s="5">
        <v>60135.54</v>
      </c>
      <c r="G1099" s="4">
        <v>12628.46</v>
      </c>
      <c r="H1099" s="4">
        <v>75650.14</v>
      </c>
      <c r="I1099" s="188" t="str">
        <f>VLOOKUP(C1099,CATEGORIZACION!$A$1:$C$269,2,FALSE)</f>
        <v>PROOVEDORES</v>
      </c>
      <c r="J1099" s="188" t="str">
        <f>VLOOKUP(C1099,CATEGORIZACION!$A$1:$C$269,3,FALSE)</f>
        <v>LOGISTICA</v>
      </c>
    </row>
    <row r="1100" spans="1:10" ht="15.75" customHeight="1" x14ac:dyDescent="0.25">
      <c r="A1100" s="1">
        <v>45107</v>
      </c>
      <c r="B1100" s="188" t="s">
        <v>82</v>
      </c>
      <c r="C1100" s="188" t="s">
        <v>188</v>
      </c>
      <c r="D1100" s="188">
        <v>0</v>
      </c>
      <c r="E1100" s="4">
        <v>0</v>
      </c>
      <c r="F1100" s="3">
        <v>1129000</v>
      </c>
      <c r="G1100" s="4">
        <v>0</v>
      </c>
      <c r="H1100" s="4">
        <v>1129000</v>
      </c>
      <c r="I1100" s="188" t="str">
        <f>VLOOKUP(C1100,CATEGORIZACION!$A$1:$C$269,2,FALSE)</f>
        <v>SUELDOS</v>
      </c>
      <c r="J1100" s="188" t="s">
        <v>103</v>
      </c>
    </row>
    <row r="1101" spans="1:10" ht="15.75" customHeight="1" x14ac:dyDescent="0.25">
      <c r="A1101" s="1">
        <v>45107</v>
      </c>
      <c r="B1101" s="188" t="s">
        <v>82</v>
      </c>
      <c r="C1101" s="188" t="s">
        <v>189</v>
      </c>
      <c r="D1101" s="188">
        <v>0</v>
      </c>
      <c r="E1101" s="4">
        <v>0</v>
      </c>
      <c r="F1101" s="3">
        <v>307000</v>
      </c>
      <c r="G1101" s="4">
        <v>0</v>
      </c>
      <c r="H1101" s="4">
        <v>307000</v>
      </c>
      <c r="I1101" s="188" t="str">
        <f>VLOOKUP(C1101,CATEGORIZACION!$A$1:$C$269,2,FALSE)</f>
        <v>SUELDOS</v>
      </c>
      <c r="J1101" s="188" t="s">
        <v>103</v>
      </c>
    </row>
    <row r="1102" spans="1:10" ht="15.75" customHeight="1" x14ac:dyDescent="0.25">
      <c r="A1102" s="1">
        <v>45107</v>
      </c>
      <c r="B1102" s="188" t="s">
        <v>82</v>
      </c>
      <c r="C1102" s="188" t="s">
        <v>1114</v>
      </c>
      <c r="D1102" s="188">
        <v>0</v>
      </c>
      <c r="E1102" s="4">
        <v>0</v>
      </c>
      <c r="F1102" s="3">
        <v>530300</v>
      </c>
      <c r="G1102" s="4">
        <v>0</v>
      </c>
      <c r="H1102" s="4">
        <v>530300</v>
      </c>
      <c r="I1102" s="188" t="str">
        <f>VLOOKUP(C1102,CATEGORIZACION!$A$1:$C$269,2,FALSE)</f>
        <v>SUELDOS</v>
      </c>
      <c r="J1102" s="188" t="s">
        <v>103</v>
      </c>
    </row>
    <row r="1103" spans="1:10" ht="15.75" customHeight="1" x14ac:dyDescent="0.25">
      <c r="A1103" s="1">
        <v>45107</v>
      </c>
      <c r="B1103" s="188" t="s">
        <v>82</v>
      </c>
      <c r="C1103" s="188" t="s">
        <v>1115</v>
      </c>
      <c r="D1103" s="188">
        <v>0</v>
      </c>
      <c r="E1103" s="4">
        <v>0</v>
      </c>
      <c r="F1103" s="5">
        <v>951962</v>
      </c>
      <c r="G1103" s="4">
        <v>0</v>
      </c>
      <c r="H1103" s="4">
        <v>951962</v>
      </c>
      <c r="I1103" s="188" t="str">
        <f>VLOOKUP(C1103,CATEGORIZACION!$A$1:$C$269,2,FALSE)</f>
        <v>SUELDOS</v>
      </c>
      <c r="J1103" s="188" t="s">
        <v>19</v>
      </c>
    </row>
    <row r="1104" spans="1:10" ht="15.75" customHeight="1" x14ac:dyDescent="0.25">
      <c r="A1104" s="1">
        <v>45107</v>
      </c>
      <c r="B1104" s="188" t="s">
        <v>82</v>
      </c>
      <c r="C1104" s="188" t="s">
        <v>190</v>
      </c>
      <c r="D1104" s="188">
        <v>0</v>
      </c>
      <c r="E1104" s="4">
        <v>0</v>
      </c>
      <c r="F1104" s="5">
        <v>2325600</v>
      </c>
      <c r="G1104" s="4">
        <v>0</v>
      </c>
      <c r="H1104" s="4">
        <v>2325600</v>
      </c>
      <c r="I1104" s="188" t="str">
        <f>VLOOKUP(C1104,CATEGORIZACION!$A$1:$C$269,2,FALSE)</f>
        <v>SUELDOS</v>
      </c>
      <c r="J1104" s="188" t="s">
        <v>19</v>
      </c>
    </row>
    <row r="1105" spans="1:10" ht="15.75" customHeight="1" x14ac:dyDescent="0.25">
      <c r="A1105" s="1">
        <v>45107</v>
      </c>
      <c r="B1105" s="188" t="s">
        <v>82</v>
      </c>
      <c r="C1105" s="188" t="s">
        <v>191</v>
      </c>
      <c r="D1105" s="188">
        <v>0</v>
      </c>
      <c r="E1105" s="4">
        <v>0</v>
      </c>
      <c r="F1105" s="5">
        <v>755000</v>
      </c>
      <c r="G1105" s="4">
        <v>0</v>
      </c>
      <c r="H1105" s="4">
        <v>755000</v>
      </c>
      <c r="I1105" s="188" t="str">
        <f>VLOOKUP(C1105,CATEGORIZACION!$A$1:$C$269,2,FALSE)</f>
        <v>SUELDOS</v>
      </c>
      <c r="J1105" s="188" t="s">
        <v>19</v>
      </c>
    </row>
    <row r="1106" spans="1:10" ht="15.75" customHeight="1" x14ac:dyDescent="0.25">
      <c r="A1106" s="1">
        <v>45107</v>
      </c>
      <c r="B1106" s="188" t="s">
        <v>82</v>
      </c>
      <c r="C1106" s="188" t="s">
        <v>192</v>
      </c>
      <c r="D1106" s="188">
        <v>0</v>
      </c>
      <c r="E1106" s="4">
        <v>0</v>
      </c>
      <c r="F1106" s="3">
        <v>125000</v>
      </c>
      <c r="G1106" s="4">
        <v>0</v>
      </c>
      <c r="H1106" s="4">
        <v>125000</v>
      </c>
      <c r="I1106" s="188" t="str">
        <f>VLOOKUP(C1106,CATEGORIZACION!$A$1:$C$269,2,FALSE)</f>
        <v>SUELDOS</v>
      </c>
      <c r="J1106" s="188" t="s">
        <v>103</v>
      </c>
    </row>
    <row r="1107" spans="1:10" ht="15.75" customHeight="1" x14ac:dyDescent="0.25">
      <c r="A1107" s="1">
        <v>45107</v>
      </c>
      <c r="B1107" s="188" t="s">
        <v>82</v>
      </c>
      <c r="C1107" s="188" t="s">
        <v>214</v>
      </c>
      <c r="D1107" s="188">
        <v>0</v>
      </c>
      <c r="E1107" s="4">
        <v>0</v>
      </c>
      <c r="F1107" s="5">
        <v>96000</v>
      </c>
      <c r="G1107" s="4">
        <v>0</v>
      </c>
      <c r="H1107" s="4">
        <v>96000</v>
      </c>
      <c r="I1107" s="188" t="str">
        <f>VLOOKUP(C1107,CATEGORIZACION!$A$1:$C$269,2,FALSE)</f>
        <v>PROOVEDORES</v>
      </c>
      <c r="J1107" s="188" t="str">
        <f>VLOOKUP(C1107,CATEGORIZACION!$A$1:$C$269,3,FALSE)</f>
        <v>LOGISTICA</v>
      </c>
    </row>
    <row r="1108" spans="1:10" ht="15.75" customHeight="1" x14ac:dyDescent="0.25">
      <c r="A1108" s="1">
        <v>45107</v>
      </c>
      <c r="B1108" s="188" t="s">
        <v>82</v>
      </c>
      <c r="C1108" s="188" t="s">
        <v>194</v>
      </c>
      <c r="D1108" s="188">
        <v>0</v>
      </c>
      <c r="E1108" s="4">
        <v>0</v>
      </c>
      <c r="F1108" s="3">
        <v>1075680</v>
      </c>
      <c r="G1108" s="4">
        <v>0</v>
      </c>
      <c r="H1108" s="4">
        <v>1075680</v>
      </c>
      <c r="I1108" s="188" t="str">
        <f>VLOOKUP(C1108,CATEGORIZACION!$A$1:$C$269,2,FALSE)</f>
        <v>ALQUILER</v>
      </c>
      <c r="J1108" s="188" t="s">
        <v>103</v>
      </c>
    </row>
    <row r="1109" spans="1:10" ht="15.75" customHeight="1" x14ac:dyDescent="0.25">
      <c r="A1109" s="1">
        <v>45107</v>
      </c>
      <c r="B1109" s="188" t="s">
        <v>82</v>
      </c>
      <c r="C1109" s="188" t="s">
        <v>195</v>
      </c>
      <c r="D1109" s="188">
        <v>0</v>
      </c>
      <c r="E1109" s="4">
        <v>0</v>
      </c>
      <c r="F1109" s="3">
        <v>661250</v>
      </c>
      <c r="G1109" s="4">
        <v>0</v>
      </c>
      <c r="H1109" s="4">
        <v>661250</v>
      </c>
      <c r="I1109" s="188" t="str">
        <f>VLOOKUP(C1109,CATEGORIZACION!$A$1:$C$269,2,FALSE)</f>
        <v>ALQUILER</v>
      </c>
      <c r="J1109" s="188" t="s">
        <v>103</v>
      </c>
    </row>
    <row r="1110" spans="1:10" ht="15.75" customHeight="1" x14ac:dyDescent="0.25">
      <c r="A1110" s="1">
        <v>45107</v>
      </c>
      <c r="B1110" s="188" t="s">
        <v>82</v>
      </c>
      <c r="C1110" s="188" t="s">
        <v>196</v>
      </c>
      <c r="D1110" s="188">
        <v>0</v>
      </c>
      <c r="E1110" s="4">
        <v>0</v>
      </c>
      <c r="F1110" s="3">
        <v>296364</v>
      </c>
      <c r="G1110" s="4">
        <v>0</v>
      </c>
      <c r="H1110" s="4">
        <v>296364</v>
      </c>
      <c r="I1110" s="188" t="str">
        <f>VLOOKUP(C1110,CATEGORIZACION!$A$1:$C$269,2,FALSE)</f>
        <v>ALQUILER</v>
      </c>
      <c r="J1110" s="188" t="s">
        <v>103</v>
      </c>
    </row>
    <row r="1111" spans="1:10" ht="15.75" customHeight="1" x14ac:dyDescent="0.25">
      <c r="A1111" s="1">
        <v>45107</v>
      </c>
      <c r="B1111" s="188" t="s">
        <v>82</v>
      </c>
      <c r="C1111" s="188" t="s">
        <v>197</v>
      </c>
      <c r="D1111" s="188">
        <v>0</v>
      </c>
      <c r="E1111" s="4">
        <v>0</v>
      </c>
      <c r="F1111" s="3">
        <v>84071</v>
      </c>
      <c r="G1111" s="4">
        <v>0</v>
      </c>
      <c r="H1111" s="4">
        <v>84071</v>
      </c>
      <c r="I1111" s="188" t="str">
        <f>VLOOKUP(C1111,CATEGORIZACION!$A$1:$C$269,2,FALSE)</f>
        <v>ALQUILER</v>
      </c>
      <c r="J1111" s="188" t="s">
        <v>103</v>
      </c>
    </row>
    <row r="1112" spans="1:10" ht="15.75" customHeight="1" x14ac:dyDescent="0.25">
      <c r="A1112" s="1">
        <v>45107</v>
      </c>
      <c r="B1112" s="188" t="s">
        <v>82</v>
      </c>
      <c r="C1112" s="188" t="s">
        <v>198</v>
      </c>
      <c r="D1112" s="188">
        <v>0</v>
      </c>
      <c r="E1112" s="4">
        <v>0</v>
      </c>
      <c r="F1112" s="5">
        <v>220000</v>
      </c>
      <c r="G1112" s="4">
        <v>0</v>
      </c>
      <c r="H1112" s="4">
        <v>220000</v>
      </c>
      <c r="I1112" s="188" t="str">
        <f>VLOOKUP(C1112,CATEGORIZACION!$A$1:$C$269,2,FALSE)</f>
        <v>ALQUILER</v>
      </c>
      <c r="J1112" s="188" t="s">
        <v>19</v>
      </c>
    </row>
    <row r="1113" spans="1:10" ht="15.75" customHeight="1" x14ac:dyDescent="0.25">
      <c r="A1113" s="1">
        <v>45107</v>
      </c>
      <c r="B1113" s="188" t="s">
        <v>82</v>
      </c>
      <c r="C1113" s="188" t="s">
        <v>199</v>
      </c>
      <c r="D1113" s="188">
        <v>0</v>
      </c>
      <c r="E1113" s="4">
        <v>0</v>
      </c>
      <c r="F1113" s="3">
        <v>26470</v>
      </c>
      <c r="G1113" s="4">
        <v>0</v>
      </c>
      <c r="H1113" s="4">
        <v>75470</v>
      </c>
      <c r="I1113" s="188" t="str">
        <f>VLOOKUP(C1113,CATEGORIZACION!$A$1:$C$269,2,FALSE)</f>
        <v>PROOVEDORES</v>
      </c>
      <c r="J1113" s="188" t="str">
        <f>VLOOKUP(C1113,CATEGORIZACION!$A$1:$C$269,3,FALSE)</f>
        <v>DEPOSITO</v>
      </c>
    </row>
    <row r="1114" spans="1:10" ht="15.75" customHeight="1" x14ac:dyDescent="0.25">
      <c r="A1114" s="1">
        <v>45107</v>
      </c>
      <c r="B1114" s="188" t="s">
        <v>82</v>
      </c>
      <c r="C1114" s="188" t="s">
        <v>200</v>
      </c>
      <c r="D1114" s="188">
        <v>0</v>
      </c>
      <c r="E1114" s="4">
        <v>0</v>
      </c>
      <c r="F1114" s="5">
        <v>285086</v>
      </c>
      <c r="G1114" s="4">
        <v>0</v>
      </c>
      <c r="H1114" s="4">
        <v>285086</v>
      </c>
      <c r="I1114" s="188" t="str">
        <f>VLOOKUP(C1114,CATEGORIZACION!$A$1:$C$269,2,FALSE)</f>
        <v>PROOVEDORES</v>
      </c>
      <c r="J1114" s="188" t="str">
        <f>VLOOKUP(C1114,CATEGORIZACION!$A$1:$C$269,3,FALSE)</f>
        <v>LOGISTICA</v>
      </c>
    </row>
    <row r="1115" spans="1:10" ht="15.75" customHeight="1" x14ac:dyDescent="0.25">
      <c r="A1115" s="1">
        <v>45107</v>
      </c>
      <c r="B1115" s="188" t="s">
        <v>82</v>
      </c>
      <c r="C1115" s="188" t="s">
        <v>201</v>
      </c>
      <c r="D1115" s="188">
        <v>0</v>
      </c>
      <c r="E1115" s="4">
        <v>0</v>
      </c>
      <c r="F1115" s="5">
        <v>193140</v>
      </c>
      <c r="G1115" s="4">
        <v>0</v>
      </c>
      <c r="H1115" s="4">
        <v>193140</v>
      </c>
      <c r="I1115" s="188" t="str">
        <f>VLOOKUP(C1115,CATEGORIZACION!$A$1:$C$269,2,FALSE)</f>
        <v>PROOVEDORES</v>
      </c>
      <c r="J1115" s="188" t="str">
        <f>VLOOKUP(C1115,CATEGORIZACION!$A$1:$C$269,3,FALSE)</f>
        <v>LOGISTICA</v>
      </c>
    </row>
    <row r="1116" spans="1:10" ht="15.75" customHeight="1" x14ac:dyDescent="0.25">
      <c r="A1116" s="1">
        <v>45107</v>
      </c>
      <c r="B1116" s="188" t="s">
        <v>82</v>
      </c>
      <c r="C1116" s="188" t="s">
        <v>1116</v>
      </c>
      <c r="D1116" s="188">
        <v>0</v>
      </c>
      <c r="E1116" s="4">
        <v>0</v>
      </c>
      <c r="F1116" s="5">
        <v>702344.24</v>
      </c>
      <c r="G1116" s="4">
        <v>0</v>
      </c>
      <c r="H1116" s="4">
        <v>702344.24</v>
      </c>
      <c r="I1116" s="188" t="str">
        <f>VLOOKUP(C1116,CATEGORIZACION!$A$1:$C$269,2,FALSE)</f>
        <v>PROOVEDORES</v>
      </c>
      <c r="J1116" s="188" t="str">
        <f>VLOOKUP(C1116,CATEGORIZACION!$A$1:$C$269,3,FALSE)</f>
        <v>LOGISTICA</v>
      </c>
    </row>
    <row r="1117" spans="1:10" ht="15.75" customHeight="1" x14ac:dyDescent="0.25">
      <c r="A1117" s="1">
        <v>45107</v>
      </c>
      <c r="B1117" s="188" t="s">
        <v>82</v>
      </c>
      <c r="C1117" s="188" t="s">
        <v>1117</v>
      </c>
      <c r="D1117" s="188">
        <v>0</v>
      </c>
      <c r="E1117" s="4">
        <v>0</v>
      </c>
      <c r="F1117" s="5">
        <v>11415.31</v>
      </c>
      <c r="G1117" s="4">
        <v>0</v>
      </c>
      <c r="H1117" s="4">
        <v>11415.31</v>
      </c>
      <c r="I1117" s="188" t="str">
        <f>VLOOKUP(C1117,CATEGORIZACION!$A$1:$C$269,2,FALSE)</f>
        <v>PROOVEDORES</v>
      </c>
      <c r="J1117" s="188" t="str">
        <f>VLOOKUP(C1117,CATEGORIZACION!$A$1:$C$269,3,FALSE)</f>
        <v>LOGISTICA</v>
      </c>
    </row>
    <row r="1118" spans="1:10" ht="15.75" customHeight="1" x14ac:dyDescent="0.25">
      <c r="A1118" s="1">
        <v>45107</v>
      </c>
      <c r="B1118" s="188" t="s">
        <v>82</v>
      </c>
      <c r="C1118" s="188" t="s">
        <v>363</v>
      </c>
      <c r="D1118" s="188">
        <v>0</v>
      </c>
      <c r="E1118" s="4">
        <v>0</v>
      </c>
      <c r="F1118" s="5">
        <v>142505</v>
      </c>
      <c r="G1118" s="4">
        <v>0</v>
      </c>
      <c r="H1118" s="4">
        <v>142505</v>
      </c>
      <c r="I1118" s="188" t="str">
        <f>VLOOKUP(C1118,CATEGORIZACION!$A$1:$C$269,2,FALSE)</f>
        <v>PROOVEDORES</v>
      </c>
      <c r="J1118" s="188" t="str">
        <f>VLOOKUP(C1118,CATEGORIZACION!$A$1:$C$269,3,FALSE)</f>
        <v>LOGISTICA</v>
      </c>
    </row>
    <row r="1119" spans="1:10" ht="15.75" customHeight="1" x14ac:dyDescent="0.25">
      <c r="A1119" s="1">
        <v>45107</v>
      </c>
      <c r="B1119" s="188" t="s">
        <v>82</v>
      </c>
      <c r="C1119" s="188" t="s">
        <v>204</v>
      </c>
      <c r="D1119" s="188">
        <v>0</v>
      </c>
      <c r="E1119" s="4">
        <v>0</v>
      </c>
      <c r="F1119" s="5">
        <v>456486</v>
      </c>
      <c r="G1119" s="4">
        <v>0</v>
      </c>
      <c r="H1119" s="4">
        <v>456486</v>
      </c>
      <c r="I1119" s="188" t="str">
        <f>VLOOKUP(C1119,CATEGORIZACION!$A$1:$C$269,2,FALSE)</f>
        <v>PROOVEDORES</v>
      </c>
      <c r="J1119" s="188" t="str">
        <f>VLOOKUP(C1119,CATEGORIZACION!$A$1:$C$269,3,FALSE)</f>
        <v>LOGISTICA</v>
      </c>
    </row>
    <row r="1120" spans="1:10" ht="15.75" customHeight="1" x14ac:dyDescent="0.25">
      <c r="A1120" s="1">
        <v>45107</v>
      </c>
      <c r="B1120" s="188" t="s">
        <v>82</v>
      </c>
      <c r="C1120" s="188" t="s">
        <v>205</v>
      </c>
      <c r="D1120" s="188">
        <v>0</v>
      </c>
      <c r="E1120" s="4">
        <v>0</v>
      </c>
      <c r="F1120" s="5">
        <v>323000</v>
      </c>
      <c r="G1120" s="4">
        <v>0</v>
      </c>
      <c r="H1120" s="4">
        <v>323000</v>
      </c>
      <c r="I1120" s="188" t="str">
        <f>VLOOKUP(C1120,CATEGORIZACION!$A$1:$C$269,2,FALSE)</f>
        <v>AFIP</v>
      </c>
      <c r="J1120" s="188" t="s">
        <v>19</v>
      </c>
    </row>
    <row r="1121" spans="1:10" ht="15.75" customHeight="1" x14ac:dyDescent="0.25">
      <c r="A1121" s="1">
        <v>45107</v>
      </c>
      <c r="B1121" s="188" t="s">
        <v>82</v>
      </c>
      <c r="C1121" s="188" t="s">
        <v>690</v>
      </c>
      <c r="D1121" s="188">
        <v>0</v>
      </c>
      <c r="E1121" s="4">
        <v>0</v>
      </c>
      <c r="F1121" s="3">
        <v>905033</v>
      </c>
      <c r="G1121" s="4">
        <v>0</v>
      </c>
      <c r="H1121" s="4">
        <v>0</v>
      </c>
      <c r="I1121" s="188" t="str">
        <f>VLOOKUP(C1121,CATEGORIZACION!$A$1:$C$269,2,FALSE)</f>
        <v>AFIP</v>
      </c>
      <c r="J1121" s="188" t="s">
        <v>103</v>
      </c>
    </row>
    <row r="1122" spans="1:10" ht="15.75" customHeight="1" x14ac:dyDescent="0.25">
      <c r="A1122" s="1">
        <v>45107</v>
      </c>
      <c r="B1122" s="188" t="s">
        <v>82</v>
      </c>
      <c r="C1122" s="188" t="s">
        <v>206</v>
      </c>
      <c r="D1122" s="188">
        <v>0</v>
      </c>
      <c r="E1122" s="4">
        <v>0</v>
      </c>
      <c r="F1122" s="5">
        <v>905033</v>
      </c>
      <c r="G1122" s="4">
        <v>0</v>
      </c>
      <c r="H1122" s="4">
        <v>905033</v>
      </c>
      <c r="I1122" s="188" t="str">
        <f>VLOOKUP(C1122,CATEGORIZACION!$A$1:$C$269,2,FALSE)</f>
        <v>AFIP</v>
      </c>
      <c r="J1122" s="188" t="s">
        <v>19</v>
      </c>
    </row>
    <row r="1123" spans="1:10" ht="15.75" customHeight="1" x14ac:dyDescent="0.25">
      <c r="A1123" s="1">
        <v>45107</v>
      </c>
      <c r="B1123" s="188" t="s">
        <v>82</v>
      </c>
      <c r="C1123" s="188" t="s">
        <v>207</v>
      </c>
      <c r="D1123" s="188">
        <v>0</v>
      </c>
      <c r="E1123" s="4">
        <v>0</v>
      </c>
      <c r="F1123" s="5">
        <v>758580.92</v>
      </c>
      <c r="G1123" s="4">
        <v>0</v>
      </c>
      <c r="H1123" s="4">
        <v>758580.92</v>
      </c>
      <c r="I1123" s="188" t="str">
        <f>VLOOKUP(C1123,CATEGORIZACION!$A$1:$C$269,2,FALSE)</f>
        <v>AFIP</v>
      </c>
      <c r="J1123" s="188" t="s">
        <v>19</v>
      </c>
    </row>
    <row r="1124" spans="1:10" ht="15.75" customHeight="1" x14ac:dyDescent="0.25">
      <c r="A1124" s="1">
        <v>45107</v>
      </c>
      <c r="B1124" s="188" t="s">
        <v>82</v>
      </c>
      <c r="C1124" s="188" t="s">
        <v>208</v>
      </c>
      <c r="D1124" s="188">
        <v>0</v>
      </c>
      <c r="E1124" s="4">
        <v>0</v>
      </c>
      <c r="F1124" s="5">
        <v>0</v>
      </c>
      <c r="G1124" s="4">
        <v>0</v>
      </c>
      <c r="H1124" s="4">
        <v>0</v>
      </c>
      <c r="I1124" s="188" t="str">
        <f>VLOOKUP(C1124,CATEGORIZACION!$A$1:$C$269,2,FALSE)</f>
        <v>AFIP</v>
      </c>
      <c r="J1124" s="188" t="s">
        <v>19</v>
      </c>
    </row>
    <row r="1125" spans="1:10" ht="15.75" customHeight="1" x14ac:dyDescent="0.25">
      <c r="A1125" s="1">
        <v>45107</v>
      </c>
      <c r="B1125" s="188" t="s">
        <v>82</v>
      </c>
      <c r="C1125" s="188" t="s">
        <v>209</v>
      </c>
      <c r="D1125" s="188">
        <v>0</v>
      </c>
      <c r="E1125" s="4">
        <v>0</v>
      </c>
      <c r="F1125" s="5">
        <v>85398.54</v>
      </c>
      <c r="G1125" s="4">
        <v>0</v>
      </c>
      <c r="H1125" s="4">
        <v>85398.54</v>
      </c>
      <c r="I1125" s="188" t="str">
        <f>VLOOKUP(C1125,CATEGORIZACION!$A$1:$C$269,2,FALSE)</f>
        <v>PROOVEDORES</v>
      </c>
      <c r="J1125" s="188" t="str">
        <f>VLOOKUP(C1125,CATEGORIZACION!$A$1:$C$269,3,FALSE)</f>
        <v>LOGISTICA</v>
      </c>
    </row>
    <row r="1126" spans="1:10" ht="15.75" customHeight="1" x14ac:dyDescent="0.25">
      <c r="A1126" s="1">
        <v>45107</v>
      </c>
      <c r="B1126" s="188" t="s">
        <v>82</v>
      </c>
      <c r="C1126" s="188" t="s">
        <v>210</v>
      </c>
      <c r="D1126" s="188">
        <v>0</v>
      </c>
      <c r="E1126" s="4">
        <v>0</v>
      </c>
      <c r="F1126" s="5">
        <v>514095.37</v>
      </c>
      <c r="G1126" s="4">
        <v>0</v>
      </c>
      <c r="H1126" s="4">
        <v>514095.37</v>
      </c>
      <c r="I1126" s="188" t="str">
        <f>VLOOKUP(C1126,CATEGORIZACION!$A$1:$C$269,2,FALSE)</f>
        <v>PROOVEDORES</v>
      </c>
      <c r="J1126" s="188" t="str">
        <f>VLOOKUP(C1126,CATEGORIZACION!$A$1:$C$269,3,FALSE)</f>
        <v>LOGISTICA</v>
      </c>
    </row>
    <row r="1127" spans="1:10" ht="15.75" customHeight="1" x14ac:dyDescent="0.25">
      <c r="A1127" s="1">
        <v>45107</v>
      </c>
      <c r="B1127" s="188" t="s">
        <v>82</v>
      </c>
      <c r="C1127" s="188" t="s">
        <v>211</v>
      </c>
      <c r="D1127" s="188">
        <v>0</v>
      </c>
      <c r="E1127" s="4">
        <v>0</v>
      </c>
      <c r="F1127" s="5">
        <v>22338</v>
      </c>
      <c r="G1127" s="4">
        <v>0</v>
      </c>
      <c r="H1127" s="4">
        <v>22338</v>
      </c>
      <c r="I1127" s="188" t="str">
        <f>VLOOKUP(C1127,CATEGORIZACION!$A$1:$C$269,2,FALSE)</f>
        <v>PROOVEDORES</v>
      </c>
      <c r="J1127" s="188" t="str">
        <f>VLOOKUP(C1127,CATEGORIZACION!$A$1:$C$269,3,FALSE)</f>
        <v>LOGISTICA</v>
      </c>
    </row>
    <row r="1128" spans="1:10" ht="15.75" customHeight="1" x14ac:dyDescent="0.25">
      <c r="A1128" s="1">
        <v>45107</v>
      </c>
      <c r="B1128" s="188" t="s">
        <v>82</v>
      </c>
      <c r="C1128" s="188" t="s">
        <v>212</v>
      </c>
      <c r="D1128" s="188">
        <v>0</v>
      </c>
      <c r="E1128" s="4">
        <v>0</v>
      </c>
      <c r="F1128" s="5">
        <v>128664</v>
      </c>
      <c r="G1128" s="4">
        <v>0</v>
      </c>
      <c r="H1128" s="4">
        <v>128664</v>
      </c>
      <c r="I1128" s="188" t="str">
        <f>VLOOKUP(C1128,CATEGORIZACION!$A$1:$C$269,2,FALSE)</f>
        <v>PROOVEDORES</v>
      </c>
      <c r="J1128" s="188" t="str">
        <f>VLOOKUP(C1128,CATEGORIZACION!$A$1:$C$269,3,FALSE)</f>
        <v>LOGISTICA</v>
      </c>
    </row>
    <row r="1129" spans="1:10" ht="15.75" customHeight="1" x14ac:dyDescent="0.25">
      <c r="A1129" s="1">
        <v>45107</v>
      </c>
      <c r="B1129" s="188" t="s">
        <v>82</v>
      </c>
      <c r="C1129" s="188" t="s">
        <v>213</v>
      </c>
      <c r="D1129" s="188">
        <v>0</v>
      </c>
      <c r="E1129" s="4">
        <v>0</v>
      </c>
      <c r="F1129" s="5">
        <v>0</v>
      </c>
      <c r="G1129" s="4">
        <v>0</v>
      </c>
      <c r="H1129" s="4">
        <v>0</v>
      </c>
      <c r="I1129" s="188" t="str">
        <f>VLOOKUP(C1129,CATEGORIZACION!$A$1:$C$269,2,FALSE)</f>
        <v>AFIP</v>
      </c>
      <c r="J1129" s="188" t="s">
        <v>19</v>
      </c>
    </row>
    <row r="1130" spans="1:10" ht="15.75" customHeight="1" x14ac:dyDescent="0.25">
      <c r="A1130" s="1">
        <v>45107</v>
      </c>
      <c r="B1130" s="188" t="s">
        <v>82</v>
      </c>
      <c r="C1130" s="188" t="s">
        <v>1118</v>
      </c>
      <c r="D1130" s="188">
        <v>0</v>
      </c>
      <c r="E1130" s="4">
        <v>0</v>
      </c>
      <c r="F1130" s="5">
        <v>204368</v>
      </c>
      <c r="G1130" s="4">
        <v>0</v>
      </c>
      <c r="H1130" s="4">
        <v>204368</v>
      </c>
      <c r="I1130" s="188" t="str">
        <f>VLOOKUP(C1130,CATEGORIZACION!$A$1:$C$269,2,FALSE)</f>
        <v>AFIP</v>
      </c>
      <c r="J1130" s="188" t="s">
        <v>19</v>
      </c>
    </row>
    <row r="1131" spans="1:10" ht="15.75" customHeight="1" x14ac:dyDescent="0.25">
      <c r="A1131" s="1">
        <v>45107</v>
      </c>
      <c r="B1131" s="188" t="s">
        <v>82</v>
      </c>
      <c r="C1131" s="188" t="s">
        <v>1119</v>
      </c>
      <c r="D1131" s="188">
        <v>0</v>
      </c>
      <c r="E1131" s="4">
        <v>0</v>
      </c>
      <c r="F1131" s="5">
        <v>601255</v>
      </c>
      <c r="G1131" s="4">
        <v>0</v>
      </c>
      <c r="H1131" s="4">
        <v>601255</v>
      </c>
      <c r="I1131" s="188" t="str">
        <f>VLOOKUP(C1131,CATEGORIZACION!$A$1:$C$269,2,FALSE)</f>
        <v>AFIP</v>
      </c>
      <c r="J1131" s="188" t="s">
        <v>19</v>
      </c>
    </row>
    <row r="1132" spans="1:10" ht="15.75" customHeight="1" x14ac:dyDescent="0.25">
      <c r="A1132" s="1">
        <v>45089</v>
      </c>
      <c r="B1132" s="188" t="s">
        <v>1120</v>
      </c>
      <c r="C1132" s="188" t="s">
        <v>21</v>
      </c>
      <c r="D1132" s="188" t="s">
        <v>22</v>
      </c>
      <c r="E1132" s="4">
        <v>0</v>
      </c>
      <c r="F1132" s="5">
        <v>80750</v>
      </c>
      <c r="G1132" s="4">
        <v>16957.5</v>
      </c>
      <c r="H1132" s="4">
        <v>97707.5</v>
      </c>
      <c r="I1132" s="188" t="str">
        <f>VLOOKUP(C1132,CATEGORIZACION!$A$1:$C$269,2,FALSE)</f>
        <v>TRANSPORTE</v>
      </c>
      <c r="J1132" s="188" t="s">
        <v>19</v>
      </c>
    </row>
    <row r="1133" spans="1:10" ht="15.75" customHeight="1" x14ac:dyDescent="0.25">
      <c r="A1133" s="1">
        <v>45107</v>
      </c>
      <c r="B1133" s="188" t="s">
        <v>1121</v>
      </c>
      <c r="C1133" s="188" t="s">
        <v>21</v>
      </c>
      <c r="D1133" s="188" t="s">
        <v>22</v>
      </c>
      <c r="E1133" s="4">
        <v>0</v>
      </c>
      <c r="F1133" s="5">
        <v>-80750</v>
      </c>
      <c r="G1133" s="4">
        <v>-16957.5</v>
      </c>
      <c r="H1133" s="4">
        <v>-97707.5</v>
      </c>
      <c r="I1133" s="188" t="str">
        <f>VLOOKUP(C1133,CATEGORIZACION!$A$1:$C$269,2,FALSE)</f>
        <v>TRANSPORTE</v>
      </c>
      <c r="J1133" s="188" t="s">
        <v>19</v>
      </c>
    </row>
    <row r="1134" spans="1:10" ht="15.75" customHeight="1" x14ac:dyDescent="0.25">
      <c r="A1134" s="1">
        <v>45108</v>
      </c>
      <c r="B1134" s="188" t="s">
        <v>1122</v>
      </c>
      <c r="C1134" s="188" t="s">
        <v>17</v>
      </c>
      <c r="D1134" s="188" t="s">
        <v>18</v>
      </c>
      <c r="E1134" s="4">
        <v>18020</v>
      </c>
      <c r="F1134" s="5">
        <v>422000</v>
      </c>
      <c r="G1134" s="4">
        <v>88620</v>
      </c>
      <c r="H1134" s="4">
        <v>528640</v>
      </c>
      <c r="I1134" s="188" t="str">
        <f>VLOOKUP(C1134,CATEGORIZACION!$A$1:$C$269,2,FALSE)</f>
        <v>TRANSPORTE</v>
      </c>
      <c r="J1134" s="188" t="s">
        <v>19</v>
      </c>
    </row>
    <row r="1135" spans="1:10" ht="15.75" customHeight="1" x14ac:dyDescent="0.25">
      <c r="A1135" s="1">
        <v>45108</v>
      </c>
      <c r="B1135" s="188" t="s">
        <v>1123</v>
      </c>
      <c r="C1135" s="188" t="s">
        <v>17</v>
      </c>
      <c r="D1135" s="188" t="s">
        <v>18</v>
      </c>
      <c r="E1135" s="4">
        <v>19160</v>
      </c>
      <c r="F1135" s="5">
        <v>250000</v>
      </c>
      <c r="G1135" s="4">
        <v>52500</v>
      </c>
      <c r="H1135" s="4">
        <v>321660</v>
      </c>
      <c r="I1135" s="188" t="str">
        <f>VLOOKUP(C1135,CATEGORIZACION!$A$1:$C$269,2,FALSE)</f>
        <v>TRANSPORTE</v>
      </c>
      <c r="J1135" s="188" t="s">
        <v>19</v>
      </c>
    </row>
    <row r="1136" spans="1:10" ht="15.75" customHeight="1" x14ac:dyDescent="0.25">
      <c r="A1136" s="1">
        <v>45108</v>
      </c>
      <c r="B1136" s="188" t="s">
        <v>1124</v>
      </c>
      <c r="C1136" s="188" t="s">
        <v>218</v>
      </c>
      <c r="D1136" s="188" t="s">
        <v>219</v>
      </c>
      <c r="E1136" s="4">
        <v>0</v>
      </c>
      <c r="F1136" s="5">
        <v>136003.06</v>
      </c>
      <c r="G1136" s="4">
        <v>28560.639999999999</v>
      </c>
      <c r="H1136" s="4">
        <v>164563.70000000001</v>
      </c>
      <c r="I1136" s="188" t="str">
        <f>VLOOKUP(C1136,CATEGORIZACION!$A$1:$C$269,2,FALSE)</f>
        <v>PROOVEDORES</v>
      </c>
      <c r="J1136" s="188" t="str">
        <f>VLOOKUP(C1136,CATEGORIZACION!$A$1:$C$269,3,FALSE)</f>
        <v>LOGISTICA</v>
      </c>
    </row>
    <row r="1137" spans="1:10" ht="15.75" customHeight="1" x14ac:dyDescent="0.25">
      <c r="A1137" s="1">
        <v>45110</v>
      </c>
      <c r="B1137" s="188" t="s">
        <v>1125</v>
      </c>
      <c r="C1137" s="188" t="s">
        <v>441</v>
      </c>
      <c r="D1137" s="188" t="s">
        <v>442</v>
      </c>
      <c r="E1137" s="4">
        <v>0</v>
      </c>
      <c r="F1137" s="3">
        <v>575000</v>
      </c>
      <c r="G1137" s="4">
        <v>120750</v>
      </c>
      <c r="H1137" s="4">
        <v>695750</v>
      </c>
      <c r="I1137" s="188" t="str">
        <f>VLOOKUP(C1137,CATEGORIZACION!$A$1:$C$269,2,FALSE)</f>
        <v>ALQUILER</v>
      </c>
      <c r="J1137" s="188" t="s">
        <v>103</v>
      </c>
    </row>
    <row r="1138" spans="1:10" ht="15.75" customHeight="1" x14ac:dyDescent="0.25">
      <c r="A1138" s="1">
        <v>45110</v>
      </c>
      <c r="B1138" s="188" t="s">
        <v>1126</v>
      </c>
      <c r="C1138" s="188" t="s">
        <v>14</v>
      </c>
      <c r="D1138" s="188" t="s">
        <v>15</v>
      </c>
      <c r="E1138" s="4">
        <v>0</v>
      </c>
      <c r="F1138" s="3">
        <v>32280</v>
      </c>
      <c r="G1138" s="4">
        <v>6778.8</v>
      </c>
      <c r="H1138" s="4">
        <v>39058.800000000003</v>
      </c>
      <c r="I1138" s="188" t="str">
        <f>VLOOKUP(C1138,CATEGORIZACION!$A$1:$C$269,2,FALSE)</f>
        <v>PROOVEDORES</v>
      </c>
      <c r="J1138" s="188" t="str">
        <f>VLOOKUP(C1138,CATEGORIZACION!$A$1:$C$269,3,FALSE)</f>
        <v>DEPOSITO</v>
      </c>
    </row>
    <row r="1139" spans="1:10" ht="15.75" customHeight="1" x14ac:dyDescent="0.25">
      <c r="A1139" s="1">
        <v>45110</v>
      </c>
      <c r="B1139" s="188" t="s">
        <v>1127</v>
      </c>
      <c r="C1139" s="188" t="s">
        <v>1128</v>
      </c>
      <c r="D1139" s="188" t="s">
        <v>1129</v>
      </c>
      <c r="E1139" s="4">
        <v>88.66</v>
      </c>
      <c r="F1139" s="5">
        <v>11082.56</v>
      </c>
      <c r="G1139" s="4">
        <v>2327.34</v>
      </c>
      <c r="H1139" s="4">
        <v>13498.56</v>
      </c>
      <c r="I1139" s="188" t="str">
        <f>VLOOKUP(C1139,CATEGORIZACION!$A$1:$C$269,2,FALSE)</f>
        <v>PROOVEDORES</v>
      </c>
      <c r="J1139" s="188" t="str">
        <f>VLOOKUP(C1139,CATEGORIZACION!$A$1:$C$269,3,FALSE)</f>
        <v>LOGISTICA</v>
      </c>
    </row>
    <row r="1140" spans="1:10" ht="15.75" customHeight="1" x14ac:dyDescent="0.25">
      <c r="A1140" s="1">
        <v>45110</v>
      </c>
      <c r="B1140" s="188" t="s">
        <v>1130</v>
      </c>
      <c r="C1140" s="188" t="s">
        <v>801</v>
      </c>
      <c r="D1140" s="188" t="s">
        <v>802</v>
      </c>
      <c r="E1140" s="4">
        <v>3500.4</v>
      </c>
      <c r="F1140" s="5">
        <v>25003</v>
      </c>
      <c r="G1140" s="4">
        <v>5250.63</v>
      </c>
      <c r="H1140" s="4">
        <v>33754.03</v>
      </c>
      <c r="I1140" s="188" t="str">
        <f>VLOOKUP(C1140,CATEGORIZACION!$A$1:$C$269,2,FALSE)</f>
        <v>PROOVEDORES</v>
      </c>
      <c r="J1140" s="188" t="str">
        <f>VLOOKUP(C1140,CATEGORIZACION!$A$1:$C$269,3,FALSE)</f>
        <v>LOGISTICA</v>
      </c>
    </row>
    <row r="1141" spans="1:10" ht="15.75" customHeight="1" x14ac:dyDescent="0.25">
      <c r="A1141" s="1">
        <v>45110</v>
      </c>
      <c r="B1141" s="188" t="s">
        <v>1131</v>
      </c>
      <c r="C1141" s="188" t="s">
        <v>801</v>
      </c>
      <c r="D1141" s="188" t="s">
        <v>802</v>
      </c>
      <c r="E1141" s="4">
        <v>19284.57</v>
      </c>
      <c r="F1141" s="5">
        <v>137745</v>
      </c>
      <c r="G1141" s="4">
        <v>28926.45</v>
      </c>
      <c r="H1141" s="4">
        <v>185956.02</v>
      </c>
      <c r="I1141" s="188" t="str">
        <f>VLOOKUP(C1141,CATEGORIZACION!$A$1:$C$269,2,FALSE)</f>
        <v>PROOVEDORES</v>
      </c>
      <c r="J1141" s="188" t="str">
        <f>VLOOKUP(C1141,CATEGORIZACION!$A$1:$C$269,3,FALSE)</f>
        <v>LOGISTICA</v>
      </c>
    </row>
    <row r="1142" spans="1:10" ht="15.75" customHeight="1" x14ac:dyDescent="0.25">
      <c r="A1142" s="1">
        <v>45111</v>
      </c>
      <c r="B1142" s="188" t="s">
        <v>1132</v>
      </c>
      <c r="C1142" s="188" t="s">
        <v>59</v>
      </c>
      <c r="D1142" s="188" t="s">
        <v>60</v>
      </c>
      <c r="E1142" s="4">
        <v>0</v>
      </c>
      <c r="F1142" s="3">
        <v>490428</v>
      </c>
      <c r="G1142" s="4">
        <v>102989.88</v>
      </c>
      <c r="H1142" s="4">
        <v>593417.88</v>
      </c>
      <c r="I1142" s="188" t="str">
        <f>VLOOKUP(C1142,CATEGORIZACION!$A$1:$C$269,2,FALSE)</f>
        <v>PROOVEDORES</v>
      </c>
      <c r="J1142" s="188" t="str">
        <f>VLOOKUP(C1142,CATEGORIZACION!$A$1:$C$269,3,FALSE)</f>
        <v>DEPOSITO</v>
      </c>
    </row>
    <row r="1143" spans="1:10" ht="15.75" customHeight="1" x14ac:dyDescent="0.25">
      <c r="A1143" s="1">
        <v>45111</v>
      </c>
      <c r="B1143" s="188" t="s">
        <v>1133</v>
      </c>
      <c r="C1143" s="188" t="s">
        <v>59</v>
      </c>
      <c r="D1143" s="188" t="s">
        <v>60</v>
      </c>
      <c r="E1143" s="4">
        <v>0</v>
      </c>
      <c r="F1143" s="3">
        <v>285000</v>
      </c>
      <c r="G1143" s="4">
        <v>59850</v>
      </c>
      <c r="H1143" s="4">
        <v>344850</v>
      </c>
      <c r="I1143" s="188" t="str">
        <f>VLOOKUP(C1143,CATEGORIZACION!$A$1:$C$269,2,FALSE)</f>
        <v>PROOVEDORES</v>
      </c>
      <c r="J1143" s="188" t="str">
        <f>VLOOKUP(C1143,CATEGORIZACION!$A$1:$C$269,3,FALSE)</f>
        <v>DEPOSITO</v>
      </c>
    </row>
    <row r="1144" spans="1:10" ht="15.75" customHeight="1" x14ac:dyDescent="0.25">
      <c r="A1144" s="1">
        <v>45111</v>
      </c>
      <c r="B1144" s="188" t="s">
        <v>1134</v>
      </c>
      <c r="C1144" s="188" t="s">
        <v>918</v>
      </c>
      <c r="D1144" s="188" t="s">
        <v>919</v>
      </c>
      <c r="E1144" s="4">
        <v>13.39</v>
      </c>
      <c r="F1144" s="5">
        <v>743.8</v>
      </c>
      <c r="G1144" s="4">
        <v>156.19999999999999</v>
      </c>
      <c r="H1144" s="4">
        <v>913.39</v>
      </c>
      <c r="I1144" s="188" t="str">
        <f>VLOOKUP(C1144,CATEGORIZACION!$A$1:$C$269,2,FALSE)</f>
        <v>PROOVEDORES</v>
      </c>
      <c r="J1144" s="188" t="str">
        <f>VLOOKUP(C1144,CATEGORIZACION!$A$1:$C$269,3,FALSE)</f>
        <v>LOGISTICA</v>
      </c>
    </row>
    <row r="1145" spans="1:10" ht="15.75" customHeight="1" x14ac:dyDescent="0.25">
      <c r="A1145" s="1">
        <v>45111</v>
      </c>
      <c r="B1145" s="188" t="s">
        <v>1135</v>
      </c>
      <c r="C1145" s="188" t="s">
        <v>918</v>
      </c>
      <c r="D1145" s="188" t="s">
        <v>919</v>
      </c>
      <c r="E1145" s="4">
        <v>290.83</v>
      </c>
      <c r="F1145" s="5">
        <v>16157</v>
      </c>
      <c r="G1145" s="4">
        <v>3392.97</v>
      </c>
      <c r="H1145" s="4">
        <v>19840.8</v>
      </c>
      <c r="I1145" s="188" t="str">
        <f>VLOOKUP(C1145,CATEGORIZACION!$A$1:$C$269,2,FALSE)</f>
        <v>PROOVEDORES</v>
      </c>
      <c r="J1145" s="188" t="str">
        <f>VLOOKUP(C1145,CATEGORIZACION!$A$1:$C$269,3,FALSE)</f>
        <v>LOGISTICA</v>
      </c>
    </row>
    <row r="1146" spans="1:10" ht="15.75" customHeight="1" x14ac:dyDescent="0.25">
      <c r="A1146" s="1">
        <v>45111</v>
      </c>
      <c r="B1146" s="188" t="s">
        <v>1136</v>
      </c>
      <c r="C1146" s="188" t="s">
        <v>804</v>
      </c>
      <c r="D1146" s="188" t="s">
        <v>805</v>
      </c>
      <c r="E1146" s="4">
        <v>172.56</v>
      </c>
      <c r="F1146" s="5">
        <v>3595</v>
      </c>
      <c r="G1146" s="4">
        <v>754.95</v>
      </c>
      <c r="H1146" s="4">
        <v>4522.51</v>
      </c>
      <c r="I1146" s="188" t="str">
        <f>VLOOKUP(C1146,CATEGORIZACION!$A$1:$C$269,2,FALSE)</f>
        <v>PROOVEDORES</v>
      </c>
      <c r="J1146" s="188" t="str">
        <f>VLOOKUP(C1146,CATEGORIZACION!$A$1:$C$269,3,FALSE)</f>
        <v>LOGISTICA</v>
      </c>
    </row>
    <row r="1147" spans="1:10" ht="15.75" customHeight="1" x14ac:dyDescent="0.25">
      <c r="A1147" s="1">
        <v>45111</v>
      </c>
      <c r="B1147" s="188" t="s">
        <v>1137</v>
      </c>
      <c r="C1147" s="188" t="s">
        <v>804</v>
      </c>
      <c r="D1147" s="188" t="s">
        <v>805</v>
      </c>
      <c r="E1147" s="4">
        <v>1392.4</v>
      </c>
      <c r="F1147" s="5">
        <v>29008</v>
      </c>
      <c r="G1147" s="4">
        <v>6091.68</v>
      </c>
      <c r="H1147" s="4">
        <v>36492.080000000002</v>
      </c>
      <c r="I1147" s="188" t="str">
        <f>VLOOKUP(C1147,CATEGORIZACION!$A$1:$C$269,2,FALSE)</f>
        <v>PROOVEDORES</v>
      </c>
      <c r="J1147" s="188" t="str">
        <f>VLOOKUP(C1147,CATEGORIZACION!$A$1:$C$269,3,FALSE)</f>
        <v>LOGISTICA</v>
      </c>
    </row>
    <row r="1148" spans="1:10" ht="15.75" customHeight="1" x14ac:dyDescent="0.25">
      <c r="A1148" s="1">
        <v>45112</v>
      </c>
      <c r="B1148" s="188" t="s">
        <v>1138</v>
      </c>
      <c r="C1148" s="188" t="s">
        <v>101</v>
      </c>
      <c r="D1148" s="188" t="s">
        <v>102</v>
      </c>
      <c r="E1148" s="4">
        <v>8605.44</v>
      </c>
      <c r="F1148" s="3">
        <v>1075680</v>
      </c>
      <c r="G1148" s="4">
        <v>225892.8</v>
      </c>
      <c r="H1148" s="4">
        <v>1310178.24</v>
      </c>
      <c r="I1148" s="188" t="str">
        <f>VLOOKUP(C1148,CATEGORIZACION!$A$1:$C$269,2,FALSE)</f>
        <v>ALQUILER</v>
      </c>
      <c r="J1148" s="188" t="s">
        <v>103</v>
      </c>
    </row>
    <row r="1149" spans="1:10" ht="15.75" customHeight="1" x14ac:dyDescent="0.25">
      <c r="A1149" s="1">
        <v>45113</v>
      </c>
      <c r="B1149" s="188" t="s">
        <v>1139</v>
      </c>
      <c r="C1149" s="188" t="s">
        <v>1140</v>
      </c>
      <c r="D1149" s="188" t="s">
        <v>1141</v>
      </c>
      <c r="E1149" s="4">
        <v>-5600</v>
      </c>
      <c r="F1149" s="3">
        <v>-700000</v>
      </c>
      <c r="G1149" s="4">
        <v>-147000</v>
      </c>
      <c r="H1149" s="4">
        <v>-852600</v>
      </c>
      <c r="I1149" s="188" t="str">
        <f>VLOOKUP(C1149,CATEGORIZACION!$A$1:$C$269,2,FALSE)</f>
        <v>PROOVEDORES</v>
      </c>
      <c r="J1149" s="188" t="str">
        <f>VLOOKUP(C1149,CATEGORIZACION!$A$1:$C$269,3,FALSE)</f>
        <v>DEPOSITO</v>
      </c>
    </row>
    <row r="1150" spans="1:10" ht="15.75" customHeight="1" x14ac:dyDescent="0.25">
      <c r="A1150" s="1">
        <v>45113</v>
      </c>
      <c r="B1150" s="188" t="s">
        <v>1142</v>
      </c>
      <c r="C1150" s="188" t="s">
        <v>1140</v>
      </c>
      <c r="D1150" s="188" t="s">
        <v>1141</v>
      </c>
      <c r="E1150" s="4">
        <v>-2100</v>
      </c>
      <c r="F1150" s="3">
        <v>-262500</v>
      </c>
      <c r="G1150" s="4">
        <v>-55125</v>
      </c>
      <c r="H1150" s="4">
        <v>-319725</v>
      </c>
      <c r="I1150" s="188" t="str">
        <f>VLOOKUP(C1150,CATEGORIZACION!$A$1:$C$269,2,FALSE)</f>
        <v>PROOVEDORES</v>
      </c>
      <c r="J1150" s="188" t="str">
        <f>VLOOKUP(C1150,CATEGORIZACION!$A$1:$C$269,3,FALSE)</f>
        <v>DEPOSITO</v>
      </c>
    </row>
    <row r="1151" spans="1:10" ht="15.75" customHeight="1" x14ac:dyDescent="0.25">
      <c r="A1151" s="1">
        <v>45113</v>
      </c>
      <c r="B1151" s="188" t="s">
        <v>524</v>
      </c>
      <c r="C1151" s="188" t="s">
        <v>1140</v>
      </c>
      <c r="D1151" s="188" t="s">
        <v>1141</v>
      </c>
      <c r="E1151" s="4">
        <v>2100</v>
      </c>
      <c r="F1151" s="3">
        <v>262500</v>
      </c>
      <c r="G1151" s="4">
        <v>55125</v>
      </c>
      <c r="H1151" s="4">
        <v>319725</v>
      </c>
      <c r="I1151" s="188" t="str">
        <f>VLOOKUP(C1151,CATEGORIZACION!$A$1:$C$269,2,FALSE)</f>
        <v>PROOVEDORES</v>
      </c>
      <c r="J1151" s="188" t="str">
        <f>VLOOKUP(C1151,CATEGORIZACION!$A$1:$C$269,3,FALSE)</f>
        <v>DEPOSITO</v>
      </c>
    </row>
    <row r="1152" spans="1:10" ht="15.75" customHeight="1" x14ac:dyDescent="0.25">
      <c r="A1152" s="1">
        <v>45113</v>
      </c>
      <c r="B1152" s="188" t="s">
        <v>692</v>
      </c>
      <c r="C1152" s="188" t="s">
        <v>1143</v>
      </c>
      <c r="D1152" s="188" t="s">
        <v>1144</v>
      </c>
      <c r="E1152" s="4">
        <v>0</v>
      </c>
      <c r="F1152" s="3">
        <v>76302</v>
      </c>
      <c r="G1152" s="4">
        <v>16023.42</v>
      </c>
      <c r="H1152" s="4">
        <v>92325.42</v>
      </c>
      <c r="I1152" s="188" t="str">
        <f>VLOOKUP(C1152,CATEGORIZACION!$A$1:$C$269,2,FALSE)</f>
        <v>PROOVEDORES</v>
      </c>
      <c r="J1152" s="188" t="str">
        <f>VLOOKUP(C1152,CATEGORIZACION!$A$1:$C$269,3,FALSE)</f>
        <v>DEPOSITO</v>
      </c>
    </row>
    <row r="1153" spans="1:10" ht="15.75" customHeight="1" x14ac:dyDescent="0.25">
      <c r="A1153" s="1">
        <v>45113</v>
      </c>
      <c r="B1153" s="188" t="s">
        <v>1145</v>
      </c>
      <c r="C1153" s="188" t="s">
        <v>1140</v>
      </c>
      <c r="D1153" s="188" t="s">
        <v>1141</v>
      </c>
      <c r="E1153" s="4">
        <v>5600</v>
      </c>
      <c r="F1153" s="3">
        <v>700000</v>
      </c>
      <c r="G1153" s="4">
        <v>147000</v>
      </c>
      <c r="H1153" s="4">
        <v>852600</v>
      </c>
      <c r="I1153" s="188" t="str">
        <f>VLOOKUP(C1153,CATEGORIZACION!$A$1:$C$269,2,FALSE)</f>
        <v>PROOVEDORES</v>
      </c>
      <c r="J1153" s="188" t="str">
        <f>VLOOKUP(C1153,CATEGORIZACION!$A$1:$C$269,3,FALSE)</f>
        <v>DEPOSITO</v>
      </c>
    </row>
    <row r="1154" spans="1:10" ht="15.75" customHeight="1" x14ac:dyDescent="0.25">
      <c r="A1154" s="1">
        <v>45113</v>
      </c>
      <c r="B1154" s="188" t="s">
        <v>1146</v>
      </c>
      <c r="C1154" s="188" t="s">
        <v>253</v>
      </c>
      <c r="D1154" s="188" t="s">
        <v>57</v>
      </c>
      <c r="E1154" s="4">
        <v>0</v>
      </c>
      <c r="F1154" s="5">
        <v>15678.51</v>
      </c>
      <c r="G1154" s="4">
        <v>3292.49</v>
      </c>
      <c r="H1154" s="4">
        <v>18971</v>
      </c>
      <c r="I1154" s="188" t="str">
        <f>VLOOKUP(C1154,CATEGORIZACION!$A$1:$C$269,2,FALSE)</f>
        <v>PROOVEDORES</v>
      </c>
      <c r="J1154" s="188" t="str">
        <f>VLOOKUP(C1154,CATEGORIZACION!$A$1:$C$269,3,FALSE)</f>
        <v>LOGISTICA</v>
      </c>
    </row>
    <row r="1155" spans="1:10" ht="15.75" customHeight="1" x14ac:dyDescent="0.25">
      <c r="A1155" s="1">
        <v>45113</v>
      </c>
      <c r="B1155" s="188" t="s">
        <v>1147</v>
      </c>
      <c r="C1155" s="188" t="s">
        <v>214</v>
      </c>
      <c r="D1155" s="188" t="s">
        <v>471</v>
      </c>
      <c r="E1155" s="4">
        <v>96000</v>
      </c>
      <c r="F1155" s="5">
        <v>0</v>
      </c>
      <c r="G1155" s="4">
        <v>0</v>
      </c>
      <c r="H1155" s="4">
        <v>96000</v>
      </c>
      <c r="I1155" s="188" t="str">
        <f>VLOOKUP(C1155,CATEGORIZACION!$A$1:$C$269,2,FALSE)</f>
        <v>PROOVEDORES</v>
      </c>
      <c r="J1155" s="188" t="str">
        <f>VLOOKUP(C1155,CATEGORIZACION!$A$1:$C$269,3,FALSE)</f>
        <v>LOGISTICA</v>
      </c>
    </row>
    <row r="1156" spans="1:10" ht="15.75" customHeight="1" x14ac:dyDescent="0.25">
      <c r="A1156" s="1">
        <v>45113</v>
      </c>
      <c r="B1156" s="188" t="s">
        <v>1148</v>
      </c>
      <c r="C1156" s="188" t="s">
        <v>214</v>
      </c>
      <c r="D1156" s="188" t="s">
        <v>471</v>
      </c>
      <c r="E1156" s="4">
        <v>150000</v>
      </c>
      <c r="F1156" s="5">
        <v>0</v>
      </c>
      <c r="G1156" s="4">
        <v>0</v>
      </c>
      <c r="H1156" s="4">
        <v>150000</v>
      </c>
      <c r="I1156" s="188" t="str">
        <f>VLOOKUP(C1156,CATEGORIZACION!$A$1:$C$269,2,FALSE)</f>
        <v>PROOVEDORES</v>
      </c>
      <c r="J1156" s="188" t="str">
        <f>VLOOKUP(C1156,CATEGORIZACION!$A$1:$C$269,3,FALSE)</f>
        <v>LOGISTICA</v>
      </c>
    </row>
    <row r="1157" spans="1:10" ht="15.75" customHeight="1" x14ac:dyDescent="0.25">
      <c r="A1157" s="1">
        <v>45114</v>
      </c>
      <c r="B1157" s="188" t="s">
        <v>1149</v>
      </c>
      <c r="C1157" s="188" t="s">
        <v>1057</v>
      </c>
      <c r="D1157" s="188" t="s">
        <v>1058</v>
      </c>
      <c r="E1157" s="4">
        <v>0</v>
      </c>
      <c r="F1157" s="5">
        <v>98826.45</v>
      </c>
      <c r="G1157" s="4">
        <v>20753.55</v>
      </c>
      <c r="H1157" s="4">
        <v>119580</v>
      </c>
      <c r="I1157" s="188" t="str">
        <f>VLOOKUP(C1157,CATEGORIZACION!$A$1:$C$269,2,FALSE)</f>
        <v>PROOVEDORES</v>
      </c>
      <c r="J1157" s="188" t="str">
        <f>VLOOKUP(C1157,CATEGORIZACION!$A$1:$C$269,3,FALSE)</f>
        <v>LOGISTICA</v>
      </c>
    </row>
    <row r="1158" spans="1:10" ht="15.75" customHeight="1" x14ac:dyDescent="0.25">
      <c r="A1158" s="1">
        <v>45114</v>
      </c>
      <c r="B1158" s="188" t="s">
        <v>1150</v>
      </c>
      <c r="C1158" s="188" t="s">
        <v>36</v>
      </c>
      <c r="D1158" s="188" t="s">
        <v>37</v>
      </c>
      <c r="E1158" s="4">
        <v>5000</v>
      </c>
      <c r="F1158" s="5">
        <v>160680</v>
      </c>
      <c r="G1158" s="4">
        <v>33742.800000000003</v>
      </c>
      <c r="H1158" s="4">
        <v>199422.8</v>
      </c>
      <c r="I1158" s="188" t="str">
        <f>VLOOKUP(C1158,CATEGORIZACION!$A$1:$C$269,2,FALSE)</f>
        <v>TRANSPORTE</v>
      </c>
      <c r="J1158" s="188" t="s">
        <v>19</v>
      </c>
    </row>
    <row r="1159" spans="1:10" ht="15.75" customHeight="1" x14ac:dyDescent="0.25">
      <c r="A1159" s="1">
        <v>45114</v>
      </c>
      <c r="B1159" s="188" t="s">
        <v>1151</v>
      </c>
      <c r="C1159" s="188" t="s">
        <v>36</v>
      </c>
      <c r="D1159" s="188" t="s">
        <v>37</v>
      </c>
      <c r="E1159" s="4">
        <v>5000</v>
      </c>
      <c r="F1159" s="5">
        <v>120540</v>
      </c>
      <c r="G1159" s="4">
        <v>25313.4</v>
      </c>
      <c r="H1159" s="4">
        <v>150853.4</v>
      </c>
      <c r="I1159" s="188" t="str">
        <f>VLOOKUP(C1159,CATEGORIZACION!$A$1:$C$269,2,FALSE)</f>
        <v>TRANSPORTE</v>
      </c>
      <c r="J1159" s="188" t="s">
        <v>19</v>
      </c>
    </row>
    <row r="1160" spans="1:10" ht="15.75" customHeight="1" x14ac:dyDescent="0.25">
      <c r="A1160" s="1">
        <v>45114</v>
      </c>
      <c r="B1160" s="188" t="s">
        <v>1152</v>
      </c>
      <c r="C1160" s="188" t="s">
        <v>36</v>
      </c>
      <c r="D1160" s="188" t="s">
        <v>37</v>
      </c>
      <c r="E1160" s="4">
        <v>5000</v>
      </c>
      <c r="F1160" s="5">
        <v>80340</v>
      </c>
      <c r="G1160" s="4">
        <v>16871.400000000001</v>
      </c>
      <c r="H1160" s="4">
        <v>102211.4</v>
      </c>
      <c r="I1160" s="188" t="str">
        <f>VLOOKUP(C1160,CATEGORIZACION!$A$1:$C$269,2,FALSE)</f>
        <v>TRANSPORTE</v>
      </c>
      <c r="J1160" s="188" t="s">
        <v>19</v>
      </c>
    </row>
    <row r="1161" spans="1:10" ht="15.75" customHeight="1" x14ac:dyDescent="0.25">
      <c r="A1161" s="1">
        <v>45114</v>
      </c>
      <c r="B1161" s="188" t="s">
        <v>1153</v>
      </c>
      <c r="C1161" s="188" t="s">
        <v>36</v>
      </c>
      <c r="D1161" s="188" t="s">
        <v>37</v>
      </c>
      <c r="E1161" s="4">
        <v>5000</v>
      </c>
      <c r="F1161" s="5">
        <v>160680</v>
      </c>
      <c r="G1161" s="4">
        <v>33742.800000000003</v>
      </c>
      <c r="H1161" s="4">
        <v>199422.8</v>
      </c>
      <c r="I1161" s="188" t="str">
        <f>VLOOKUP(C1161,CATEGORIZACION!$A$1:$C$269,2,FALSE)</f>
        <v>TRANSPORTE</v>
      </c>
      <c r="J1161" s="188" t="s">
        <v>19</v>
      </c>
    </row>
    <row r="1162" spans="1:10" ht="15.75" customHeight="1" x14ac:dyDescent="0.25">
      <c r="A1162" s="1">
        <v>45114</v>
      </c>
      <c r="B1162" s="188" t="s">
        <v>1154</v>
      </c>
      <c r="C1162" s="188" t="s">
        <v>36</v>
      </c>
      <c r="D1162" s="188" t="s">
        <v>37</v>
      </c>
      <c r="E1162" s="4">
        <v>5000</v>
      </c>
      <c r="F1162" s="5">
        <v>160680</v>
      </c>
      <c r="G1162" s="4">
        <v>33742.800000000003</v>
      </c>
      <c r="H1162" s="4">
        <v>199422.8</v>
      </c>
      <c r="I1162" s="188" t="str">
        <f>VLOOKUP(C1162,CATEGORIZACION!$A$1:$C$269,2,FALSE)</f>
        <v>TRANSPORTE</v>
      </c>
      <c r="J1162" s="188" t="s">
        <v>19</v>
      </c>
    </row>
    <row r="1163" spans="1:10" ht="15.75" customHeight="1" x14ac:dyDescent="0.25">
      <c r="A1163" s="1">
        <v>45114</v>
      </c>
      <c r="B1163" s="188" t="s">
        <v>1155</v>
      </c>
      <c r="C1163" s="188" t="s">
        <v>36</v>
      </c>
      <c r="D1163" s="188" t="s">
        <v>37</v>
      </c>
      <c r="E1163" s="4">
        <v>5000</v>
      </c>
      <c r="F1163" s="5">
        <v>120540</v>
      </c>
      <c r="G1163" s="4">
        <v>25313.4</v>
      </c>
      <c r="H1163" s="4">
        <v>150853.4</v>
      </c>
      <c r="I1163" s="188" t="str">
        <f>VLOOKUP(C1163,CATEGORIZACION!$A$1:$C$269,2,FALSE)</f>
        <v>TRANSPORTE</v>
      </c>
      <c r="J1163" s="188" t="s">
        <v>19</v>
      </c>
    </row>
    <row r="1164" spans="1:10" ht="15.75" customHeight="1" x14ac:dyDescent="0.25">
      <c r="A1164" s="1">
        <v>45114</v>
      </c>
      <c r="B1164" s="188" t="s">
        <v>1156</v>
      </c>
      <c r="C1164" s="188" t="s">
        <v>80</v>
      </c>
      <c r="D1164" s="188" t="s">
        <v>81</v>
      </c>
      <c r="E1164" s="4">
        <v>2495</v>
      </c>
      <c r="F1164" s="5">
        <v>26450.41</v>
      </c>
      <c r="G1164" s="4">
        <v>5554.59</v>
      </c>
      <c r="H1164" s="4">
        <v>34500</v>
      </c>
      <c r="I1164" s="188" t="str">
        <f>VLOOKUP(C1164,CATEGORIZACION!$A$1:$C$269,2,FALSE)</f>
        <v>PROOVEDORES</v>
      </c>
      <c r="J1164" s="188" t="str">
        <f>VLOOKUP(C1164,CATEGORIZACION!$A$1:$C$269,3,FALSE)</f>
        <v>LOGISTICA</v>
      </c>
    </row>
    <row r="1165" spans="1:10" ht="15.75" customHeight="1" x14ac:dyDescent="0.25">
      <c r="A1165" s="1">
        <v>45115</v>
      </c>
      <c r="B1165" s="188" t="s">
        <v>1157</v>
      </c>
      <c r="C1165" s="188" t="s">
        <v>1158</v>
      </c>
      <c r="D1165" s="188" t="s">
        <v>1159</v>
      </c>
      <c r="E1165" s="4">
        <v>0</v>
      </c>
      <c r="F1165" s="5">
        <v>10000</v>
      </c>
      <c r="G1165" s="4">
        <v>2100</v>
      </c>
      <c r="H1165" s="4">
        <v>12100</v>
      </c>
      <c r="I1165" s="188" t="str">
        <f>VLOOKUP(C1165,CATEGORIZACION!$A$1:$C$269,2,FALSE)</f>
        <v>PROOVEDORES</v>
      </c>
      <c r="J1165" s="188" t="str">
        <f>VLOOKUP(C1165,CATEGORIZACION!$A$1:$C$269,3,FALSE)</f>
        <v>LOGISTICA</v>
      </c>
    </row>
    <row r="1166" spans="1:10" ht="15.75" customHeight="1" x14ac:dyDescent="0.25">
      <c r="A1166" s="1">
        <v>45117</v>
      </c>
      <c r="B1166" s="188" t="s">
        <v>1160</v>
      </c>
      <c r="C1166" s="188" t="s">
        <v>49</v>
      </c>
      <c r="D1166" s="188" t="s">
        <v>50</v>
      </c>
      <c r="E1166" s="4">
        <v>0</v>
      </c>
      <c r="F1166" s="3">
        <v>-130500</v>
      </c>
      <c r="G1166" s="4">
        <v>-27405</v>
      </c>
      <c r="H1166" s="4">
        <v>-157905</v>
      </c>
      <c r="I1166" s="188" t="str">
        <f>VLOOKUP(C1166,CATEGORIZACION!$A$1:$C$269,2,FALSE)</f>
        <v>PROOVEDORES</v>
      </c>
      <c r="J1166" s="188" t="str">
        <f>VLOOKUP(C1166,CATEGORIZACION!$A$1:$C$269,3,FALSE)</f>
        <v>DEPOSITO</v>
      </c>
    </row>
    <row r="1167" spans="1:10" ht="15.75" customHeight="1" x14ac:dyDescent="0.25">
      <c r="A1167" s="1">
        <v>45117</v>
      </c>
      <c r="B1167" s="188" t="s">
        <v>1161</v>
      </c>
      <c r="C1167" s="188" t="s">
        <v>248</v>
      </c>
      <c r="D1167" s="188" t="s">
        <v>249</v>
      </c>
      <c r="E1167" s="4">
        <v>0</v>
      </c>
      <c r="F1167" s="5">
        <v>288683</v>
      </c>
      <c r="G1167" s="4">
        <v>60623.43</v>
      </c>
      <c r="H1167" s="4">
        <v>349306.43</v>
      </c>
      <c r="I1167" s="188" t="str">
        <f>VLOOKUP(C1167,CATEGORIZACION!$A$1:$C$269,2,FALSE)</f>
        <v>PROOVEDORES</v>
      </c>
      <c r="J1167" s="188" t="str">
        <f>VLOOKUP(C1167,CATEGORIZACION!$A$1:$C$269,3,FALSE)</f>
        <v>LOGISTICA</v>
      </c>
    </row>
    <row r="1168" spans="1:10" ht="15.75" customHeight="1" x14ac:dyDescent="0.25">
      <c r="A1168" s="1">
        <v>45117</v>
      </c>
      <c r="B1168" s="188" t="s">
        <v>1162</v>
      </c>
      <c r="C1168" s="188" t="s">
        <v>49</v>
      </c>
      <c r="D1168" s="188" t="s">
        <v>50</v>
      </c>
      <c r="E1168" s="4">
        <v>0</v>
      </c>
      <c r="F1168" s="3">
        <v>130500</v>
      </c>
      <c r="G1168" s="4">
        <v>27405</v>
      </c>
      <c r="H1168" s="4">
        <v>157905</v>
      </c>
      <c r="I1168" s="188" t="str">
        <f>VLOOKUP(C1168,CATEGORIZACION!$A$1:$C$269,2,FALSE)</f>
        <v>PROOVEDORES</v>
      </c>
      <c r="J1168" s="188" t="str">
        <f>VLOOKUP(C1168,CATEGORIZACION!$A$1:$C$269,3,FALSE)</f>
        <v>DEPOSITO</v>
      </c>
    </row>
    <row r="1169" spans="1:10" ht="15.75" customHeight="1" x14ac:dyDescent="0.25">
      <c r="A1169" s="1">
        <v>45117</v>
      </c>
      <c r="B1169" s="188" t="s">
        <v>1094</v>
      </c>
      <c r="C1169" s="188" t="s">
        <v>49</v>
      </c>
      <c r="D1169" s="188" t="s">
        <v>50</v>
      </c>
      <c r="E1169" s="4">
        <v>0</v>
      </c>
      <c r="F1169" s="3">
        <v>130500</v>
      </c>
      <c r="G1169" s="4">
        <v>27405</v>
      </c>
      <c r="H1169" s="4">
        <v>157905</v>
      </c>
      <c r="I1169" s="188" t="str">
        <f>VLOOKUP(C1169,CATEGORIZACION!$A$1:$C$269,2,FALSE)</f>
        <v>PROOVEDORES</v>
      </c>
      <c r="J1169" s="188" t="str">
        <f>VLOOKUP(C1169,CATEGORIZACION!$A$1:$C$269,3,FALSE)</f>
        <v>DEPOSITO</v>
      </c>
    </row>
    <row r="1170" spans="1:10" ht="15.75" customHeight="1" x14ac:dyDescent="0.25">
      <c r="A1170" s="1">
        <v>45117</v>
      </c>
      <c r="B1170" s="188" t="s">
        <v>1163</v>
      </c>
      <c r="C1170" s="188" t="s">
        <v>49</v>
      </c>
      <c r="D1170" s="188" t="s">
        <v>50</v>
      </c>
      <c r="E1170" s="4">
        <v>0</v>
      </c>
      <c r="F1170" s="3">
        <v>130500</v>
      </c>
      <c r="G1170" s="4">
        <v>27405</v>
      </c>
      <c r="H1170" s="4">
        <v>157905</v>
      </c>
      <c r="I1170" s="188" t="str">
        <f>VLOOKUP(C1170,CATEGORIZACION!$A$1:$C$269,2,FALSE)</f>
        <v>PROOVEDORES</v>
      </c>
      <c r="J1170" s="188" t="str">
        <f>VLOOKUP(C1170,CATEGORIZACION!$A$1:$C$269,3,FALSE)</f>
        <v>DEPOSITO</v>
      </c>
    </row>
    <row r="1171" spans="1:10" ht="15.75" customHeight="1" x14ac:dyDescent="0.25">
      <c r="A1171" s="1">
        <v>45117</v>
      </c>
      <c r="B1171" s="188" t="s">
        <v>1164</v>
      </c>
      <c r="C1171" s="188" t="s">
        <v>87</v>
      </c>
      <c r="D1171" s="188" t="s">
        <v>88</v>
      </c>
      <c r="E1171" s="4">
        <v>0</v>
      </c>
      <c r="F1171" s="5">
        <v>7140</v>
      </c>
      <c r="G1171" s="4">
        <v>1499.4</v>
      </c>
      <c r="H1171" s="4">
        <v>8639.4</v>
      </c>
      <c r="I1171" s="188" t="str">
        <f>VLOOKUP(C1171,CATEGORIZACION!$A$1:$C$269,2,FALSE)</f>
        <v>PROOVEDORES</v>
      </c>
      <c r="J1171" s="188" t="str">
        <f>VLOOKUP(C1171,CATEGORIZACION!$A$1:$C$269,3,FALSE)</f>
        <v>LOGISTICA</v>
      </c>
    </row>
    <row r="1172" spans="1:10" ht="15.75" customHeight="1" x14ac:dyDescent="0.25">
      <c r="A1172" s="1">
        <v>45117</v>
      </c>
      <c r="B1172" s="188" t="s">
        <v>1165</v>
      </c>
      <c r="C1172" s="188" t="s">
        <v>21</v>
      </c>
      <c r="D1172" s="188" t="s">
        <v>22</v>
      </c>
      <c r="E1172" s="4">
        <v>35120</v>
      </c>
      <c r="F1172" s="5">
        <v>400200</v>
      </c>
      <c r="G1172" s="4">
        <v>84042</v>
      </c>
      <c r="H1172" s="4">
        <v>519362</v>
      </c>
      <c r="I1172" s="188" t="str">
        <f>VLOOKUP(C1172,CATEGORIZACION!$A$1:$C$269,2,FALSE)</f>
        <v>TRANSPORTE</v>
      </c>
      <c r="J1172" s="188" t="s">
        <v>19</v>
      </c>
    </row>
    <row r="1173" spans="1:10" ht="15.75" customHeight="1" x14ac:dyDescent="0.25">
      <c r="A1173" s="1">
        <v>45117</v>
      </c>
      <c r="B1173" s="188" t="s">
        <v>1166</v>
      </c>
      <c r="C1173" s="188" t="s">
        <v>36</v>
      </c>
      <c r="D1173" s="188" t="s">
        <v>37</v>
      </c>
      <c r="E1173" s="4">
        <v>0</v>
      </c>
      <c r="F1173" s="5">
        <v>52500</v>
      </c>
      <c r="G1173" s="4">
        <v>11025</v>
      </c>
      <c r="H1173" s="4">
        <v>63525</v>
      </c>
      <c r="I1173" s="188" t="str">
        <f>VLOOKUP(C1173,CATEGORIZACION!$A$1:$C$269,2,FALSE)</f>
        <v>TRANSPORTE</v>
      </c>
      <c r="J1173" s="188" t="s">
        <v>19</v>
      </c>
    </row>
    <row r="1174" spans="1:10" ht="15.75" customHeight="1" x14ac:dyDescent="0.25">
      <c r="A1174" s="1">
        <v>45117</v>
      </c>
      <c r="B1174" s="188" t="s">
        <v>1167</v>
      </c>
      <c r="C1174" s="188" t="s">
        <v>36</v>
      </c>
      <c r="D1174" s="188" t="s">
        <v>37</v>
      </c>
      <c r="E1174" s="4">
        <v>0</v>
      </c>
      <c r="F1174" s="5">
        <v>52500</v>
      </c>
      <c r="G1174" s="4">
        <v>11025</v>
      </c>
      <c r="H1174" s="4">
        <v>63525</v>
      </c>
      <c r="I1174" s="188" t="str">
        <f>VLOOKUP(C1174,CATEGORIZACION!$A$1:$C$269,2,FALSE)</f>
        <v>TRANSPORTE</v>
      </c>
      <c r="J1174" s="188" t="s">
        <v>19</v>
      </c>
    </row>
    <row r="1175" spans="1:10" ht="15.75" customHeight="1" x14ac:dyDescent="0.25">
      <c r="A1175" s="1">
        <v>45117</v>
      </c>
      <c r="B1175" s="188" t="s">
        <v>1168</v>
      </c>
      <c r="C1175" s="188" t="s">
        <v>36</v>
      </c>
      <c r="D1175" s="188" t="s">
        <v>37</v>
      </c>
      <c r="E1175" s="4">
        <v>0</v>
      </c>
      <c r="F1175" s="5">
        <v>52500</v>
      </c>
      <c r="G1175" s="4">
        <v>11025</v>
      </c>
      <c r="H1175" s="4">
        <v>63525</v>
      </c>
      <c r="I1175" s="188" t="str">
        <f>VLOOKUP(C1175,CATEGORIZACION!$A$1:$C$269,2,FALSE)</f>
        <v>TRANSPORTE</v>
      </c>
      <c r="J1175" s="188" t="s">
        <v>19</v>
      </c>
    </row>
    <row r="1176" spans="1:10" ht="15.75" customHeight="1" x14ac:dyDescent="0.25">
      <c r="A1176" s="1">
        <v>45117</v>
      </c>
      <c r="B1176" s="188" t="s">
        <v>1169</v>
      </c>
      <c r="C1176" s="188" t="s">
        <v>36</v>
      </c>
      <c r="D1176" s="188" t="s">
        <v>37</v>
      </c>
      <c r="E1176" s="4">
        <v>0</v>
      </c>
      <c r="F1176" s="5">
        <v>52500</v>
      </c>
      <c r="G1176" s="4">
        <v>11025</v>
      </c>
      <c r="H1176" s="4">
        <v>63525</v>
      </c>
      <c r="I1176" s="188" t="str">
        <f>VLOOKUP(C1176,CATEGORIZACION!$A$1:$C$269,2,FALSE)</f>
        <v>TRANSPORTE</v>
      </c>
      <c r="J1176" s="188" t="s">
        <v>19</v>
      </c>
    </row>
    <row r="1177" spans="1:10" ht="15.75" customHeight="1" x14ac:dyDescent="0.25">
      <c r="A1177" s="1">
        <v>45117</v>
      </c>
      <c r="B1177" s="188" t="s">
        <v>1170</v>
      </c>
      <c r="C1177" s="188" t="s">
        <v>36</v>
      </c>
      <c r="D1177" s="188" t="s">
        <v>37</v>
      </c>
      <c r="E1177" s="4">
        <v>10500</v>
      </c>
      <c r="F1177" s="5">
        <v>65200</v>
      </c>
      <c r="G1177" s="4">
        <v>13692</v>
      </c>
      <c r="H1177" s="4">
        <v>89392</v>
      </c>
      <c r="I1177" s="188" t="str">
        <f>VLOOKUP(C1177,CATEGORIZACION!$A$1:$C$269,2,FALSE)</f>
        <v>TRANSPORTE</v>
      </c>
      <c r="J1177" s="188" t="s">
        <v>19</v>
      </c>
    </row>
    <row r="1178" spans="1:10" ht="15.75" customHeight="1" x14ac:dyDescent="0.25">
      <c r="A1178" s="1">
        <v>45117</v>
      </c>
      <c r="B1178" s="188" t="s">
        <v>1171</v>
      </c>
      <c r="C1178" s="188" t="s">
        <v>36</v>
      </c>
      <c r="D1178" s="188" t="s">
        <v>37</v>
      </c>
      <c r="E1178" s="4">
        <v>6200</v>
      </c>
      <c r="F1178" s="5">
        <v>52000</v>
      </c>
      <c r="G1178" s="4">
        <v>10920</v>
      </c>
      <c r="H1178" s="4">
        <v>69120</v>
      </c>
      <c r="I1178" s="188" t="str">
        <f>VLOOKUP(C1178,CATEGORIZACION!$A$1:$C$269,2,FALSE)</f>
        <v>TRANSPORTE</v>
      </c>
      <c r="J1178" s="188" t="s">
        <v>19</v>
      </c>
    </row>
    <row r="1179" spans="1:10" ht="15.75" customHeight="1" x14ac:dyDescent="0.25">
      <c r="A1179" s="1">
        <v>45117</v>
      </c>
      <c r="B1179" s="188" t="s">
        <v>1172</v>
      </c>
      <c r="C1179" s="188" t="s">
        <v>36</v>
      </c>
      <c r="D1179" s="188" t="s">
        <v>37</v>
      </c>
      <c r="E1179" s="4">
        <v>6200</v>
      </c>
      <c r="F1179" s="5">
        <v>52000</v>
      </c>
      <c r="G1179" s="4">
        <v>10920</v>
      </c>
      <c r="H1179" s="4">
        <v>69120</v>
      </c>
      <c r="I1179" s="188" t="str">
        <f>VLOOKUP(C1179,CATEGORIZACION!$A$1:$C$269,2,FALSE)</f>
        <v>TRANSPORTE</v>
      </c>
      <c r="J1179" s="188" t="s">
        <v>19</v>
      </c>
    </row>
    <row r="1180" spans="1:10" ht="15.75" customHeight="1" x14ac:dyDescent="0.25">
      <c r="A1180" s="1">
        <v>45117</v>
      </c>
      <c r="B1180" s="188" t="s">
        <v>1173</v>
      </c>
      <c r="C1180" s="188" t="s">
        <v>36</v>
      </c>
      <c r="D1180" s="188" t="s">
        <v>37</v>
      </c>
      <c r="E1180" s="4">
        <v>11500</v>
      </c>
      <c r="F1180" s="5">
        <v>93900</v>
      </c>
      <c r="G1180" s="4">
        <v>19719</v>
      </c>
      <c r="H1180" s="4">
        <v>125119</v>
      </c>
      <c r="I1180" s="188" t="str">
        <f>VLOOKUP(C1180,CATEGORIZACION!$A$1:$C$269,2,FALSE)</f>
        <v>TRANSPORTE</v>
      </c>
      <c r="J1180" s="188" t="s">
        <v>19</v>
      </c>
    </row>
    <row r="1181" spans="1:10" ht="15.75" customHeight="1" x14ac:dyDescent="0.25">
      <c r="A1181" s="1">
        <v>45117</v>
      </c>
      <c r="B1181" s="188" t="s">
        <v>1174</v>
      </c>
      <c r="C1181" s="188" t="s">
        <v>36</v>
      </c>
      <c r="D1181" s="188" t="s">
        <v>37</v>
      </c>
      <c r="E1181" s="4">
        <v>10800</v>
      </c>
      <c r="F1181" s="5">
        <v>134340</v>
      </c>
      <c r="G1181" s="4">
        <v>28211.4</v>
      </c>
      <c r="H1181" s="4">
        <v>173351.4</v>
      </c>
      <c r="I1181" s="188" t="str">
        <f>VLOOKUP(C1181,CATEGORIZACION!$A$1:$C$269,2,FALSE)</f>
        <v>TRANSPORTE</v>
      </c>
      <c r="J1181" s="188" t="s">
        <v>19</v>
      </c>
    </row>
    <row r="1182" spans="1:10" ht="15.75" customHeight="1" x14ac:dyDescent="0.25">
      <c r="A1182" s="1">
        <v>45117</v>
      </c>
      <c r="B1182" s="188" t="s">
        <v>1175</v>
      </c>
      <c r="C1182" s="188" t="s">
        <v>36</v>
      </c>
      <c r="D1182" s="188" t="s">
        <v>37</v>
      </c>
      <c r="E1182" s="4">
        <v>11500</v>
      </c>
      <c r="F1182" s="5">
        <v>81700</v>
      </c>
      <c r="G1182" s="4">
        <v>17157</v>
      </c>
      <c r="H1182" s="4">
        <v>110357</v>
      </c>
      <c r="I1182" s="188" t="str">
        <f>VLOOKUP(C1182,CATEGORIZACION!$A$1:$C$269,2,FALSE)</f>
        <v>TRANSPORTE</v>
      </c>
      <c r="J1182" s="188" t="s">
        <v>19</v>
      </c>
    </row>
    <row r="1183" spans="1:10" ht="15.75" customHeight="1" x14ac:dyDescent="0.25">
      <c r="A1183" s="1">
        <v>45117</v>
      </c>
      <c r="B1183" s="188" t="s">
        <v>1176</v>
      </c>
      <c r="C1183" s="188" t="s">
        <v>36</v>
      </c>
      <c r="D1183" s="188" t="s">
        <v>37</v>
      </c>
      <c r="E1183" s="4">
        <v>6200</v>
      </c>
      <c r="F1183" s="5">
        <v>52000</v>
      </c>
      <c r="G1183" s="4">
        <v>10920</v>
      </c>
      <c r="H1183" s="4">
        <v>69120</v>
      </c>
      <c r="I1183" s="188" t="str">
        <f>VLOOKUP(C1183,CATEGORIZACION!$A$1:$C$269,2,FALSE)</f>
        <v>TRANSPORTE</v>
      </c>
      <c r="J1183" s="188" t="s">
        <v>19</v>
      </c>
    </row>
    <row r="1184" spans="1:10" ht="15.75" customHeight="1" x14ac:dyDescent="0.25">
      <c r="A1184" s="1">
        <v>45117</v>
      </c>
      <c r="B1184" s="188" t="s">
        <v>1177</v>
      </c>
      <c r="C1184" s="188" t="s">
        <v>36</v>
      </c>
      <c r="D1184" s="188" t="s">
        <v>37</v>
      </c>
      <c r="E1184" s="4">
        <v>6200</v>
      </c>
      <c r="F1184" s="5">
        <v>52000</v>
      </c>
      <c r="G1184" s="4">
        <v>10920</v>
      </c>
      <c r="H1184" s="4">
        <v>69120</v>
      </c>
      <c r="I1184" s="188" t="str">
        <f>VLOOKUP(C1184,CATEGORIZACION!$A$1:$C$269,2,FALSE)</f>
        <v>TRANSPORTE</v>
      </c>
      <c r="J1184" s="188" t="s">
        <v>19</v>
      </c>
    </row>
    <row r="1185" spans="1:10" ht="15.75" customHeight="1" x14ac:dyDescent="0.25">
      <c r="A1185" s="1">
        <v>45117</v>
      </c>
      <c r="B1185" s="188" t="s">
        <v>1178</v>
      </c>
      <c r="C1185" s="188" t="s">
        <v>36</v>
      </c>
      <c r="D1185" s="188" t="s">
        <v>37</v>
      </c>
      <c r="E1185" s="4">
        <v>1500</v>
      </c>
      <c r="F1185" s="5">
        <v>80340</v>
      </c>
      <c r="G1185" s="4">
        <v>16871.400000000001</v>
      </c>
      <c r="H1185" s="4">
        <v>98711.4</v>
      </c>
      <c r="I1185" s="188" t="str">
        <f>VLOOKUP(C1185,CATEGORIZACION!$A$1:$C$269,2,FALSE)</f>
        <v>TRANSPORTE</v>
      </c>
      <c r="J1185" s="188" t="s">
        <v>19</v>
      </c>
    </row>
    <row r="1186" spans="1:10" ht="15.75" customHeight="1" x14ac:dyDescent="0.25">
      <c r="A1186" s="1">
        <v>45117</v>
      </c>
      <c r="B1186" s="188" t="s">
        <v>1179</v>
      </c>
      <c r="C1186" s="188" t="s">
        <v>36</v>
      </c>
      <c r="D1186" s="188" t="s">
        <v>37</v>
      </c>
      <c r="E1186" s="4">
        <v>9500</v>
      </c>
      <c r="F1186" s="5">
        <v>156500</v>
      </c>
      <c r="G1186" s="4">
        <v>32865</v>
      </c>
      <c r="H1186" s="4">
        <v>198865</v>
      </c>
      <c r="I1186" s="188" t="str">
        <f>VLOOKUP(C1186,CATEGORIZACION!$A$1:$C$269,2,FALSE)</f>
        <v>TRANSPORTE</v>
      </c>
      <c r="J1186" s="188" t="s">
        <v>19</v>
      </c>
    </row>
    <row r="1187" spans="1:10" ht="15.75" customHeight="1" x14ac:dyDescent="0.25">
      <c r="A1187" s="1">
        <v>45118</v>
      </c>
      <c r="B1187" s="188" t="s">
        <v>1180</v>
      </c>
      <c r="C1187" s="188" t="s">
        <v>59</v>
      </c>
      <c r="D1187" s="188" t="s">
        <v>60</v>
      </c>
      <c r="E1187" s="4">
        <v>0</v>
      </c>
      <c r="F1187" s="3">
        <v>569950</v>
      </c>
      <c r="G1187" s="4">
        <v>119689.5</v>
      </c>
      <c r="H1187" s="4">
        <v>689639.5</v>
      </c>
      <c r="I1187" s="188" t="str">
        <f>VLOOKUP(C1187,CATEGORIZACION!$A$1:$C$269,2,FALSE)</f>
        <v>PROOVEDORES</v>
      </c>
      <c r="J1187" s="188" t="str">
        <f>VLOOKUP(C1187,CATEGORIZACION!$A$1:$C$269,3,FALSE)</f>
        <v>DEPOSITO</v>
      </c>
    </row>
    <row r="1188" spans="1:10" ht="15.75" customHeight="1" x14ac:dyDescent="0.25">
      <c r="A1188" s="1">
        <v>45118</v>
      </c>
      <c r="B1188" s="188" t="s">
        <v>1181</v>
      </c>
      <c r="C1188" s="188" t="s">
        <v>21</v>
      </c>
      <c r="D1188" s="188" t="s">
        <v>22</v>
      </c>
      <c r="E1188" s="4">
        <v>10920</v>
      </c>
      <c r="F1188" s="5">
        <v>147600</v>
      </c>
      <c r="G1188" s="4">
        <v>30996</v>
      </c>
      <c r="H1188" s="4">
        <v>189516</v>
      </c>
      <c r="I1188" s="188" t="str">
        <f>VLOOKUP(C1188,CATEGORIZACION!$A$1:$C$269,2,FALSE)</f>
        <v>TRANSPORTE</v>
      </c>
      <c r="J1188" s="188" t="s">
        <v>19</v>
      </c>
    </row>
    <row r="1189" spans="1:10" ht="15.75" customHeight="1" x14ac:dyDescent="0.25">
      <c r="A1189" s="1">
        <v>45118</v>
      </c>
      <c r="B1189" s="188" t="s">
        <v>1182</v>
      </c>
      <c r="C1189" s="188" t="s">
        <v>21</v>
      </c>
      <c r="D1189" s="188" t="s">
        <v>22</v>
      </c>
      <c r="E1189" s="4">
        <v>26160</v>
      </c>
      <c r="F1189" s="5">
        <v>345700</v>
      </c>
      <c r="G1189" s="4">
        <v>72597</v>
      </c>
      <c r="H1189" s="4">
        <v>444457</v>
      </c>
      <c r="I1189" s="188" t="str">
        <f>VLOOKUP(C1189,CATEGORIZACION!$A$1:$C$269,2,FALSE)</f>
        <v>TRANSPORTE</v>
      </c>
      <c r="J1189" s="188" t="s">
        <v>19</v>
      </c>
    </row>
    <row r="1190" spans="1:10" ht="15.75" customHeight="1" x14ac:dyDescent="0.25">
      <c r="A1190" s="1">
        <v>45118</v>
      </c>
      <c r="B1190" s="188" t="s">
        <v>1183</v>
      </c>
      <c r="C1190" s="188" t="s">
        <v>21</v>
      </c>
      <c r="D1190" s="188" t="s">
        <v>22</v>
      </c>
      <c r="E1190" s="4">
        <v>9080</v>
      </c>
      <c r="F1190" s="5">
        <v>163800</v>
      </c>
      <c r="G1190" s="4">
        <v>34398</v>
      </c>
      <c r="H1190" s="4">
        <v>207278</v>
      </c>
      <c r="I1190" s="188" t="str">
        <f>VLOOKUP(C1190,CATEGORIZACION!$A$1:$C$269,2,FALSE)</f>
        <v>TRANSPORTE</v>
      </c>
      <c r="J1190" s="188" t="s">
        <v>19</v>
      </c>
    </row>
    <row r="1191" spans="1:10" ht="15.75" customHeight="1" x14ac:dyDescent="0.25">
      <c r="A1191" s="1">
        <v>45119</v>
      </c>
      <c r="B1191" s="188" t="s">
        <v>1184</v>
      </c>
      <c r="C1191" s="188" t="s">
        <v>1185</v>
      </c>
      <c r="D1191" s="188" t="s">
        <v>1186</v>
      </c>
      <c r="E1191" s="4">
        <v>0</v>
      </c>
      <c r="F1191" s="5">
        <v>28677.69</v>
      </c>
      <c r="G1191" s="4">
        <v>6022.31</v>
      </c>
      <c r="H1191" s="4">
        <v>34700</v>
      </c>
      <c r="I1191" s="188" t="str">
        <f>VLOOKUP(C1191,CATEGORIZACION!$A$1:$C$269,2,FALSE)</f>
        <v>PROOVEDORES</v>
      </c>
      <c r="J1191" s="188" t="str">
        <f>VLOOKUP(C1191,CATEGORIZACION!$A$1:$C$269,3,FALSE)</f>
        <v>LOGISTICA</v>
      </c>
    </row>
    <row r="1192" spans="1:10" ht="15.75" customHeight="1" x14ac:dyDescent="0.25">
      <c r="A1192" s="1">
        <v>45119</v>
      </c>
      <c r="B1192" s="188" t="s">
        <v>1187</v>
      </c>
      <c r="C1192" s="188" t="s">
        <v>17</v>
      </c>
      <c r="D1192" s="188" t="s">
        <v>18</v>
      </c>
      <c r="E1192" s="4">
        <v>30960</v>
      </c>
      <c r="F1192" s="5">
        <v>312000</v>
      </c>
      <c r="G1192" s="4">
        <v>65520</v>
      </c>
      <c r="H1192" s="4">
        <v>408480</v>
      </c>
      <c r="I1192" s="188" t="str">
        <f>VLOOKUP(C1192,CATEGORIZACION!$A$1:$C$269,2,FALSE)</f>
        <v>TRANSPORTE</v>
      </c>
      <c r="J1192" s="188" t="s">
        <v>19</v>
      </c>
    </row>
    <row r="1193" spans="1:10" ht="15.75" customHeight="1" x14ac:dyDescent="0.25">
      <c r="A1193" s="1">
        <v>45119</v>
      </c>
      <c r="B1193" s="188" t="s">
        <v>1188</v>
      </c>
      <c r="C1193" s="188" t="s">
        <v>52</v>
      </c>
      <c r="D1193" s="188" t="s">
        <v>53</v>
      </c>
      <c r="E1193" s="4">
        <v>0</v>
      </c>
      <c r="F1193" s="3">
        <v>20512.54</v>
      </c>
      <c r="G1193" s="4">
        <v>4307.63</v>
      </c>
      <c r="H1193" s="4">
        <v>24820.17</v>
      </c>
      <c r="I1193" s="188" t="str">
        <f>VLOOKUP(C1193,CATEGORIZACION!$A$1:$C$269,2,FALSE)</f>
        <v>PROOVEDORES</v>
      </c>
      <c r="J1193" s="188" t="str">
        <f>VLOOKUP(C1193,CATEGORIZACION!$A$1:$C$269,3,FALSE)</f>
        <v>DEPOSITO</v>
      </c>
    </row>
    <row r="1194" spans="1:10" ht="15.75" customHeight="1" x14ac:dyDescent="0.25">
      <c r="A1194" s="1">
        <v>45120</v>
      </c>
      <c r="B1194" s="188" t="s">
        <v>1189</v>
      </c>
      <c r="C1194" s="188" t="s">
        <v>36</v>
      </c>
      <c r="D1194" s="188" t="s">
        <v>37</v>
      </c>
      <c r="E1194" s="4">
        <v>11500</v>
      </c>
      <c r="F1194" s="5">
        <v>134340</v>
      </c>
      <c r="G1194" s="4">
        <v>28211.4</v>
      </c>
      <c r="H1194" s="4">
        <v>174051.4</v>
      </c>
      <c r="I1194" s="188" t="str">
        <f>VLOOKUP(C1194,CATEGORIZACION!$A$1:$C$269,2,FALSE)</f>
        <v>TRANSPORTE</v>
      </c>
      <c r="J1194" s="188" t="s">
        <v>19</v>
      </c>
    </row>
    <row r="1195" spans="1:10" ht="15.75" customHeight="1" x14ac:dyDescent="0.25">
      <c r="A1195" s="1">
        <v>45120</v>
      </c>
      <c r="B1195" s="188" t="s">
        <v>1190</v>
      </c>
      <c r="C1195" s="188" t="s">
        <v>36</v>
      </c>
      <c r="D1195" s="188" t="s">
        <v>37</v>
      </c>
      <c r="E1195" s="4">
        <v>5000</v>
      </c>
      <c r="F1195" s="5">
        <v>120540</v>
      </c>
      <c r="G1195" s="4">
        <v>25313.4</v>
      </c>
      <c r="H1195" s="4">
        <v>150853.4</v>
      </c>
      <c r="I1195" s="188" t="str">
        <f>VLOOKUP(C1195,CATEGORIZACION!$A$1:$C$269,2,FALSE)</f>
        <v>TRANSPORTE</v>
      </c>
      <c r="J1195" s="188" t="s">
        <v>19</v>
      </c>
    </row>
    <row r="1196" spans="1:10" ht="15.75" customHeight="1" x14ac:dyDescent="0.25">
      <c r="A1196" s="1">
        <v>45120</v>
      </c>
      <c r="B1196" s="188" t="s">
        <v>1191</v>
      </c>
      <c r="C1196" s="188" t="s">
        <v>36</v>
      </c>
      <c r="D1196" s="188" t="s">
        <v>37</v>
      </c>
      <c r="E1196" s="4">
        <v>5000</v>
      </c>
      <c r="F1196" s="5">
        <v>120540</v>
      </c>
      <c r="G1196" s="4">
        <v>25313.4</v>
      </c>
      <c r="H1196" s="4">
        <v>150853.4</v>
      </c>
      <c r="I1196" s="188" t="str">
        <f>VLOOKUP(C1196,CATEGORIZACION!$A$1:$C$269,2,FALSE)</f>
        <v>TRANSPORTE</v>
      </c>
      <c r="J1196" s="188" t="s">
        <v>19</v>
      </c>
    </row>
    <row r="1197" spans="1:10" ht="15.75" customHeight="1" x14ac:dyDescent="0.25">
      <c r="A1197" s="1">
        <v>45121</v>
      </c>
      <c r="B1197" s="188" t="s">
        <v>1192</v>
      </c>
      <c r="C1197" s="188" t="s">
        <v>21</v>
      </c>
      <c r="D1197" s="188" t="s">
        <v>22</v>
      </c>
      <c r="E1197" s="4">
        <v>0</v>
      </c>
      <c r="F1197" s="5">
        <v>-311900</v>
      </c>
      <c r="G1197" s="4">
        <v>-65499</v>
      </c>
      <c r="H1197" s="4">
        <v>-377399</v>
      </c>
      <c r="I1197" s="188" t="str">
        <f>VLOOKUP(C1197,CATEGORIZACION!$A$1:$C$269,2,FALSE)</f>
        <v>TRANSPORTE</v>
      </c>
      <c r="J1197" s="188" t="s">
        <v>19</v>
      </c>
    </row>
    <row r="1198" spans="1:10" ht="15.75" customHeight="1" x14ac:dyDescent="0.25">
      <c r="A1198" s="1">
        <v>45121</v>
      </c>
      <c r="B1198" s="188" t="s">
        <v>1193</v>
      </c>
      <c r="C1198" s="188" t="s">
        <v>21</v>
      </c>
      <c r="D1198" s="188" t="s">
        <v>22</v>
      </c>
      <c r="E1198" s="4">
        <v>0</v>
      </c>
      <c r="F1198" s="5">
        <v>311900</v>
      </c>
      <c r="G1198" s="4">
        <v>65499</v>
      </c>
      <c r="H1198" s="4">
        <v>377399</v>
      </c>
      <c r="I1198" s="188" t="str">
        <f>VLOOKUP(C1198,CATEGORIZACION!$A$1:$C$269,2,FALSE)</f>
        <v>TRANSPORTE</v>
      </c>
      <c r="J1198" s="188" t="s">
        <v>19</v>
      </c>
    </row>
    <row r="1199" spans="1:10" ht="15.75" customHeight="1" x14ac:dyDescent="0.25">
      <c r="A1199" s="1">
        <v>45121</v>
      </c>
      <c r="B1199" s="188" t="s">
        <v>1194</v>
      </c>
      <c r="C1199" s="188" t="s">
        <v>21</v>
      </c>
      <c r="D1199" s="188" t="s">
        <v>22</v>
      </c>
      <c r="E1199" s="4">
        <v>4240</v>
      </c>
      <c r="F1199" s="5">
        <v>311900</v>
      </c>
      <c r="G1199" s="4">
        <v>65499</v>
      </c>
      <c r="H1199" s="4">
        <v>381639</v>
      </c>
      <c r="I1199" s="188" t="str">
        <f>VLOOKUP(C1199,CATEGORIZACION!$A$1:$C$269,2,FALSE)</f>
        <v>TRANSPORTE</v>
      </c>
      <c r="J1199" s="188" t="s">
        <v>19</v>
      </c>
    </row>
    <row r="1200" spans="1:10" ht="15.75" customHeight="1" x14ac:dyDescent="0.25">
      <c r="A1200" s="1">
        <v>45121</v>
      </c>
      <c r="B1200" s="188" t="s">
        <v>1195</v>
      </c>
      <c r="C1200" s="188" t="s">
        <v>21</v>
      </c>
      <c r="D1200" s="188" t="s">
        <v>22</v>
      </c>
      <c r="E1200" s="4">
        <v>15840</v>
      </c>
      <c r="F1200" s="5">
        <v>198600</v>
      </c>
      <c r="G1200" s="4">
        <v>41706</v>
      </c>
      <c r="H1200" s="4">
        <v>256146</v>
      </c>
      <c r="I1200" s="188" t="str">
        <f>VLOOKUP(C1200,CATEGORIZACION!$A$1:$C$269,2,FALSE)</f>
        <v>TRANSPORTE</v>
      </c>
      <c r="J1200" s="188" t="s">
        <v>19</v>
      </c>
    </row>
    <row r="1201" spans="1:10" ht="15.75" customHeight="1" x14ac:dyDescent="0.25">
      <c r="A1201" s="1">
        <v>45121</v>
      </c>
      <c r="B1201" s="188" t="s">
        <v>1196</v>
      </c>
      <c r="C1201" s="188" t="s">
        <v>21</v>
      </c>
      <c r="D1201" s="188" t="s">
        <v>22</v>
      </c>
      <c r="E1201" s="4">
        <v>14520</v>
      </c>
      <c r="F1201" s="5">
        <v>242800</v>
      </c>
      <c r="G1201" s="4">
        <v>50988</v>
      </c>
      <c r="H1201" s="4">
        <v>308308</v>
      </c>
      <c r="I1201" s="188" t="str">
        <f>VLOOKUP(C1201,CATEGORIZACION!$A$1:$C$269,2,FALSE)</f>
        <v>TRANSPORTE</v>
      </c>
      <c r="J1201" s="188" t="s">
        <v>19</v>
      </c>
    </row>
    <row r="1202" spans="1:10" ht="15.75" customHeight="1" x14ac:dyDescent="0.25">
      <c r="A1202" s="1">
        <v>45121</v>
      </c>
      <c r="B1202" s="188" t="s">
        <v>1197</v>
      </c>
      <c r="C1202" s="188" t="s">
        <v>21</v>
      </c>
      <c r="D1202" s="188" t="s">
        <v>22</v>
      </c>
      <c r="E1202" s="4">
        <v>19360</v>
      </c>
      <c r="F1202" s="5">
        <v>295200</v>
      </c>
      <c r="G1202" s="4">
        <v>61992</v>
      </c>
      <c r="H1202" s="4">
        <v>376552</v>
      </c>
      <c r="I1202" s="188" t="str">
        <f>VLOOKUP(C1202,CATEGORIZACION!$A$1:$C$269,2,FALSE)</f>
        <v>TRANSPORTE</v>
      </c>
      <c r="J1202" s="188" t="s">
        <v>19</v>
      </c>
    </row>
    <row r="1203" spans="1:10" ht="15.75" customHeight="1" x14ac:dyDescent="0.25">
      <c r="A1203" s="1">
        <v>45121</v>
      </c>
      <c r="B1203" s="188" t="s">
        <v>1198</v>
      </c>
      <c r="C1203" s="188" t="s">
        <v>36</v>
      </c>
      <c r="D1203" s="188" t="s">
        <v>37</v>
      </c>
      <c r="E1203" s="4">
        <v>9200</v>
      </c>
      <c r="F1203" s="5">
        <v>63000</v>
      </c>
      <c r="G1203" s="4">
        <v>13230</v>
      </c>
      <c r="H1203" s="4">
        <v>85430</v>
      </c>
      <c r="I1203" s="188" t="str">
        <f>VLOOKUP(C1203,CATEGORIZACION!$A$1:$C$269,2,FALSE)</f>
        <v>TRANSPORTE</v>
      </c>
      <c r="J1203" s="188" t="s">
        <v>19</v>
      </c>
    </row>
    <row r="1204" spans="1:10" ht="15.75" customHeight="1" x14ac:dyDescent="0.25">
      <c r="A1204" s="1">
        <v>45121</v>
      </c>
      <c r="B1204" s="188" t="s">
        <v>1199</v>
      </c>
      <c r="C1204" s="188" t="s">
        <v>36</v>
      </c>
      <c r="D1204" s="188" t="s">
        <v>37</v>
      </c>
      <c r="E1204" s="4">
        <v>9200</v>
      </c>
      <c r="F1204" s="5">
        <v>63000</v>
      </c>
      <c r="G1204" s="4">
        <v>13230</v>
      </c>
      <c r="H1204" s="4">
        <v>85430</v>
      </c>
      <c r="I1204" s="188" t="str">
        <f>VLOOKUP(C1204,CATEGORIZACION!$A$1:$C$269,2,FALSE)</f>
        <v>TRANSPORTE</v>
      </c>
      <c r="J1204" s="188" t="s">
        <v>19</v>
      </c>
    </row>
    <row r="1205" spans="1:10" ht="15.75" customHeight="1" x14ac:dyDescent="0.25">
      <c r="A1205" s="1">
        <v>45121</v>
      </c>
      <c r="B1205" s="188" t="s">
        <v>1200</v>
      </c>
      <c r="C1205" s="188" t="s">
        <v>36</v>
      </c>
      <c r="D1205" s="188" t="s">
        <v>37</v>
      </c>
      <c r="E1205" s="4">
        <v>5000</v>
      </c>
      <c r="F1205" s="5">
        <v>100450</v>
      </c>
      <c r="G1205" s="4">
        <v>21094.5</v>
      </c>
      <c r="H1205" s="4">
        <v>126544.5</v>
      </c>
      <c r="I1205" s="188" t="str">
        <f>VLOOKUP(C1205,CATEGORIZACION!$A$1:$C$269,2,FALSE)</f>
        <v>TRANSPORTE</v>
      </c>
      <c r="J1205" s="188" t="s">
        <v>19</v>
      </c>
    </row>
    <row r="1206" spans="1:10" ht="15.75" customHeight="1" x14ac:dyDescent="0.25">
      <c r="A1206" s="1">
        <v>45121</v>
      </c>
      <c r="B1206" s="188" t="s">
        <v>1201</v>
      </c>
      <c r="C1206" s="188" t="s">
        <v>36</v>
      </c>
      <c r="D1206" s="188" t="s">
        <v>37</v>
      </c>
      <c r="E1206" s="4">
        <v>5000</v>
      </c>
      <c r="F1206" s="5">
        <v>100450</v>
      </c>
      <c r="G1206" s="4">
        <v>21094.5</v>
      </c>
      <c r="H1206" s="4">
        <v>126544.5</v>
      </c>
      <c r="I1206" s="188" t="str">
        <f>VLOOKUP(C1206,CATEGORIZACION!$A$1:$C$269,2,FALSE)</f>
        <v>TRANSPORTE</v>
      </c>
      <c r="J1206" s="188" t="s">
        <v>19</v>
      </c>
    </row>
    <row r="1207" spans="1:10" ht="15.75" customHeight="1" x14ac:dyDescent="0.25">
      <c r="A1207" s="1">
        <v>45122</v>
      </c>
      <c r="B1207" s="188" t="s">
        <v>1202</v>
      </c>
      <c r="C1207" s="188" t="s">
        <v>84</v>
      </c>
      <c r="D1207" s="188" t="s">
        <v>85</v>
      </c>
      <c r="E1207" s="4">
        <v>54888.639999999999</v>
      </c>
      <c r="F1207" s="5">
        <v>694694.06</v>
      </c>
      <c r="G1207" s="4">
        <v>145885.75</v>
      </c>
      <c r="H1207" s="4">
        <v>895468.45</v>
      </c>
      <c r="I1207" s="188" t="str">
        <f>VLOOKUP(C1207,CATEGORIZACION!$A$1:$C$269,2,FALSE)</f>
        <v>PROOVEDORES</v>
      </c>
      <c r="J1207" s="188" t="str">
        <f>VLOOKUP(C1207,CATEGORIZACION!$A$1:$C$269,3,FALSE)</f>
        <v>LOGISTICA</v>
      </c>
    </row>
    <row r="1208" spans="1:10" ht="15.75" customHeight="1" x14ac:dyDescent="0.25">
      <c r="A1208" s="1">
        <v>45124</v>
      </c>
      <c r="B1208" s="188" t="s">
        <v>1203</v>
      </c>
      <c r="C1208" s="188" t="s">
        <v>36</v>
      </c>
      <c r="D1208" s="188" t="s">
        <v>37</v>
      </c>
      <c r="E1208" s="4">
        <v>9200</v>
      </c>
      <c r="F1208" s="5">
        <v>81900</v>
      </c>
      <c r="G1208" s="4">
        <v>17199</v>
      </c>
      <c r="H1208" s="4">
        <v>108299</v>
      </c>
      <c r="I1208" s="188" t="str">
        <f>VLOOKUP(C1208,CATEGORIZACION!$A$1:$C$269,2,FALSE)</f>
        <v>TRANSPORTE</v>
      </c>
      <c r="J1208" s="188" t="s">
        <v>19</v>
      </c>
    </row>
    <row r="1209" spans="1:10" ht="15.75" customHeight="1" x14ac:dyDescent="0.25">
      <c r="A1209" s="1">
        <v>45124</v>
      </c>
      <c r="B1209" s="188" t="s">
        <v>1204</v>
      </c>
      <c r="C1209" s="188" t="s">
        <v>36</v>
      </c>
      <c r="D1209" s="188" t="s">
        <v>37</v>
      </c>
      <c r="E1209" s="4">
        <v>5000</v>
      </c>
      <c r="F1209" s="5">
        <v>100450</v>
      </c>
      <c r="G1209" s="4">
        <v>21094.5</v>
      </c>
      <c r="H1209" s="4">
        <v>126544.5</v>
      </c>
      <c r="I1209" s="188" t="str">
        <f>VLOOKUP(C1209,CATEGORIZACION!$A$1:$C$269,2,FALSE)</f>
        <v>TRANSPORTE</v>
      </c>
      <c r="J1209" s="188" t="s">
        <v>19</v>
      </c>
    </row>
    <row r="1210" spans="1:10" ht="15.75" customHeight="1" x14ac:dyDescent="0.25">
      <c r="A1210" s="1">
        <v>45124</v>
      </c>
      <c r="B1210" s="188" t="s">
        <v>1205</v>
      </c>
      <c r="C1210" s="188" t="s">
        <v>36</v>
      </c>
      <c r="D1210" s="188" t="s">
        <v>37</v>
      </c>
      <c r="E1210" s="4">
        <v>5000</v>
      </c>
      <c r="F1210" s="5">
        <v>100450</v>
      </c>
      <c r="G1210" s="4">
        <v>21094.5</v>
      </c>
      <c r="H1210" s="4">
        <v>126544.5</v>
      </c>
      <c r="I1210" s="188" t="str">
        <f>VLOOKUP(C1210,CATEGORIZACION!$A$1:$C$269,2,FALSE)</f>
        <v>TRANSPORTE</v>
      </c>
      <c r="J1210" s="188" t="s">
        <v>19</v>
      </c>
    </row>
    <row r="1211" spans="1:10" ht="15.75" customHeight="1" x14ac:dyDescent="0.25">
      <c r="A1211" s="1">
        <v>45124</v>
      </c>
      <c r="B1211" s="188" t="s">
        <v>1206</v>
      </c>
      <c r="C1211" s="188" t="s">
        <v>36</v>
      </c>
      <c r="D1211" s="188" t="s">
        <v>37</v>
      </c>
      <c r="E1211" s="4">
        <v>9200</v>
      </c>
      <c r="F1211" s="5">
        <v>63000</v>
      </c>
      <c r="G1211" s="4">
        <v>13230</v>
      </c>
      <c r="H1211" s="4">
        <v>85430</v>
      </c>
      <c r="I1211" s="188" t="str">
        <f>VLOOKUP(C1211,CATEGORIZACION!$A$1:$C$269,2,FALSE)</f>
        <v>TRANSPORTE</v>
      </c>
      <c r="J1211" s="188" t="s">
        <v>19</v>
      </c>
    </row>
    <row r="1212" spans="1:10" ht="15.75" customHeight="1" x14ac:dyDescent="0.25">
      <c r="A1212" s="1">
        <v>45124</v>
      </c>
      <c r="B1212" s="188" t="s">
        <v>1207</v>
      </c>
      <c r="C1212" s="188" t="s">
        <v>36</v>
      </c>
      <c r="D1212" s="188" t="s">
        <v>37</v>
      </c>
      <c r="E1212" s="4">
        <v>8800</v>
      </c>
      <c r="F1212" s="5">
        <v>93900</v>
      </c>
      <c r="G1212" s="4">
        <v>19719</v>
      </c>
      <c r="H1212" s="4">
        <v>122419</v>
      </c>
      <c r="I1212" s="188" t="str">
        <f>VLOOKUP(C1212,CATEGORIZACION!$A$1:$C$269,2,FALSE)</f>
        <v>TRANSPORTE</v>
      </c>
      <c r="J1212" s="188" t="s">
        <v>19</v>
      </c>
    </row>
    <row r="1213" spans="1:10" ht="15.75" customHeight="1" x14ac:dyDescent="0.25">
      <c r="A1213" s="1">
        <v>45124</v>
      </c>
      <c r="B1213" s="188" t="s">
        <v>1208</v>
      </c>
      <c r="C1213" s="188" t="s">
        <v>36</v>
      </c>
      <c r="D1213" s="188" t="s">
        <v>37</v>
      </c>
      <c r="E1213" s="4">
        <v>10700</v>
      </c>
      <c r="F1213" s="5">
        <v>101950</v>
      </c>
      <c r="G1213" s="4">
        <v>21409.5</v>
      </c>
      <c r="H1213" s="4">
        <v>134059.5</v>
      </c>
      <c r="I1213" s="188" t="str">
        <f>VLOOKUP(C1213,CATEGORIZACION!$A$1:$C$269,2,FALSE)</f>
        <v>TRANSPORTE</v>
      </c>
      <c r="J1213" s="188" t="s">
        <v>19</v>
      </c>
    </row>
    <row r="1214" spans="1:10" ht="15.75" customHeight="1" x14ac:dyDescent="0.25">
      <c r="A1214" s="1">
        <v>45124</v>
      </c>
      <c r="B1214" s="188" t="s">
        <v>1209</v>
      </c>
      <c r="C1214" s="188" t="s">
        <v>36</v>
      </c>
      <c r="D1214" s="188" t="s">
        <v>37</v>
      </c>
      <c r="E1214" s="4">
        <v>12000</v>
      </c>
      <c r="F1214" s="5">
        <v>187800</v>
      </c>
      <c r="G1214" s="4">
        <v>39438</v>
      </c>
      <c r="H1214" s="4">
        <v>239238</v>
      </c>
      <c r="I1214" s="188" t="str">
        <f>VLOOKUP(C1214,CATEGORIZACION!$A$1:$C$269,2,FALSE)</f>
        <v>TRANSPORTE</v>
      </c>
      <c r="J1214" s="188" t="s">
        <v>19</v>
      </c>
    </row>
    <row r="1215" spans="1:10" ht="15.75" customHeight="1" x14ac:dyDescent="0.25">
      <c r="A1215" s="1">
        <v>45124</v>
      </c>
      <c r="B1215" s="188" t="s">
        <v>1210</v>
      </c>
      <c r="C1215" s="188" t="s">
        <v>36</v>
      </c>
      <c r="D1215" s="188" t="s">
        <v>37</v>
      </c>
      <c r="E1215" s="4">
        <v>11500</v>
      </c>
      <c r="F1215" s="5">
        <v>93900</v>
      </c>
      <c r="G1215" s="4">
        <v>19719</v>
      </c>
      <c r="H1215" s="4">
        <v>125119</v>
      </c>
      <c r="I1215" s="188" t="str">
        <f>VLOOKUP(C1215,CATEGORIZACION!$A$1:$C$269,2,FALSE)</f>
        <v>TRANSPORTE</v>
      </c>
      <c r="J1215" s="188" t="s">
        <v>19</v>
      </c>
    </row>
    <row r="1216" spans="1:10" ht="15.75" customHeight="1" x14ac:dyDescent="0.25">
      <c r="A1216" s="1">
        <v>45124</v>
      </c>
      <c r="B1216" s="188" t="s">
        <v>1211</v>
      </c>
      <c r="C1216" s="188" t="s">
        <v>36</v>
      </c>
      <c r="D1216" s="188" t="s">
        <v>37</v>
      </c>
      <c r="E1216" s="4">
        <v>16400</v>
      </c>
      <c r="F1216" s="5">
        <v>156500</v>
      </c>
      <c r="G1216" s="4">
        <v>32865</v>
      </c>
      <c r="H1216" s="4">
        <v>205765</v>
      </c>
      <c r="I1216" s="188" t="str">
        <f>VLOOKUP(C1216,CATEGORIZACION!$A$1:$C$269,2,FALSE)</f>
        <v>TRANSPORTE</v>
      </c>
      <c r="J1216" s="188" t="s">
        <v>19</v>
      </c>
    </row>
    <row r="1217" spans="1:10" ht="15.75" customHeight="1" x14ac:dyDescent="0.25">
      <c r="A1217" s="1">
        <v>45124</v>
      </c>
      <c r="B1217" s="188" t="s">
        <v>1212</v>
      </c>
      <c r="C1217" s="188" t="s">
        <v>36</v>
      </c>
      <c r="D1217" s="188" t="s">
        <v>37</v>
      </c>
      <c r="E1217" s="4">
        <v>5000</v>
      </c>
      <c r="F1217" s="5">
        <v>100450</v>
      </c>
      <c r="G1217" s="4">
        <v>21094.5</v>
      </c>
      <c r="H1217" s="4">
        <v>126544.5</v>
      </c>
      <c r="I1217" s="188" t="str">
        <f>VLOOKUP(C1217,CATEGORIZACION!$A$1:$C$269,2,FALSE)</f>
        <v>TRANSPORTE</v>
      </c>
      <c r="J1217" s="188" t="s">
        <v>19</v>
      </c>
    </row>
    <row r="1218" spans="1:10" ht="15.75" customHeight="1" x14ac:dyDescent="0.25">
      <c r="A1218" s="1">
        <v>45125</v>
      </c>
      <c r="B1218" s="188" t="s">
        <v>1213</v>
      </c>
      <c r="C1218" s="188" t="s">
        <v>714</v>
      </c>
      <c r="D1218" s="188" t="s">
        <v>715</v>
      </c>
      <c r="E1218" s="4">
        <v>0</v>
      </c>
      <c r="F1218" s="3">
        <v>198084.6</v>
      </c>
      <c r="G1218" s="4">
        <v>41597.769999999997</v>
      </c>
      <c r="H1218" s="4">
        <v>239682.37</v>
      </c>
      <c r="I1218" s="188" t="str">
        <f>VLOOKUP(C1218,CATEGORIZACION!$A$1:$C$269,2,FALSE)</f>
        <v>PROOVEDORES</v>
      </c>
      <c r="J1218" s="188" t="str">
        <f>VLOOKUP(C1218,CATEGORIZACION!$A$1:$C$269,3,FALSE)</f>
        <v>DEPOSITO</v>
      </c>
    </row>
    <row r="1219" spans="1:10" ht="15.75" customHeight="1" x14ac:dyDescent="0.25">
      <c r="A1219" s="1">
        <v>45125</v>
      </c>
      <c r="B1219" s="188" t="s">
        <v>1214</v>
      </c>
      <c r="C1219" s="188" t="s">
        <v>21</v>
      </c>
      <c r="D1219" s="188" t="s">
        <v>22</v>
      </c>
      <c r="E1219" s="4">
        <v>29040</v>
      </c>
      <c r="F1219" s="5">
        <v>442800</v>
      </c>
      <c r="G1219" s="4">
        <v>92988</v>
      </c>
      <c r="H1219" s="4">
        <v>564828</v>
      </c>
      <c r="I1219" s="188" t="str">
        <f>VLOOKUP(C1219,CATEGORIZACION!$A$1:$C$269,2,FALSE)</f>
        <v>TRANSPORTE</v>
      </c>
      <c r="J1219" s="188" t="s">
        <v>19</v>
      </c>
    </row>
    <row r="1220" spans="1:10" ht="15.75" customHeight="1" x14ac:dyDescent="0.25">
      <c r="A1220" s="1">
        <v>45125</v>
      </c>
      <c r="B1220" s="188" t="s">
        <v>1215</v>
      </c>
      <c r="C1220" s="188" t="s">
        <v>21</v>
      </c>
      <c r="D1220" s="188" t="s">
        <v>22</v>
      </c>
      <c r="E1220" s="4">
        <v>0</v>
      </c>
      <c r="F1220" s="5">
        <v>360000</v>
      </c>
      <c r="G1220" s="4">
        <v>75600</v>
      </c>
      <c r="H1220" s="4">
        <v>435600</v>
      </c>
      <c r="I1220" s="188" t="str">
        <f>VLOOKUP(C1220,CATEGORIZACION!$A$1:$C$269,2,FALSE)</f>
        <v>TRANSPORTE</v>
      </c>
      <c r="J1220" s="188" t="s">
        <v>19</v>
      </c>
    </row>
    <row r="1221" spans="1:10" ht="15.75" customHeight="1" x14ac:dyDescent="0.25">
      <c r="A1221" s="1">
        <v>45125</v>
      </c>
      <c r="B1221" s="188" t="s">
        <v>1216</v>
      </c>
      <c r="C1221" s="188" t="s">
        <v>21</v>
      </c>
      <c r="D1221" s="188" t="s">
        <v>22</v>
      </c>
      <c r="E1221" s="4">
        <v>18240</v>
      </c>
      <c r="F1221" s="5">
        <v>221400</v>
      </c>
      <c r="G1221" s="4">
        <v>46494</v>
      </c>
      <c r="H1221" s="4">
        <v>286134</v>
      </c>
      <c r="I1221" s="188" t="str">
        <f>VLOOKUP(C1221,CATEGORIZACION!$A$1:$C$269,2,FALSE)</f>
        <v>TRANSPORTE</v>
      </c>
      <c r="J1221" s="188" t="s">
        <v>19</v>
      </c>
    </row>
    <row r="1222" spans="1:10" ht="15.75" customHeight="1" x14ac:dyDescent="0.25">
      <c r="A1222" s="1">
        <v>45125</v>
      </c>
      <c r="B1222" s="188" t="s">
        <v>1217</v>
      </c>
      <c r="C1222" s="188" t="s">
        <v>918</v>
      </c>
      <c r="D1222" s="188" t="s">
        <v>919</v>
      </c>
      <c r="E1222" s="4">
        <v>236.53</v>
      </c>
      <c r="F1222" s="5">
        <v>13141</v>
      </c>
      <c r="G1222" s="4">
        <v>2759.61</v>
      </c>
      <c r="H1222" s="4">
        <v>16137.14</v>
      </c>
      <c r="I1222" s="188" t="str">
        <f>VLOOKUP(C1222,CATEGORIZACION!$A$1:$C$269,2,FALSE)</f>
        <v>PROOVEDORES</v>
      </c>
      <c r="J1222" s="188" t="str">
        <f>VLOOKUP(C1222,CATEGORIZACION!$A$1:$C$269,3,FALSE)</f>
        <v>LOGISTICA</v>
      </c>
    </row>
    <row r="1223" spans="1:10" ht="15.75" customHeight="1" x14ac:dyDescent="0.25">
      <c r="A1223" s="1">
        <v>45125</v>
      </c>
      <c r="B1223" s="188" t="s">
        <v>1218</v>
      </c>
      <c r="C1223" s="188" t="s">
        <v>918</v>
      </c>
      <c r="D1223" s="188" t="s">
        <v>919</v>
      </c>
      <c r="E1223" s="4">
        <v>17.36</v>
      </c>
      <c r="F1223" s="5">
        <v>1736</v>
      </c>
      <c r="G1223" s="4">
        <v>364.56</v>
      </c>
      <c r="H1223" s="4">
        <v>2117.92</v>
      </c>
      <c r="I1223" s="188" t="str">
        <f>VLOOKUP(C1223,CATEGORIZACION!$A$1:$C$269,2,FALSE)</f>
        <v>PROOVEDORES</v>
      </c>
      <c r="J1223" s="188" t="str">
        <f>VLOOKUP(C1223,CATEGORIZACION!$A$1:$C$269,3,FALSE)</f>
        <v>LOGISTICA</v>
      </c>
    </row>
    <row r="1224" spans="1:10" ht="15.75" customHeight="1" x14ac:dyDescent="0.25">
      <c r="A1224" s="1">
        <v>45125</v>
      </c>
      <c r="B1224" s="188" t="s">
        <v>1219</v>
      </c>
      <c r="C1224" s="188" t="s">
        <v>804</v>
      </c>
      <c r="D1224" s="188" t="s">
        <v>805</v>
      </c>
      <c r="E1224" s="4">
        <v>133.88</v>
      </c>
      <c r="F1224" s="5">
        <v>3347</v>
      </c>
      <c r="G1224" s="4">
        <v>702.87</v>
      </c>
      <c r="H1224" s="4">
        <v>4183.75</v>
      </c>
      <c r="I1224" s="188" t="str">
        <f>VLOOKUP(C1224,CATEGORIZACION!$A$1:$C$269,2,FALSE)</f>
        <v>PROOVEDORES</v>
      </c>
      <c r="J1224" s="188" t="str">
        <f>VLOOKUP(C1224,CATEGORIZACION!$A$1:$C$269,3,FALSE)</f>
        <v>LOGISTICA</v>
      </c>
    </row>
    <row r="1225" spans="1:10" ht="15.75" customHeight="1" x14ac:dyDescent="0.25">
      <c r="A1225" s="1">
        <v>45125</v>
      </c>
      <c r="B1225" s="188" t="s">
        <v>1220</v>
      </c>
      <c r="C1225" s="188" t="s">
        <v>804</v>
      </c>
      <c r="D1225" s="188" t="s">
        <v>805</v>
      </c>
      <c r="E1225" s="4">
        <v>1763.31</v>
      </c>
      <c r="F1225" s="5">
        <v>36735.54</v>
      </c>
      <c r="G1225" s="4">
        <v>7714.46</v>
      </c>
      <c r="H1225" s="4">
        <v>46213.31</v>
      </c>
      <c r="I1225" s="188" t="str">
        <f>VLOOKUP(C1225,CATEGORIZACION!$A$1:$C$269,2,FALSE)</f>
        <v>PROOVEDORES</v>
      </c>
      <c r="J1225" s="188" t="str">
        <f>VLOOKUP(C1225,CATEGORIZACION!$A$1:$C$269,3,FALSE)</f>
        <v>LOGISTICA</v>
      </c>
    </row>
    <row r="1226" spans="1:10" ht="15.75" customHeight="1" x14ac:dyDescent="0.25">
      <c r="A1226" s="1">
        <v>45126</v>
      </c>
      <c r="B1226" s="188" t="s">
        <v>1221</v>
      </c>
      <c r="C1226" s="188" t="s">
        <v>87</v>
      </c>
      <c r="D1226" s="188" t="s">
        <v>88</v>
      </c>
      <c r="E1226" s="4">
        <v>0</v>
      </c>
      <c r="F1226" s="5">
        <v>7140</v>
      </c>
      <c r="G1226" s="4">
        <v>1499.4</v>
      </c>
      <c r="H1226" s="4">
        <v>8639.4</v>
      </c>
      <c r="I1226" s="188" t="str">
        <f>VLOOKUP(C1226,CATEGORIZACION!$A$1:$C$269,2,FALSE)</f>
        <v>PROOVEDORES</v>
      </c>
      <c r="J1226" s="188" t="str">
        <f>VLOOKUP(C1226,CATEGORIZACION!$A$1:$C$269,3,FALSE)</f>
        <v>LOGISTICA</v>
      </c>
    </row>
    <row r="1227" spans="1:10" ht="15.75" customHeight="1" x14ac:dyDescent="0.25">
      <c r="A1227" s="1">
        <v>45126</v>
      </c>
      <c r="B1227" s="188" t="s">
        <v>1222</v>
      </c>
      <c r="C1227" s="188" t="s">
        <v>253</v>
      </c>
      <c r="D1227" s="188" t="s">
        <v>57</v>
      </c>
      <c r="E1227" s="4">
        <v>0</v>
      </c>
      <c r="F1227" s="5">
        <v>45371.9</v>
      </c>
      <c r="G1227" s="4">
        <v>9528.1</v>
      </c>
      <c r="H1227" s="4">
        <v>54900</v>
      </c>
      <c r="I1227" s="188" t="str">
        <f>VLOOKUP(C1227,CATEGORIZACION!$A$1:$C$269,2,FALSE)</f>
        <v>PROOVEDORES</v>
      </c>
      <c r="J1227" s="188" t="str">
        <f>VLOOKUP(C1227,CATEGORIZACION!$A$1:$C$269,3,FALSE)</f>
        <v>LOGISTICA</v>
      </c>
    </row>
    <row r="1228" spans="1:10" ht="15.75" customHeight="1" x14ac:dyDescent="0.25">
      <c r="A1228" s="1">
        <v>45126</v>
      </c>
      <c r="B1228" s="188" t="s">
        <v>1223</v>
      </c>
      <c r="C1228" s="188" t="s">
        <v>801</v>
      </c>
      <c r="D1228" s="188" t="s">
        <v>802</v>
      </c>
      <c r="E1228" s="4">
        <v>2352.48</v>
      </c>
      <c r="F1228" s="5">
        <v>16803</v>
      </c>
      <c r="G1228" s="4">
        <v>3528.63</v>
      </c>
      <c r="H1228" s="4">
        <v>22684.11</v>
      </c>
      <c r="I1228" s="188" t="str">
        <f>VLOOKUP(C1228,CATEGORIZACION!$A$1:$C$269,2,FALSE)</f>
        <v>PROOVEDORES</v>
      </c>
      <c r="J1228" s="188" t="str">
        <f>VLOOKUP(C1228,CATEGORIZACION!$A$1:$C$269,3,FALSE)</f>
        <v>LOGISTICA</v>
      </c>
    </row>
    <row r="1229" spans="1:10" ht="15.75" customHeight="1" x14ac:dyDescent="0.25">
      <c r="A1229" s="1">
        <v>45126</v>
      </c>
      <c r="B1229" s="188" t="s">
        <v>1224</v>
      </c>
      <c r="C1229" s="188" t="s">
        <v>801</v>
      </c>
      <c r="D1229" s="188" t="s">
        <v>802</v>
      </c>
      <c r="E1229" s="4">
        <v>22343.69</v>
      </c>
      <c r="F1229" s="5">
        <v>159598</v>
      </c>
      <c r="G1229" s="4">
        <v>33515.58</v>
      </c>
      <c r="H1229" s="4">
        <v>215457.27</v>
      </c>
      <c r="I1229" s="188" t="str">
        <f>VLOOKUP(C1229,CATEGORIZACION!$A$1:$C$269,2,FALSE)</f>
        <v>PROOVEDORES</v>
      </c>
      <c r="J1229" s="188" t="str">
        <f>VLOOKUP(C1229,CATEGORIZACION!$A$1:$C$269,3,FALSE)</f>
        <v>LOGISTICA</v>
      </c>
    </row>
    <row r="1230" spans="1:10" ht="15.75" customHeight="1" x14ac:dyDescent="0.25">
      <c r="A1230" s="1">
        <v>45126</v>
      </c>
      <c r="B1230" s="188" t="s">
        <v>1225</v>
      </c>
      <c r="C1230" s="188" t="s">
        <v>1050</v>
      </c>
      <c r="D1230" s="188" t="s">
        <v>1051</v>
      </c>
      <c r="E1230" s="4">
        <v>4298.1499999999996</v>
      </c>
      <c r="F1230" s="5">
        <v>113109.09</v>
      </c>
      <c r="G1230" s="4">
        <v>23752.91</v>
      </c>
      <c r="H1230" s="4">
        <v>141160.15</v>
      </c>
      <c r="I1230" s="188" t="str">
        <f>VLOOKUP(C1230,CATEGORIZACION!$A$1:$C$269,2,FALSE)</f>
        <v>PROOVEDORES</v>
      </c>
      <c r="J1230" s="188" t="str">
        <f>VLOOKUP(C1230,CATEGORIZACION!$A$1:$C$269,3,FALSE)</f>
        <v>LOGISTICA</v>
      </c>
    </row>
    <row r="1231" spans="1:10" ht="15.75" customHeight="1" x14ac:dyDescent="0.25">
      <c r="A1231" s="1">
        <v>45128</v>
      </c>
      <c r="B1231" s="188" t="s">
        <v>1226</v>
      </c>
      <c r="C1231" s="188" t="s">
        <v>1227</v>
      </c>
      <c r="D1231" s="188" t="s">
        <v>1228</v>
      </c>
      <c r="E1231" s="4">
        <v>0</v>
      </c>
      <c r="F1231" s="5">
        <v>206486.11</v>
      </c>
      <c r="G1231" s="4">
        <v>43362.080000000002</v>
      </c>
      <c r="H1231" s="4">
        <v>249848.19</v>
      </c>
      <c r="I1231" s="188" t="str">
        <f>VLOOKUP(C1231,CATEGORIZACION!$A$1:$C$269,2,FALSE)</f>
        <v>PROOVEDORES</v>
      </c>
      <c r="J1231" s="188" t="str">
        <f>VLOOKUP(C1231,CATEGORIZACION!$A$1:$C$269,3,FALSE)</f>
        <v>LOGISTICA</v>
      </c>
    </row>
    <row r="1232" spans="1:10" ht="15.75" customHeight="1" x14ac:dyDescent="0.25">
      <c r="A1232" s="1">
        <v>45128</v>
      </c>
      <c r="B1232" s="188" t="s">
        <v>1229</v>
      </c>
      <c r="C1232" s="188" t="s">
        <v>17</v>
      </c>
      <c r="D1232" s="188" t="s">
        <v>18</v>
      </c>
      <c r="E1232" s="4">
        <v>33260</v>
      </c>
      <c r="F1232" s="5">
        <v>456000</v>
      </c>
      <c r="G1232" s="4">
        <v>95760</v>
      </c>
      <c r="H1232" s="4">
        <v>585020</v>
      </c>
      <c r="I1232" s="188" t="str">
        <f>VLOOKUP(C1232,CATEGORIZACION!$A$1:$C$269,2,FALSE)</f>
        <v>TRANSPORTE</v>
      </c>
      <c r="J1232" s="188" t="s">
        <v>19</v>
      </c>
    </row>
    <row r="1233" spans="1:10" ht="15.75" customHeight="1" x14ac:dyDescent="0.25">
      <c r="A1233" s="1">
        <v>45128</v>
      </c>
      <c r="B1233" s="188" t="s">
        <v>1230</v>
      </c>
      <c r="C1233" s="188" t="s">
        <v>1231</v>
      </c>
      <c r="D1233" s="188" t="s">
        <v>1232</v>
      </c>
      <c r="E1233" s="4">
        <v>-4.6566128730773927E-12</v>
      </c>
      <c r="F1233" s="5">
        <v>31246.45</v>
      </c>
      <c r="G1233" s="4">
        <v>6561.75</v>
      </c>
      <c r="H1233" s="4">
        <v>37808.199999999997</v>
      </c>
      <c r="I1233" s="188" t="str">
        <f>VLOOKUP(C1233,CATEGORIZACION!$A$1:$C$269,2,FALSE)</f>
        <v>PROOVEDORES</v>
      </c>
      <c r="J1233" s="188" t="str">
        <f>VLOOKUP(C1233,CATEGORIZACION!$A$1:$C$269,3,FALSE)</f>
        <v>LOGISTICA</v>
      </c>
    </row>
    <row r="1234" spans="1:10" ht="15.75" customHeight="1" x14ac:dyDescent="0.25">
      <c r="A1234" s="1">
        <v>45128</v>
      </c>
      <c r="B1234" s="188" t="s">
        <v>1233</v>
      </c>
      <c r="C1234" s="188" t="s">
        <v>36</v>
      </c>
      <c r="D1234" s="188" t="s">
        <v>37</v>
      </c>
      <c r="E1234" s="4">
        <v>9200</v>
      </c>
      <c r="F1234" s="5">
        <v>63000</v>
      </c>
      <c r="G1234" s="4">
        <v>13230</v>
      </c>
      <c r="H1234" s="4">
        <v>85430</v>
      </c>
      <c r="I1234" s="188" t="str">
        <f>VLOOKUP(C1234,CATEGORIZACION!$A$1:$C$269,2,FALSE)</f>
        <v>TRANSPORTE</v>
      </c>
      <c r="J1234" s="188" t="s">
        <v>19</v>
      </c>
    </row>
    <row r="1235" spans="1:10" ht="15.75" customHeight="1" x14ac:dyDescent="0.25">
      <c r="A1235" s="1">
        <v>45128</v>
      </c>
      <c r="B1235" s="188" t="s">
        <v>1234</v>
      </c>
      <c r="C1235" s="188" t="s">
        <v>36</v>
      </c>
      <c r="D1235" s="188" t="s">
        <v>37</v>
      </c>
      <c r="E1235" s="4">
        <v>9200</v>
      </c>
      <c r="F1235" s="5">
        <v>63000</v>
      </c>
      <c r="G1235" s="4">
        <v>13230</v>
      </c>
      <c r="H1235" s="4">
        <v>85430</v>
      </c>
      <c r="I1235" s="188" t="str">
        <f>VLOOKUP(C1235,CATEGORIZACION!$A$1:$C$269,2,FALSE)</f>
        <v>TRANSPORTE</v>
      </c>
      <c r="J1235" s="188" t="s">
        <v>19</v>
      </c>
    </row>
    <row r="1236" spans="1:10" ht="15.75" customHeight="1" x14ac:dyDescent="0.25">
      <c r="A1236" s="1">
        <v>45128</v>
      </c>
      <c r="B1236" s="188" t="s">
        <v>1235</v>
      </c>
      <c r="C1236" s="188" t="s">
        <v>36</v>
      </c>
      <c r="D1236" s="188" t="s">
        <v>37</v>
      </c>
      <c r="E1236" s="4">
        <v>0</v>
      </c>
      <c r="F1236" s="5">
        <v>52100</v>
      </c>
      <c r="G1236" s="4">
        <v>10941</v>
      </c>
      <c r="H1236" s="4">
        <v>63041</v>
      </c>
      <c r="I1236" s="188" t="str">
        <f>VLOOKUP(C1236,CATEGORIZACION!$A$1:$C$269,2,FALSE)</f>
        <v>TRANSPORTE</v>
      </c>
      <c r="J1236" s="188" t="s">
        <v>19</v>
      </c>
    </row>
    <row r="1237" spans="1:10" ht="15.75" customHeight="1" x14ac:dyDescent="0.25">
      <c r="A1237" s="1">
        <v>45128</v>
      </c>
      <c r="B1237" s="188" t="s">
        <v>1236</v>
      </c>
      <c r="C1237" s="188" t="s">
        <v>36</v>
      </c>
      <c r="D1237" s="188" t="s">
        <v>37</v>
      </c>
      <c r="E1237" s="4">
        <v>9200</v>
      </c>
      <c r="F1237" s="5">
        <v>69300</v>
      </c>
      <c r="G1237" s="4">
        <v>14553</v>
      </c>
      <c r="H1237" s="4">
        <v>93053</v>
      </c>
      <c r="I1237" s="188" t="str">
        <f>VLOOKUP(C1237,CATEGORIZACION!$A$1:$C$269,2,FALSE)</f>
        <v>TRANSPORTE</v>
      </c>
      <c r="J1237" s="188" t="s">
        <v>19</v>
      </c>
    </row>
    <row r="1238" spans="1:10" ht="15.75" customHeight="1" x14ac:dyDescent="0.25">
      <c r="A1238" s="1">
        <v>45128</v>
      </c>
      <c r="B1238" s="188" t="s">
        <v>1237</v>
      </c>
      <c r="C1238" s="188" t="s">
        <v>36</v>
      </c>
      <c r="D1238" s="188" t="s">
        <v>37</v>
      </c>
      <c r="E1238" s="4">
        <v>11500</v>
      </c>
      <c r="F1238" s="5">
        <v>228240</v>
      </c>
      <c r="G1238" s="4">
        <v>47930.400000000001</v>
      </c>
      <c r="H1238" s="4">
        <v>287670.40000000002</v>
      </c>
      <c r="I1238" s="188" t="str">
        <f>VLOOKUP(C1238,CATEGORIZACION!$A$1:$C$269,2,FALSE)</f>
        <v>TRANSPORTE</v>
      </c>
      <c r="J1238" s="188" t="s">
        <v>19</v>
      </c>
    </row>
    <row r="1239" spans="1:10" ht="15.75" customHeight="1" x14ac:dyDescent="0.25">
      <c r="A1239" s="1">
        <v>45128</v>
      </c>
      <c r="B1239" s="188" t="s">
        <v>1238</v>
      </c>
      <c r="C1239" s="188" t="s">
        <v>36</v>
      </c>
      <c r="D1239" s="188" t="s">
        <v>37</v>
      </c>
      <c r="E1239" s="4">
        <v>11500</v>
      </c>
      <c r="F1239" s="5">
        <v>228240</v>
      </c>
      <c r="G1239" s="4">
        <v>47930.400000000001</v>
      </c>
      <c r="H1239" s="4">
        <v>287670.40000000002</v>
      </c>
      <c r="I1239" s="188" t="str">
        <f>VLOOKUP(C1239,CATEGORIZACION!$A$1:$C$269,2,FALSE)</f>
        <v>TRANSPORTE</v>
      </c>
      <c r="J1239" s="188" t="s">
        <v>19</v>
      </c>
    </row>
    <row r="1240" spans="1:10" ht="15.75" customHeight="1" x14ac:dyDescent="0.25">
      <c r="A1240" s="1">
        <v>45128</v>
      </c>
      <c r="B1240" s="188" t="s">
        <v>1239</v>
      </c>
      <c r="C1240" s="188" t="s">
        <v>36</v>
      </c>
      <c r="D1240" s="188" t="s">
        <v>37</v>
      </c>
      <c r="E1240" s="4">
        <v>11500</v>
      </c>
      <c r="F1240" s="5">
        <v>228240</v>
      </c>
      <c r="G1240" s="4">
        <v>47930.400000000001</v>
      </c>
      <c r="H1240" s="4">
        <v>287670.40000000002</v>
      </c>
      <c r="I1240" s="188" t="str">
        <f>VLOOKUP(C1240,CATEGORIZACION!$A$1:$C$269,2,FALSE)</f>
        <v>TRANSPORTE</v>
      </c>
      <c r="J1240" s="188" t="s">
        <v>19</v>
      </c>
    </row>
    <row r="1241" spans="1:10" ht="15.75" customHeight="1" x14ac:dyDescent="0.25">
      <c r="A1241" s="1">
        <v>45128</v>
      </c>
      <c r="B1241" s="188" t="s">
        <v>1240</v>
      </c>
      <c r="C1241" s="188" t="s">
        <v>36</v>
      </c>
      <c r="D1241" s="188" t="s">
        <v>37</v>
      </c>
      <c r="E1241" s="4">
        <v>12100</v>
      </c>
      <c r="F1241" s="5">
        <v>176050</v>
      </c>
      <c r="G1241" s="4">
        <v>36970.5</v>
      </c>
      <c r="H1241" s="4">
        <v>225120.5</v>
      </c>
      <c r="I1241" s="188" t="str">
        <f>VLOOKUP(C1241,CATEGORIZACION!$A$1:$C$269,2,FALSE)</f>
        <v>TRANSPORTE</v>
      </c>
      <c r="J1241" s="188" t="s">
        <v>19</v>
      </c>
    </row>
    <row r="1242" spans="1:10" ht="15.75" customHeight="1" x14ac:dyDescent="0.25">
      <c r="A1242" s="1">
        <v>45128</v>
      </c>
      <c r="B1242" s="188" t="s">
        <v>1241</v>
      </c>
      <c r="C1242" s="188" t="s">
        <v>36</v>
      </c>
      <c r="D1242" s="188" t="s">
        <v>37</v>
      </c>
      <c r="E1242" s="4">
        <v>6200</v>
      </c>
      <c r="F1242" s="5">
        <v>52000</v>
      </c>
      <c r="G1242" s="4">
        <v>10920</v>
      </c>
      <c r="H1242" s="4">
        <v>69120</v>
      </c>
      <c r="I1242" s="188" t="str">
        <f>VLOOKUP(C1242,CATEGORIZACION!$A$1:$C$269,2,FALSE)</f>
        <v>TRANSPORTE</v>
      </c>
      <c r="J1242" s="188" t="s">
        <v>19</v>
      </c>
    </row>
    <row r="1243" spans="1:10" ht="15.75" customHeight="1" x14ac:dyDescent="0.25">
      <c r="A1243" s="1">
        <v>45128</v>
      </c>
      <c r="B1243" s="188" t="s">
        <v>1242</v>
      </c>
      <c r="C1243" s="188" t="s">
        <v>36</v>
      </c>
      <c r="D1243" s="188" t="s">
        <v>37</v>
      </c>
      <c r="E1243" s="4">
        <v>11500</v>
      </c>
      <c r="F1243" s="5">
        <v>78250</v>
      </c>
      <c r="G1243" s="4">
        <v>16432.5</v>
      </c>
      <c r="H1243" s="4">
        <v>106182.5</v>
      </c>
      <c r="I1243" s="188" t="str">
        <f>VLOOKUP(C1243,CATEGORIZACION!$A$1:$C$269,2,FALSE)</f>
        <v>TRANSPORTE</v>
      </c>
      <c r="J1243" s="188" t="s">
        <v>19</v>
      </c>
    </row>
    <row r="1244" spans="1:10" ht="15.75" customHeight="1" x14ac:dyDescent="0.25">
      <c r="A1244" s="1">
        <v>45128</v>
      </c>
      <c r="B1244" s="188" t="s">
        <v>1243</v>
      </c>
      <c r="C1244" s="188" t="s">
        <v>36</v>
      </c>
      <c r="D1244" s="188" t="s">
        <v>37</v>
      </c>
      <c r="E1244" s="4">
        <v>10700</v>
      </c>
      <c r="F1244" s="5">
        <v>131500</v>
      </c>
      <c r="G1244" s="4">
        <v>27615</v>
      </c>
      <c r="H1244" s="4">
        <v>169815</v>
      </c>
      <c r="I1244" s="188" t="str">
        <f>VLOOKUP(C1244,CATEGORIZACION!$A$1:$C$269,2,FALSE)</f>
        <v>TRANSPORTE</v>
      </c>
      <c r="J1244" s="188" t="s">
        <v>19</v>
      </c>
    </row>
    <row r="1245" spans="1:10" ht="15.75" customHeight="1" x14ac:dyDescent="0.25">
      <c r="A1245" s="1">
        <v>45128</v>
      </c>
      <c r="B1245" s="188" t="s">
        <v>1244</v>
      </c>
      <c r="C1245" s="188" t="s">
        <v>36</v>
      </c>
      <c r="D1245" s="188" t="s">
        <v>37</v>
      </c>
      <c r="E1245" s="4">
        <v>10700</v>
      </c>
      <c r="F1245" s="5">
        <v>111950</v>
      </c>
      <c r="G1245" s="4">
        <v>23509.5</v>
      </c>
      <c r="H1245" s="4">
        <v>146159.5</v>
      </c>
      <c r="I1245" s="188" t="str">
        <f>VLOOKUP(C1245,CATEGORIZACION!$A$1:$C$269,2,FALSE)</f>
        <v>TRANSPORTE</v>
      </c>
      <c r="J1245" s="188" t="s">
        <v>19</v>
      </c>
    </row>
    <row r="1246" spans="1:10" ht="15.75" customHeight="1" x14ac:dyDescent="0.25">
      <c r="A1246" s="1">
        <v>45131</v>
      </c>
      <c r="B1246" s="188" t="s">
        <v>1245</v>
      </c>
      <c r="C1246" s="188" t="s">
        <v>1143</v>
      </c>
      <c r="D1246" s="188" t="s">
        <v>1144</v>
      </c>
      <c r="E1246" s="4">
        <v>0</v>
      </c>
      <c r="F1246" s="3">
        <v>155250</v>
      </c>
      <c r="G1246" s="4">
        <v>32602.5</v>
      </c>
      <c r="H1246" s="4">
        <v>187852.5</v>
      </c>
      <c r="I1246" s="188" t="str">
        <f>VLOOKUP(C1246,CATEGORIZACION!$A$1:$C$269,2,FALSE)</f>
        <v>PROOVEDORES</v>
      </c>
      <c r="J1246" s="188" t="str">
        <f>VLOOKUP(C1246,CATEGORIZACION!$A$1:$C$269,3,FALSE)</f>
        <v>DEPOSITO</v>
      </c>
    </row>
    <row r="1247" spans="1:10" ht="15.75" customHeight="1" x14ac:dyDescent="0.25">
      <c r="A1247" s="1">
        <v>45131</v>
      </c>
      <c r="B1247" s="188" t="s">
        <v>1246</v>
      </c>
      <c r="C1247" s="188" t="s">
        <v>1143</v>
      </c>
      <c r="D1247" s="188" t="s">
        <v>1144</v>
      </c>
      <c r="E1247" s="4">
        <v>-1.8626451492309571E-11</v>
      </c>
      <c r="F1247" s="3">
        <v>121680</v>
      </c>
      <c r="G1247" s="4">
        <v>25552.799999999999</v>
      </c>
      <c r="H1247" s="4">
        <v>147232.79999999999</v>
      </c>
      <c r="I1247" s="188" t="str">
        <f>VLOOKUP(C1247,CATEGORIZACION!$A$1:$C$269,2,FALSE)</f>
        <v>PROOVEDORES</v>
      </c>
      <c r="J1247" s="188" t="str">
        <f>VLOOKUP(C1247,CATEGORIZACION!$A$1:$C$269,3,FALSE)</f>
        <v>DEPOSITO</v>
      </c>
    </row>
    <row r="1248" spans="1:10" ht="15.75" customHeight="1" x14ac:dyDescent="0.25">
      <c r="A1248" s="1">
        <v>45131</v>
      </c>
      <c r="B1248" s="188" t="s">
        <v>1247</v>
      </c>
      <c r="C1248" s="188" t="s">
        <v>36</v>
      </c>
      <c r="D1248" s="188" t="s">
        <v>37</v>
      </c>
      <c r="E1248" s="4">
        <v>9200</v>
      </c>
      <c r="F1248" s="5">
        <v>63000</v>
      </c>
      <c r="G1248" s="4">
        <v>13230</v>
      </c>
      <c r="H1248" s="4">
        <v>85430</v>
      </c>
      <c r="I1248" s="188" t="str">
        <f>VLOOKUP(C1248,CATEGORIZACION!$A$1:$C$269,2,FALSE)</f>
        <v>TRANSPORTE</v>
      </c>
      <c r="J1248" s="188" t="s">
        <v>19</v>
      </c>
    </row>
    <row r="1249" spans="1:10" ht="15.75" customHeight="1" x14ac:dyDescent="0.25">
      <c r="A1249" s="1">
        <v>45131</v>
      </c>
      <c r="B1249" s="188" t="s">
        <v>1248</v>
      </c>
      <c r="C1249" s="188" t="s">
        <v>36</v>
      </c>
      <c r="D1249" s="188" t="s">
        <v>37</v>
      </c>
      <c r="E1249" s="4">
        <v>6500</v>
      </c>
      <c r="F1249" s="5">
        <v>78250</v>
      </c>
      <c r="G1249" s="4">
        <v>16432.5</v>
      </c>
      <c r="H1249" s="4">
        <v>101182.5</v>
      </c>
      <c r="I1249" s="188" t="str">
        <f>VLOOKUP(C1249,CATEGORIZACION!$A$1:$C$269,2,FALSE)</f>
        <v>TRANSPORTE</v>
      </c>
      <c r="J1249" s="188" t="s">
        <v>19</v>
      </c>
    </row>
    <row r="1250" spans="1:10" ht="15.75" customHeight="1" x14ac:dyDescent="0.25">
      <c r="A1250" s="1">
        <v>45131</v>
      </c>
      <c r="B1250" s="188" t="s">
        <v>1249</v>
      </c>
      <c r="C1250" s="188" t="s">
        <v>36</v>
      </c>
      <c r="D1250" s="188" t="s">
        <v>37</v>
      </c>
      <c r="E1250" s="4">
        <v>9200</v>
      </c>
      <c r="F1250" s="5">
        <v>81900</v>
      </c>
      <c r="G1250" s="4">
        <v>17199</v>
      </c>
      <c r="H1250" s="4">
        <v>108299</v>
      </c>
      <c r="I1250" s="188" t="str">
        <f>VLOOKUP(C1250,CATEGORIZACION!$A$1:$C$269,2,FALSE)</f>
        <v>TRANSPORTE</v>
      </c>
      <c r="J1250" s="188" t="s">
        <v>19</v>
      </c>
    </row>
    <row r="1251" spans="1:10" ht="15.75" customHeight="1" x14ac:dyDescent="0.25">
      <c r="A1251" s="1">
        <v>45131</v>
      </c>
      <c r="B1251" s="188" t="s">
        <v>1250</v>
      </c>
      <c r="C1251" s="188" t="s">
        <v>36</v>
      </c>
      <c r="D1251" s="188" t="s">
        <v>37</v>
      </c>
      <c r="E1251" s="4">
        <v>9200</v>
      </c>
      <c r="F1251" s="5">
        <v>81900</v>
      </c>
      <c r="G1251" s="4">
        <v>17199</v>
      </c>
      <c r="H1251" s="4">
        <v>108299</v>
      </c>
      <c r="I1251" s="188" t="str">
        <f>VLOOKUP(C1251,CATEGORIZACION!$A$1:$C$269,2,FALSE)</f>
        <v>TRANSPORTE</v>
      </c>
      <c r="J1251" s="188" t="s">
        <v>19</v>
      </c>
    </row>
    <row r="1252" spans="1:10" ht="15.75" customHeight="1" x14ac:dyDescent="0.25">
      <c r="A1252" s="1">
        <v>45131</v>
      </c>
      <c r="B1252" s="188" t="s">
        <v>1251</v>
      </c>
      <c r="C1252" s="188" t="s">
        <v>36</v>
      </c>
      <c r="D1252" s="188" t="s">
        <v>37</v>
      </c>
      <c r="E1252" s="4">
        <v>9200</v>
      </c>
      <c r="F1252" s="5">
        <v>81900</v>
      </c>
      <c r="G1252" s="4">
        <v>17199</v>
      </c>
      <c r="H1252" s="4">
        <v>108299</v>
      </c>
      <c r="I1252" s="188" t="str">
        <f>VLOOKUP(C1252,CATEGORIZACION!$A$1:$C$269,2,FALSE)</f>
        <v>TRANSPORTE</v>
      </c>
      <c r="J1252" s="188" t="s">
        <v>19</v>
      </c>
    </row>
    <row r="1253" spans="1:10" ht="15.75" customHeight="1" x14ac:dyDescent="0.25">
      <c r="A1253" s="1">
        <v>45131</v>
      </c>
      <c r="B1253" s="188" t="s">
        <v>1252</v>
      </c>
      <c r="C1253" s="188" t="s">
        <v>36</v>
      </c>
      <c r="D1253" s="188" t="s">
        <v>37</v>
      </c>
      <c r="E1253" s="4">
        <v>9200</v>
      </c>
      <c r="F1253" s="5">
        <v>81900</v>
      </c>
      <c r="G1253" s="4">
        <v>17199</v>
      </c>
      <c r="H1253" s="4">
        <v>108299</v>
      </c>
      <c r="I1253" s="188" t="str">
        <f>VLOOKUP(C1253,CATEGORIZACION!$A$1:$C$269,2,FALSE)</f>
        <v>TRANSPORTE</v>
      </c>
      <c r="J1253" s="188" t="s">
        <v>19</v>
      </c>
    </row>
    <row r="1254" spans="1:10" ht="15.75" customHeight="1" x14ac:dyDescent="0.25">
      <c r="A1254" s="1">
        <v>45131</v>
      </c>
      <c r="B1254" s="188" t="s">
        <v>1253</v>
      </c>
      <c r="C1254" s="188" t="s">
        <v>36</v>
      </c>
      <c r="D1254" s="188" t="s">
        <v>37</v>
      </c>
      <c r="E1254" s="4">
        <v>6200</v>
      </c>
      <c r="F1254" s="5">
        <v>52000</v>
      </c>
      <c r="G1254" s="4">
        <v>10920</v>
      </c>
      <c r="H1254" s="4">
        <v>69120</v>
      </c>
      <c r="I1254" s="188" t="str">
        <f>VLOOKUP(C1254,CATEGORIZACION!$A$1:$C$269,2,FALSE)</f>
        <v>TRANSPORTE</v>
      </c>
      <c r="J1254" s="188" t="s">
        <v>19</v>
      </c>
    </row>
    <row r="1255" spans="1:10" ht="15.75" customHeight="1" x14ac:dyDescent="0.25">
      <c r="A1255" s="1">
        <v>45131</v>
      </c>
      <c r="B1255" s="188" t="s">
        <v>1254</v>
      </c>
      <c r="C1255" s="188" t="s">
        <v>36</v>
      </c>
      <c r="D1255" s="188" t="s">
        <v>37</v>
      </c>
      <c r="E1255" s="4">
        <v>6200</v>
      </c>
      <c r="F1255" s="5">
        <v>52000</v>
      </c>
      <c r="G1255" s="4">
        <v>10920</v>
      </c>
      <c r="H1255" s="4">
        <v>69120</v>
      </c>
      <c r="I1255" s="188" t="str">
        <f>VLOOKUP(C1255,CATEGORIZACION!$A$1:$C$269,2,FALSE)</f>
        <v>TRANSPORTE</v>
      </c>
      <c r="J1255" s="188" t="s">
        <v>19</v>
      </c>
    </row>
    <row r="1256" spans="1:10" ht="15.75" customHeight="1" x14ac:dyDescent="0.25">
      <c r="A1256" s="1">
        <v>45131</v>
      </c>
      <c r="B1256" s="188" t="s">
        <v>1255</v>
      </c>
      <c r="C1256" s="188" t="s">
        <v>36</v>
      </c>
      <c r="D1256" s="188" t="s">
        <v>37</v>
      </c>
      <c r="E1256" s="4">
        <v>2500</v>
      </c>
      <c r="F1256" s="5">
        <v>80340</v>
      </c>
      <c r="G1256" s="4">
        <v>16871.400000000001</v>
      </c>
      <c r="H1256" s="4">
        <v>99711.4</v>
      </c>
      <c r="I1256" s="188" t="str">
        <f>VLOOKUP(C1256,CATEGORIZACION!$A$1:$C$269,2,FALSE)</f>
        <v>TRANSPORTE</v>
      </c>
      <c r="J1256" s="188" t="s">
        <v>19</v>
      </c>
    </row>
    <row r="1257" spans="1:10" ht="15.75" customHeight="1" x14ac:dyDescent="0.25">
      <c r="A1257" s="1">
        <v>45131</v>
      </c>
      <c r="B1257" s="188" t="s">
        <v>1256</v>
      </c>
      <c r="C1257" s="188" t="s">
        <v>36</v>
      </c>
      <c r="D1257" s="188" t="s">
        <v>37</v>
      </c>
      <c r="E1257" s="4">
        <v>0</v>
      </c>
      <c r="F1257" s="5">
        <v>174240</v>
      </c>
      <c r="G1257" s="4">
        <v>36590.400000000001</v>
      </c>
      <c r="H1257" s="4">
        <v>210830.4</v>
      </c>
      <c r="I1257" s="188" t="str">
        <f>VLOOKUP(C1257,CATEGORIZACION!$A$1:$C$269,2,FALSE)</f>
        <v>TRANSPORTE</v>
      </c>
      <c r="J1257" s="188" t="s">
        <v>19</v>
      </c>
    </row>
    <row r="1258" spans="1:10" ht="15.75" customHeight="1" x14ac:dyDescent="0.25">
      <c r="A1258" s="1">
        <v>45131</v>
      </c>
      <c r="B1258" s="188" t="s">
        <v>1257</v>
      </c>
      <c r="C1258" s="188" t="s">
        <v>36</v>
      </c>
      <c r="D1258" s="188" t="s">
        <v>37</v>
      </c>
      <c r="E1258" s="4">
        <v>10800</v>
      </c>
      <c r="F1258" s="5">
        <v>78000</v>
      </c>
      <c r="G1258" s="4">
        <v>16380</v>
      </c>
      <c r="H1258" s="4">
        <v>105180</v>
      </c>
      <c r="I1258" s="188" t="str">
        <f>VLOOKUP(C1258,CATEGORIZACION!$A$1:$C$269,2,FALSE)</f>
        <v>TRANSPORTE</v>
      </c>
      <c r="J1258" s="188" t="s">
        <v>19</v>
      </c>
    </row>
    <row r="1259" spans="1:10" ht="15.75" customHeight="1" x14ac:dyDescent="0.25">
      <c r="A1259" s="1">
        <v>45131</v>
      </c>
      <c r="B1259" s="188" t="s">
        <v>1258</v>
      </c>
      <c r="C1259" s="188" t="s">
        <v>36</v>
      </c>
      <c r="D1259" s="188" t="s">
        <v>37</v>
      </c>
      <c r="E1259" s="4">
        <v>0</v>
      </c>
      <c r="F1259" s="5">
        <v>120540</v>
      </c>
      <c r="G1259" s="4">
        <v>25313.4</v>
      </c>
      <c r="H1259" s="4">
        <v>145853.4</v>
      </c>
      <c r="I1259" s="188" t="str">
        <f>VLOOKUP(C1259,CATEGORIZACION!$A$1:$C$269,2,FALSE)</f>
        <v>TRANSPORTE</v>
      </c>
      <c r="J1259" s="188" t="s">
        <v>19</v>
      </c>
    </row>
    <row r="1260" spans="1:10" ht="15.75" customHeight="1" x14ac:dyDescent="0.25">
      <c r="A1260" s="1">
        <v>45131</v>
      </c>
      <c r="B1260" s="188" t="s">
        <v>1259</v>
      </c>
      <c r="C1260" s="188" t="s">
        <v>36</v>
      </c>
      <c r="D1260" s="188" t="s">
        <v>37</v>
      </c>
      <c r="E1260" s="4">
        <v>9200</v>
      </c>
      <c r="F1260" s="5">
        <v>69300</v>
      </c>
      <c r="G1260" s="4">
        <v>14553</v>
      </c>
      <c r="H1260" s="4">
        <v>93053</v>
      </c>
      <c r="I1260" s="188" t="str">
        <f>VLOOKUP(C1260,CATEGORIZACION!$A$1:$C$269,2,FALSE)</f>
        <v>TRANSPORTE</v>
      </c>
      <c r="J1260" s="188" t="s">
        <v>19</v>
      </c>
    </row>
    <row r="1261" spans="1:10" ht="15.75" customHeight="1" x14ac:dyDescent="0.25">
      <c r="A1261" s="1">
        <v>45131</v>
      </c>
      <c r="B1261" s="188" t="s">
        <v>1260</v>
      </c>
      <c r="C1261" s="188" t="s">
        <v>36</v>
      </c>
      <c r="D1261" s="188" t="s">
        <v>37</v>
      </c>
      <c r="E1261" s="4">
        <v>9200</v>
      </c>
      <c r="F1261" s="5">
        <v>63000</v>
      </c>
      <c r="G1261" s="4">
        <v>13230</v>
      </c>
      <c r="H1261" s="4">
        <v>85430</v>
      </c>
      <c r="I1261" s="188" t="str">
        <f>VLOOKUP(C1261,CATEGORIZACION!$A$1:$C$269,2,FALSE)</f>
        <v>TRANSPORTE</v>
      </c>
      <c r="J1261" s="188" t="s">
        <v>19</v>
      </c>
    </row>
    <row r="1262" spans="1:10" ht="15.75" customHeight="1" x14ac:dyDescent="0.25">
      <c r="A1262" s="1">
        <v>45131</v>
      </c>
      <c r="B1262" s="188" t="s">
        <v>1261</v>
      </c>
      <c r="C1262" s="188" t="s">
        <v>36</v>
      </c>
      <c r="D1262" s="188" t="s">
        <v>37</v>
      </c>
      <c r="E1262" s="4">
        <v>2500</v>
      </c>
      <c r="F1262" s="5">
        <v>174240</v>
      </c>
      <c r="G1262" s="4">
        <v>36590.400000000001</v>
      </c>
      <c r="H1262" s="4">
        <v>213330.4</v>
      </c>
      <c r="I1262" s="188" t="str">
        <f>VLOOKUP(C1262,CATEGORIZACION!$A$1:$C$269,2,FALSE)</f>
        <v>TRANSPORTE</v>
      </c>
      <c r="J1262" s="188" t="s">
        <v>19</v>
      </c>
    </row>
    <row r="1263" spans="1:10" ht="15.75" customHeight="1" x14ac:dyDescent="0.25">
      <c r="A1263" s="1">
        <v>45131</v>
      </c>
      <c r="B1263" s="188" t="s">
        <v>1262</v>
      </c>
      <c r="C1263" s="188" t="s">
        <v>36</v>
      </c>
      <c r="D1263" s="188" t="s">
        <v>37</v>
      </c>
      <c r="E1263" s="4">
        <v>2500</v>
      </c>
      <c r="F1263" s="5">
        <v>120540</v>
      </c>
      <c r="G1263" s="4">
        <v>25313.4</v>
      </c>
      <c r="H1263" s="4">
        <v>148353.4</v>
      </c>
      <c r="I1263" s="188" t="str">
        <f>VLOOKUP(C1263,CATEGORIZACION!$A$1:$C$269,2,FALSE)</f>
        <v>TRANSPORTE</v>
      </c>
      <c r="J1263" s="188" t="s">
        <v>19</v>
      </c>
    </row>
    <row r="1264" spans="1:10" ht="15.75" customHeight="1" x14ac:dyDescent="0.25">
      <c r="A1264" s="1">
        <v>45132</v>
      </c>
      <c r="B1264" s="188" t="s">
        <v>1263</v>
      </c>
      <c r="C1264" s="188" t="s">
        <v>36</v>
      </c>
      <c r="D1264" s="188" t="s">
        <v>37</v>
      </c>
      <c r="E1264" s="4">
        <v>0</v>
      </c>
      <c r="F1264" s="5">
        <v>-174240</v>
      </c>
      <c r="G1264" s="4">
        <v>-36590.400000000001</v>
      </c>
      <c r="H1264" s="4">
        <v>-210830.4</v>
      </c>
      <c r="I1264" s="188" t="str">
        <f>VLOOKUP(C1264,CATEGORIZACION!$A$1:$C$269,2,FALSE)</f>
        <v>TRANSPORTE</v>
      </c>
      <c r="J1264" s="188" t="s">
        <v>19</v>
      </c>
    </row>
    <row r="1265" spans="1:10" ht="15.75" customHeight="1" x14ac:dyDescent="0.25">
      <c r="A1265" s="1">
        <v>45132</v>
      </c>
      <c r="B1265" s="188" t="s">
        <v>1264</v>
      </c>
      <c r="C1265" s="188" t="s">
        <v>36</v>
      </c>
      <c r="D1265" s="188" t="s">
        <v>37</v>
      </c>
      <c r="E1265" s="4">
        <v>0</v>
      </c>
      <c r="F1265" s="5">
        <v>-120540</v>
      </c>
      <c r="G1265" s="4">
        <v>-25313.4</v>
      </c>
      <c r="H1265" s="4">
        <v>-145853.4</v>
      </c>
      <c r="I1265" s="188" t="str">
        <f>VLOOKUP(C1265,CATEGORIZACION!$A$1:$C$269,2,FALSE)</f>
        <v>TRANSPORTE</v>
      </c>
      <c r="J1265" s="188" t="s">
        <v>19</v>
      </c>
    </row>
    <row r="1266" spans="1:10" ht="15.75" customHeight="1" x14ac:dyDescent="0.25">
      <c r="A1266" s="1">
        <v>45132</v>
      </c>
      <c r="B1266" s="188" t="s">
        <v>1265</v>
      </c>
      <c r="C1266" s="188" t="s">
        <v>1143</v>
      </c>
      <c r="D1266" s="188" t="s">
        <v>1144</v>
      </c>
      <c r="E1266" s="4">
        <v>0</v>
      </c>
      <c r="F1266" s="3">
        <v>201834</v>
      </c>
      <c r="G1266" s="4">
        <v>42385.14</v>
      </c>
      <c r="H1266" s="4">
        <v>244219.14</v>
      </c>
      <c r="I1266" s="188" t="str">
        <f>VLOOKUP(C1266,CATEGORIZACION!$A$1:$C$269,2,FALSE)</f>
        <v>PROOVEDORES</v>
      </c>
      <c r="J1266" s="188" t="str">
        <f>VLOOKUP(C1266,CATEGORIZACION!$A$1:$C$269,3,FALSE)</f>
        <v>DEPOSITO</v>
      </c>
    </row>
    <row r="1267" spans="1:10" ht="15.75" customHeight="1" x14ac:dyDescent="0.25">
      <c r="A1267" s="1">
        <v>45132</v>
      </c>
      <c r="B1267" s="188" t="s">
        <v>1266</v>
      </c>
      <c r="C1267" s="188" t="s">
        <v>337</v>
      </c>
      <c r="D1267" s="188" t="s">
        <v>174</v>
      </c>
      <c r="E1267" s="4">
        <v>0</v>
      </c>
      <c r="F1267" s="5">
        <v>111000</v>
      </c>
      <c r="G1267" s="4">
        <v>23310</v>
      </c>
      <c r="H1267" s="4">
        <v>134310</v>
      </c>
      <c r="I1267" s="188" t="str">
        <f>VLOOKUP(C1267,CATEGORIZACION!$A$1:$C$269,2,FALSE)</f>
        <v>TRANSPORTE</v>
      </c>
      <c r="J1267" s="188" t="s">
        <v>19</v>
      </c>
    </row>
    <row r="1268" spans="1:10" ht="15.75" customHeight="1" x14ac:dyDescent="0.25">
      <c r="A1268" s="1">
        <v>45132</v>
      </c>
      <c r="B1268" s="188" t="s">
        <v>1267</v>
      </c>
      <c r="C1268" s="188" t="s">
        <v>33</v>
      </c>
      <c r="D1268" s="188" t="s">
        <v>34</v>
      </c>
      <c r="E1268" s="4">
        <v>-1.8626451492309571E-11</v>
      </c>
      <c r="F1268" s="3">
        <v>134223</v>
      </c>
      <c r="G1268" s="4">
        <v>28186.83</v>
      </c>
      <c r="H1268" s="4">
        <v>162409.82999999999</v>
      </c>
      <c r="I1268" s="188" t="str">
        <f>VLOOKUP(C1268,CATEGORIZACION!$A$1:$C$269,2,FALSE)</f>
        <v>PROOVEDORES</v>
      </c>
      <c r="J1268" s="188" t="str">
        <f>VLOOKUP(C1268,CATEGORIZACION!$A$1:$C$269,3,FALSE)</f>
        <v>DEPOSITO</v>
      </c>
    </row>
    <row r="1269" spans="1:10" ht="15.75" customHeight="1" x14ac:dyDescent="0.25">
      <c r="A1269" s="1">
        <v>45133</v>
      </c>
      <c r="B1269" s="188" t="s">
        <v>1268</v>
      </c>
      <c r="C1269" s="188" t="s">
        <v>952</v>
      </c>
      <c r="D1269" s="188" t="s">
        <v>953</v>
      </c>
      <c r="E1269" s="4">
        <v>0</v>
      </c>
      <c r="F1269" s="5">
        <v>54752.34</v>
      </c>
      <c r="G1269" s="4">
        <v>11497.99</v>
      </c>
      <c r="H1269" s="4">
        <v>66250.33</v>
      </c>
      <c r="I1269" s="188" t="str">
        <f>VLOOKUP(C1269,CATEGORIZACION!$A$1:$C$269,2,FALSE)</f>
        <v>PROOVEDORES</v>
      </c>
      <c r="J1269" s="188" t="str">
        <f>VLOOKUP(C1269,CATEGORIZACION!$A$1:$C$269,3,FALSE)</f>
        <v>LOGISTICA</v>
      </c>
    </row>
    <row r="1270" spans="1:10" ht="15.75" customHeight="1" x14ac:dyDescent="0.25">
      <c r="A1270" s="1">
        <v>45133</v>
      </c>
      <c r="B1270" s="188" t="s">
        <v>1269</v>
      </c>
      <c r="C1270" s="188" t="s">
        <v>21</v>
      </c>
      <c r="D1270" s="188" t="s">
        <v>22</v>
      </c>
      <c r="E1270" s="4">
        <v>24200</v>
      </c>
      <c r="F1270" s="5">
        <v>497400</v>
      </c>
      <c r="G1270" s="4">
        <v>104454</v>
      </c>
      <c r="H1270" s="4">
        <v>626054</v>
      </c>
      <c r="I1270" s="188" t="str">
        <f>VLOOKUP(C1270,CATEGORIZACION!$A$1:$C$269,2,FALSE)</f>
        <v>TRANSPORTE</v>
      </c>
      <c r="J1270" s="188" t="s">
        <v>19</v>
      </c>
    </row>
    <row r="1271" spans="1:10" ht="15.75" customHeight="1" x14ac:dyDescent="0.25">
      <c r="A1271" s="1">
        <v>45133</v>
      </c>
      <c r="B1271" s="188" t="s">
        <v>1270</v>
      </c>
      <c r="C1271" s="188" t="s">
        <v>21</v>
      </c>
      <c r="D1271" s="188" t="s">
        <v>22</v>
      </c>
      <c r="E1271" s="4">
        <v>24200</v>
      </c>
      <c r="F1271" s="5">
        <v>369000</v>
      </c>
      <c r="G1271" s="4">
        <v>77490</v>
      </c>
      <c r="H1271" s="4">
        <v>470690</v>
      </c>
      <c r="I1271" s="188" t="str">
        <f>VLOOKUP(C1271,CATEGORIZACION!$A$1:$C$269,2,FALSE)</f>
        <v>TRANSPORTE</v>
      </c>
      <c r="J1271" s="188" t="s">
        <v>19</v>
      </c>
    </row>
    <row r="1272" spans="1:10" ht="15.75" customHeight="1" x14ac:dyDescent="0.25">
      <c r="A1272" s="1">
        <v>45133</v>
      </c>
      <c r="B1272" s="188" t="s">
        <v>1271</v>
      </c>
      <c r="C1272" s="188" t="s">
        <v>21</v>
      </c>
      <c r="D1272" s="188" t="s">
        <v>22</v>
      </c>
      <c r="E1272" s="4">
        <v>4840</v>
      </c>
      <c r="F1272" s="5">
        <v>367300</v>
      </c>
      <c r="G1272" s="4">
        <v>77133</v>
      </c>
      <c r="H1272" s="4">
        <v>449273</v>
      </c>
      <c r="I1272" s="188" t="str">
        <f>VLOOKUP(C1272,CATEGORIZACION!$A$1:$C$269,2,FALSE)</f>
        <v>TRANSPORTE</v>
      </c>
      <c r="J1272" s="188" t="s">
        <v>19</v>
      </c>
    </row>
    <row r="1273" spans="1:10" ht="15.75" customHeight="1" x14ac:dyDescent="0.25">
      <c r="A1273" s="1">
        <v>45133</v>
      </c>
      <c r="B1273" s="188" t="s">
        <v>1272</v>
      </c>
      <c r="C1273" s="188" t="s">
        <v>21</v>
      </c>
      <c r="D1273" s="188" t="s">
        <v>22</v>
      </c>
      <c r="E1273" s="4">
        <v>14520</v>
      </c>
      <c r="F1273" s="5">
        <v>405000</v>
      </c>
      <c r="G1273" s="4">
        <v>85050</v>
      </c>
      <c r="H1273" s="4">
        <v>504570</v>
      </c>
      <c r="I1273" s="188" t="str">
        <f>VLOOKUP(C1273,CATEGORIZACION!$A$1:$C$269,2,FALSE)</f>
        <v>TRANSPORTE</v>
      </c>
      <c r="J1273" s="188" t="s">
        <v>19</v>
      </c>
    </row>
    <row r="1274" spans="1:10" ht="15.75" customHeight="1" x14ac:dyDescent="0.25">
      <c r="A1274" s="1">
        <v>45133</v>
      </c>
      <c r="B1274" s="188" t="s">
        <v>1273</v>
      </c>
      <c r="C1274" s="188" t="s">
        <v>36</v>
      </c>
      <c r="D1274" s="188" t="s">
        <v>37</v>
      </c>
      <c r="E1274" s="4">
        <v>2500</v>
      </c>
      <c r="F1274" s="5">
        <v>214440</v>
      </c>
      <c r="G1274" s="4">
        <v>45032.4</v>
      </c>
      <c r="H1274" s="4">
        <v>261972.4</v>
      </c>
      <c r="I1274" s="188" t="str">
        <f>VLOOKUP(C1274,CATEGORIZACION!$A$1:$C$269,2,FALSE)</f>
        <v>TRANSPORTE</v>
      </c>
      <c r="J1274" s="188" t="s">
        <v>19</v>
      </c>
    </row>
    <row r="1275" spans="1:10" ht="15.75" customHeight="1" x14ac:dyDescent="0.25">
      <c r="A1275" s="1">
        <v>45133</v>
      </c>
      <c r="B1275" s="188" t="s">
        <v>1274</v>
      </c>
      <c r="C1275" s="188" t="s">
        <v>36</v>
      </c>
      <c r="D1275" s="188" t="s">
        <v>37</v>
      </c>
      <c r="E1275" s="4">
        <v>2500</v>
      </c>
      <c r="F1275" s="5">
        <v>214440</v>
      </c>
      <c r="G1275" s="4">
        <v>45032.4</v>
      </c>
      <c r="H1275" s="4">
        <v>261972.4</v>
      </c>
      <c r="I1275" s="188" t="str">
        <f>VLOOKUP(C1275,CATEGORIZACION!$A$1:$C$269,2,FALSE)</f>
        <v>TRANSPORTE</v>
      </c>
      <c r="J1275" s="188" t="s">
        <v>19</v>
      </c>
    </row>
    <row r="1276" spans="1:10" ht="15.75" customHeight="1" x14ac:dyDescent="0.25">
      <c r="A1276" s="1">
        <v>45133</v>
      </c>
      <c r="B1276" s="188" t="s">
        <v>1275</v>
      </c>
      <c r="C1276" s="188" t="s">
        <v>36</v>
      </c>
      <c r="D1276" s="188" t="s">
        <v>37</v>
      </c>
      <c r="E1276" s="4">
        <v>9200</v>
      </c>
      <c r="F1276" s="5">
        <v>127600</v>
      </c>
      <c r="G1276" s="4">
        <v>26796</v>
      </c>
      <c r="H1276" s="4">
        <v>163596</v>
      </c>
      <c r="I1276" s="188" t="str">
        <f>VLOOKUP(C1276,CATEGORIZACION!$A$1:$C$269,2,FALSE)</f>
        <v>TRANSPORTE</v>
      </c>
      <c r="J1276" s="188" t="s">
        <v>19</v>
      </c>
    </row>
    <row r="1277" spans="1:10" ht="15.75" customHeight="1" x14ac:dyDescent="0.25">
      <c r="A1277" s="1">
        <v>45133</v>
      </c>
      <c r="B1277" s="188" t="s">
        <v>1276</v>
      </c>
      <c r="C1277" s="188" t="s">
        <v>36</v>
      </c>
      <c r="D1277" s="188" t="s">
        <v>37</v>
      </c>
      <c r="E1277" s="4">
        <v>2500</v>
      </c>
      <c r="F1277" s="5">
        <v>174240</v>
      </c>
      <c r="G1277" s="4">
        <v>36590.400000000001</v>
      </c>
      <c r="H1277" s="4">
        <v>213330.4</v>
      </c>
      <c r="I1277" s="188" t="str">
        <f>VLOOKUP(C1277,CATEGORIZACION!$A$1:$C$269,2,FALSE)</f>
        <v>TRANSPORTE</v>
      </c>
      <c r="J1277" s="188" t="s">
        <v>19</v>
      </c>
    </row>
    <row r="1278" spans="1:10" ht="15.75" customHeight="1" x14ac:dyDescent="0.25">
      <c r="A1278" s="1">
        <v>45133</v>
      </c>
      <c r="B1278" s="188" t="s">
        <v>1277</v>
      </c>
      <c r="C1278" s="188" t="s">
        <v>36</v>
      </c>
      <c r="D1278" s="188" t="s">
        <v>37</v>
      </c>
      <c r="E1278" s="4">
        <v>2500</v>
      </c>
      <c r="F1278" s="5">
        <v>174240</v>
      </c>
      <c r="G1278" s="4">
        <v>36590.400000000001</v>
      </c>
      <c r="H1278" s="4">
        <v>213330.4</v>
      </c>
      <c r="I1278" s="188" t="str">
        <f>VLOOKUP(C1278,CATEGORIZACION!$A$1:$C$269,2,FALSE)</f>
        <v>TRANSPORTE</v>
      </c>
      <c r="J1278" s="188" t="s">
        <v>19</v>
      </c>
    </row>
    <row r="1279" spans="1:10" ht="15.75" customHeight="1" x14ac:dyDescent="0.25">
      <c r="A1279" s="1">
        <v>45133</v>
      </c>
      <c r="B1279" s="188" t="s">
        <v>1278</v>
      </c>
      <c r="C1279" s="188" t="s">
        <v>36</v>
      </c>
      <c r="D1279" s="188" t="s">
        <v>37</v>
      </c>
      <c r="E1279" s="4">
        <v>2500</v>
      </c>
      <c r="F1279" s="5">
        <v>174240</v>
      </c>
      <c r="G1279" s="4">
        <v>36590.400000000001</v>
      </c>
      <c r="H1279" s="4">
        <v>213330.4</v>
      </c>
      <c r="I1279" s="188" t="str">
        <f>VLOOKUP(C1279,CATEGORIZACION!$A$1:$C$269,2,FALSE)</f>
        <v>TRANSPORTE</v>
      </c>
      <c r="J1279" s="188" t="s">
        <v>19</v>
      </c>
    </row>
    <row r="1280" spans="1:10" ht="15.75" customHeight="1" x14ac:dyDescent="0.25">
      <c r="A1280" s="1">
        <v>45134</v>
      </c>
      <c r="B1280" s="188" t="s">
        <v>1279</v>
      </c>
      <c r="C1280" s="188" t="s">
        <v>1280</v>
      </c>
      <c r="D1280" s="188" t="s">
        <v>1281</v>
      </c>
      <c r="E1280" s="4">
        <v>1626.45</v>
      </c>
      <c r="F1280" s="5">
        <v>203305.8</v>
      </c>
      <c r="G1280" s="4">
        <v>42694.22</v>
      </c>
      <c r="H1280" s="4">
        <v>247626.47</v>
      </c>
      <c r="I1280" s="188" t="str">
        <f>VLOOKUP(C1280,CATEGORIZACION!$A$1:$C$269,2,FALSE)</f>
        <v>PROOVEDORES</v>
      </c>
      <c r="J1280" s="188" t="str">
        <f>VLOOKUP(C1280,CATEGORIZACION!$A$1:$C$269,3,FALSE)</f>
        <v>LOGISTICA</v>
      </c>
    </row>
    <row r="1281" spans="1:10" ht="15.75" customHeight="1" x14ac:dyDescent="0.25">
      <c r="A1281" s="1">
        <v>45134</v>
      </c>
      <c r="B1281" s="188" t="s">
        <v>1282</v>
      </c>
      <c r="C1281" s="188" t="s">
        <v>952</v>
      </c>
      <c r="D1281" s="188" t="s">
        <v>953</v>
      </c>
      <c r="E1281" s="4">
        <v>0</v>
      </c>
      <c r="F1281" s="5">
        <v>19603.34</v>
      </c>
      <c r="G1281" s="4">
        <v>4116.7</v>
      </c>
      <c r="H1281" s="4">
        <v>23720.04</v>
      </c>
      <c r="I1281" s="188" t="str">
        <f>VLOOKUP(C1281,CATEGORIZACION!$A$1:$C$269,2,FALSE)</f>
        <v>PROOVEDORES</v>
      </c>
      <c r="J1281" s="188" t="str">
        <f>VLOOKUP(C1281,CATEGORIZACION!$A$1:$C$269,3,FALSE)</f>
        <v>LOGISTICA</v>
      </c>
    </row>
    <row r="1282" spans="1:10" ht="15.75" customHeight="1" x14ac:dyDescent="0.25">
      <c r="A1282" s="1">
        <v>45134</v>
      </c>
      <c r="B1282" s="188" t="s">
        <v>1283</v>
      </c>
      <c r="C1282" s="188" t="s">
        <v>153</v>
      </c>
      <c r="D1282" s="188" t="s">
        <v>154</v>
      </c>
      <c r="E1282" s="4">
        <v>234.44</v>
      </c>
      <c r="F1282" s="3">
        <v>29304.74</v>
      </c>
      <c r="G1282" s="4">
        <v>6154</v>
      </c>
      <c r="H1282" s="4">
        <v>35693.18</v>
      </c>
      <c r="I1282" s="188" t="str">
        <f>VLOOKUP(C1282,CATEGORIZACION!$A$1:$C$269,2,FALSE)</f>
        <v>PROOVEDORES</v>
      </c>
      <c r="J1282" s="188" t="str">
        <f>VLOOKUP(C1282,CATEGORIZACION!$A$1:$C$269,3,FALSE)</f>
        <v>DEPOSITO</v>
      </c>
    </row>
    <row r="1283" spans="1:10" ht="15.75" customHeight="1" x14ac:dyDescent="0.25">
      <c r="A1283" s="1">
        <v>45135</v>
      </c>
      <c r="B1283" s="188" t="s">
        <v>1284</v>
      </c>
      <c r="C1283" s="188" t="s">
        <v>21</v>
      </c>
      <c r="D1283" s="188" t="s">
        <v>22</v>
      </c>
      <c r="E1283" s="4">
        <v>33920</v>
      </c>
      <c r="F1283" s="5">
        <v>540000</v>
      </c>
      <c r="G1283" s="4">
        <v>113400</v>
      </c>
      <c r="H1283" s="4">
        <v>687320</v>
      </c>
      <c r="I1283" s="188" t="str">
        <f>VLOOKUP(C1283,CATEGORIZACION!$A$1:$C$269,2,FALSE)</f>
        <v>TRANSPORTE</v>
      </c>
      <c r="J1283" s="188" t="s">
        <v>19</v>
      </c>
    </row>
    <row r="1284" spans="1:10" ht="15.75" customHeight="1" x14ac:dyDescent="0.25">
      <c r="A1284" s="1">
        <v>45135</v>
      </c>
      <c r="B1284" s="188" t="s">
        <v>1285</v>
      </c>
      <c r="C1284" s="188" t="s">
        <v>21</v>
      </c>
      <c r="D1284" s="188" t="s">
        <v>22</v>
      </c>
      <c r="E1284" s="4">
        <v>16080</v>
      </c>
      <c r="F1284" s="5">
        <v>315000</v>
      </c>
      <c r="G1284" s="4">
        <v>66150</v>
      </c>
      <c r="H1284" s="4">
        <v>397230</v>
      </c>
      <c r="I1284" s="188" t="str">
        <f>VLOOKUP(C1284,CATEGORIZACION!$A$1:$C$269,2,FALSE)</f>
        <v>TRANSPORTE</v>
      </c>
      <c r="J1284" s="188" t="s">
        <v>19</v>
      </c>
    </row>
    <row r="1285" spans="1:10" ht="15.75" customHeight="1" x14ac:dyDescent="0.25">
      <c r="A1285" s="1">
        <v>45135</v>
      </c>
      <c r="B1285" s="188" t="s">
        <v>1286</v>
      </c>
      <c r="C1285" s="188" t="s">
        <v>21</v>
      </c>
      <c r="D1285" s="188" t="s">
        <v>22</v>
      </c>
      <c r="E1285" s="4">
        <v>18240</v>
      </c>
      <c r="F1285" s="5">
        <v>221400</v>
      </c>
      <c r="G1285" s="4">
        <v>46494</v>
      </c>
      <c r="H1285" s="4">
        <v>286134</v>
      </c>
      <c r="I1285" s="188" t="str">
        <f>VLOOKUP(C1285,CATEGORIZACION!$A$1:$C$269,2,FALSE)</f>
        <v>TRANSPORTE</v>
      </c>
      <c r="J1285" s="188" t="s">
        <v>19</v>
      </c>
    </row>
    <row r="1286" spans="1:10" ht="15.75" customHeight="1" x14ac:dyDescent="0.25">
      <c r="A1286" s="1">
        <v>45135</v>
      </c>
      <c r="B1286" s="188" t="s">
        <v>1287</v>
      </c>
      <c r="C1286" s="188" t="s">
        <v>21</v>
      </c>
      <c r="D1286" s="188" t="s">
        <v>22</v>
      </c>
      <c r="E1286" s="4">
        <v>17560</v>
      </c>
      <c r="F1286" s="5">
        <v>324300</v>
      </c>
      <c r="G1286" s="4">
        <v>68103</v>
      </c>
      <c r="H1286" s="4">
        <v>409963</v>
      </c>
      <c r="I1286" s="188" t="str">
        <f>VLOOKUP(C1286,CATEGORIZACION!$A$1:$C$269,2,FALSE)</f>
        <v>TRANSPORTE</v>
      </c>
      <c r="J1286" s="188" t="s">
        <v>19</v>
      </c>
    </row>
    <row r="1287" spans="1:10" ht="15.75" customHeight="1" x14ac:dyDescent="0.25">
      <c r="A1287" s="1">
        <v>45135</v>
      </c>
      <c r="B1287" s="188" t="s">
        <v>1288</v>
      </c>
      <c r="C1287" s="188" t="s">
        <v>21</v>
      </c>
      <c r="D1287" s="188" t="s">
        <v>22</v>
      </c>
      <c r="E1287" s="4">
        <v>29040</v>
      </c>
      <c r="F1287" s="5">
        <v>442800</v>
      </c>
      <c r="G1287" s="4">
        <v>92988</v>
      </c>
      <c r="H1287" s="4">
        <v>564828</v>
      </c>
      <c r="I1287" s="188" t="str">
        <f>VLOOKUP(C1287,CATEGORIZACION!$A$1:$C$269,2,FALSE)</f>
        <v>TRANSPORTE</v>
      </c>
      <c r="J1287" s="188" t="s">
        <v>19</v>
      </c>
    </row>
    <row r="1288" spans="1:10" ht="15.75" customHeight="1" x14ac:dyDescent="0.25">
      <c r="A1288" s="1">
        <v>45135</v>
      </c>
      <c r="B1288" s="188" t="s">
        <v>1289</v>
      </c>
      <c r="C1288" s="188" t="s">
        <v>21</v>
      </c>
      <c r="D1288" s="188" t="s">
        <v>22</v>
      </c>
      <c r="E1288" s="4">
        <v>29040</v>
      </c>
      <c r="F1288" s="5">
        <v>442800</v>
      </c>
      <c r="G1288" s="4">
        <v>92988</v>
      </c>
      <c r="H1288" s="4">
        <v>564828</v>
      </c>
      <c r="I1288" s="188" t="str">
        <f>VLOOKUP(C1288,CATEGORIZACION!$A$1:$C$269,2,FALSE)</f>
        <v>TRANSPORTE</v>
      </c>
      <c r="J1288" s="188" t="s">
        <v>19</v>
      </c>
    </row>
    <row r="1289" spans="1:10" ht="15.75" customHeight="1" x14ac:dyDescent="0.25">
      <c r="A1289" s="1">
        <v>45135</v>
      </c>
      <c r="B1289" s="188" t="s">
        <v>1290</v>
      </c>
      <c r="C1289" s="188" t="s">
        <v>21</v>
      </c>
      <c r="D1289" s="188" t="s">
        <v>22</v>
      </c>
      <c r="E1289" s="4">
        <v>33880</v>
      </c>
      <c r="F1289" s="5">
        <v>516600</v>
      </c>
      <c r="G1289" s="4">
        <v>108486</v>
      </c>
      <c r="H1289" s="4">
        <v>658966</v>
      </c>
      <c r="I1289" s="188" t="str">
        <f>VLOOKUP(C1289,CATEGORIZACION!$A$1:$C$269,2,FALSE)</f>
        <v>TRANSPORTE</v>
      </c>
      <c r="J1289" s="188" t="s">
        <v>19</v>
      </c>
    </row>
    <row r="1290" spans="1:10" ht="15.75" customHeight="1" x14ac:dyDescent="0.25">
      <c r="A1290" s="1">
        <v>45135</v>
      </c>
      <c r="B1290" s="188" t="s">
        <v>1291</v>
      </c>
      <c r="C1290" s="188" t="s">
        <v>36</v>
      </c>
      <c r="D1290" s="188" t="s">
        <v>37</v>
      </c>
      <c r="E1290" s="4">
        <v>9200</v>
      </c>
      <c r="F1290" s="5">
        <v>69300</v>
      </c>
      <c r="G1290" s="4">
        <v>14553</v>
      </c>
      <c r="H1290" s="4">
        <v>93053</v>
      </c>
      <c r="I1290" s="188" t="str">
        <f>VLOOKUP(C1290,CATEGORIZACION!$A$1:$C$269,2,FALSE)</f>
        <v>TRANSPORTE</v>
      </c>
      <c r="J1290" s="188" t="s">
        <v>19</v>
      </c>
    </row>
    <row r="1291" spans="1:10" ht="15.75" customHeight="1" x14ac:dyDescent="0.25">
      <c r="A1291" s="1">
        <v>45135</v>
      </c>
      <c r="B1291" s="188" t="s">
        <v>1292</v>
      </c>
      <c r="C1291" s="188" t="s">
        <v>36</v>
      </c>
      <c r="D1291" s="188" t="s">
        <v>37</v>
      </c>
      <c r="E1291" s="4">
        <v>9200</v>
      </c>
      <c r="F1291" s="5">
        <v>63000</v>
      </c>
      <c r="G1291" s="4">
        <v>13230</v>
      </c>
      <c r="H1291" s="4">
        <v>85430</v>
      </c>
      <c r="I1291" s="188" t="str">
        <f>VLOOKUP(C1291,CATEGORIZACION!$A$1:$C$269,2,FALSE)</f>
        <v>TRANSPORTE</v>
      </c>
      <c r="J1291" s="188" t="s">
        <v>19</v>
      </c>
    </row>
    <row r="1292" spans="1:10" ht="15.75" customHeight="1" x14ac:dyDescent="0.25">
      <c r="A1292" s="1">
        <v>45135</v>
      </c>
      <c r="B1292" s="188" t="s">
        <v>1293</v>
      </c>
      <c r="C1292" s="188" t="s">
        <v>36</v>
      </c>
      <c r="D1292" s="188" t="s">
        <v>37</v>
      </c>
      <c r="E1292" s="4">
        <v>7500</v>
      </c>
      <c r="F1292" s="5">
        <v>173200</v>
      </c>
      <c r="G1292" s="4">
        <v>36372</v>
      </c>
      <c r="H1292" s="4">
        <v>217072</v>
      </c>
      <c r="I1292" s="188" t="str">
        <f>VLOOKUP(C1292,CATEGORIZACION!$A$1:$C$269,2,FALSE)</f>
        <v>TRANSPORTE</v>
      </c>
      <c r="J1292" s="188" t="s">
        <v>19</v>
      </c>
    </row>
    <row r="1293" spans="1:10" ht="15.75" customHeight="1" x14ac:dyDescent="0.25">
      <c r="A1293" s="1">
        <v>45135</v>
      </c>
      <c r="B1293" s="188" t="s">
        <v>1294</v>
      </c>
      <c r="C1293" s="188" t="s">
        <v>36</v>
      </c>
      <c r="D1293" s="188" t="s">
        <v>37</v>
      </c>
      <c r="E1293" s="4">
        <v>6200</v>
      </c>
      <c r="F1293" s="5">
        <v>52000</v>
      </c>
      <c r="G1293" s="4">
        <v>10920</v>
      </c>
      <c r="H1293" s="4">
        <v>69120</v>
      </c>
      <c r="I1293" s="188" t="str">
        <f>VLOOKUP(C1293,CATEGORIZACION!$A$1:$C$269,2,FALSE)</f>
        <v>TRANSPORTE</v>
      </c>
      <c r="J1293" s="188" t="s">
        <v>19</v>
      </c>
    </row>
    <row r="1294" spans="1:10" ht="15.75" customHeight="1" x14ac:dyDescent="0.25">
      <c r="A1294" s="1">
        <v>45135</v>
      </c>
      <c r="B1294" s="188" t="s">
        <v>1295</v>
      </c>
      <c r="C1294" s="188" t="s">
        <v>36</v>
      </c>
      <c r="D1294" s="188" t="s">
        <v>37</v>
      </c>
      <c r="E1294" s="4">
        <v>9200</v>
      </c>
      <c r="F1294" s="5">
        <v>63000</v>
      </c>
      <c r="G1294" s="4">
        <v>13230</v>
      </c>
      <c r="H1294" s="4">
        <v>85430</v>
      </c>
      <c r="I1294" s="188" t="str">
        <f>VLOOKUP(C1294,CATEGORIZACION!$A$1:$C$269,2,FALSE)</f>
        <v>TRANSPORTE</v>
      </c>
      <c r="J1294" s="188" t="s">
        <v>19</v>
      </c>
    </row>
    <row r="1295" spans="1:10" ht="15.75" customHeight="1" x14ac:dyDescent="0.25">
      <c r="A1295" s="1">
        <v>45135</v>
      </c>
      <c r="B1295" s="188" t="s">
        <v>1296</v>
      </c>
      <c r="C1295" s="188" t="s">
        <v>36</v>
      </c>
      <c r="D1295" s="188" t="s">
        <v>37</v>
      </c>
      <c r="E1295" s="4">
        <v>6200</v>
      </c>
      <c r="F1295" s="5">
        <v>52000</v>
      </c>
      <c r="G1295" s="4">
        <v>10920</v>
      </c>
      <c r="H1295" s="4">
        <v>69120</v>
      </c>
      <c r="I1295" s="188" t="str">
        <f>VLOOKUP(C1295,CATEGORIZACION!$A$1:$C$269,2,FALSE)</f>
        <v>TRANSPORTE</v>
      </c>
      <c r="J1295" s="188" t="s">
        <v>19</v>
      </c>
    </row>
    <row r="1296" spans="1:10" ht="15.75" customHeight="1" x14ac:dyDescent="0.25">
      <c r="A1296" s="1">
        <v>45135</v>
      </c>
      <c r="B1296" s="188" t="s">
        <v>1297</v>
      </c>
      <c r="C1296" s="188" t="s">
        <v>36</v>
      </c>
      <c r="D1296" s="188" t="s">
        <v>37</v>
      </c>
      <c r="E1296" s="4">
        <v>9200</v>
      </c>
      <c r="F1296" s="5">
        <v>63000</v>
      </c>
      <c r="G1296" s="4">
        <v>13230</v>
      </c>
      <c r="H1296" s="4">
        <v>85430</v>
      </c>
      <c r="I1296" s="188" t="str">
        <f>VLOOKUP(C1296,CATEGORIZACION!$A$1:$C$269,2,FALSE)</f>
        <v>TRANSPORTE</v>
      </c>
      <c r="J1296" s="188" t="s">
        <v>19</v>
      </c>
    </row>
    <row r="1297" spans="1:10" ht="15.75" customHeight="1" x14ac:dyDescent="0.25">
      <c r="A1297" s="1">
        <v>45137</v>
      </c>
      <c r="B1297" s="188" t="s">
        <v>1298</v>
      </c>
      <c r="C1297" s="188" t="s">
        <v>36</v>
      </c>
      <c r="D1297" s="188" t="s">
        <v>37</v>
      </c>
      <c r="E1297" s="4">
        <v>2500</v>
      </c>
      <c r="F1297" s="5">
        <v>152250</v>
      </c>
      <c r="G1297" s="4">
        <v>31972.5</v>
      </c>
      <c r="H1297" s="4">
        <v>186722.5</v>
      </c>
      <c r="I1297" s="188" t="str">
        <f>VLOOKUP(C1297,CATEGORIZACION!$A$1:$C$269,2,FALSE)</f>
        <v>TRANSPORTE</v>
      </c>
      <c r="J1297" s="188" t="s">
        <v>19</v>
      </c>
    </row>
    <row r="1298" spans="1:10" ht="15.75" customHeight="1" x14ac:dyDescent="0.25">
      <c r="A1298" s="1">
        <v>45137</v>
      </c>
      <c r="B1298" s="188" t="s">
        <v>1299</v>
      </c>
      <c r="C1298" s="188" t="s">
        <v>36</v>
      </c>
      <c r="D1298" s="188" t="s">
        <v>37</v>
      </c>
      <c r="E1298" s="4">
        <v>2500</v>
      </c>
      <c r="F1298" s="5">
        <v>152250</v>
      </c>
      <c r="G1298" s="4">
        <v>31972.5</v>
      </c>
      <c r="H1298" s="4">
        <v>186722.5</v>
      </c>
      <c r="I1298" s="188" t="str">
        <f>VLOOKUP(C1298,CATEGORIZACION!$A$1:$C$269,2,FALSE)</f>
        <v>TRANSPORTE</v>
      </c>
      <c r="J1298" s="188" t="s">
        <v>19</v>
      </c>
    </row>
    <row r="1299" spans="1:10" ht="15.75" customHeight="1" x14ac:dyDescent="0.25">
      <c r="A1299" s="1">
        <v>45137</v>
      </c>
      <c r="B1299" s="188" t="s">
        <v>1300</v>
      </c>
      <c r="C1299" s="188" t="s">
        <v>36</v>
      </c>
      <c r="D1299" s="188" t="s">
        <v>37</v>
      </c>
      <c r="E1299" s="4">
        <v>2500</v>
      </c>
      <c r="F1299" s="5">
        <v>152250</v>
      </c>
      <c r="G1299" s="4">
        <v>31972.5</v>
      </c>
      <c r="H1299" s="4">
        <v>186722.5</v>
      </c>
      <c r="I1299" s="188" t="str">
        <f>VLOOKUP(C1299,CATEGORIZACION!$A$1:$C$269,2,FALSE)</f>
        <v>TRANSPORTE</v>
      </c>
      <c r="J1299" s="188" t="s">
        <v>19</v>
      </c>
    </row>
    <row r="1300" spans="1:10" ht="15.75" customHeight="1" x14ac:dyDescent="0.25">
      <c r="A1300" s="1">
        <v>45137</v>
      </c>
      <c r="B1300" s="188" t="s">
        <v>1301</v>
      </c>
      <c r="C1300" s="188" t="s">
        <v>36</v>
      </c>
      <c r="D1300" s="188" t="s">
        <v>37</v>
      </c>
      <c r="E1300" s="4">
        <v>2500</v>
      </c>
      <c r="F1300" s="5">
        <v>152250</v>
      </c>
      <c r="G1300" s="4">
        <v>31972.5</v>
      </c>
      <c r="H1300" s="4">
        <v>186722.5</v>
      </c>
      <c r="I1300" s="188" t="str">
        <f>VLOOKUP(C1300,CATEGORIZACION!$A$1:$C$269,2,FALSE)</f>
        <v>TRANSPORTE</v>
      </c>
      <c r="J1300" s="188" t="s">
        <v>19</v>
      </c>
    </row>
    <row r="1301" spans="1:10" ht="15.75" customHeight="1" x14ac:dyDescent="0.25">
      <c r="A1301" s="1">
        <v>45138</v>
      </c>
      <c r="B1301" s="188" t="s">
        <v>1302</v>
      </c>
      <c r="C1301" s="188" t="s">
        <v>714</v>
      </c>
      <c r="D1301" s="188" t="s">
        <v>715</v>
      </c>
      <c r="E1301" s="4">
        <v>0</v>
      </c>
      <c r="F1301" s="3">
        <v>290194.8</v>
      </c>
      <c r="G1301" s="4">
        <v>60940.91</v>
      </c>
      <c r="H1301" s="4">
        <v>351135.71</v>
      </c>
      <c r="I1301" s="188" t="str">
        <f>VLOOKUP(C1301,CATEGORIZACION!$A$1:$C$269,2,FALSE)</f>
        <v>PROOVEDORES</v>
      </c>
      <c r="J1301" s="188" t="str">
        <f>VLOOKUP(C1301,CATEGORIZACION!$A$1:$C$269,3,FALSE)</f>
        <v>DEPOSITO</v>
      </c>
    </row>
    <row r="1302" spans="1:10" ht="15.75" customHeight="1" x14ac:dyDescent="0.25">
      <c r="A1302" s="1">
        <v>45138</v>
      </c>
      <c r="B1302" s="188" t="s">
        <v>1303</v>
      </c>
      <c r="C1302" s="188" t="s">
        <v>84</v>
      </c>
      <c r="D1302" s="188" t="s">
        <v>85</v>
      </c>
      <c r="E1302" s="4">
        <v>42023.33</v>
      </c>
      <c r="F1302" s="5">
        <v>521293.47</v>
      </c>
      <c r="G1302" s="4">
        <v>109471.63</v>
      </c>
      <c r="H1302" s="4">
        <v>672788.43</v>
      </c>
      <c r="I1302" s="188" t="str">
        <f>VLOOKUP(C1302,CATEGORIZACION!$A$1:$C$269,2,FALSE)</f>
        <v>PROOVEDORES</v>
      </c>
      <c r="J1302" s="188" t="str">
        <f>VLOOKUP(C1302,CATEGORIZACION!$A$1:$C$269,3,FALSE)</f>
        <v>LOGISTICA</v>
      </c>
    </row>
    <row r="1303" spans="1:10" ht="15.75" customHeight="1" x14ac:dyDescent="0.25">
      <c r="A1303" s="1">
        <v>45138</v>
      </c>
      <c r="B1303" s="188" t="s">
        <v>1304</v>
      </c>
      <c r="C1303" s="188" t="s">
        <v>84</v>
      </c>
      <c r="D1303" s="188" t="s">
        <v>85</v>
      </c>
      <c r="E1303" s="4">
        <v>37681.129999999925</v>
      </c>
      <c r="F1303" s="5">
        <v>30605.45</v>
      </c>
      <c r="G1303" s="4">
        <v>99694.13</v>
      </c>
      <c r="H1303" s="5">
        <v>30605.45</v>
      </c>
      <c r="I1303" s="188" t="str">
        <f>VLOOKUP(C1303,CATEGORIZACION!$A$1:$C$269,2,FALSE)</f>
        <v>PROOVEDORES</v>
      </c>
      <c r="J1303" s="188" t="str">
        <f>VLOOKUP(C1303,CATEGORIZACION!$A$1:$C$269,3,FALSE)</f>
        <v>LOGISTICA</v>
      </c>
    </row>
    <row r="1304" spans="1:10" ht="15.75" customHeight="1" x14ac:dyDescent="0.25">
      <c r="A1304" s="1">
        <v>45138</v>
      </c>
      <c r="B1304" s="188" t="s">
        <v>1305</v>
      </c>
      <c r="C1304" s="188" t="s">
        <v>665</v>
      </c>
      <c r="D1304" s="188" t="s">
        <v>666</v>
      </c>
      <c r="E1304" s="4">
        <v>0</v>
      </c>
      <c r="F1304" s="5">
        <v>49798.36</v>
      </c>
      <c r="G1304" s="4">
        <v>10457.66</v>
      </c>
      <c r="H1304" s="4">
        <v>60256.02</v>
      </c>
      <c r="I1304" s="188" t="str">
        <f>VLOOKUP(C1304,CATEGORIZACION!$A$1:$C$269,2,FALSE)</f>
        <v>PROOVEDORES</v>
      </c>
      <c r="J1304" s="188" t="str">
        <f>VLOOKUP(C1304,CATEGORIZACION!$A$1:$C$269,3,FALSE)</f>
        <v>LOGISTICA</v>
      </c>
    </row>
    <row r="1305" spans="1:10" ht="15.75" customHeight="1" x14ac:dyDescent="0.25">
      <c r="A1305" s="1">
        <v>45138</v>
      </c>
      <c r="B1305" s="188" t="s">
        <v>1306</v>
      </c>
      <c r="C1305" s="188" t="s">
        <v>87</v>
      </c>
      <c r="D1305" s="188" t="s">
        <v>88</v>
      </c>
      <c r="E1305" s="4">
        <v>0</v>
      </c>
      <c r="F1305" s="5">
        <v>7140</v>
      </c>
      <c r="G1305" s="4">
        <v>1499.4</v>
      </c>
      <c r="H1305" s="4">
        <v>8639.4</v>
      </c>
      <c r="I1305" s="188" t="str">
        <f>VLOOKUP(C1305,CATEGORIZACION!$A$1:$C$269,2,FALSE)</f>
        <v>PROOVEDORES</v>
      </c>
      <c r="J1305" s="188" t="str">
        <f>VLOOKUP(C1305,CATEGORIZACION!$A$1:$C$269,3,FALSE)</f>
        <v>LOGISTICA</v>
      </c>
    </row>
    <row r="1306" spans="1:10" ht="15.75" customHeight="1" x14ac:dyDescent="0.25">
      <c r="A1306" s="1">
        <v>45138</v>
      </c>
      <c r="B1306" s="188" t="s">
        <v>1307</v>
      </c>
      <c r="C1306" s="188" t="s">
        <v>1308</v>
      </c>
      <c r="D1306" s="188" t="s">
        <v>1309</v>
      </c>
      <c r="E1306" s="4">
        <v>15.34</v>
      </c>
      <c r="F1306" s="5">
        <v>1917.63</v>
      </c>
      <c r="G1306" s="4">
        <v>402.7</v>
      </c>
      <c r="H1306" s="4">
        <v>2335.67</v>
      </c>
      <c r="I1306" s="188" t="str">
        <f>VLOOKUP(C1306,CATEGORIZACION!$A$1:$C$269,2,FALSE)</f>
        <v>PROOVEDORES</v>
      </c>
      <c r="J1306" s="188" t="str">
        <f>VLOOKUP(C1306,CATEGORIZACION!$A$1:$C$269,3,FALSE)</f>
        <v>LOGISTICA</v>
      </c>
    </row>
    <row r="1307" spans="1:10" ht="15.75" customHeight="1" x14ac:dyDescent="0.25">
      <c r="A1307" s="1">
        <v>45138</v>
      </c>
      <c r="B1307" s="188" t="s">
        <v>1310</v>
      </c>
      <c r="C1307" s="188" t="s">
        <v>36</v>
      </c>
      <c r="D1307" s="188" t="s">
        <v>37</v>
      </c>
      <c r="E1307" s="4">
        <v>6200</v>
      </c>
      <c r="F1307" s="5">
        <v>52000</v>
      </c>
      <c r="G1307" s="4">
        <v>10920</v>
      </c>
      <c r="H1307" s="4">
        <v>69120</v>
      </c>
      <c r="I1307" s="188" t="str">
        <f>VLOOKUP(C1307,CATEGORIZACION!$A$1:$C$269,2,FALSE)</f>
        <v>TRANSPORTE</v>
      </c>
      <c r="J1307" s="188" t="s">
        <v>19</v>
      </c>
    </row>
    <row r="1308" spans="1:10" ht="15.75" customHeight="1" x14ac:dyDescent="0.25">
      <c r="A1308" s="1">
        <v>45138</v>
      </c>
      <c r="B1308" s="188" t="s">
        <v>1311</v>
      </c>
      <c r="C1308" s="188" t="s">
        <v>36</v>
      </c>
      <c r="D1308" s="188" t="s">
        <v>37</v>
      </c>
      <c r="E1308" s="4">
        <v>11500</v>
      </c>
      <c r="F1308" s="5">
        <v>85300</v>
      </c>
      <c r="G1308" s="4">
        <v>17913</v>
      </c>
      <c r="H1308" s="4">
        <v>114713</v>
      </c>
      <c r="I1308" s="188" t="str">
        <f>VLOOKUP(C1308,CATEGORIZACION!$A$1:$C$269,2,FALSE)</f>
        <v>TRANSPORTE</v>
      </c>
      <c r="J1308" s="188" t="s">
        <v>19</v>
      </c>
    </row>
    <row r="1309" spans="1:10" ht="15.75" customHeight="1" x14ac:dyDescent="0.25">
      <c r="A1309" s="1">
        <v>45138</v>
      </c>
      <c r="B1309" s="188" t="s">
        <v>1312</v>
      </c>
      <c r="C1309" s="188" t="s">
        <v>36</v>
      </c>
      <c r="D1309" s="188" t="s">
        <v>37</v>
      </c>
      <c r="E1309" s="4">
        <v>6200</v>
      </c>
      <c r="F1309" s="5">
        <v>52000</v>
      </c>
      <c r="G1309" s="4">
        <v>10920</v>
      </c>
      <c r="H1309" s="4">
        <v>69120</v>
      </c>
      <c r="I1309" s="188" t="str">
        <f>VLOOKUP(C1309,CATEGORIZACION!$A$1:$C$269,2,FALSE)</f>
        <v>TRANSPORTE</v>
      </c>
      <c r="J1309" s="188" t="s">
        <v>19</v>
      </c>
    </row>
    <row r="1310" spans="1:10" ht="15.75" customHeight="1" x14ac:dyDescent="0.25">
      <c r="A1310" s="1">
        <v>45138</v>
      </c>
      <c r="B1310" s="188" t="s">
        <v>1313</v>
      </c>
      <c r="C1310" s="188" t="s">
        <v>36</v>
      </c>
      <c r="D1310" s="188" t="s">
        <v>37</v>
      </c>
      <c r="E1310" s="4">
        <v>11500</v>
      </c>
      <c r="F1310" s="5">
        <v>152250</v>
      </c>
      <c r="G1310" s="4">
        <v>31972.5</v>
      </c>
      <c r="H1310" s="4">
        <v>195722.5</v>
      </c>
      <c r="I1310" s="188" t="str">
        <f>VLOOKUP(C1310,CATEGORIZACION!$A$1:$C$269,2,FALSE)</f>
        <v>TRANSPORTE</v>
      </c>
      <c r="J1310" s="188" t="s">
        <v>19</v>
      </c>
    </row>
    <row r="1311" spans="1:10" ht="15.75" customHeight="1" x14ac:dyDescent="0.25">
      <c r="A1311" s="1">
        <v>45138</v>
      </c>
      <c r="B1311" s="188" t="s">
        <v>1314</v>
      </c>
      <c r="C1311" s="188" t="s">
        <v>36</v>
      </c>
      <c r="D1311" s="188" t="s">
        <v>37</v>
      </c>
      <c r="E1311" s="4">
        <v>11500</v>
      </c>
      <c r="F1311" s="5">
        <v>152250</v>
      </c>
      <c r="G1311" s="4">
        <v>31972.5</v>
      </c>
      <c r="H1311" s="4">
        <v>195722.5</v>
      </c>
      <c r="I1311" s="188" t="str">
        <f>VLOOKUP(C1311,CATEGORIZACION!$A$1:$C$269,2,FALSE)</f>
        <v>TRANSPORTE</v>
      </c>
      <c r="J1311" s="188" t="s">
        <v>19</v>
      </c>
    </row>
    <row r="1312" spans="1:10" ht="15.75" customHeight="1" x14ac:dyDescent="0.25">
      <c r="A1312" s="1">
        <v>45138</v>
      </c>
      <c r="B1312" s="188" t="s">
        <v>1315</v>
      </c>
      <c r="C1312" s="188" t="s">
        <v>36</v>
      </c>
      <c r="D1312" s="188" t="s">
        <v>37</v>
      </c>
      <c r="E1312" s="4">
        <v>11500</v>
      </c>
      <c r="F1312" s="5">
        <v>152250</v>
      </c>
      <c r="G1312" s="4">
        <v>31972.5</v>
      </c>
      <c r="H1312" s="4">
        <v>195722.5</v>
      </c>
      <c r="I1312" s="188" t="str">
        <f>VLOOKUP(C1312,CATEGORIZACION!$A$1:$C$269,2,FALSE)</f>
        <v>TRANSPORTE</v>
      </c>
      <c r="J1312" s="188" t="s">
        <v>19</v>
      </c>
    </row>
    <row r="1313" spans="1:10" ht="15.75" customHeight="1" x14ac:dyDescent="0.25">
      <c r="A1313" s="1">
        <v>45138</v>
      </c>
      <c r="B1313" s="188" t="s">
        <v>1316</v>
      </c>
      <c r="C1313" s="188" t="s">
        <v>36</v>
      </c>
      <c r="D1313" s="188" t="s">
        <v>37</v>
      </c>
      <c r="E1313" s="4">
        <v>11500</v>
      </c>
      <c r="F1313" s="5">
        <v>152250</v>
      </c>
      <c r="G1313" s="4">
        <v>31972.5</v>
      </c>
      <c r="H1313" s="4">
        <v>195722.5</v>
      </c>
      <c r="I1313" s="188" t="str">
        <f>VLOOKUP(C1313,CATEGORIZACION!$A$1:$C$269,2,FALSE)</f>
        <v>TRANSPORTE</v>
      </c>
      <c r="J1313" s="188" t="s">
        <v>19</v>
      </c>
    </row>
    <row r="1314" spans="1:10" ht="15.75" customHeight="1" x14ac:dyDescent="0.25">
      <c r="A1314" s="1">
        <v>45138</v>
      </c>
      <c r="B1314" s="188" t="s">
        <v>1317</v>
      </c>
      <c r="C1314" s="188" t="s">
        <v>36</v>
      </c>
      <c r="D1314" s="188" t="s">
        <v>37</v>
      </c>
      <c r="E1314" s="4">
        <v>11500</v>
      </c>
      <c r="F1314" s="5">
        <v>152250</v>
      </c>
      <c r="G1314" s="4">
        <v>31972.5</v>
      </c>
      <c r="H1314" s="4">
        <v>195722.5</v>
      </c>
      <c r="I1314" s="188" t="str">
        <f>VLOOKUP(C1314,CATEGORIZACION!$A$1:$C$269,2,FALSE)</f>
        <v>TRANSPORTE</v>
      </c>
      <c r="J1314" s="188" t="s">
        <v>19</v>
      </c>
    </row>
    <row r="1315" spans="1:10" ht="15.75" customHeight="1" x14ac:dyDescent="0.25">
      <c r="A1315" s="1">
        <v>45138</v>
      </c>
      <c r="B1315" s="188" t="s">
        <v>1318</v>
      </c>
      <c r="C1315" s="188" t="s">
        <v>36</v>
      </c>
      <c r="D1315" s="188" t="s">
        <v>37</v>
      </c>
      <c r="E1315" s="4">
        <v>11500</v>
      </c>
      <c r="F1315" s="5">
        <v>152250</v>
      </c>
      <c r="G1315" s="4">
        <v>31972.5</v>
      </c>
      <c r="H1315" s="4">
        <v>195722.5</v>
      </c>
      <c r="I1315" s="188" t="str">
        <f>VLOOKUP(C1315,CATEGORIZACION!$A$1:$C$269,2,FALSE)</f>
        <v>TRANSPORTE</v>
      </c>
      <c r="J1315" s="188" t="s">
        <v>19</v>
      </c>
    </row>
    <row r="1316" spans="1:10" ht="15.75" customHeight="1" x14ac:dyDescent="0.25">
      <c r="A1316" s="1">
        <v>45138</v>
      </c>
      <c r="B1316" s="188" t="s">
        <v>1319</v>
      </c>
      <c r="C1316" s="188" t="s">
        <v>36</v>
      </c>
      <c r="D1316" s="188" t="s">
        <v>37</v>
      </c>
      <c r="E1316" s="4">
        <v>11500</v>
      </c>
      <c r="F1316" s="5">
        <v>122050</v>
      </c>
      <c r="G1316" s="4">
        <v>25630.5</v>
      </c>
      <c r="H1316" s="4">
        <v>159180.5</v>
      </c>
      <c r="I1316" s="188" t="str">
        <f>VLOOKUP(C1316,CATEGORIZACION!$A$1:$C$269,2,FALSE)</f>
        <v>TRANSPORTE</v>
      </c>
      <c r="J1316" s="188" t="s">
        <v>19</v>
      </c>
    </row>
    <row r="1317" spans="1:10" ht="15.75" customHeight="1" x14ac:dyDescent="0.25">
      <c r="A1317" s="1">
        <v>45138</v>
      </c>
      <c r="B1317" s="188" t="s">
        <v>1320</v>
      </c>
      <c r="C1317" s="188" t="s">
        <v>36</v>
      </c>
      <c r="D1317" s="188" t="s">
        <v>37</v>
      </c>
      <c r="E1317" s="4">
        <v>11500</v>
      </c>
      <c r="F1317" s="5">
        <v>122050</v>
      </c>
      <c r="G1317" s="4">
        <v>25630.5</v>
      </c>
      <c r="H1317" s="4">
        <v>159180.5</v>
      </c>
      <c r="I1317" s="188" t="str">
        <f>VLOOKUP(C1317,CATEGORIZACION!$A$1:$C$269,2,FALSE)</f>
        <v>TRANSPORTE</v>
      </c>
      <c r="J1317" s="188" t="s">
        <v>19</v>
      </c>
    </row>
    <row r="1318" spans="1:10" ht="15.75" customHeight="1" x14ac:dyDescent="0.25">
      <c r="A1318" s="1">
        <v>45138</v>
      </c>
      <c r="B1318" s="188" t="s">
        <v>1321</v>
      </c>
      <c r="C1318" s="188" t="s">
        <v>214</v>
      </c>
      <c r="D1318" s="188" t="s">
        <v>471</v>
      </c>
      <c r="E1318" s="4">
        <v>96000</v>
      </c>
      <c r="F1318" s="5">
        <v>0</v>
      </c>
      <c r="G1318" s="4">
        <v>0</v>
      </c>
      <c r="H1318" s="4">
        <v>96000</v>
      </c>
      <c r="I1318" s="188" t="str">
        <f>VLOOKUP(C1318,CATEGORIZACION!$A$1:$C$269,2,FALSE)</f>
        <v>PROOVEDORES</v>
      </c>
      <c r="J1318" s="188" t="str">
        <f>VLOOKUP(C1318,CATEGORIZACION!$A$1:$C$269,3,FALSE)</f>
        <v>LOGISTICA</v>
      </c>
    </row>
    <row r="1319" spans="1:10" ht="15.75" customHeight="1" x14ac:dyDescent="0.25">
      <c r="A1319" s="1">
        <v>45138</v>
      </c>
      <c r="B1319" s="188" t="s">
        <v>82</v>
      </c>
      <c r="C1319" s="188" t="s">
        <v>188</v>
      </c>
      <c r="D1319" s="188">
        <v>0</v>
      </c>
      <c r="E1319" s="4">
        <v>0</v>
      </c>
      <c r="F1319" s="3">
        <v>1236300</v>
      </c>
      <c r="G1319" s="4">
        <v>0</v>
      </c>
      <c r="H1319" s="4">
        <v>0</v>
      </c>
      <c r="I1319" s="188" t="str">
        <f>VLOOKUP(C1319,CATEGORIZACION!$A$1:$C$269,2,FALSE)</f>
        <v>SUELDOS</v>
      </c>
      <c r="J1319" s="188" t="s">
        <v>103</v>
      </c>
    </row>
    <row r="1320" spans="1:10" ht="15.75" customHeight="1" x14ac:dyDescent="0.25">
      <c r="A1320" s="1">
        <v>45138</v>
      </c>
      <c r="B1320" s="188" t="s">
        <v>82</v>
      </c>
      <c r="C1320" s="188" t="s">
        <v>189</v>
      </c>
      <c r="D1320" s="188">
        <v>0</v>
      </c>
      <c r="E1320" s="4">
        <v>0</v>
      </c>
      <c r="F1320" s="3">
        <v>351000</v>
      </c>
      <c r="G1320" s="4">
        <v>0</v>
      </c>
      <c r="H1320" s="4">
        <v>0</v>
      </c>
      <c r="I1320" s="188" t="str">
        <f>VLOOKUP(C1320,CATEGORIZACION!$A$1:$C$269,2,FALSE)</f>
        <v>SUELDOS</v>
      </c>
      <c r="J1320" s="188" t="s">
        <v>103</v>
      </c>
    </row>
    <row r="1321" spans="1:10" ht="15.75" customHeight="1" x14ac:dyDescent="0.25">
      <c r="A1321" s="1">
        <v>45138</v>
      </c>
      <c r="B1321" s="188" t="s">
        <v>82</v>
      </c>
      <c r="C1321" s="188" t="s">
        <v>1114</v>
      </c>
      <c r="D1321" s="188">
        <v>0</v>
      </c>
      <c r="E1321" s="4">
        <v>0</v>
      </c>
      <c r="F1321" s="3">
        <v>0</v>
      </c>
      <c r="G1321" s="4">
        <v>0</v>
      </c>
      <c r="H1321" s="4">
        <v>0</v>
      </c>
      <c r="I1321" s="188" t="str">
        <f>VLOOKUP(C1321,CATEGORIZACION!$A$1:$C$269,2,FALSE)</f>
        <v>SUELDOS</v>
      </c>
      <c r="J1321" s="188" t="s">
        <v>103</v>
      </c>
    </row>
    <row r="1322" spans="1:10" ht="15.75" customHeight="1" x14ac:dyDescent="0.25">
      <c r="A1322" s="1">
        <v>45138</v>
      </c>
      <c r="B1322" s="188" t="s">
        <v>82</v>
      </c>
      <c r="C1322" s="188" t="s">
        <v>1115</v>
      </c>
      <c r="D1322" s="188">
        <v>0</v>
      </c>
      <c r="E1322" s="4">
        <v>0</v>
      </c>
      <c r="F1322" s="5">
        <v>0</v>
      </c>
      <c r="G1322" s="4">
        <v>0</v>
      </c>
      <c r="H1322" s="4">
        <v>0</v>
      </c>
      <c r="I1322" s="188" t="str">
        <f>VLOOKUP(C1322,CATEGORIZACION!$A$1:$C$269,2,FALSE)</f>
        <v>SUELDOS</v>
      </c>
      <c r="J1322" s="188" t="s">
        <v>19</v>
      </c>
    </row>
    <row r="1323" spans="1:10" ht="15.75" customHeight="1" x14ac:dyDescent="0.25">
      <c r="A1323" s="1">
        <v>45138</v>
      </c>
      <c r="B1323" s="188" t="s">
        <v>82</v>
      </c>
      <c r="C1323" s="188" t="s">
        <v>190</v>
      </c>
      <c r="D1323" s="188">
        <v>0</v>
      </c>
      <c r="E1323" s="4">
        <v>0</v>
      </c>
      <c r="F1323" s="5">
        <v>2455060</v>
      </c>
      <c r="G1323" s="4">
        <v>0</v>
      </c>
      <c r="H1323" s="4">
        <v>0</v>
      </c>
      <c r="I1323" s="188" t="str">
        <f>VLOOKUP(C1323,CATEGORIZACION!$A$1:$C$269,2,FALSE)</f>
        <v>SUELDOS</v>
      </c>
      <c r="J1323" s="188" t="s">
        <v>19</v>
      </c>
    </row>
    <row r="1324" spans="1:10" ht="15.75" customHeight="1" x14ac:dyDescent="0.25">
      <c r="A1324" s="1">
        <v>45138</v>
      </c>
      <c r="B1324" s="188" t="s">
        <v>82</v>
      </c>
      <c r="C1324" s="188" t="s">
        <v>191</v>
      </c>
      <c r="D1324" s="188">
        <v>0</v>
      </c>
      <c r="E1324" s="4">
        <v>0</v>
      </c>
      <c r="F1324" s="5">
        <v>539399</v>
      </c>
      <c r="G1324" s="4">
        <v>0</v>
      </c>
      <c r="H1324" s="4">
        <v>0</v>
      </c>
      <c r="I1324" s="188" t="str">
        <f>VLOOKUP(C1324,CATEGORIZACION!$A$1:$C$269,2,FALSE)</f>
        <v>SUELDOS</v>
      </c>
      <c r="J1324" s="188" t="s">
        <v>19</v>
      </c>
    </row>
    <row r="1325" spans="1:10" ht="15.75" customHeight="1" x14ac:dyDescent="0.25">
      <c r="A1325" s="1">
        <v>45138</v>
      </c>
      <c r="B1325" s="188" t="s">
        <v>82</v>
      </c>
      <c r="C1325" s="188" t="s">
        <v>192</v>
      </c>
      <c r="D1325" s="188">
        <v>0</v>
      </c>
      <c r="E1325" s="4">
        <v>0</v>
      </c>
      <c r="F1325" s="3">
        <v>0</v>
      </c>
      <c r="G1325" s="4">
        <v>0</v>
      </c>
      <c r="H1325" s="4">
        <v>0</v>
      </c>
      <c r="I1325" s="188" t="str">
        <f>VLOOKUP(C1325,CATEGORIZACION!$A$1:$C$269,2,FALSE)</f>
        <v>SUELDOS</v>
      </c>
      <c r="J1325" s="188" t="s">
        <v>103</v>
      </c>
    </row>
    <row r="1326" spans="1:10" ht="15.75" customHeight="1" x14ac:dyDescent="0.25">
      <c r="A1326" s="1">
        <v>45138</v>
      </c>
      <c r="B1326" s="188" t="s">
        <v>82</v>
      </c>
      <c r="C1326" s="188" t="s">
        <v>193</v>
      </c>
      <c r="D1326" s="188">
        <v>0</v>
      </c>
      <c r="E1326" s="4">
        <v>0</v>
      </c>
      <c r="F1326" s="5">
        <v>0</v>
      </c>
      <c r="G1326" s="4">
        <v>0</v>
      </c>
      <c r="H1326" s="4">
        <v>0</v>
      </c>
      <c r="I1326" s="188" t="str">
        <f>VLOOKUP(C1326,CATEGORIZACION!$A$1:$C$269,2,FALSE)</f>
        <v>SUELDOS</v>
      </c>
      <c r="J1326" s="188" t="s">
        <v>19</v>
      </c>
    </row>
    <row r="1327" spans="1:10" ht="15.75" customHeight="1" x14ac:dyDescent="0.25">
      <c r="A1327" s="1">
        <v>45138</v>
      </c>
      <c r="B1327" s="188" t="s">
        <v>82</v>
      </c>
      <c r="C1327" s="188" t="s">
        <v>194</v>
      </c>
      <c r="D1327" s="188">
        <v>0</v>
      </c>
      <c r="E1327" s="4">
        <v>0</v>
      </c>
      <c r="F1327" s="3">
        <v>1075680</v>
      </c>
      <c r="G1327" s="4">
        <v>0</v>
      </c>
      <c r="H1327" s="4">
        <v>0</v>
      </c>
      <c r="I1327" s="188" t="str">
        <f>VLOOKUP(C1327,CATEGORIZACION!$A$1:$C$269,2,FALSE)</f>
        <v>ALQUILER</v>
      </c>
      <c r="J1327" s="188" t="s">
        <v>103</v>
      </c>
    </row>
    <row r="1328" spans="1:10" ht="15.75" customHeight="1" x14ac:dyDescent="0.25">
      <c r="A1328" s="1">
        <v>45138</v>
      </c>
      <c r="B1328" s="188" t="s">
        <v>82</v>
      </c>
      <c r="C1328" s="188" t="s">
        <v>195</v>
      </c>
      <c r="D1328" s="188">
        <v>0</v>
      </c>
      <c r="E1328" s="4">
        <v>0</v>
      </c>
      <c r="F1328" s="3">
        <v>661250</v>
      </c>
      <c r="G1328" s="4">
        <v>0</v>
      </c>
      <c r="H1328" s="4">
        <v>0</v>
      </c>
      <c r="I1328" s="188" t="str">
        <f>VLOOKUP(C1328,CATEGORIZACION!$A$1:$C$269,2,FALSE)</f>
        <v>ALQUILER</v>
      </c>
      <c r="J1328" s="188" t="s">
        <v>103</v>
      </c>
    </row>
    <row r="1329" spans="1:10" ht="15.75" customHeight="1" x14ac:dyDescent="0.25">
      <c r="A1329" s="1">
        <v>45138</v>
      </c>
      <c r="B1329" s="188" t="s">
        <v>82</v>
      </c>
      <c r="C1329" s="188" t="s">
        <v>196</v>
      </c>
      <c r="D1329" s="188">
        <v>0</v>
      </c>
      <c r="E1329" s="4">
        <v>0</v>
      </c>
      <c r="F1329" s="3">
        <v>313518</v>
      </c>
      <c r="G1329" s="4">
        <v>0</v>
      </c>
      <c r="H1329" s="4">
        <v>0</v>
      </c>
      <c r="I1329" s="188" t="str">
        <f>VLOOKUP(C1329,CATEGORIZACION!$A$1:$C$269,2,FALSE)</f>
        <v>ALQUILER</v>
      </c>
      <c r="J1329" s="188" t="s">
        <v>103</v>
      </c>
    </row>
    <row r="1330" spans="1:10" ht="15.75" customHeight="1" x14ac:dyDescent="0.25">
      <c r="A1330" s="1">
        <v>45138</v>
      </c>
      <c r="B1330" s="188" t="s">
        <v>82</v>
      </c>
      <c r="C1330" s="188" t="s">
        <v>197</v>
      </c>
      <c r="D1330" s="188">
        <v>0</v>
      </c>
      <c r="E1330" s="4">
        <v>0</v>
      </c>
      <c r="F1330" s="3">
        <v>64121</v>
      </c>
      <c r="G1330" s="4">
        <v>0</v>
      </c>
      <c r="H1330" s="4">
        <v>0</v>
      </c>
      <c r="I1330" s="188" t="str">
        <f>VLOOKUP(C1330,CATEGORIZACION!$A$1:$C$269,2,FALSE)</f>
        <v>ALQUILER</v>
      </c>
      <c r="J1330" s="188" t="s">
        <v>103</v>
      </c>
    </row>
    <row r="1331" spans="1:10" ht="15.75" customHeight="1" x14ac:dyDescent="0.25">
      <c r="A1331" s="1">
        <v>45138</v>
      </c>
      <c r="B1331" s="188" t="s">
        <v>82</v>
      </c>
      <c r="C1331" s="188" t="s">
        <v>198</v>
      </c>
      <c r="D1331" s="188">
        <v>0</v>
      </c>
      <c r="E1331" s="4">
        <v>0</v>
      </c>
      <c r="F1331" s="5">
        <v>220000</v>
      </c>
      <c r="G1331" s="4">
        <v>0</v>
      </c>
      <c r="H1331" s="4">
        <v>0</v>
      </c>
      <c r="I1331" s="188" t="str">
        <f>VLOOKUP(C1331,CATEGORIZACION!$A$1:$C$269,2,FALSE)</f>
        <v>ALQUILER</v>
      </c>
      <c r="J1331" s="188" t="s">
        <v>19</v>
      </c>
    </row>
    <row r="1332" spans="1:10" ht="15.75" customHeight="1" x14ac:dyDescent="0.25">
      <c r="A1332" s="1">
        <v>45138</v>
      </c>
      <c r="B1332" s="188" t="s">
        <v>82</v>
      </c>
      <c r="C1332" s="188" t="s">
        <v>199</v>
      </c>
      <c r="D1332" s="188">
        <v>0</v>
      </c>
      <c r="E1332" s="4">
        <v>0</v>
      </c>
      <c r="F1332" s="3">
        <v>29050</v>
      </c>
      <c r="G1332" s="4">
        <v>0</v>
      </c>
      <c r="H1332" s="4">
        <v>0</v>
      </c>
      <c r="I1332" s="188" t="str">
        <f>VLOOKUP(C1332,CATEGORIZACION!$A$1:$C$269,2,FALSE)</f>
        <v>PROOVEDORES</v>
      </c>
      <c r="J1332" s="188" t="str">
        <f>VLOOKUP(C1332,CATEGORIZACION!$A$1:$C$269,3,FALSE)</f>
        <v>DEPOSITO</v>
      </c>
    </row>
    <row r="1333" spans="1:10" ht="15.75" customHeight="1" x14ac:dyDescent="0.25">
      <c r="A1333" s="1">
        <v>45138</v>
      </c>
      <c r="B1333" s="188" t="s">
        <v>82</v>
      </c>
      <c r="C1333" s="188" t="s">
        <v>200</v>
      </c>
      <c r="D1333" s="188">
        <v>0</v>
      </c>
      <c r="E1333" s="4">
        <v>0</v>
      </c>
      <c r="F1333" s="5">
        <v>497070</v>
      </c>
      <c r="G1333" s="4">
        <v>0</v>
      </c>
      <c r="H1333" s="4">
        <v>0</v>
      </c>
      <c r="I1333" s="188" t="str">
        <f>VLOOKUP(C1333,CATEGORIZACION!$A$1:$C$269,2,FALSE)</f>
        <v>PROOVEDORES</v>
      </c>
      <c r="J1333" s="188" t="str">
        <f>VLOOKUP(C1333,CATEGORIZACION!$A$1:$C$269,3,FALSE)</f>
        <v>LOGISTICA</v>
      </c>
    </row>
    <row r="1334" spans="1:10" ht="15.75" customHeight="1" x14ac:dyDescent="0.25">
      <c r="A1334" s="1">
        <v>45138</v>
      </c>
      <c r="B1334" s="188" t="s">
        <v>82</v>
      </c>
      <c r="C1334" s="188" t="s">
        <v>1117</v>
      </c>
      <c r="D1334" s="188">
        <v>0</v>
      </c>
      <c r="E1334" s="4">
        <v>0</v>
      </c>
      <c r="F1334" s="5">
        <v>0</v>
      </c>
      <c r="G1334" s="4">
        <v>0</v>
      </c>
      <c r="H1334" s="4">
        <v>0</v>
      </c>
      <c r="I1334" s="188" t="str">
        <f>VLOOKUP(C1334,CATEGORIZACION!$A$1:$C$269,2,FALSE)</f>
        <v>PROOVEDORES</v>
      </c>
      <c r="J1334" s="188" t="str">
        <f>VLOOKUP(C1334,CATEGORIZACION!$A$1:$C$269,3,FALSE)</f>
        <v>LOGISTICA</v>
      </c>
    </row>
    <row r="1335" spans="1:10" ht="15.75" customHeight="1" x14ac:dyDescent="0.25">
      <c r="A1335" s="1">
        <v>45138</v>
      </c>
      <c r="B1335" s="188" t="s">
        <v>82</v>
      </c>
      <c r="C1335" s="188" t="s">
        <v>363</v>
      </c>
      <c r="D1335" s="188">
        <v>0</v>
      </c>
      <c r="E1335" s="4">
        <v>0</v>
      </c>
      <c r="F1335" s="5">
        <v>0</v>
      </c>
      <c r="G1335" s="4">
        <v>0</v>
      </c>
      <c r="H1335" s="4">
        <v>0</v>
      </c>
      <c r="I1335" s="188" t="str">
        <f>VLOOKUP(C1335,CATEGORIZACION!$A$1:$C$269,2,FALSE)</f>
        <v>PROOVEDORES</v>
      </c>
      <c r="J1335" s="188" t="str">
        <f>VLOOKUP(C1335,CATEGORIZACION!$A$1:$C$269,3,FALSE)</f>
        <v>LOGISTICA</v>
      </c>
    </row>
    <row r="1336" spans="1:10" ht="15.75" customHeight="1" x14ac:dyDescent="0.25">
      <c r="A1336" s="1">
        <v>45138</v>
      </c>
      <c r="B1336" s="188" t="s">
        <v>82</v>
      </c>
      <c r="C1336" s="188" t="s">
        <v>204</v>
      </c>
      <c r="D1336" s="188">
        <v>0</v>
      </c>
      <c r="E1336" s="4">
        <v>0</v>
      </c>
      <c r="F1336" s="5">
        <v>463371</v>
      </c>
      <c r="G1336" s="4">
        <v>0</v>
      </c>
      <c r="H1336" s="4">
        <v>0</v>
      </c>
      <c r="I1336" s="188" t="str">
        <f>VLOOKUP(C1336,CATEGORIZACION!$A$1:$C$269,2,FALSE)</f>
        <v>PROOVEDORES</v>
      </c>
      <c r="J1336" s="188" t="str">
        <f>VLOOKUP(C1336,CATEGORIZACION!$A$1:$C$269,3,FALSE)</f>
        <v>LOGISTICA</v>
      </c>
    </row>
    <row r="1337" spans="1:10" ht="15.75" customHeight="1" x14ac:dyDescent="0.25">
      <c r="A1337" s="1">
        <v>45138</v>
      </c>
      <c r="B1337" s="188" t="s">
        <v>82</v>
      </c>
      <c r="C1337" s="188" t="s">
        <v>205</v>
      </c>
      <c r="D1337" s="188">
        <v>0</v>
      </c>
      <c r="E1337" s="4">
        <v>0</v>
      </c>
      <c r="F1337" s="5">
        <v>323000</v>
      </c>
      <c r="G1337" s="4">
        <v>0</v>
      </c>
      <c r="H1337" s="4">
        <v>0</v>
      </c>
      <c r="I1337" s="188" t="str">
        <f>VLOOKUP(C1337,CATEGORIZACION!$A$1:$C$269,2,FALSE)</f>
        <v>AFIP</v>
      </c>
      <c r="J1337" s="188" t="s">
        <v>19</v>
      </c>
    </row>
    <row r="1338" spans="1:10" ht="15.75" customHeight="1" x14ac:dyDescent="0.25">
      <c r="A1338" s="1">
        <v>45138</v>
      </c>
      <c r="B1338" s="188" t="s">
        <v>82</v>
      </c>
      <c r="C1338" s="188" t="s">
        <v>690</v>
      </c>
      <c r="D1338" s="188">
        <v>0</v>
      </c>
      <c r="E1338" s="4">
        <v>0</v>
      </c>
      <c r="F1338" s="3">
        <v>623343</v>
      </c>
      <c r="G1338" s="4">
        <v>0</v>
      </c>
      <c r="H1338" s="4">
        <v>0</v>
      </c>
      <c r="I1338" s="188" t="str">
        <f>VLOOKUP(C1338,CATEGORIZACION!$A$1:$C$269,2,FALSE)</f>
        <v>AFIP</v>
      </c>
      <c r="J1338" s="188" t="s">
        <v>103</v>
      </c>
    </row>
    <row r="1339" spans="1:10" ht="15.75" customHeight="1" x14ac:dyDescent="0.25">
      <c r="A1339" s="1">
        <v>45138</v>
      </c>
      <c r="B1339" s="188" t="s">
        <v>82</v>
      </c>
      <c r="C1339" s="188" t="s">
        <v>206</v>
      </c>
      <c r="D1339" s="188">
        <v>0</v>
      </c>
      <c r="E1339" s="4">
        <v>0</v>
      </c>
      <c r="F1339" s="5">
        <v>623343</v>
      </c>
      <c r="G1339" s="4">
        <v>0</v>
      </c>
      <c r="H1339" s="4">
        <v>0</v>
      </c>
      <c r="I1339" s="188" t="str">
        <f>VLOOKUP(C1339,CATEGORIZACION!$A$1:$C$269,2,FALSE)</f>
        <v>AFIP</v>
      </c>
      <c r="J1339" s="188" t="s">
        <v>19</v>
      </c>
    </row>
    <row r="1340" spans="1:10" ht="15.75" customHeight="1" x14ac:dyDescent="0.25">
      <c r="A1340" s="1">
        <v>45138</v>
      </c>
      <c r="B1340" s="188" t="s">
        <v>82</v>
      </c>
      <c r="C1340" s="188" t="s">
        <v>207</v>
      </c>
      <c r="D1340" s="188">
        <v>0</v>
      </c>
      <c r="E1340" s="4">
        <v>0</v>
      </c>
      <c r="F1340" s="5">
        <v>758580.92</v>
      </c>
      <c r="G1340" s="4">
        <v>0</v>
      </c>
      <c r="H1340" s="4">
        <v>0</v>
      </c>
      <c r="I1340" s="188" t="str">
        <f>VLOOKUP(C1340,CATEGORIZACION!$A$1:$C$269,2,FALSE)</f>
        <v>AFIP</v>
      </c>
      <c r="J1340" s="188" t="s">
        <v>19</v>
      </c>
    </row>
    <row r="1341" spans="1:10" ht="15.75" customHeight="1" x14ac:dyDescent="0.25">
      <c r="A1341" s="1">
        <v>45138</v>
      </c>
      <c r="B1341" s="188" t="s">
        <v>82</v>
      </c>
      <c r="C1341" s="188" t="s">
        <v>208</v>
      </c>
      <c r="D1341" s="188">
        <v>0</v>
      </c>
      <c r="E1341" s="4">
        <v>0</v>
      </c>
      <c r="F1341" s="5">
        <v>0</v>
      </c>
      <c r="G1341" s="4">
        <v>0</v>
      </c>
      <c r="H1341" s="4">
        <v>0</v>
      </c>
      <c r="I1341" s="188" t="str">
        <f>VLOOKUP(C1341,CATEGORIZACION!$A$1:$C$269,2,FALSE)</f>
        <v>AFIP</v>
      </c>
      <c r="J1341" s="188" t="s">
        <v>19</v>
      </c>
    </row>
    <row r="1342" spans="1:10" ht="15.75" customHeight="1" x14ac:dyDescent="0.25">
      <c r="A1342" s="1">
        <v>45138</v>
      </c>
      <c r="B1342" s="188" t="s">
        <v>82</v>
      </c>
      <c r="C1342" s="188" t="s">
        <v>209</v>
      </c>
      <c r="D1342" s="188">
        <v>0</v>
      </c>
      <c r="E1342" s="4">
        <v>0</v>
      </c>
      <c r="F1342" s="5">
        <v>43559.77</v>
      </c>
      <c r="G1342" s="4">
        <v>0</v>
      </c>
      <c r="H1342" s="4">
        <v>0</v>
      </c>
      <c r="I1342" s="188" t="str">
        <f>VLOOKUP(C1342,CATEGORIZACION!$A$1:$C$269,2,FALSE)</f>
        <v>PROOVEDORES</v>
      </c>
      <c r="J1342" s="188" t="str">
        <f>VLOOKUP(C1342,CATEGORIZACION!$A$1:$C$269,3,FALSE)</f>
        <v>LOGISTICA</v>
      </c>
    </row>
    <row r="1343" spans="1:10" ht="15.75" customHeight="1" x14ac:dyDescent="0.25">
      <c r="A1343" s="1">
        <v>45138</v>
      </c>
      <c r="B1343" s="188" t="s">
        <v>82</v>
      </c>
      <c r="C1343" s="188" t="s">
        <v>210</v>
      </c>
      <c r="D1343" s="188">
        <v>0</v>
      </c>
      <c r="E1343" s="4">
        <v>0</v>
      </c>
      <c r="F1343" s="5">
        <v>242528</v>
      </c>
      <c r="G1343" s="4">
        <v>0</v>
      </c>
      <c r="H1343" s="4">
        <v>0</v>
      </c>
      <c r="I1343" s="188" t="str">
        <f>VLOOKUP(C1343,CATEGORIZACION!$A$1:$C$269,2,FALSE)</f>
        <v>PROOVEDORES</v>
      </c>
      <c r="J1343" s="188" t="str">
        <f>VLOOKUP(C1343,CATEGORIZACION!$A$1:$C$269,3,FALSE)</f>
        <v>LOGISTICA</v>
      </c>
    </row>
    <row r="1344" spans="1:10" ht="15.75" customHeight="1" x14ac:dyDescent="0.25">
      <c r="A1344" s="1">
        <v>45138</v>
      </c>
      <c r="B1344" s="188" t="s">
        <v>82</v>
      </c>
      <c r="C1344" s="188" t="s">
        <v>211</v>
      </c>
      <c r="D1344" s="188">
        <v>0</v>
      </c>
      <c r="E1344" s="4">
        <v>0</v>
      </c>
      <c r="F1344" s="5">
        <v>13403</v>
      </c>
      <c r="G1344" s="4">
        <v>0</v>
      </c>
      <c r="H1344" s="4">
        <v>0</v>
      </c>
      <c r="I1344" s="188" t="str">
        <f>VLOOKUP(C1344,CATEGORIZACION!$A$1:$C$269,2,FALSE)</f>
        <v>PROOVEDORES</v>
      </c>
      <c r="J1344" s="188" t="str">
        <f>VLOOKUP(C1344,CATEGORIZACION!$A$1:$C$269,3,FALSE)</f>
        <v>LOGISTICA</v>
      </c>
    </row>
    <row r="1345" spans="1:10" ht="15.75" customHeight="1" x14ac:dyDescent="0.25">
      <c r="A1345" s="1">
        <v>45138</v>
      </c>
      <c r="B1345" s="188" t="s">
        <v>82</v>
      </c>
      <c r="C1345" s="188" t="s">
        <v>212</v>
      </c>
      <c r="D1345" s="188">
        <v>0</v>
      </c>
      <c r="E1345" s="4">
        <v>0</v>
      </c>
      <c r="F1345" s="5">
        <v>51312.36</v>
      </c>
      <c r="G1345" s="4">
        <v>0</v>
      </c>
      <c r="H1345" s="4">
        <v>0</v>
      </c>
      <c r="I1345" s="188" t="str">
        <f>VLOOKUP(C1345,CATEGORIZACION!$A$1:$C$269,2,FALSE)</f>
        <v>PROOVEDORES</v>
      </c>
      <c r="J1345" s="188" t="str">
        <f>VLOOKUP(C1345,CATEGORIZACION!$A$1:$C$269,3,FALSE)</f>
        <v>LOGISTICA</v>
      </c>
    </row>
    <row r="1346" spans="1:10" ht="15.75" customHeight="1" x14ac:dyDescent="0.25">
      <c r="A1346" s="1">
        <v>45138</v>
      </c>
      <c r="B1346" s="188" t="s">
        <v>82</v>
      </c>
      <c r="C1346" s="188" t="s">
        <v>213</v>
      </c>
      <c r="D1346" s="188">
        <v>0</v>
      </c>
      <c r="E1346" s="4">
        <v>0</v>
      </c>
      <c r="F1346" s="5">
        <v>0</v>
      </c>
      <c r="G1346" s="4">
        <v>0</v>
      </c>
      <c r="H1346" s="4">
        <v>0</v>
      </c>
      <c r="I1346" s="188" t="str">
        <f>VLOOKUP(C1346,CATEGORIZACION!$A$1:$C$269,2,FALSE)</f>
        <v>AFIP</v>
      </c>
      <c r="J1346" s="188" t="s">
        <v>19</v>
      </c>
    </row>
    <row r="1347" spans="1:10" ht="15.75" customHeight="1" x14ac:dyDescent="0.25">
      <c r="A1347" s="1">
        <v>45138</v>
      </c>
      <c r="B1347" s="188" t="s">
        <v>82</v>
      </c>
      <c r="C1347" s="188" t="s">
        <v>1118</v>
      </c>
      <c r="D1347" s="188">
        <v>0</v>
      </c>
      <c r="E1347" s="4">
        <v>0</v>
      </c>
      <c r="F1347" s="5">
        <v>0</v>
      </c>
      <c r="G1347" s="4">
        <v>0</v>
      </c>
      <c r="H1347" s="4">
        <v>0</v>
      </c>
      <c r="I1347" s="188" t="str">
        <f>VLOOKUP(C1347,CATEGORIZACION!$A$1:$C$269,2,FALSE)</f>
        <v>AFIP</v>
      </c>
      <c r="J1347" s="188" t="s">
        <v>19</v>
      </c>
    </row>
    <row r="1348" spans="1:10" ht="15.75" customHeight="1" x14ac:dyDescent="0.25">
      <c r="A1348" s="1">
        <v>45138</v>
      </c>
      <c r="B1348" s="188" t="s">
        <v>82</v>
      </c>
      <c r="C1348" s="188" t="s">
        <v>1119</v>
      </c>
      <c r="D1348" s="188">
        <v>0</v>
      </c>
      <c r="E1348" s="4">
        <v>0</v>
      </c>
      <c r="F1348" s="5">
        <v>601225</v>
      </c>
      <c r="G1348" s="4">
        <v>0</v>
      </c>
      <c r="H1348" s="4">
        <v>0</v>
      </c>
      <c r="I1348" s="188" t="str">
        <f>VLOOKUP(C1348,CATEGORIZACION!$A$1:$C$269,2,FALSE)</f>
        <v>AFIP</v>
      </c>
      <c r="J1348" s="188" t="s">
        <v>19</v>
      </c>
    </row>
    <row r="1349" spans="1:10" ht="15.75" customHeight="1" x14ac:dyDescent="0.25">
      <c r="A1349" s="1">
        <v>45139</v>
      </c>
      <c r="B1349" s="188" t="s">
        <v>1322</v>
      </c>
      <c r="C1349" s="188" t="s">
        <v>441</v>
      </c>
      <c r="D1349" s="188" t="s">
        <v>442</v>
      </c>
      <c r="E1349" s="4">
        <v>0</v>
      </c>
      <c r="F1349" s="3">
        <v>661250</v>
      </c>
      <c r="G1349" s="4">
        <v>138862.5</v>
      </c>
      <c r="H1349" s="4">
        <v>800112.5</v>
      </c>
      <c r="I1349" s="188" t="str">
        <f>VLOOKUP(C1349,CATEGORIZACION!$A$1:$C$269,2,FALSE)</f>
        <v>ALQUILER</v>
      </c>
      <c r="J1349" s="188" t="s">
        <v>103</v>
      </c>
    </row>
    <row r="1350" spans="1:10" ht="15.75" customHeight="1" x14ac:dyDescent="0.25">
      <c r="A1350" s="1">
        <v>45139</v>
      </c>
      <c r="B1350" s="188" t="s">
        <v>1323</v>
      </c>
      <c r="C1350" s="188" t="s">
        <v>49</v>
      </c>
      <c r="D1350" s="188" t="s">
        <v>50</v>
      </c>
      <c r="E1350" s="4">
        <v>0</v>
      </c>
      <c r="F1350" s="3">
        <v>137625</v>
      </c>
      <c r="G1350" s="4">
        <v>28901.25</v>
      </c>
      <c r="H1350" s="4">
        <v>166526.25</v>
      </c>
      <c r="I1350" s="188" t="str">
        <f>VLOOKUP(C1350,CATEGORIZACION!$A$1:$C$269,2,FALSE)</f>
        <v>PROOVEDORES</v>
      </c>
      <c r="J1350" s="188" t="str">
        <f>VLOOKUP(C1350,CATEGORIZACION!$A$1:$C$269,3,FALSE)</f>
        <v>DEPOSITO</v>
      </c>
    </row>
    <row r="1351" spans="1:10" ht="15.75" customHeight="1" x14ac:dyDescent="0.25">
      <c r="A1351" s="1">
        <v>45139</v>
      </c>
      <c r="B1351" s="188" t="s">
        <v>1324</v>
      </c>
      <c r="C1351" s="188" t="s">
        <v>49</v>
      </c>
      <c r="D1351" s="188" t="s">
        <v>50</v>
      </c>
      <c r="E1351" s="4">
        <v>0</v>
      </c>
      <c r="F1351" s="3">
        <v>137625</v>
      </c>
      <c r="G1351" s="4">
        <v>28901.25</v>
      </c>
      <c r="H1351" s="4">
        <v>166526.25</v>
      </c>
      <c r="I1351" s="188" t="str">
        <f>VLOOKUP(C1351,CATEGORIZACION!$A$1:$C$269,2,FALSE)</f>
        <v>PROOVEDORES</v>
      </c>
      <c r="J1351" s="188" t="str">
        <f>VLOOKUP(C1351,CATEGORIZACION!$A$1:$C$269,3,FALSE)</f>
        <v>DEPOSITO</v>
      </c>
    </row>
    <row r="1352" spans="1:10" ht="15.75" customHeight="1" x14ac:dyDescent="0.25">
      <c r="A1352" s="1">
        <v>45139</v>
      </c>
      <c r="B1352" s="188" t="s">
        <v>1325</v>
      </c>
      <c r="C1352" s="188" t="s">
        <v>14</v>
      </c>
      <c r="D1352" s="188" t="s">
        <v>15</v>
      </c>
      <c r="E1352" s="4">
        <v>0</v>
      </c>
      <c r="F1352" s="3">
        <v>34380</v>
      </c>
      <c r="G1352" s="4">
        <v>7219.8</v>
      </c>
      <c r="H1352" s="4">
        <v>41599.800000000003</v>
      </c>
      <c r="I1352" s="188" t="str">
        <f>VLOOKUP(C1352,CATEGORIZACION!$A$1:$C$269,2,FALSE)</f>
        <v>PROOVEDORES</v>
      </c>
      <c r="J1352" s="188" t="str">
        <f>VLOOKUP(C1352,CATEGORIZACION!$A$1:$C$269,3,FALSE)</f>
        <v>DEPOSITO</v>
      </c>
    </row>
    <row r="1353" spans="1:10" ht="15.75" customHeight="1" x14ac:dyDescent="0.25">
      <c r="A1353" s="1">
        <v>45139</v>
      </c>
      <c r="B1353" s="188" t="s">
        <v>1326</v>
      </c>
      <c r="C1353" s="188" t="s">
        <v>17</v>
      </c>
      <c r="D1353" s="188" t="s">
        <v>18</v>
      </c>
      <c r="E1353" s="4">
        <v>27870</v>
      </c>
      <c r="F1353" s="5">
        <v>246000</v>
      </c>
      <c r="G1353" s="4">
        <v>51660</v>
      </c>
      <c r="H1353" s="4">
        <v>325530</v>
      </c>
      <c r="I1353" s="188" t="str">
        <f>VLOOKUP(C1353,CATEGORIZACION!$A$1:$C$269,2,FALSE)</f>
        <v>TRANSPORTE</v>
      </c>
      <c r="J1353" s="188" t="s">
        <v>19</v>
      </c>
    </row>
    <row r="1354" spans="1:10" ht="15.75" customHeight="1" x14ac:dyDescent="0.25">
      <c r="A1354" s="1">
        <v>45139</v>
      </c>
      <c r="B1354" s="188" t="s">
        <v>1327</v>
      </c>
      <c r="C1354" s="188" t="s">
        <v>17</v>
      </c>
      <c r="D1354" s="188" t="s">
        <v>18</v>
      </c>
      <c r="E1354" s="4">
        <v>74120</v>
      </c>
      <c r="F1354" s="5">
        <v>574000</v>
      </c>
      <c r="G1354" s="4">
        <v>120540</v>
      </c>
      <c r="H1354" s="4">
        <v>768660</v>
      </c>
      <c r="I1354" s="188" t="str">
        <f>VLOOKUP(C1354,CATEGORIZACION!$A$1:$C$269,2,FALSE)</f>
        <v>TRANSPORTE</v>
      </c>
      <c r="J1354" s="188" t="s">
        <v>19</v>
      </c>
    </row>
    <row r="1355" spans="1:10" ht="15.75" customHeight="1" x14ac:dyDescent="0.25">
      <c r="A1355" s="1">
        <v>45139</v>
      </c>
      <c r="B1355" s="188" t="s">
        <v>1328</v>
      </c>
      <c r="C1355" s="188" t="s">
        <v>517</v>
      </c>
      <c r="D1355" s="188" t="s">
        <v>518</v>
      </c>
      <c r="E1355" s="4">
        <v>268</v>
      </c>
      <c r="F1355" s="5">
        <v>33500</v>
      </c>
      <c r="G1355" s="4">
        <v>7035</v>
      </c>
      <c r="H1355" s="4">
        <v>40803</v>
      </c>
      <c r="I1355" s="188" t="str">
        <f>VLOOKUP(C1355,CATEGORIZACION!$A$1:$C$269,2,FALSE)</f>
        <v>PROOVEDORES</v>
      </c>
      <c r="J1355" s="188" t="str">
        <f>VLOOKUP(C1355,CATEGORIZACION!$A$1:$C$269,3,FALSE)</f>
        <v>LOGISTICA</v>
      </c>
    </row>
    <row r="1356" spans="1:10" ht="15.75" customHeight="1" x14ac:dyDescent="0.25">
      <c r="A1356" s="1">
        <v>45139</v>
      </c>
      <c r="B1356" s="188" t="s">
        <v>1329</v>
      </c>
      <c r="C1356" s="188" t="s">
        <v>218</v>
      </c>
      <c r="D1356" s="188" t="s">
        <v>219</v>
      </c>
      <c r="E1356" s="4">
        <v>0</v>
      </c>
      <c r="F1356" s="5">
        <v>136003.06</v>
      </c>
      <c r="G1356" s="4">
        <v>28560.639999999999</v>
      </c>
      <c r="H1356" s="4">
        <v>164563.70000000001</v>
      </c>
      <c r="I1356" s="188" t="str">
        <f>VLOOKUP(C1356,CATEGORIZACION!$A$1:$C$269,2,FALSE)</f>
        <v>PROOVEDORES</v>
      </c>
      <c r="J1356" s="188" t="str">
        <f>VLOOKUP(C1356,CATEGORIZACION!$A$1:$C$269,3,FALSE)</f>
        <v>LOGISTICA</v>
      </c>
    </row>
    <row r="1357" spans="1:10" ht="15.75" customHeight="1" x14ac:dyDescent="0.25">
      <c r="A1357" s="1">
        <v>45140</v>
      </c>
      <c r="B1357" s="188" t="s">
        <v>1330</v>
      </c>
      <c r="C1357" s="188" t="s">
        <v>1143</v>
      </c>
      <c r="D1357" s="188" t="s">
        <v>1144</v>
      </c>
      <c r="E1357" s="4">
        <v>-1.8626451492309571E-11</v>
      </c>
      <c r="F1357" s="3">
        <v>109512</v>
      </c>
      <c r="G1357" s="4">
        <v>22997.52</v>
      </c>
      <c r="H1357" s="4">
        <v>132509.51999999999</v>
      </c>
      <c r="I1357" s="188" t="str">
        <f>VLOOKUP(C1357,CATEGORIZACION!$A$1:$C$269,2,FALSE)</f>
        <v>PROOVEDORES</v>
      </c>
      <c r="J1357" s="188" t="str">
        <f>VLOOKUP(C1357,CATEGORIZACION!$A$1:$C$269,3,FALSE)</f>
        <v>DEPOSITO</v>
      </c>
    </row>
    <row r="1358" spans="1:10" ht="15.75" customHeight="1" x14ac:dyDescent="0.25">
      <c r="A1358" s="1">
        <v>45140</v>
      </c>
      <c r="B1358" s="188" t="s">
        <v>1331</v>
      </c>
      <c r="C1358" s="188" t="s">
        <v>517</v>
      </c>
      <c r="D1358" s="188" t="s">
        <v>518</v>
      </c>
      <c r="E1358" s="4">
        <v>1559.64</v>
      </c>
      <c r="F1358" s="5">
        <v>194955.29</v>
      </c>
      <c r="G1358" s="4">
        <v>40940.61</v>
      </c>
      <c r="H1358" s="4">
        <v>237455.54</v>
      </c>
      <c r="I1358" s="188" t="str">
        <f>VLOOKUP(C1358,CATEGORIZACION!$A$1:$C$269,2,FALSE)</f>
        <v>PROOVEDORES</v>
      </c>
      <c r="J1358" s="188" t="str">
        <f>VLOOKUP(C1358,CATEGORIZACION!$A$1:$C$269,3,FALSE)</f>
        <v>LOGISTICA</v>
      </c>
    </row>
    <row r="1359" spans="1:10" ht="15.75" customHeight="1" x14ac:dyDescent="0.25">
      <c r="A1359" s="1">
        <v>45141</v>
      </c>
      <c r="B1359" s="188" t="s">
        <v>1332</v>
      </c>
      <c r="C1359" s="188" t="s">
        <v>1333</v>
      </c>
      <c r="D1359" s="188" t="s">
        <v>1334</v>
      </c>
      <c r="E1359" s="4">
        <v>0</v>
      </c>
      <c r="F1359" s="5">
        <v>6776.27</v>
      </c>
      <c r="G1359" s="4">
        <v>1423.02</v>
      </c>
      <c r="H1359" s="4">
        <v>8199.2900000000009</v>
      </c>
      <c r="I1359" s="188" t="str">
        <f>VLOOKUP(C1359,CATEGORIZACION!$A$1:$C$269,2,FALSE)</f>
        <v>PROOVEDORES</v>
      </c>
      <c r="J1359" s="188" t="str">
        <f>VLOOKUP(C1359,CATEGORIZACION!$A$1:$C$269,3,FALSE)</f>
        <v>LOGISTICA</v>
      </c>
    </row>
    <row r="1360" spans="1:10" ht="15.75" customHeight="1" x14ac:dyDescent="0.25">
      <c r="A1360" s="1">
        <v>45141</v>
      </c>
      <c r="B1360" s="188" t="s">
        <v>1335</v>
      </c>
      <c r="C1360" s="188" t="s">
        <v>653</v>
      </c>
      <c r="D1360" s="188" t="s">
        <v>183</v>
      </c>
      <c r="E1360" s="4">
        <v>1.8626451492309571E-11</v>
      </c>
      <c r="F1360" s="5">
        <v>160743.79999999999</v>
      </c>
      <c r="G1360" s="4">
        <v>33756.199999999997</v>
      </c>
      <c r="H1360" s="4">
        <v>194500</v>
      </c>
      <c r="I1360" s="188" t="str">
        <f>VLOOKUP(C1360,CATEGORIZACION!$A$1:$C$269,2,FALSE)</f>
        <v>PROOVEDORES</v>
      </c>
      <c r="J1360" s="188" t="str">
        <f>VLOOKUP(C1360,CATEGORIZACION!$A$1:$C$269,3,FALSE)</f>
        <v>LOGISTICA</v>
      </c>
    </row>
    <row r="1361" spans="1:10" ht="15.75" customHeight="1" x14ac:dyDescent="0.25">
      <c r="A1361" s="1">
        <v>45141</v>
      </c>
      <c r="B1361" s="188" t="s">
        <v>1336</v>
      </c>
      <c r="C1361" s="188" t="s">
        <v>529</v>
      </c>
      <c r="D1361" s="188" t="s">
        <v>530</v>
      </c>
      <c r="E1361" s="4">
        <v>0</v>
      </c>
      <c r="F1361" s="5">
        <v>29500</v>
      </c>
      <c r="G1361" s="4">
        <v>6195</v>
      </c>
      <c r="H1361" s="4">
        <v>35695</v>
      </c>
      <c r="I1361" s="188" t="str">
        <f>VLOOKUP(C1361,CATEGORIZACION!$A$1:$C$269,2,FALSE)</f>
        <v>PROOVEDORES</v>
      </c>
      <c r="J1361" s="188" t="str">
        <f>VLOOKUP(C1361,CATEGORIZACION!$A$1:$C$269,3,FALSE)</f>
        <v>LOGISTICA</v>
      </c>
    </row>
    <row r="1362" spans="1:10" ht="15.75" customHeight="1" x14ac:dyDescent="0.25">
      <c r="A1362" s="1">
        <v>45142</v>
      </c>
      <c r="B1362" s="188" t="s">
        <v>1337</v>
      </c>
      <c r="C1362" s="188" t="s">
        <v>101</v>
      </c>
      <c r="D1362" s="188" t="s">
        <v>102</v>
      </c>
      <c r="E1362" s="4">
        <v>11205</v>
      </c>
      <c r="F1362" s="3">
        <v>1400625</v>
      </c>
      <c r="G1362" s="4">
        <v>294131.25</v>
      </c>
      <c r="H1362" s="4">
        <v>1705961.25</v>
      </c>
      <c r="I1362" s="188" t="str">
        <f>VLOOKUP(C1362,CATEGORIZACION!$A$1:$C$269,2,FALSE)</f>
        <v>ALQUILER</v>
      </c>
      <c r="J1362" s="188" t="s">
        <v>103</v>
      </c>
    </row>
    <row r="1363" spans="1:10" ht="15.75" customHeight="1" x14ac:dyDescent="0.25">
      <c r="A1363" s="1">
        <v>45142</v>
      </c>
      <c r="B1363" s="188" t="s">
        <v>1338</v>
      </c>
      <c r="C1363" s="188" t="s">
        <v>21</v>
      </c>
      <c r="D1363" s="188" t="s">
        <v>22</v>
      </c>
      <c r="E1363" s="4">
        <v>0</v>
      </c>
      <c r="F1363" s="5">
        <v>404000</v>
      </c>
      <c r="G1363" s="4">
        <v>84840</v>
      </c>
      <c r="H1363" s="4">
        <v>488840</v>
      </c>
      <c r="I1363" s="188" t="str">
        <f>VLOOKUP(C1363,CATEGORIZACION!$A$1:$C$269,2,FALSE)</f>
        <v>TRANSPORTE</v>
      </c>
      <c r="J1363" s="188" t="s">
        <v>19</v>
      </c>
    </row>
    <row r="1364" spans="1:10" ht="15.75" customHeight="1" x14ac:dyDescent="0.25">
      <c r="A1364" s="1">
        <v>45142</v>
      </c>
      <c r="B1364" s="188" t="s">
        <v>1339</v>
      </c>
      <c r="C1364" s="188" t="s">
        <v>21</v>
      </c>
      <c r="D1364" s="188" t="s">
        <v>22</v>
      </c>
      <c r="E1364" s="4">
        <v>42560</v>
      </c>
      <c r="F1364" s="5">
        <v>516600</v>
      </c>
      <c r="G1364" s="4">
        <v>108486</v>
      </c>
      <c r="H1364" s="4">
        <v>667646</v>
      </c>
      <c r="I1364" s="188" t="str">
        <f>VLOOKUP(C1364,CATEGORIZACION!$A$1:$C$269,2,FALSE)</f>
        <v>TRANSPORTE</v>
      </c>
      <c r="J1364" s="188" t="s">
        <v>19</v>
      </c>
    </row>
    <row r="1365" spans="1:10" ht="15.75" customHeight="1" x14ac:dyDescent="0.25">
      <c r="A1365" s="1">
        <v>45142</v>
      </c>
      <c r="B1365" s="188" t="s">
        <v>1340</v>
      </c>
      <c r="C1365" s="188" t="s">
        <v>21</v>
      </c>
      <c r="D1365" s="188" t="s">
        <v>22</v>
      </c>
      <c r="E1365" s="4">
        <v>14520</v>
      </c>
      <c r="F1365" s="5">
        <v>105000</v>
      </c>
      <c r="G1365" s="4">
        <v>22050</v>
      </c>
      <c r="H1365" s="4">
        <v>141570</v>
      </c>
      <c r="I1365" s="188" t="str">
        <f>VLOOKUP(C1365,CATEGORIZACION!$A$1:$C$269,2,FALSE)</f>
        <v>TRANSPORTE</v>
      </c>
      <c r="J1365" s="188" t="s">
        <v>19</v>
      </c>
    </row>
    <row r="1366" spans="1:10" ht="15.75" customHeight="1" x14ac:dyDescent="0.25">
      <c r="A1366" s="1">
        <v>45142</v>
      </c>
      <c r="B1366" s="188" t="s">
        <v>1341</v>
      </c>
      <c r="C1366" s="188" t="s">
        <v>21</v>
      </c>
      <c r="D1366" s="188" t="s">
        <v>22</v>
      </c>
      <c r="E1366" s="4">
        <v>14520</v>
      </c>
      <c r="F1366" s="5">
        <v>595800</v>
      </c>
      <c r="G1366" s="4">
        <v>125118</v>
      </c>
      <c r="H1366" s="4">
        <v>735438</v>
      </c>
      <c r="I1366" s="188" t="str">
        <f>VLOOKUP(C1366,CATEGORIZACION!$A$1:$C$269,2,FALSE)</f>
        <v>TRANSPORTE</v>
      </c>
      <c r="J1366" s="188" t="s">
        <v>19</v>
      </c>
    </row>
    <row r="1367" spans="1:10" ht="15.75" customHeight="1" x14ac:dyDescent="0.25">
      <c r="A1367" s="1">
        <v>45142</v>
      </c>
      <c r="B1367" s="188" t="s">
        <v>1342</v>
      </c>
      <c r="C1367" s="188" t="s">
        <v>21</v>
      </c>
      <c r="D1367" s="188" t="s">
        <v>22</v>
      </c>
      <c r="E1367" s="4">
        <v>14520</v>
      </c>
      <c r="F1367" s="5">
        <v>297900</v>
      </c>
      <c r="G1367" s="4">
        <v>62559</v>
      </c>
      <c r="H1367" s="4">
        <v>374979</v>
      </c>
      <c r="I1367" s="188" t="str">
        <f>VLOOKUP(C1367,CATEGORIZACION!$A$1:$C$269,2,FALSE)</f>
        <v>TRANSPORTE</v>
      </c>
      <c r="J1367" s="188" t="s">
        <v>19</v>
      </c>
    </row>
    <row r="1368" spans="1:10" ht="15.75" customHeight="1" x14ac:dyDescent="0.25">
      <c r="A1368" s="1">
        <v>45142</v>
      </c>
      <c r="B1368" s="188" t="s">
        <v>1343</v>
      </c>
      <c r="C1368" s="188" t="s">
        <v>21</v>
      </c>
      <c r="D1368" s="188" t="s">
        <v>22</v>
      </c>
      <c r="E1368" s="4">
        <v>24320</v>
      </c>
      <c r="F1368" s="5">
        <v>295200</v>
      </c>
      <c r="G1368" s="4">
        <v>61992</v>
      </c>
      <c r="H1368" s="4">
        <v>381512</v>
      </c>
      <c r="I1368" s="188" t="str">
        <f>VLOOKUP(C1368,CATEGORIZACION!$A$1:$C$269,2,FALSE)</f>
        <v>TRANSPORTE</v>
      </c>
      <c r="J1368" s="188" t="s">
        <v>19</v>
      </c>
    </row>
    <row r="1369" spans="1:10" ht="15.75" customHeight="1" x14ac:dyDescent="0.25">
      <c r="A1369" s="1">
        <v>45142</v>
      </c>
      <c r="B1369" s="188" t="s">
        <v>1344</v>
      </c>
      <c r="C1369" s="188" t="s">
        <v>253</v>
      </c>
      <c r="D1369" s="188" t="s">
        <v>57</v>
      </c>
      <c r="E1369" s="4">
        <v>0</v>
      </c>
      <c r="F1369" s="5">
        <v>40647.19</v>
      </c>
      <c r="G1369" s="4">
        <v>8535.91</v>
      </c>
      <c r="H1369" s="4">
        <v>49183.1</v>
      </c>
      <c r="I1369" s="188" t="str">
        <f>VLOOKUP(C1369,CATEGORIZACION!$A$1:$C$269,2,FALSE)</f>
        <v>PROOVEDORES</v>
      </c>
      <c r="J1369" s="188" t="str">
        <f>VLOOKUP(C1369,CATEGORIZACION!$A$1:$C$269,3,FALSE)</f>
        <v>LOGISTICA</v>
      </c>
    </row>
    <row r="1370" spans="1:10" ht="15.75" customHeight="1" x14ac:dyDescent="0.25">
      <c r="A1370" s="1">
        <v>45142</v>
      </c>
      <c r="B1370" s="188" t="s">
        <v>1345</v>
      </c>
      <c r="C1370" s="188" t="s">
        <v>1346</v>
      </c>
      <c r="D1370" s="188" t="s">
        <v>1347</v>
      </c>
      <c r="E1370" s="4">
        <v>147000</v>
      </c>
      <c r="F1370" s="5">
        <v>0</v>
      </c>
      <c r="G1370" s="4">
        <v>0</v>
      </c>
      <c r="H1370" s="4">
        <v>147000</v>
      </c>
      <c r="I1370" s="188" t="str">
        <f>VLOOKUP(C1370,CATEGORIZACION!$A$1:$C$269,2,FALSE)</f>
        <v>PROOVEDORES</v>
      </c>
      <c r="J1370" s="188" t="str">
        <f>VLOOKUP(C1370,CATEGORIZACION!$A$1:$C$269,3,FALSE)</f>
        <v>LOGISTICA</v>
      </c>
    </row>
    <row r="1371" spans="1:10" ht="15.75" customHeight="1" x14ac:dyDescent="0.25">
      <c r="A1371" s="1">
        <v>45143</v>
      </c>
      <c r="B1371" s="188" t="s">
        <v>1348</v>
      </c>
      <c r="C1371" s="188" t="s">
        <v>36</v>
      </c>
      <c r="D1371" s="188" t="s">
        <v>37</v>
      </c>
      <c r="E1371" s="4">
        <v>2500</v>
      </c>
      <c r="F1371" s="5">
        <v>35150</v>
      </c>
      <c r="G1371" s="4">
        <v>7381.5</v>
      </c>
      <c r="H1371" s="4">
        <v>45031.5</v>
      </c>
      <c r="I1371" s="188" t="str">
        <f>VLOOKUP(C1371,CATEGORIZACION!$A$1:$C$269,2,FALSE)</f>
        <v>TRANSPORTE</v>
      </c>
      <c r="J1371" s="188" t="s">
        <v>19</v>
      </c>
    </row>
    <row r="1372" spans="1:10" ht="15.75" customHeight="1" x14ac:dyDescent="0.25">
      <c r="A1372" s="1">
        <v>45143</v>
      </c>
      <c r="B1372" s="188" t="s">
        <v>1349</v>
      </c>
      <c r="C1372" s="188" t="s">
        <v>36</v>
      </c>
      <c r="D1372" s="188" t="s">
        <v>37</v>
      </c>
      <c r="E1372" s="4">
        <v>2500</v>
      </c>
      <c r="F1372" s="5">
        <v>85300</v>
      </c>
      <c r="G1372" s="4">
        <v>17913</v>
      </c>
      <c r="H1372" s="4">
        <v>105713</v>
      </c>
      <c r="I1372" s="188" t="str">
        <f>VLOOKUP(C1372,CATEGORIZACION!$A$1:$C$269,2,FALSE)</f>
        <v>TRANSPORTE</v>
      </c>
      <c r="J1372" s="188" t="s">
        <v>19</v>
      </c>
    </row>
    <row r="1373" spans="1:10" ht="15.75" customHeight="1" x14ac:dyDescent="0.25">
      <c r="A1373" s="1">
        <v>45143</v>
      </c>
      <c r="B1373" s="188" t="s">
        <v>1350</v>
      </c>
      <c r="C1373" s="188" t="s">
        <v>36</v>
      </c>
      <c r="D1373" s="188" t="s">
        <v>37</v>
      </c>
      <c r="E1373" s="4">
        <v>15200</v>
      </c>
      <c r="F1373" s="5">
        <v>159600</v>
      </c>
      <c r="G1373" s="4">
        <v>33516</v>
      </c>
      <c r="H1373" s="4">
        <v>208316</v>
      </c>
      <c r="I1373" s="188" t="str">
        <f>VLOOKUP(C1373,CATEGORIZACION!$A$1:$C$269,2,FALSE)</f>
        <v>TRANSPORTE</v>
      </c>
      <c r="J1373" s="188" t="s">
        <v>19</v>
      </c>
    </row>
    <row r="1374" spans="1:10" ht="15.75" customHeight="1" x14ac:dyDescent="0.25">
      <c r="A1374" s="1">
        <v>45143</v>
      </c>
      <c r="B1374" s="188" t="s">
        <v>1351</v>
      </c>
      <c r="C1374" s="188" t="s">
        <v>36</v>
      </c>
      <c r="D1374" s="188" t="s">
        <v>37</v>
      </c>
      <c r="E1374" s="4">
        <v>10500</v>
      </c>
      <c r="F1374" s="5">
        <v>152250</v>
      </c>
      <c r="G1374" s="4">
        <v>31972.5</v>
      </c>
      <c r="H1374" s="4">
        <v>194722.5</v>
      </c>
      <c r="I1374" s="188" t="str">
        <f>VLOOKUP(C1374,CATEGORIZACION!$A$1:$C$269,2,FALSE)</f>
        <v>TRANSPORTE</v>
      </c>
      <c r="J1374" s="188" t="s">
        <v>19</v>
      </c>
    </row>
    <row r="1375" spans="1:10" ht="15.75" customHeight="1" x14ac:dyDescent="0.25">
      <c r="A1375" s="1">
        <v>45143</v>
      </c>
      <c r="B1375" s="188" t="s">
        <v>1352</v>
      </c>
      <c r="C1375" s="188" t="s">
        <v>36</v>
      </c>
      <c r="D1375" s="188" t="s">
        <v>37</v>
      </c>
      <c r="E1375" s="4">
        <v>10500</v>
      </c>
      <c r="F1375" s="5">
        <v>152250</v>
      </c>
      <c r="G1375" s="4">
        <v>31972.5</v>
      </c>
      <c r="H1375" s="4">
        <v>194722.5</v>
      </c>
      <c r="I1375" s="188" t="str">
        <f>VLOOKUP(C1375,CATEGORIZACION!$A$1:$C$269,2,FALSE)</f>
        <v>TRANSPORTE</v>
      </c>
      <c r="J1375" s="188" t="s">
        <v>19</v>
      </c>
    </row>
    <row r="1376" spans="1:10" ht="15.75" customHeight="1" x14ac:dyDescent="0.25">
      <c r="A1376" s="1">
        <v>45143</v>
      </c>
      <c r="B1376" s="188" t="s">
        <v>1353</v>
      </c>
      <c r="C1376" s="188" t="s">
        <v>36</v>
      </c>
      <c r="D1376" s="188" t="s">
        <v>37</v>
      </c>
      <c r="E1376" s="4">
        <v>11500</v>
      </c>
      <c r="F1376" s="5">
        <v>85300</v>
      </c>
      <c r="G1376" s="4">
        <v>17913</v>
      </c>
      <c r="H1376" s="4">
        <v>114713</v>
      </c>
      <c r="I1376" s="188" t="str">
        <f>VLOOKUP(C1376,CATEGORIZACION!$A$1:$C$269,2,FALSE)</f>
        <v>TRANSPORTE</v>
      </c>
      <c r="J1376" s="188" t="s">
        <v>19</v>
      </c>
    </row>
    <row r="1377" spans="1:10" ht="15.75" customHeight="1" x14ac:dyDescent="0.25">
      <c r="A1377" s="1">
        <v>45143</v>
      </c>
      <c r="B1377" s="188" t="s">
        <v>1354</v>
      </c>
      <c r="C1377" s="188" t="s">
        <v>36</v>
      </c>
      <c r="D1377" s="188" t="s">
        <v>37</v>
      </c>
      <c r="E1377" s="4">
        <v>11500</v>
      </c>
      <c r="F1377" s="5">
        <v>85300</v>
      </c>
      <c r="G1377" s="4">
        <v>17913</v>
      </c>
      <c r="H1377" s="4">
        <v>114713</v>
      </c>
      <c r="I1377" s="188" t="str">
        <f>VLOOKUP(C1377,CATEGORIZACION!$A$1:$C$269,2,FALSE)</f>
        <v>TRANSPORTE</v>
      </c>
      <c r="J1377" s="188" t="s">
        <v>19</v>
      </c>
    </row>
    <row r="1378" spans="1:10" ht="15.75" customHeight="1" x14ac:dyDescent="0.25">
      <c r="A1378" s="1">
        <v>45143</v>
      </c>
      <c r="B1378" s="188" t="s">
        <v>1355</v>
      </c>
      <c r="C1378" s="188" t="s">
        <v>36</v>
      </c>
      <c r="D1378" s="188" t="s">
        <v>37</v>
      </c>
      <c r="E1378" s="4">
        <v>11500</v>
      </c>
      <c r="F1378" s="5">
        <v>85300</v>
      </c>
      <c r="G1378" s="4">
        <v>17913</v>
      </c>
      <c r="H1378" s="4">
        <v>114713</v>
      </c>
      <c r="I1378" s="188" t="str">
        <f>VLOOKUP(C1378,CATEGORIZACION!$A$1:$C$269,2,FALSE)</f>
        <v>TRANSPORTE</v>
      </c>
      <c r="J1378" s="188" t="s">
        <v>19</v>
      </c>
    </row>
    <row r="1379" spans="1:10" ht="15.75" customHeight="1" x14ac:dyDescent="0.25">
      <c r="A1379" s="1">
        <v>45143</v>
      </c>
      <c r="B1379" s="188" t="s">
        <v>1356</v>
      </c>
      <c r="C1379" s="188" t="s">
        <v>36</v>
      </c>
      <c r="D1379" s="188" t="s">
        <v>37</v>
      </c>
      <c r="E1379" s="4">
        <v>0</v>
      </c>
      <c r="F1379" s="5">
        <v>105450</v>
      </c>
      <c r="G1379" s="4">
        <v>22144.5</v>
      </c>
      <c r="H1379" s="4">
        <v>127594.5</v>
      </c>
      <c r="I1379" s="188" t="str">
        <f>VLOOKUP(C1379,CATEGORIZACION!$A$1:$C$269,2,FALSE)</f>
        <v>TRANSPORTE</v>
      </c>
      <c r="J1379" s="188" t="s">
        <v>19</v>
      </c>
    </row>
    <row r="1380" spans="1:10" ht="15.75" customHeight="1" x14ac:dyDescent="0.25">
      <c r="A1380" s="1">
        <v>45143</v>
      </c>
      <c r="B1380" s="188" t="s">
        <v>1357</v>
      </c>
      <c r="C1380" s="188" t="s">
        <v>36</v>
      </c>
      <c r="D1380" s="188" t="s">
        <v>37</v>
      </c>
      <c r="E1380" s="4">
        <v>11500</v>
      </c>
      <c r="F1380" s="5">
        <v>122050</v>
      </c>
      <c r="G1380" s="4">
        <v>25630.5</v>
      </c>
      <c r="H1380" s="4">
        <v>159180.5</v>
      </c>
      <c r="I1380" s="188" t="str">
        <f>VLOOKUP(C1380,CATEGORIZACION!$A$1:$C$269,2,FALSE)</f>
        <v>TRANSPORTE</v>
      </c>
      <c r="J1380" s="188" t="s">
        <v>19</v>
      </c>
    </row>
    <row r="1381" spans="1:10" ht="15.75" customHeight="1" x14ac:dyDescent="0.25">
      <c r="A1381" s="1">
        <v>45143</v>
      </c>
      <c r="B1381" s="188" t="s">
        <v>1358</v>
      </c>
      <c r="C1381" s="188" t="s">
        <v>36</v>
      </c>
      <c r="D1381" s="188" t="s">
        <v>37</v>
      </c>
      <c r="E1381" s="4">
        <v>11500</v>
      </c>
      <c r="F1381" s="5">
        <v>122050</v>
      </c>
      <c r="G1381" s="4">
        <v>25630.5</v>
      </c>
      <c r="H1381" s="4">
        <v>159180.5</v>
      </c>
      <c r="I1381" s="188" t="str">
        <f>VLOOKUP(C1381,CATEGORIZACION!$A$1:$C$269,2,FALSE)</f>
        <v>TRANSPORTE</v>
      </c>
      <c r="J1381" s="188" t="s">
        <v>19</v>
      </c>
    </row>
    <row r="1382" spans="1:10" ht="15.75" customHeight="1" x14ac:dyDescent="0.25">
      <c r="A1382" s="1">
        <v>45143</v>
      </c>
      <c r="B1382" s="188" t="s">
        <v>1359</v>
      </c>
      <c r="C1382" s="188" t="s">
        <v>36</v>
      </c>
      <c r="D1382" s="188" t="s">
        <v>37</v>
      </c>
      <c r="E1382" s="4">
        <v>11500</v>
      </c>
      <c r="F1382" s="5">
        <v>122050</v>
      </c>
      <c r="G1382" s="4">
        <v>25630.5</v>
      </c>
      <c r="H1382" s="4">
        <v>159180.5</v>
      </c>
      <c r="I1382" s="188" t="str">
        <f>VLOOKUP(C1382,CATEGORIZACION!$A$1:$C$269,2,FALSE)</f>
        <v>TRANSPORTE</v>
      </c>
      <c r="J1382" s="188" t="s">
        <v>19</v>
      </c>
    </row>
    <row r="1383" spans="1:10" ht="15.75" customHeight="1" x14ac:dyDescent="0.25">
      <c r="A1383" s="1">
        <v>45145</v>
      </c>
      <c r="B1383" s="188" t="s">
        <v>1360</v>
      </c>
      <c r="C1383" s="188" t="s">
        <v>36</v>
      </c>
      <c r="D1383" s="188" t="s">
        <v>37</v>
      </c>
      <c r="E1383" s="4">
        <v>49400</v>
      </c>
      <c r="F1383" s="5">
        <v>0</v>
      </c>
      <c r="G1383" s="4">
        <v>0</v>
      </c>
      <c r="H1383" s="4">
        <v>49400</v>
      </c>
      <c r="I1383" s="188" t="str">
        <f>VLOOKUP(C1383,CATEGORIZACION!$A$1:$C$269,2,FALSE)</f>
        <v>TRANSPORTE</v>
      </c>
      <c r="J1383" s="188" t="s">
        <v>19</v>
      </c>
    </row>
    <row r="1384" spans="1:10" ht="15.75" customHeight="1" x14ac:dyDescent="0.25">
      <c r="A1384" s="1">
        <v>45145</v>
      </c>
      <c r="B1384" s="188" t="s">
        <v>1361</v>
      </c>
      <c r="C1384" s="188" t="s">
        <v>1362</v>
      </c>
      <c r="D1384" s="188" t="s">
        <v>1363</v>
      </c>
      <c r="E1384" s="4">
        <v>0</v>
      </c>
      <c r="F1384" s="5">
        <v>898428.26</v>
      </c>
      <c r="G1384" s="4">
        <v>188669.93</v>
      </c>
      <c r="H1384" s="4">
        <v>1087098.19</v>
      </c>
      <c r="I1384" s="188" t="str">
        <f>VLOOKUP(C1384,CATEGORIZACION!$A$1:$C$269,2,FALSE)</f>
        <v>PROOVEDORES</v>
      </c>
      <c r="J1384" s="188" t="str">
        <f>VLOOKUP(C1384,CATEGORIZACION!$A$1:$C$269,3,FALSE)</f>
        <v>LOGISTICA</v>
      </c>
    </row>
    <row r="1385" spans="1:10" ht="15.75" customHeight="1" x14ac:dyDescent="0.25">
      <c r="A1385" s="1">
        <v>45145</v>
      </c>
      <c r="B1385" s="188" t="s">
        <v>1364</v>
      </c>
      <c r="C1385" s="188" t="s">
        <v>21</v>
      </c>
      <c r="D1385" s="188" t="s">
        <v>22</v>
      </c>
      <c r="E1385" s="4">
        <v>24320</v>
      </c>
      <c r="F1385" s="5">
        <v>295200</v>
      </c>
      <c r="G1385" s="4">
        <v>61992</v>
      </c>
      <c r="H1385" s="4">
        <v>381512</v>
      </c>
      <c r="I1385" s="188" t="str">
        <f>VLOOKUP(C1385,CATEGORIZACION!$A$1:$C$269,2,FALSE)</f>
        <v>TRANSPORTE</v>
      </c>
      <c r="J1385" s="188" t="s">
        <v>19</v>
      </c>
    </row>
    <row r="1386" spans="1:10" ht="15.75" customHeight="1" x14ac:dyDescent="0.25">
      <c r="A1386" s="1">
        <v>45145</v>
      </c>
      <c r="B1386" s="188" t="s">
        <v>1365</v>
      </c>
      <c r="C1386" s="188" t="s">
        <v>1366</v>
      </c>
      <c r="D1386" s="188" t="s">
        <v>1367</v>
      </c>
      <c r="E1386" s="4">
        <v>0</v>
      </c>
      <c r="F1386" s="5">
        <v>95242.31</v>
      </c>
      <c r="G1386" s="4">
        <v>20000.89</v>
      </c>
      <c r="H1386" s="4">
        <v>115243.2</v>
      </c>
      <c r="I1386" s="188" t="str">
        <f>VLOOKUP(C1386,CATEGORIZACION!$A$1:$C$269,2,FALSE)</f>
        <v>PROOVEDORES</v>
      </c>
      <c r="J1386" s="188" t="str">
        <f>VLOOKUP(C1386,CATEGORIZACION!$A$1:$C$269,3,FALSE)</f>
        <v>LOGISTICA</v>
      </c>
    </row>
    <row r="1387" spans="1:10" ht="15.75" customHeight="1" x14ac:dyDescent="0.25">
      <c r="A1387" s="1">
        <v>45145</v>
      </c>
      <c r="B1387" s="188" t="s">
        <v>1368</v>
      </c>
      <c r="C1387" s="188" t="s">
        <v>36</v>
      </c>
      <c r="D1387" s="188" t="s">
        <v>37</v>
      </c>
      <c r="E1387" s="4">
        <v>11500</v>
      </c>
      <c r="F1387" s="5">
        <v>152250</v>
      </c>
      <c r="G1387" s="4">
        <v>31972.5</v>
      </c>
      <c r="H1387" s="4">
        <v>195722.5</v>
      </c>
      <c r="I1387" s="188" t="str">
        <f>VLOOKUP(C1387,CATEGORIZACION!$A$1:$C$269,2,FALSE)</f>
        <v>TRANSPORTE</v>
      </c>
      <c r="J1387" s="188" t="s">
        <v>19</v>
      </c>
    </row>
    <row r="1388" spans="1:10" ht="15.75" customHeight="1" x14ac:dyDescent="0.25">
      <c r="A1388" s="1">
        <v>45145</v>
      </c>
      <c r="B1388" s="188" t="s">
        <v>1369</v>
      </c>
      <c r="C1388" s="188" t="s">
        <v>36</v>
      </c>
      <c r="D1388" s="188" t="s">
        <v>37</v>
      </c>
      <c r="E1388" s="4">
        <v>11500</v>
      </c>
      <c r="F1388" s="5">
        <v>152250</v>
      </c>
      <c r="G1388" s="4">
        <v>31972.5</v>
      </c>
      <c r="H1388" s="4">
        <v>195722.5</v>
      </c>
      <c r="I1388" s="188" t="str">
        <f>VLOOKUP(C1388,CATEGORIZACION!$A$1:$C$269,2,FALSE)</f>
        <v>TRANSPORTE</v>
      </c>
      <c r="J1388" s="188" t="s">
        <v>19</v>
      </c>
    </row>
    <row r="1389" spans="1:10" ht="15.75" customHeight="1" x14ac:dyDescent="0.25">
      <c r="A1389" s="1">
        <v>45145</v>
      </c>
      <c r="B1389" s="188" t="s">
        <v>1370</v>
      </c>
      <c r="C1389" s="188" t="s">
        <v>36</v>
      </c>
      <c r="D1389" s="188" t="s">
        <v>37</v>
      </c>
      <c r="E1389" s="4">
        <v>11500</v>
      </c>
      <c r="F1389" s="5">
        <v>152250</v>
      </c>
      <c r="G1389" s="4">
        <v>31972.5</v>
      </c>
      <c r="H1389" s="4">
        <v>195722.5</v>
      </c>
      <c r="I1389" s="188" t="str">
        <f>VLOOKUP(C1389,CATEGORIZACION!$A$1:$C$269,2,FALSE)</f>
        <v>TRANSPORTE</v>
      </c>
      <c r="J1389" s="188" t="s">
        <v>19</v>
      </c>
    </row>
    <row r="1390" spans="1:10" ht="15.75" customHeight="1" x14ac:dyDescent="0.25">
      <c r="A1390" s="1">
        <v>45145</v>
      </c>
      <c r="B1390" s="188" t="s">
        <v>1371</v>
      </c>
      <c r="C1390" s="188" t="s">
        <v>36</v>
      </c>
      <c r="D1390" s="188" t="s">
        <v>37</v>
      </c>
      <c r="E1390" s="4">
        <v>6200</v>
      </c>
      <c r="F1390" s="5">
        <v>55100</v>
      </c>
      <c r="G1390" s="4">
        <v>11571</v>
      </c>
      <c r="H1390" s="4">
        <v>72871</v>
      </c>
      <c r="I1390" s="188" t="str">
        <f>VLOOKUP(C1390,CATEGORIZACION!$A$1:$C$269,2,FALSE)</f>
        <v>TRANSPORTE</v>
      </c>
      <c r="J1390" s="188" t="s">
        <v>19</v>
      </c>
    </row>
    <row r="1391" spans="1:10" ht="15.75" customHeight="1" x14ac:dyDescent="0.25">
      <c r="A1391" s="1">
        <v>45145</v>
      </c>
      <c r="B1391" s="188" t="s">
        <v>1372</v>
      </c>
      <c r="C1391" s="188" t="s">
        <v>36</v>
      </c>
      <c r="D1391" s="188" t="s">
        <v>37</v>
      </c>
      <c r="E1391" s="4">
        <v>6200</v>
      </c>
      <c r="F1391" s="5">
        <v>55100</v>
      </c>
      <c r="G1391" s="4">
        <v>11571</v>
      </c>
      <c r="H1391" s="4">
        <v>72871</v>
      </c>
      <c r="I1391" s="188" t="str">
        <f>VLOOKUP(C1391,CATEGORIZACION!$A$1:$C$269,2,FALSE)</f>
        <v>TRANSPORTE</v>
      </c>
      <c r="J1391" s="188" t="s">
        <v>19</v>
      </c>
    </row>
    <row r="1392" spans="1:10" ht="15.75" customHeight="1" x14ac:dyDescent="0.25">
      <c r="A1392" s="1">
        <v>45145</v>
      </c>
      <c r="B1392" s="188" t="s">
        <v>1373</v>
      </c>
      <c r="C1392" s="188" t="s">
        <v>36</v>
      </c>
      <c r="D1392" s="188" t="s">
        <v>37</v>
      </c>
      <c r="E1392" s="4">
        <v>9200</v>
      </c>
      <c r="F1392" s="5">
        <v>63000</v>
      </c>
      <c r="G1392" s="4">
        <v>13230</v>
      </c>
      <c r="H1392" s="4">
        <v>85430</v>
      </c>
      <c r="I1392" s="188" t="str">
        <f>VLOOKUP(C1392,CATEGORIZACION!$A$1:$C$269,2,FALSE)</f>
        <v>TRANSPORTE</v>
      </c>
      <c r="J1392" s="188" t="s">
        <v>19</v>
      </c>
    </row>
    <row r="1393" spans="1:10" ht="15.75" customHeight="1" x14ac:dyDescent="0.25">
      <c r="A1393" s="1">
        <v>45145</v>
      </c>
      <c r="B1393" s="188" t="s">
        <v>1374</v>
      </c>
      <c r="C1393" s="188" t="s">
        <v>36</v>
      </c>
      <c r="D1393" s="188" t="s">
        <v>37</v>
      </c>
      <c r="E1393" s="4">
        <v>5000</v>
      </c>
      <c r="F1393" s="5">
        <v>120540</v>
      </c>
      <c r="G1393" s="4">
        <v>25313.4</v>
      </c>
      <c r="H1393" s="4">
        <v>150853.4</v>
      </c>
      <c r="I1393" s="188" t="str">
        <f>VLOOKUP(C1393,CATEGORIZACION!$A$1:$C$269,2,FALSE)</f>
        <v>TRANSPORTE</v>
      </c>
      <c r="J1393" s="188" t="s">
        <v>19</v>
      </c>
    </row>
    <row r="1394" spans="1:10" ht="15.75" customHeight="1" x14ac:dyDescent="0.25">
      <c r="A1394" s="1">
        <v>45145</v>
      </c>
      <c r="B1394" s="188" t="s">
        <v>1375</v>
      </c>
      <c r="C1394" s="188" t="s">
        <v>36</v>
      </c>
      <c r="D1394" s="188" t="s">
        <v>37</v>
      </c>
      <c r="E1394" s="4">
        <v>9200</v>
      </c>
      <c r="F1394" s="5">
        <v>63000</v>
      </c>
      <c r="G1394" s="4">
        <v>13230</v>
      </c>
      <c r="H1394" s="4">
        <v>85430</v>
      </c>
      <c r="I1394" s="188" t="str">
        <f>VLOOKUP(C1394,CATEGORIZACION!$A$1:$C$269,2,FALSE)</f>
        <v>TRANSPORTE</v>
      </c>
      <c r="J1394" s="188" t="s">
        <v>19</v>
      </c>
    </row>
    <row r="1395" spans="1:10" ht="15.75" customHeight="1" x14ac:dyDescent="0.25">
      <c r="A1395" s="1">
        <v>45145</v>
      </c>
      <c r="B1395" s="188" t="s">
        <v>1376</v>
      </c>
      <c r="C1395" s="188" t="s">
        <v>36</v>
      </c>
      <c r="D1395" s="188" t="s">
        <v>37</v>
      </c>
      <c r="E1395" s="4">
        <v>5000</v>
      </c>
      <c r="F1395" s="5">
        <v>120540</v>
      </c>
      <c r="G1395" s="4">
        <v>25313.4</v>
      </c>
      <c r="H1395" s="4">
        <v>150853.4</v>
      </c>
      <c r="I1395" s="188" t="str">
        <f>VLOOKUP(C1395,CATEGORIZACION!$A$1:$C$269,2,FALSE)</f>
        <v>TRANSPORTE</v>
      </c>
      <c r="J1395" s="188" t="s">
        <v>19</v>
      </c>
    </row>
    <row r="1396" spans="1:10" ht="15.75" customHeight="1" x14ac:dyDescent="0.25">
      <c r="A1396" s="1">
        <v>45145</v>
      </c>
      <c r="B1396" s="188" t="s">
        <v>1377</v>
      </c>
      <c r="C1396" s="188" t="s">
        <v>36</v>
      </c>
      <c r="D1396" s="188" t="s">
        <v>37</v>
      </c>
      <c r="E1396" s="4">
        <v>6200</v>
      </c>
      <c r="F1396" s="5">
        <v>55100</v>
      </c>
      <c r="G1396" s="4">
        <v>11571</v>
      </c>
      <c r="H1396" s="4">
        <v>72871</v>
      </c>
      <c r="I1396" s="188" t="str">
        <f>VLOOKUP(C1396,CATEGORIZACION!$A$1:$C$269,2,FALSE)</f>
        <v>TRANSPORTE</v>
      </c>
      <c r="J1396" s="188" t="s">
        <v>19</v>
      </c>
    </row>
    <row r="1397" spans="1:10" ht="15.75" customHeight="1" x14ac:dyDescent="0.25">
      <c r="A1397" s="1">
        <v>45145</v>
      </c>
      <c r="B1397" s="188" t="s">
        <v>1378</v>
      </c>
      <c r="C1397" s="188" t="s">
        <v>36</v>
      </c>
      <c r="D1397" s="188" t="s">
        <v>37</v>
      </c>
      <c r="E1397" s="4">
        <v>6200</v>
      </c>
      <c r="F1397" s="5">
        <v>55100</v>
      </c>
      <c r="G1397" s="4">
        <v>11571</v>
      </c>
      <c r="H1397" s="4">
        <v>72871</v>
      </c>
      <c r="I1397" s="188" t="str">
        <f>VLOOKUP(C1397,CATEGORIZACION!$A$1:$C$269,2,FALSE)</f>
        <v>TRANSPORTE</v>
      </c>
      <c r="J1397" s="188" t="s">
        <v>19</v>
      </c>
    </row>
    <row r="1398" spans="1:10" ht="15.75" customHeight="1" x14ac:dyDescent="0.25">
      <c r="A1398" s="1">
        <v>45145</v>
      </c>
      <c r="B1398" s="188" t="s">
        <v>1379</v>
      </c>
      <c r="C1398" s="188" t="s">
        <v>36</v>
      </c>
      <c r="D1398" s="188" t="s">
        <v>37</v>
      </c>
      <c r="E1398" s="4">
        <v>6200</v>
      </c>
      <c r="F1398" s="5">
        <v>55100</v>
      </c>
      <c r="G1398" s="4">
        <v>11571</v>
      </c>
      <c r="H1398" s="4">
        <v>72871</v>
      </c>
      <c r="I1398" s="188" t="str">
        <f>VLOOKUP(C1398,CATEGORIZACION!$A$1:$C$269,2,FALSE)</f>
        <v>TRANSPORTE</v>
      </c>
      <c r="J1398" s="188" t="s">
        <v>19</v>
      </c>
    </row>
    <row r="1399" spans="1:10" ht="15.75" customHeight="1" x14ac:dyDescent="0.25">
      <c r="A1399" s="1">
        <v>45145</v>
      </c>
      <c r="B1399" s="188" t="s">
        <v>1380</v>
      </c>
      <c r="C1399" s="188" t="s">
        <v>36</v>
      </c>
      <c r="D1399" s="188" t="s">
        <v>37</v>
      </c>
      <c r="E1399" s="4">
        <v>11700</v>
      </c>
      <c r="F1399" s="5">
        <v>103000</v>
      </c>
      <c r="G1399" s="4">
        <v>21630</v>
      </c>
      <c r="H1399" s="4">
        <v>136330</v>
      </c>
      <c r="I1399" s="188" t="str">
        <f>VLOOKUP(C1399,CATEGORIZACION!$A$1:$C$269,2,FALSE)</f>
        <v>TRANSPORTE</v>
      </c>
      <c r="J1399" s="188" t="s">
        <v>19</v>
      </c>
    </row>
    <row r="1400" spans="1:10" ht="15.75" customHeight="1" x14ac:dyDescent="0.25">
      <c r="A1400" s="1">
        <v>45145</v>
      </c>
      <c r="B1400" s="188" t="s">
        <v>1381</v>
      </c>
      <c r="C1400" s="188" t="s">
        <v>36</v>
      </c>
      <c r="D1400" s="188" t="s">
        <v>37</v>
      </c>
      <c r="E1400" s="4">
        <v>11700</v>
      </c>
      <c r="F1400" s="5">
        <v>103000</v>
      </c>
      <c r="G1400" s="4">
        <v>21630</v>
      </c>
      <c r="H1400" s="4">
        <v>136330</v>
      </c>
      <c r="I1400" s="188" t="str">
        <f>VLOOKUP(C1400,CATEGORIZACION!$A$1:$C$269,2,FALSE)</f>
        <v>TRANSPORTE</v>
      </c>
      <c r="J1400" s="188" t="s">
        <v>19</v>
      </c>
    </row>
    <row r="1401" spans="1:10" ht="15.75" customHeight="1" x14ac:dyDescent="0.25">
      <c r="A1401" s="1">
        <v>45145</v>
      </c>
      <c r="B1401" s="188" t="s">
        <v>1382</v>
      </c>
      <c r="C1401" s="188" t="s">
        <v>36</v>
      </c>
      <c r="D1401" s="188" t="s">
        <v>37</v>
      </c>
      <c r="E1401" s="4">
        <v>11700</v>
      </c>
      <c r="F1401" s="5">
        <v>103000</v>
      </c>
      <c r="G1401" s="4">
        <v>21630</v>
      </c>
      <c r="H1401" s="4">
        <v>136330</v>
      </c>
      <c r="I1401" s="188" t="str">
        <f>VLOOKUP(C1401,CATEGORIZACION!$A$1:$C$269,2,FALSE)</f>
        <v>TRANSPORTE</v>
      </c>
      <c r="J1401" s="188" t="s">
        <v>19</v>
      </c>
    </row>
    <row r="1402" spans="1:10" ht="15.75" customHeight="1" x14ac:dyDescent="0.25">
      <c r="A1402" s="1">
        <v>45145</v>
      </c>
      <c r="B1402" s="188" t="s">
        <v>1383</v>
      </c>
      <c r="C1402" s="188" t="s">
        <v>36</v>
      </c>
      <c r="D1402" s="188" t="s">
        <v>37</v>
      </c>
      <c r="E1402" s="4">
        <v>4900</v>
      </c>
      <c r="F1402" s="5">
        <v>60000</v>
      </c>
      <c r="G1402" s="4">
        <v>12600</v>
      </c>
      <c r="H1402" s="4">
        <v>77500</v>
      </c>
      <c r="I1402" s="188" t="str">
        <f>VLOOKUP(C1402,CATEGORIZACION!$A$1:$C$269,2,FALSE)</f>
        <v>TRANSPORTE</v>
      </c>
      <c r="J1402" s="188" t="s">
        <v>19</v>
      </c>
    </row>
    <row r="1403" spans="1:10" ht="15.75" customHeight="1" x14ac:dyDescent="0.25">
      <c r="A1403" s="1">
        <v>45145</v>
      </c>
      <c r="B1403" s="188" t="s">
        <v>1384</v>
      </c>
      <c r="C1403" s="188" t="s">
        <v>36</v>
      </c>
      <c r="D1403" s="188" t="s">
        <v>37</v>
      </c>
      <c r="E1403" s="4">
        <v>10500</v>
      </c>
      <c r="F1403" s="5">
        <v>122050</v>
      </c>
      <c r="G1403" s="4">
        <v>25630.5</v>
      </c>
      <c r="H1403" s="4">
        <v>158180.5</v>
      </c>
      <c r="I1403" s="188" t="str">
        <f>VLOOKUP(C1403,CATEGORIZACION!$A$1:$C$269,2,FALSE)</f>
        <v>TRANSPORTE</v>
      </c>
      <c r="J1403" s="188" t="s">
        <v>19</v>
      </c>
    </row>
    <row r="1404" spans="1:10" ht="15.75" customHeight="1" x14ac:dyDescent="0.25">
      <c r="A1404" s="1">
        <v>45145</v>
      </c>
      <c r="B1404" s="188" t="s">
        <v>1385</v>
      </c>
      <c r="C1404" s="188" t="s">
        <v>36</v>
      </c>
      <c r="D1404" s="188" t="s">
        <v>37</v>
      </c>
      <c r="E1404" s="4">
        <v>5000</v>
      </c>
      <c r="F1404" s="5">
        <v>100450</v>
      </c>
      <c r="G1404" s="4">
        <v>21094.5</v>
      </c>
      <c r="H1404" s="4">
        <v>126544.5</v>
      </c>
      <c r="I1404" s="188" t="str">
        <f>VLOOKUP(C1404,CATEGORIZACION!$A$1:$C$269,2,FALSE)</f>
        <v>TRANSPORTE</v>
      </c>
      <c r="J1404" s="188" t="s">
        <v>19</v>
      </c>
    </row>
    <row r="1405" spans="1:10" ht="15.75" customHeight="1" x14ac:dyDescent="0.25">
      <c r="A1405" s="1">
        <v>45145</v>
      </c>
      <c r="B1405" s="188" t="s">
        <v>1386</v>
      </c>
      <c r="C1405" s="188" t="s">
        <v>36</v>
      </c>
      <c r="D1405" s="188" t="s">
        <v>37</v>
      </c>
      <c r="E1405" s="4">
        <v>14800</v>
      </c>
      <c r="F1405" s="5">
        <v>102360</v>
      </c>
      <c r="G1405" s="4">
        <v>21495.599999999999</v>
      </c>
      <c r="H1405" s="4">
        <v>138655.6</v>
      </c>
      <c r="I1405" s="188" t="str">
        <f>VLOOKUP(C1405,CATEGORIZACION!$A$1:$C$269,2,FALSE)</f>
        <v>TRANSPORTE</v>
      </c>
      <c r="J1405" s="188" t="s">
        <v>19</v>
      </c>
    </row>
    <row r="1406" spans="1:10" ht="15.75" customHeight="1" x14ac:dyDescent="0.25">
      <c r="A1406" s="1">
        <v>45145</v>
      </c>
      <c r="B1406" s="188" t="s">
        <v>1387</v>
      </c>
      <c r="C1406" s="188" t="s">
        <v>36</v>
      </c>
      <c r="D1406" s="188" t="s">
        <v>37</v>
      </c>
      <c r="E1406" s="4">
        <v>14800</v>
      </c>
      <c r="F1406" s="5">
        <v>102360</v>
      </c>
      <c r="G1406" s="4">
        <v>21495.599999999999</v>
      </c>
      <c r="H1406" s="4">
        <v>138655.6</v>
      </c>
      <c r="I1406" s="188" t="str">
        <f>VLOOKUP(C1406,CATEGORIZACION!$A$1:$C$269,2,FALSE)</f>
        <v>TRANSPORTE</v>
      </c>
      <c r="J1406" s="188" t="s">
        <v>19</v>
      </c>
    </row>
    <row r="1407" spans="1:10" ht="15.75" customHeight="1" x14ac:dyDescent="0.25">
      <c r="A1407" s="1">
        <v>45145</v>
      </c>
      <c r="B1407" s="188" t="s">
        <v>1388</v>
      </c>
      <c r="C1407" s="188" t="s">
        <v>36</v>
      </c>
      <c r="D1407" s="188" t="s">
        <v>37</v>
      </c>
      <c r="E1407" s="4">
        <v>14800</v>
      </c>
      <c r="F1407" s="5">
        <v>102360</v>
      </c>
      <c r="G1407" s="4">
        <v>21495.599999999999</v>
      </c>
      <c r="H1407" s="4">
        <v>138655.6</v>
      </c>
      <c r="I1407" s="188" t="str">
        <f>VLOOKUP(C1407,CATEGORIZACION!$A$1:$C$269,2,FALSE)</f>
        <v>TRANSPORTE</v>
      </c>
      <c r="J1407" s="188" t="s">
        <v>19</v>
      </c>
    </row>
    <row r="1408" spans="1:10" ht="15.75" customHeight="1" x14ac:dyDescent="0.25">
      <c r="A1408" s="1">
        <v>45145</v>
      </c>
      <c r="B1408" s="188" t="s">
        <v>1389</v>
      </c>
      <c r="C1408" s="188" t="s">
        <v>36</v>
      </c>
      <c r="D1408" s="188" t="s">
        <v>37</v>
      </c>
      <c r="E1408" s="4">
        <v>3200</v>
      </c>
      <c r="F1408" s="5">
        <v>40800</v>
      </c>
      <c r="G1408" s="4">
        <v>8568</v>
      </c>
      <c r="H1408" s="4">
        <v>52568</v>
      </c>
      <c r="I1408" s="188" t="str">
        <f>VLOOKUP(C1408,CATEGORIZACION!$A$1:$C$269,2,FALSE)</f>
        <v>TRANSPORTE</v>
      </c>
      <c r="J1408" s="188" t="s">
        <v>19</v>
      </c>
    </row>
    <row r="1409" spans="1:10" ht="15.75" customHeight="1" x14ac:dyDescent="0.25">
      <c r="A1409" s="1">
        <v>45145</v>
      </c>
      <c r="B1409" s="188" t="s">
        <v>1390</v>
      </c>
      <c r="C1409" s="188" t="s">
        <v>36</v>
      </c>
      <c r="D1409" s="188" t="s">
        <v>37</v>
      </c>
      <c r="E1409" s="4">
        <v>0</v>
      </c>
      <c r="F1409" s="5">
        <v>52100</v>
      </c>
      <c r="G1409" s="4">
        <v>10941</v>
      </c>
      <c r="H1409" s="4">
        <v>63041</v>
      </c>
      <c r="I1409" s="188" t="str">
        <f>VLOOKUP(C1409,CATEGORIZACION!$A$1:$C$269,2,FALSE)</f>
        <v>TRANSPORTE</v>
      </c>
      <c r="J1409" s="188" t="s">
        <v>19</v>
      </c>
    </row>
    <row r="1410" spans="1:10" ht="15.75" customHeight="1" x14ac:dyDescent="0.25">
      <c r="A1410" s="1">
        <v>45146</v>
      </c>
      <c r="B1410" s="188" t="s">
        <v>1391</v>
      </c>
      <c r="C1410" s="188" t="s">
        <v>52</v>
      </c>
      <c r="D1410" s="188" t="s">
        <v>53</v>
      </c>
      <c r="E1410" s="4">
        <v>0</v>
      </c>
      <c r="F1410" s="3">
        <v>56198.35</v>
      </c>
      <c r="G1410" s="4">
        <v>11801.65</v>
      </c>
      <c r="H1410" s="4">
        <v>68000</v>
      </c>
      <c r="I1410" s="188" t="str">
        <f>VLOOKUP(C1410,CATEGORIZACION!$A$1:$C$269,2,FALSE)</f>
        <v>PROOVEDORES</v>
      </c>
      <c r="J1410" s="188" t="str">
        <f>VLOOKUP(C1410,CATEGORIZACION!$A$1:$C$269,3,FALSE)</f>
        <v>DEPOSITO</v>
      </c>
    </row>
    <row r="1411" spans="1:10" ht="15.75" customHeight="1" x14ac:dyDescent="0.25">
      <c r="A1411" s="1">
        <v>45146</v>
      </c>
      <c r="B1411" s="188" t="s">
        <v>1392</v>
      </c>
      <c r="C1411" s="188" t="s">
        <v>132</v>
      </c>
      <c r="D1411" s="188" t="s">
        <v>133</v>
      </c>
      <c r="E1411" s="4">
        <v>0</v>
      </c>
      <c r="F1411" s="5">
        <v>231404.96</v>
      </c>
      <c r="G1411" s="4">
        <v>48595.040000000001</v>
      </c>
      <c r="H1411" s="4">
        <v>280000</v>
      </c>
      <c r="I1411" s="188" t="str">
        <f>VLOOKUP(C1411,CATEGORIZACION!$A$1:$C$269,2,FALSE)</f>
        <v>PROOVEDORES</v>
      </c>
      <c r="J1411" s="188" t="str">
        <f>VLOOKUP(C1411,CATEGORIZACION!$A$1:$C$269,3,FALSE)</f>
        <v>LOGISTICA</v>
      </c>
    </row>
    <row r="1412" spans="1:10" ht="15.75" customHeight="1" x14ac:dyDescent="0.25">
      <c r="A1412" s="1">
        <v>45147</v>
      </c>
      <c r="B1412" s="188" t="s">
        <v>1393</v>
      </c>
      <c r="C1412" s="188" t="s">
        <v>21</v>
      </c>
      <c r="D1412" s="188" t="s">
        <v>22</v>
      </c>
      <c r="E1412" s="4">
        <v>16400</v>
      </c>
      <c r="F1412" s="5">
        <v>198600</v>
      </c>
      <c r="G1412" s="4">
        <v>41706</v>
      </c>
      <c r="H1412" s="4">
        <v>256706</v>
      </c>
      <c r="I1412" s="188" t="str">
        <f>VLOOKUP(C1412,CATEGORIZACION!$A$1:$C$269,2,FALSE)</f>
        <v>TRANSPORTE</v>
      </c>
      <c r="J1412" s="188" t="s">
        <v>19</v>
      </c>
    </row>
    <row r="1413" spans="1:10" ht="15.75" customHeight="1" x14ac:dyDescent="0.25">
      <c r="A1413" s="1">
        <v>45147</v>
      </c>
      <c r="B1413" s="188" t="s">
        <v>1394</v>
      </c>
      <c r="C1413" s="188" t="s">
        <v>658</v>
      </c>
      <c r="D1413" s="188" t="s">
        <v>659</v>
      </c>
      <c r="E1413" s="4">
        <v>451.22</v>
      </c>
      <c r="F1413" s="3">
        <v>56402</v>
      </c>
      <c r="G1413" s="4">
        <v>11844.42</v>
      </c>
      <c r="H1413" s="4">
        <v>68697.64</v>
      </c>
      <c r="I1413" s="188" t="str">
        <f>VLOOKUP(C1413,CATEGORIZACION!$A$1:$C$269,2,FALSE)</f>
        <v>PROOVEDORES</v>
      </c>
      <c r="J1413" s="188" t="str">
        <f>VLOOKUP(C1413,CATEGORIZACION!$A$1:$C$269,3,FALSE)</f>
        <v>DEPOSITO</v>
      </c>
    </row>
    <row r="1414" spans="1:10" ht="15.75" customHeight="1" x14ac:dyDescent="0.25">
      <c r="A1414" s="1">
        <v>45147</v>
      </c>
      <c r="B1414" s="188" t="s">
        <v>1395</v>
      </c>
      <c r="C1414" s="188" t="s">
        <v>658</v>
      </c>
      <c r="D1414" s="188" t="s">
        <v>659</v>
      </c>
      <c r="E1414" s="4">
        <v>451.22</v>
      </c>
      <c r="F1414" s="3">
        <v>56402</v>
      </c>
      <c r="G1414" s="4">
        <v>11844.42</v>
      </c>
      <c r="H1414" s="4">
        <v>68697.64</v>
      </c>
      <c r="I1414" s="188" t="str">
        <f>VLOOKUP(C1414,CATEGORIZACION!$A$1:$C$269,2,FALSE)</f>
        <v>PROOVEDORES</v>
      </c>
      <c r="J1414" s="188" t="str">
        <f>VLOOKUP(C1414,CATEGORIZACION!$A$1:$C$269,3,FALSE)</f>
        <v>DEPOSITO</v>
      </c>
    </row>
    <row r="1415" spans="1:10" ht="15.75" customHeight="1" x14ac:dyDescent="0.25">
      <c r="A1415" s="1">
        <v>45147</v>
      </c>
      <c r="B1415" s="188" t="s">
        <v>1396</v>
      </c>
      <c r="C1415" s="188" t="s">
        <v>658</v>
      </c>
      <c r="D1415" s="188" t="s">
        <v>659</v>
      </c>
      <c r="E1415" s="4">
        <v>451.22</v>
      </c>
      <c r="F1415" s="3">
        <v>56402</v>
      </c>
      <c r="G1415" s="4">
        <v>11844.42</v>
      </c>
      <c r="H1415" s="4">
        <v>68697.64</v>
      </c>
      <c r="I1415" s="188" t="str">
        <f>VLOOKUP(C1415,CATEGORIZACION!$A$1:$C$269,2,FALSE)</f>
        <v>PROOVEDORES</v>
      </c>
      <c r="J1415" s="188" t="str">
        <f>VLOOKUP(C1415,CATEGORIZACION!$A$1:$C$269,3,FALSE)</f>
        <v>DEPOSITO</v>
      </c>
    </row>
    <row r="1416" spans="1:10" ht="15.75" customHeight="1" x14ac:dyDescent="0.25">
      <c r="A1416" s="1">
        <v>45147</v>
      </c>
      <c r="B1416" s="188" t="s">
        <v>1397</v>
      </c>
      <c r="C1416" s="188" t="s">
        <v>36</v>
      </c>
      <c r="D1416" s="188" t="s">
        <v>37</v>
      </c>
      <c r="E1416" s="4">
        <v>0</v>
      </c>
      <c r="F1416" s="5">
        <v>164040</v>
      </c>
      <c r="G1416" s="4">
        <v>34448.400000000001</v>
      </c>
      <c r="H1416" s="4">
        <v>198488.4</v>
      </c>
      <c r="I1416" s="188" t="str">
        <f>VLOOKUP(C1416,CATEGORIZACION!$A$1:$C$269,2,FALSE)</f>
        <v>TRANSPORTE</v>
      </c>
      <c r="J1416" s="188" t="s">
        <v>19</v>
      </c>
    </row>
    <row r="1417" spans="1:10" ht="15.75" customHeight="1" x14ac:dyDescent="0.25">
      <c r="A1417" s="1">
        <v>45147</v>
      </c>
      <c r="B1417" s="188" t="s">
        <v>1398</v>
      </c>
      <c r="C1417" s="188" t="s">
        <v>36</v>
      </c>
      <c r="D1417" s="188" t="s">
        <v>37</v>
      </c>
      <c r="E1417" s="4">
        <v>0</v>
      </c>
      <c r="F1417" s="5">
        <v>164040</v>
      </c>
      <c r="G1417" s="4">
        <v>34448.400000000001</v>
      </c>
      <c r="H1417" s="4">
        <v>198488.4</v>
      </c>
      <c r="I1417" s="188" t="str">
        <f>VLOOKUP(C1417,CATEGORIZACION!$A$1:$C$269,2,FALSE)</f>
        <v>TRANSPORTE</v>
      </c>
      <c r="J1417" s="188" t="s">
        <v>19</v>
      </c>
    </row>
    <row r="1418" spans="1:10" ht="15.75" customHeight="1" x14ac:dyDescent="0.25">
      <c r="A1418" s="1">
        <v>45148</v>
      </c>
      <c r="B1418" s="188" t="s">
        <v>1399</v>
      </c>
      <c r="C1418" s="188" t="s">
        <v>21</v>
      </c>
      <c r="D1418" s="188" t="s">
        <v>22</v>
      </c>
      <c r="E1418" s="4">
        <v>17720</v>
      </c>
      <c r="F1418" s="5">
        <v>328950</v>
      </c>
      <c r="G1418" s="4">
        <v>69079.5</v>
      </c>
      <c r="H1418" s="4">
        <v>415749.5</v>
      </c>
      <c r="I1418" s="188" t="str">
        <f>VLOOKUP(C1418,CATEGORIZACION!$A$1:$C$269,2,FALSE)</f>
        <v>TRANSPORTE</v>
      </c>
      <c r="J1418" s="188" t="s">
        <v>19</v>
      </c>
    </row>
    <row r="1419" spans="1:10" ht="15.75" customHeight="1" x14ac:dyDescent="0.25">
      <c r="A1419" s="1">
        <v>45148</v>
      </c>
      <c r="B1419" s="188" t="s">
        <v>1400</v>
      </c>
      <c r="C1419" s="188" t="s">
        <v>21</v>
      </c>
      <c r="D1419" s="188" t="s">
        <v>22</v>
      </c>
      <c r="E1419" s="4">
        <v>14520</v>
      </c>
      <c r="F1419" s="5">
        <v>478200</v>
      </c>
      <c r="G1419" s="4">
        <v>100422</v>
      </c>
      <c r="H1419" s="4">
        <v>593142</v>
      </c>
      <c r="I1419" s="188" t="str">
        <f>VLOOKUP(C1419,CATEGORIZACION!$A$1:$C$269,2,FALSE)</f>
        <v>TRANSPORTE</v>
      </c>
      <c r="J1419" s="188" t="s">
        <v>19</v>
      </c>
    </row>
    <row r="1420" spans="1:10" ht="15.75" customHeight="1" x14ac:dyDescent="0.25">
      <c r="A1420" s="1">
        <v>45148</v>
      </c>
      <c r="B1420" s="188" t="s">
        <v>1401</v>
      </c>
      <c r="C1420" s="188" t="s">
        <v>21</v>
      </c>
      <c r="D1420" s="188" t="s">
        <v>22</v>
      </c>
      <c r="E1420" s="4">
        <v>23760</v>
      </c>
      <c r="F1420" s="5">
        <v>347550</v>
      </c>
      <c r="G1420" s="4">
        <v>72985.5</v>
      </c>
      <c r="H1420" s="4">
        <v>444295.5</v>
      </c>
      <c r="I1420" s="188" t="str">
        <f>VLOOKUP(C1420,CATEGORIZACION!$A$1:$C$269,2,FALSE)</f>
        <v>TRANSPORTE</v>
      </c>
      <c r="J1420" s="188" t="s">
        <v>19</v>
      </c>
    </row>
    <row r="1421" spans="1:10" ht="15.75" customHeight="1" x14ac:dyDescent="0.25">
      <c r="A1421" s="1">
        <v>45148</v>
      </c>
      <c r="B1421" s="188" t="s">
        <v>1402</v>
      </c>
      <c r="C1421" s="188" t="s">
        <v>21</v>
      </c>
      <c r="D1421" s="188" t="s">
        <v>22</v>
      </c>
      <c r="E1421" s="4">
        <v>30400</v>
      </c>
      <c r="F1421" s="5">
        <v>0</v>
      </c>
      <c r="G1421" s="4">
        <v>0</v>
      </c>
      <c r="H1421" s="4">
        <v>30400</v>
      </c>
      <c r="I1421" s="188" t="str">
        <f>VLOOKUP(C1421,CATEGORIZACION!$A$1:$C$269,2,FALSE)</f>
        <v>TRANSPORTE</v>
      </c>
      <c r="J1421" s="188" t="s">
        <v>19</v>
      </c>
    </row>
    <row r="1422" spans="1:10" ht="15.75" customHeight="1" x14ac:dyDescent="0.25">
      <c r="A1422" s="1">
        <v>45148</v>
      </c>
      <c r="B1422" s="188" t="s">
        <v>1403</v>
      </c>
      <c r="C1422" s="188" t="s">
        <v>36</v>
      </c>
      <c r="D1422" s="188" t="s">
        <v>37</v>
      </c>
      <c r="E1422" s="4">
        <v>17100</v>
      </c>
      <c r="F1422" s="5">
        <v>174460</v>
      </c>
      <c r="G1422" s="4">
        <v>36636.6</v>
      </c>
      <c r="H1422" s="4">
        <v>228196.6</v>
      </c>
      <c r="I1422" s="188" t="str">
        <f>VLOOKUP(C1422,CATEGORIZACION!$A$1:$C$269,2,FALSE)</f>
        <v>TRANSPORTE</v>
      </c>
      <c r="J1422" s="188" t="s">
        <v>19</v>
      </c>
    </row>
    <row r="1423" spans="1:10" ht="15.75" customHeight="1" x14ac:dyDescent="0.25">
      <c r="A1423" s="1">
        <v>45148</v>
      </c>
      <c r="B1423" s="188" t="s">
        <v>1404</v>
      </c>
      <c r="C1423" s="188" t="s">
        <v>36</v>
      </c>
      <c r="D1423" s="188" t="s">
        <v>37</v>
      </c>
      <c r="E1423" s="4">
        <v>9200</v>
      </c>
      <c r="F1423" s="5">
        <v>154000</v>
      </c>
      <c r="G1423" s="4">
        <v>32340</v>
      </c>
      <c r="H1423" s="4">
        <v>195540</v>
      </c>
      <c r="I1423" s="188" t="str">
        <f>VLOOKUP(C1423,CATEGORIZACION!$A$1:$C$269,2,FALSE)</f>
        <v>TRANSPORTE</v>
      </c>
      <c r="J1423" s="188" t="s">
        <v>19</v>
      </c>
    </row>
    <row r="1424" spans="1:10" ht="15.75" customHeight="1" x14ac:dyDescent="0.25">
      <c r="A1424" s="1">
        <v>45148</v>
      </c>
      <c r="B1424" s="188" t="s">
        <v>1405</v>
      </c>
      <c r="C1424" s="188" t="s">
        <v>36</v>
      </c>
      <c r="D1424" s="188" t="s">
        <v>37</v>
      </c>
      <c r="E1424" s="4">
        <v>14100</v>
      </c>
      <c r="F1424" s="5">
        <v>196200</v>
      </c>
      <c r="G1424" s="4">
        <v>41202</v>
      </c>
      <c r="H1424" s="4">
        <v>251502</v>
      </c>
      <c r="I1424" s="188" t="str">
        <f>VLOOKUP(C1424,CATEGORIZACION!$A$1:$C$269,2,FALSE)</f>
        <v>TRANSPORTE</v>
      </c>
      <c r="J1424" s="188" t="s">
        <v>19</v>
      </c>
    </row>
    <row r="1425" spans="1:10" ht="15.75" customHeight="1" x14ac:dyDescent="0.25">
      <c r="A1425" s="1">
        <v>45148</v>
      </c>
      <c r="B1425" s="188" t="s">
        <v>1406</v>
      </c>
      <c r="C1425" s="188" t="s">
        <v>36</v>
      </c>
      <c r="D1425" s="188" t="s">
        <v>37</v>
      </c>
      <c r="E1425" s="4">
        <v>16500</v>
      </c>
      <c r="F1425" s="5">
        <v>113300</v>
      </c>
      <c r="G1425" s="4">
        <v>23793</v>
      </c>
      <c r="H1425" s="4">
        <v>153593</v>
      </c>
      <c r="I1425" s="188" t="str">
        <f>VLOOKUP(C1425,CATEGORIZACION!$A$1:$C$269,2,FALSE)</f>
        <v>TRANSPORTE</v>
      </c>
      <c r="J1425" s="188" t="s">
        <v>19</v>
      </c>
    </row>
    <row r="1426" spans="1:10" ht="15.75" customHeight="1" x14ac:dyDescent="0.25">
      <c r="A1426" s="1">
        <v>45148</v>
      </c>
      <c r="B1426" s="188" t="s">
        <v>1407</v>
      </c>
      <c r="C1426" s="188" t="s">
        <v>36</v>
      </c>
      <c r="D1426" s="188" t="s">
        <v>37</v>
      </c>
      <c r="E1426" s="4">
        <v>16500</v>
      </c>
      <c r="F1426" s="5">
        <v>113300</v>
      </c>
      <c r="G1426" s="4">
        <v>23793</v>
      </c>
      <c r="H1426" s="4">
        <v>153593</v>
      </c>
      <c r="I1426" s="188" t="str">
        <f>VLOOKUP(C1426,CATEGORIZACION!$A$1:$C$269,2,FALSE)</f>
        <v>TRANSPORTE</v>
      </c>
      <c r="J1426" s="188" t="s">
        <v>19</v>
      </c>
    </row>
    <row r="1427" spans="1:10" ht="15.75" customHeight="1" x14ac:dyDescent="0.25">
      <c r="A1427" s="1">
        <v>45148</v>
      </c>
      <c r="B1427" s="188" t="s">
        <v>1408</v>
      </c>
      <c r="C1427" s="188" t="s">
        <v>36</v>
      </c>
      <c r="D1427" s="188" t="s">
        <v>37</v>
      </c>
      <c r="E1427" s="4">
        <v>22100</v>
      </c>
      <c r="F1427" s="5">
        <v>269050</v>
      </c>
      <c r="G1427" s="4">
        <v>56500.5</v>
      </c>
      <c r="H1427" s="4">
        <v>347650.5</v>
      </c>
      <c r="I1427" s="188" t="str">
        <f>VLOOKUP(C1427,CATEGORIZACION!$A$1:$C$269,2,FALSE)</f>
        <v>TRANSPORTE</v>
      </c>
      <c r="J1427" s="188" t="s">
        <v>19</v>
      </c>
    </row>
    <row r="1428" spans="1:10" ht="15.75" customHeight="1" x14ac:dyDescent="0.25">
      <c r="A1428" s="1">
        <v>45148</v>
      </c>
      <c r="B1428" s="188" t="s">
        <v>1409</v>
      </c>
      <c r="C1428" s="188" t="s">
        <v>36</v>
      </c>
      <c r="D1428" s="188" t="s">
        <v>37</v>
      </c>
      <c r="E1428" s="4">
        <v>11500</v>
      </c>
      <c r="F1428" s="5">
        <v>146460</v>
      </c>
      <c r="G1428" s="4">
        <v>30756.6</v>
      </c>
      <c r="H1428" s="4">
        <v>188716.6</v>
      </c>
      <c r="I1428" s="188" t="str">
        <f>VLOOKUP(C1428,CATEGORIZACION!$A$1:$C$269,2,FALSE)</f>
        <v>TRANSPORTE</v>
      </c>
      <c r="J1428" s="188" t="s">
        <v>19</v>
      </c>
    </row>
    <row r="1429" spans="1:10" ht="15.75" customHeight="1" x14ac:dyDescent="0.25">
      <c r="A1429" s="1">
        <v>45148</v>
      </c>
      <c r="B1429" s="188" t="s">
        <v>1410</v>
      </c>
      <c r="C1429" s="188" t="s">
        <v>36</v>
      </c>
      <c r="D1429" s="188" t="s">
        <v>37</v>
      </c>
      <c r="E1429" s="4">
        <v>11500</v>
      </c>
      <c r="F1429" s="5">
        <v>146460</v>
      </c>
      <c r="G1429" s="4">
        <v>30756.6</v>
      </c>
      <c r="H1429" s="4">
        <v>188716.6</v>
      </c>
      <c r="I1429" s="188" t="str">
        <f>VLOOKUP(C1429,CATEGORIZACION!$A$1:$C$269,2,FALSE)</f>
        <v>TRANSPORTE</v>
      </c>
      <c r="J1429" s="188" t="s">
        <v>19</v>
      </c>
    </row>
    <row r="1430" spans="1:10" ht="15.75" customHeight="1" x14ac:dyDescent="0.25">
      <c r="A1430" s="1">
        <v>45148</v>
      </c>
      <c r="B1430" s="188" t="s">
        <v>1411</v>
      </c>
      <c r="C1430" s="188" t="s">
        <v>36</v>
      </c>
      <c r="D1430" s="188" t="s">
        <v>37</v>
      </c>
      <c r="E1430" s="4">
        <v>11500</v>
      </c>
      <c r="F1430" s="5">
        <v>146460</v>
      </c>
      <c r="G1430" s="4">
        <v>30756.6</v>
      </c>
      <c r="H1430" s="4">
        <v>188716.6</v>
      </c>
      <c r="I1430" s="188" t="str">
        <f>VLOOKUP(C1430,CATEGORIZACION!$A$1:$C$269,2,FALSE)</f>
        <v>TRANSPORTE</v>
      </c>
      <c r="J1430" s="188" t="s">
        <v>19</v>
      </c>
    </row>
    <row r="1431" spans="1:10" ht="15.75" customHeight="1" x14ac:dyDescent="0.25">
      <c r="A1431" s="1">
        <v>45148</v>
      </c>
      <c r="B1431" s="188" t="s">
        <v>1412</v>
      </c>
      <c r="C1431" s="188" t="s">
        <v>36</v>
      </c>
      <c r="D1431" s="188" t="s">
        <v>37</v>
      </c>
      <c r="E1431" s="4">
        <v>9200</v>
      </c>
      <c r="F1431" s="5">
        <v>63000</v>
      </c>
      <c r="G1431" s="4">
        <v>13230</v>
      </c>
      <c r="H1431" s="4">
        <v>85430</v>
      </c>
      <c r="I1431" s="188" t="str">
        <f>VLOOKUP(C1431,CATEGORIZACION!$A$1:$C$269,2,FALSE)</f>
        <v>TRANSPORTE</v>
      </c>
      <c r="J1431" s="188" t="s">
        <v>19</v>
      </c>
    </row>
    <row r="1432" spans="1:10" ht="15.75" customHeight="1" x14ac:dyDescent="0.25">
      <c r="A1432" s="1">
        <v>45149</v>
      </c>
      <c r="B1432" s="188" t="s">
        <v>1413</v>
      </c>
      <c r="C1432" s="188" t="s">
        <v>1143</v>
      </c>
      <c r="D1432" s="188" t="s">
        <v>1144</v>
      </c>
      <c r="E1432" s="4">
        <v>0</v>
      </c>
      <c r="F1432" s="3">
        <v>160362</v>
      </c>
      <c r="G1432" s="4">
        <v>33676.019999999997</v>
      </c>
      <c r="H1432" s="4">
        <v>194038.02</v>
      </c>
      <c r="I1432" s="188" t="str">
        <f>VLOOKUP(C1432,CATEGORIZACION!$A$1:$C$269,2,FALSE)</f>
        <v>PROOVEDORES</v>
      </c>
      <c r="J1432" s="188" t="str">
        <f>VLOOKUP(C1432,CATEGORIZACION!$A$1:$C$269,3,FALSE)</f>
        <v>DEPOSITO</v>
      </c>
    </row>
    <row r="1433" spans="1:10" ht="15.75" customHeight="1" x14ac:dyDescent="0.25">
      <c r="A1433" s="1">
        <v>45149</v>
      </c>
      <c r="B1433" s="188" t="s">
        <v>1414</v>
      </c>
      <c r="C1433" s="188" t="s">
        <v>1415</v>
      </c>
      <c r="D1433" s="188" t="s">
        <v>1416</v>
      </c>
      <c r="E1433" s="4">
        <v>0</v>
      </c>
      <c r="F1433" s="5">
        <v>28925.62</v>
      </c>
      <c r="G1433" s="4">
        <v>6074.38</v>
      </c>
      <c r="H1433" s="4">
        <v>35000</v>
      </c>
      <c r="I1433" s="188" t="str">
        <f>VLOOKUP(C1433,CATEGORIZACION!$A$1:$C$269,2,FALSE)</f>
        <v>PROOVEDORES</v>
      </c>
      <c r="J1433" s="188" t="str">
        <f>VLOOKUP(C1433,CATEGORIZACION!$A$1:$C$269,3,FALSE)</f>
        <v>LOGISTICA</v>
      </c>
    </row>
    <row r="1434" spans="1:10" ht="15.75" customHeight="1" x14ac:dyDescent="0.25">
      <c r="A1434" s="1">
        <v>45149</v>
      </c>
      <c r="B1434" s="188" t="s">
        <v>1417</v>
      </c>
      <c r="C1434" s="188" t="s">
        <v>21</v>
      </c>
      <c r="D1434" s="188" t="s">
        <v>22</v>
      </c>
      <c r="E1434" s="4">
        <v>37680</v>
      </c>
      <c r="F1434" s="5">
        <v>442800</v>
      </c>
      <c r="G1434" s="4">
        <v>92988</v>
      </c>
      <c r="H1434" s="4">
        <v>573468</v>
      </c>
      <c r="I1434" s="188" t="str">
        <f>VLOOKUP(C1434,CATEGORIZACION!$A$1:$C$269,2,FALSE)</f>
        <v>TRANSPORTE</v>
      </c>
      <c r="J1434" s="188" t="s">
        <v>19</v>
      </c>
    </row>
    <row r="1435" spans="1:10" ht="15.75" customHeight="1" x14ac:dyDescent="0.25">
      <c r="A1435" s="1">
        <v>45149</v>
      </c>
      <c r="B1435" s="188" t="s">
        <v>1418</v>
      </c>
      <c r="C1435" s="188" t="s">
        <v>21</v>
      </c>
      <c r="D1435" s="188" t="s">
        <v>22</v>
      </c>
      <c r="E1435" s="4">
        <v>37680</v>
      </c>
      <c r="F1435" s="5">
        <v>442800</v>
      </c>
      <c r="G1435" s="4">
        <v>92988</v>
      </c>
      <c r="H1435" s="4">
        <v>573468</v>
      </c>
      <c r="I1435" s="188" t="str">
        <f>VLOOKUP(C1435,CATEGORIZACION!$A$1:$C$269,2,FALSE)</f>
        <v>TRANSPORTE</v>
      </c>
      <c r="J1435" s="188" t="s">
        <v>19</v>
      </c>
    </row>
    <row r="1436" spans="1:10" ht="15.75" customHeight="1" x14ac:dyDescent="0.25">
      <c r="A1436" s="1">
        <v>45149</v>
      </c>
      <c r="B1436" s="188" t="s">
        <v>1419</v>
      </c>
      <c r="C1436" s="188" t="s">
        <v>21</v>
      </c>
      <c r="D1436" s="188" t="s">
        <v>22</v>
      </c>
      <c r="E1436" s="4">
        <v>31400</v>
      </c>
      <c r="F1436" s="5">
        <v>411800</v>
      </c>
      <c r="G1436" s="4">
        <v>86478</v>
      </c>
      <c r="H1436" s="4">
        <v>529678</v>
      </c>
      <c r="I1436" s="188" t="str">
        <f>VLOOKUP(C1436,CATEGORIZACION!$A$1:$C$269,2,FALSE)</f>
        <v>TRANSPORTE</v>
      </c>
      <c r="J1436" s="188" t="s">
        <v>19</v>
      </c>
    </row>
    <row r="1437" spans="1:10" ht="15.75" customHeight="1" x14ac:dyDescent="0.25">
      <c r="A1437" s="1">
        <v>45149</v>
      </c>
      <c r="B1437" s="188" t="s">
        <v>1420</v>
      </c>
      <c r="C1437" s="188" t="s">
        <v>21</v>
      </c>
      <c r="D1437" s="188" t="s">
        <v>22</v>
      </c>
      <c r="E1437" s="4">
        <v>30880</v>
      </c>
      <c r="F1437" s="5">
        <v>371700</v>
      </c>
      <c r="G1437" s="4">
        <v>78057</v>
      </c>
      <c r="H1437" s="4">
        <v>480637</v>
      </c>
      <c r="I1437" s="188" t="str">
        <f>VLOOKUP(C1437,CATEGORIZACION!$A$1:$C$269,2,FALSE)</f>
        <v>TRANSPORTE</v>
      </c>
      <c r="J1437" s="188" t="s">
        <v>19</v>
      </c>
    </row>
    <row r="1438" spans="1:10" ht="15.75" customHeight="1" x14ac:dyDescent="0.25">
      <c r="A1438" s="1">
        <v>45149</v>
      </c>
      <c r="B1438" s="188" t="s">
        <v>1421</v>
      </c>
      <c r="C1438" s="188" t="s">
        <v>21</v>
      </c>
      <c r="D1438" s="188" t="s">
        <v>22</v>
      </c>
      <c r="E1438" s="4">
        <v>8200</v>
      </c>
      <c r="F1438" s="5">
        <v>99300</v>
      </c>
      <c r="G1438" s="4">
        <v>20853</v>
      </c>
      <c r="H1438" s="4">
        <v>128353</v>
      </c>
      <c r="I1438" s="188" t="str">
        <f>VLOOKUP(C1438,CATEGORIZACION!$A$1:$C$269,2,FALSE)</f>
        <v>TRANSPORTE</v>
      </c>
      <c r="J1438" s="188" t="s">
        <v>19</v>
      </c>
    </row>
    <row r="1439" spans="1:10" ht="15.75" customHeight="1" x14ac:dyDescent="0.25">
      <c r="A1439" s="1">
        <v>45149</v>
      </c>
      <c r="B1439" s="188" t="s">
        <v>1422</v>
      </c>
      <c r="C1439" s="188" t="s">
        <v>21</v>
      </c>
      <c r="D1439" s="188" t="s">
        <v>22</v>
      </c>
      <c r="E1439" s="4">
        <v>6640</v>
      </c>
      <c r="F1439" s="5">
        <v>595800</v>
      </c>
      <c r="G1439" s="4">
        <v>125118</v>
      </c>
      <c r="H1439" s="4">
        <v>727558</v>
      </c>
      <c r="I1439" s="188" t="str">
        <f>VLOOKUP(C1439,CATEGORIZACION!$A$1:$C$269,2,FALSE)</f>
        <v>TRANSPORTE</v>
      </c>
      <c r="J1439" s="188" t="s">
        <v>19</v>
      </c>
    </row>
    <row r="1440" spans="1:10" ht="15.75" customHeight="1" x14ac:dyDescent="0.25">
      <c r="A1440" s="1">
        <v>45150</v>
      </c>
      <c r="B1440" s="188" t="s">
        <v>1423</v>
      </c>
      <c r="C1440" s="188" t="s">
        <v>36</v>
      </c>
      <c r="D1440" s="188" t="s">
        <v>37</v>
      </c>
      <c r="E1440" s="4">
        <v>7500</v>
      </c>
      <c r="F1440" s="5">
        <v>94950</v>
      </c>
      <c r="G1440" s="4">
        <v>19939.5</v>
      </c>
      <c r="H1440" s="4">
        <v>122389.5</v>
      </c>
      <c r="I1440" s="188" t="str">
        <f>VLOOKUP(C1440,CATEGORIZACION!$A$1:$C$269,2,FALSE)</f>
        <v>TRANSPORTE</v>
      </c>
      <c r="J1440" s="188" t="s">
        <v>19</v>
      </c>
    </row>
    <row r="1441" spans="1:10" ht="15.75" customHeight="1" x14ac:dyDescent="0.25">
      <c r="A1441" s="1">
        <v>45150</v>
      </c>
      <c r="B1441" s="188" t="s">
        <v>1424</v>
      </c>
      <c r="C1441" s="188" t="s">
        <v>36</v>
      </c>
      <c r="D1441" s="188" t="s">
        <v>37</v>
      </c>
      <c r="E1441" s="4">
        <v>16400</v>
      </c>
      <c r="F1441" s="5">
        <v>122050</v>
      </c>
      <c r="G1441" s="4">
        <v>25630.5</v>
      </c>
      <c r="H1441" s="4">
        <v>164080.5</v>
      </c>
      <c r="I1441" s="188" t="str">
        <f>VLOOKUP(C1441,CATEGORIZACION!$A$1:$C$269,2,FALSE)</f>
        <v>TRANSPORTE</v>
      </c>
      <c r="J1441" s="188" t="s">
        <v>19</v>
      </c>
    </row>
    <row r="1442" spans="1:10" ht="15.75" customHeight="1" x14ac:dyDescent="0.25">
      <c r="A1442" s="1">
        <v>45150</v>
      </c>
      <c r="B1442" s="188" t="s">
        <v>1425</v>
      </c>
      <c r="C1442" s="188" t="s">
        <v>36</v>
      </c>
      <c r="D1442" s="188" t="s">
        <v>37</v>
      </c>
      <c r="E1442" s="4">
        <v>16400</v>
      </c>
      <c r="F1442" s="5">
        <v>146460</v>
      </c>
      <c r="G1442" s="4">
        <v>30756.6</v>
      </c>
      <c r="H1442" s="4">
        <v>193616.6</v>
      </c>
      <c r="I1442" s="188" t="str">
        <f>VLOOKUP(C1442,CATEGORIZACION!$A$1:$C$269,2,FALSE)</f>
        <v>TRANSPORTE</v>
      </c>
      <c r="J1442" s="188" t="s">
        <v>19</v>
      </c>
    </row>
    <row r="1443" spans="1:10" ht="15.75" customHeight="1" x14ac:dyDescent="0.25">
      <c r="A1443" s="1">
        <v>45150</v>
      </c>
      <c r="B1443" s="188" t="s">
        <v>1426</v>
      </c>
      <c r="C1443" s="188" t="s">
        <v>36</v>
      </c>
      <c r="D1443" s="188" t="s">
        <v>37</v>
      </c>
      <c r="E1443" s="4">
        <v>6500</v>
      </c>
      <c r="F1443" s="5">
        <v>152250</v>
      </c>
      <c r="G1443" s="4">
        <v>31972.5</v>
      </c>
      <c r="H1443" s="4">
        <v>190722.5</v>
      </c>
      <c r="I1443" s="188" t="str">
        <f>VLOOKUP(C1443,CATEGORIZACION!$A$1:$C$269,2,FALSE)</f>
        <v>TRANSPORTE</v>
      </c>
      <c r="J1443" s="188" t="s">
        <v>19</v>
      </c>
    </row>
    <row r="1444" spans="1:10" ht="15.75" customHeight="1" x14ac:dyDescent="0.25">
      <c r="A1444" s="1">
        <v>45150</v>
      </c>
      <c r="B1444" s="188" t="s">
        <v>1427</v>
      </c>
      <c r="C1444" s="188" t="s">
        <v>36</v>
      </c>
      <c r="D1444" s="188" t="s">
        <v>37</v>
      </c>
      <c r="E1444" s="4">
        <v>6500</v>
      </c>
      <c r="F1444" s="5">
        <v>152250</v>
      </c>
      <c r="G1444" s="4">
        <v>31972.5</v>
      </c>
      <c r="H1444" s="4">
        <v>190722.5</v>
      </c>
      <c r="I1444" s="188" t="str">
        <f>VLOOKUP(C1444,CATEGORIZACION!$A$1:$C$269,2,FALSE)</f>
        <v>TRANSPORTE</v>
      </c>
      <c r="J1444" s="188" t="s">
        <v>19</v>
      </c>
    </row>
    <row r="1445" spans="1:10" ht="15.75" customHeight="1" x14ac:dyDescent="0.25">
      <c r="A1445" s="1">
        <v>45150</v>
      </c>
      <c r="B1445" s="188" t="s">
        <v>1428</v>
      </c>
      <c r="C1445" s="188" t="s">
        <v>36</v>
      </c>
      <c r="D1445" s="188" t="s">
        <v>37</v>
      </c>
      <c r="E1445" s="4">
        <v>6500</v>
      </c>
      <c r="F1445" s="5">
        <v>152250</v>
      </c>
      <c r="G1445" s="4">
        <v>31972.5</v>
      </c>
      <c r="H1445" s="4">
        <v>190722.5</v>
      </c>
      <c r="I1445" s="188" t="str">
        <f>VLOOKUP(C1445,CATEGORIZACION!$A$1:$C$269,2,FALSE)</f>
        <v>TRANSPORTE</v>
      </c>
      <c r="J1445" s="188" t="s">
        <v>19</v>
      </c>
    </row>
    <row r="1446" spans="1:10" ht="15.75" customHeight="1" x14ac:dyDescent="0.25">
      <c r="A1446" s="1">
        <v>45150</v>
      </c>
      <c r="B1446" s="188" t="s">
        <v>1429</v>
      </c>
      <c r="C1446" s="188" t="s">
        <v>36</v>
      </c>
      <c r="D1446" s="188" t="s">
        <v>37</v>
      </c>
      <c r="E1446" s="4">
        <v>12500</v>
      </c>
      <c r="F1446" s="5">
        <v>85300</v>
      </c>
      <c r="G1446" s="4">
        <v>17913</v>
      </c>
      <c r="H1446" s="4">
        <v>115713</v>
      </c>
      <c r="I1446" s="188" t="str">
        <f>VLOOKUP(C1446,CATEGORIZACION!$A$1:$C$269,2,FALSE)</f>
        <v>TRANSPORTE</v>
      </c>
      <c r="J1446" s="188" t="s">
        <v>19</v>
      </c>
    </row>
    <row r="1447" spans="1:10" ht="15.75" customHeight="1" x14ac:dyDescent="0.25">
      <c r="A1447" s="1">
        <v>45152</v>
      </c>
      <c r="B1447" s="188" t="s">
        <v>1430</v>
      </c>
      <c r="C1447" s="188" t="s">
        <v>87</v>
      </c>
      <c r="D1447" s="188" t="s">
        <v>88</v>
      </c>
      <c r="E1447" s="4">
        <v>0</v>
      </c>
      <c r="F1447" s="5">
        <v>7140</v>
      </c>
      <c r="G1447" s="4">
        <v>1499.4</v>
      </c>
      <c r="H1447" s="4">
        <v>8639.4</v>
      </c>
      <c r="I1447" s="188" t="str">
        <f>VLOOKUP(C1447,CATEGORIZACION!$A$1:$C$269,2,FALSE)</f>
        <v>PROOVEDORES</v>
      </c>
      <c r="J1447" s="188" t="str">
        <f>VLOOKUP(C1447,CATEGORIZACION!$A$1:$C$269,3,FALSE)</f>
        <v>LOGISTICA</v>
      </c>
    </row>
    <row r="1448" spans="1:10" ht="15.75" customHeight="1" x14ac:dyDescent="0.25">
      <c r="A1448" s="1">
        <v>45152</v>
      </c>
      <c r="B1448" s="188" t="s">
        <v>1431</v>
      </c>
      <c r="C1448" s="188" t="s">
        <v>36</v>
      </c>
      <c r="D1448" s="188" t="s">
        <v>37</v>
      </c>
      <c r="E1448" s="4">
        <v>9200</v>
      </c>
      <c r="F1448" s="5">
        <v>63000</v>
      </c>
      <c r="G1448" s="4">
        <v>13230</v>
      </c>
      <c r="H1448" s="4">
        <v>85430</v>
      </c>
      <c r="I1448" s="188" t="str">
        <f>VLOOKUP(C1448,CATEGORIZACION!$A$1:$C$269,2,FALSE)</f>
        <v>TRANSPORTE</v>
      </c>
      <c r="J1448" s="188" t="s">
        <v>19</v>
      </c>
    </row>
    <row r="1449" spans="1:10" ht="15.75" customHeight="1" x14ac:dyDescent="0.25">
      <c r="A1449" s="1">
        <v>45152</v>
      </c>
      <c r="B1449" s="188" t="s">
        <v>1432</v>
      </c>
      <c r="C1449" s="188" t="s">
        <v>36</v>
      </c>
      <c r="D1449" s="188" t="s">
        <v>37</v>
      </c>
      <c r="E1449" s="4">
        <v>11500</v>
      </c>
      <c r="F1449" s="5">
        <v>122050</v>
      </c>
      <c r="G1449" s="4">
        <v>25630.5</v>
      </c>
      <c r="H1449" s="4">
        <v>159180.5</v>
      </c>
      <c r="I1449" s="188" t="str">
        <f>VLOOKUP(C1449,CATEGORIZACION!$A$1:$C$269,2,FALSE)</f>
        <v>TRANSPORTE</v>
      </c>
      <c r="J1449" s="188" t="s">
        <v>19</v>
      </c>
    </row>
    <row r="1450" spans="1:10" ht="15.75" customHeight="1" x14ac:dyDescent="0.25">
      <c r="A1450" s="1">
        <v>45152</v>
      </c>
      <c r="B1450" s="188" t="s">
        <v>1433</v>
      </c>
      <c r="C1450" s="188" t="s">
        <v>36</v>
      </c>
      <c r="D1450" s="188" t="s">
        <v>37</v>
      </c>
      <c r="E1450" s="4">
        <v>9200</v>
      </c>
      <c r="F1450" s="5">
        <v>81900</v>
      </c>
      <c r="G1450" s="4">
        <v>17199</v>
      </c>
      <c r="H1450" s="4">
        <v>108299</v>
      </c>
      <c r="I1450" s="188" t="str">
        <f>VLOOKUP(C1450,CATEGORIZACION!$A$1:$C$269,2,FALSE)</f>
        <v>TRANSPORTE</v>
      </c>
      <c r="J1450" s="188" t="s">
        <v>19</v>
      </c>
    </row>
    <row r="1451" spans="1:10" ht="15.75" customHeight="1" x14ac:dyDescent="0.25">
      <c r="A1451" s="1">
        <v>45152</v>
      </c>
      <c r="B1451" s="188" t="s">
        <v>1434</v>
      </c>
      <c r="C1451" s="188" t="s">
        <v>36</v>
      </c>
      <c r="D1451" s="188" t="s">
        <v>37</v>
      </c>
      <c r="E1451" s="4">
        <v>9200</v>
      </c>
      <c r="F1451" s="5">
        <v>81900</v>
      </c>
      <c r="G1451" s="4">
        <v>17199</v>
      </c>
      <c r="H1451" s="4">
        <v>108299</v>
      </c>
      <c r="I1451" s="188" t="str">
        <f>VLOOKUP(C1451,CATEGORIZACION!$A$1:$C$269,2,FALSE)</f>
        <v>TRANSPORTE</v>
      </c>
      <c r="J1451" s="188" t="s">
        <v>19</v>
      </c>
    </row>
    <row r="1452" spans="1:10" ht="15.75" customHeight="1" x14ac:dyDescent="0.25">
      <c r="A1452" s="1">
        <v>45152</v>
      </c>
      <c r="B1452" s="188" t="s">
        <v>1435</v>
      </c>
      <c r="C1452" s="188" t="s">
        <v>36</v>
      </c>
      <c r="D1452" s="188" t="s">
        <v>37</v>
      </c>
      <c r="E1452" s="4">
        <v>9200</v>
      </c>
      <c r="F1452" s="5">
        <v>81900</v>
      </c>
      <c r="G1452" s="4">
        <v>17199</v>
      </c>
      <c r="H1452" s="4">
        <v>108299</v>
      </c>
      <c r="I1452" s="188" t="str">
        <f>VLOOKUP(C1452,CATEGORIZACION!$A$1:$C$269,2,FALSE)</f>
        <v>TRANSPORTE</v>
      </c>
      <c r="J1452" s="188" t="s">
        <v>19</v>
      </c>
    </row>
    <row r="1453" spans="1:10" ht="15.75" customHeight="1" x14ac:dyDescent="0.25">
      <c r="A1453" s="1">
        <v>45152</v>
      </c>
      <c r="B1453" s="188" t="s">
        <v>1436</v>
      </c>
      <c r="C1453" s="188" t="s">
        <v>36</v>
      </c>
      <c r="D1453" s="188" t="s">
        <v>37</v>
      </c>
      <c r="E1453" s="4">
        <v>9200</v>
      </c>
      <c r="F1453" s="5">
        <v>81900</v>
      </c>
      <c r="G1453" s="4">
        <v>17199</v>
      </c>
      <c r="H1453" s="4">
        <v>108299</v>
      </c>
      <c r="I1453" s="188" t="str">
        <f>VLOOKUP(C1453,CATEGORIZACION!$A$1:$C$269,2,FALSE)</f>
        <v>TRANSPORTE</v>
      </c>
      <c r="J1453" s="188" t="s">
        <v>19</v>
      </c>
    </row>
    <row r="1454" spans="1:10" ht="15.75" customHeight="1" x14ac:dyDescent="0.25">
      <c r="A1454" s="1">
        <v>45152</v>
      </c>
      <c r="B1454" s="188" t="s">
        <v>1437</v>
      </c>
      <c r="C1454" s="188" t="s">
        <v>36</v>
      </c>
      <c r="D1454" s="188" t="s">
        <v>37</v>
      </c>
      <c r="E1454" s="4">
        <v>12500</v>
      </c>
      <c r="F1454" s="5">
        <v>143350</v>
      </c>
      <c r="G1454" s="4">
        <v>30103.5</v>
      </c>
      <c r="H1454" s="4">
        <v>185953.5</v>
      </c>
      <c r="I1454" s="188" t="str">
        <f>VLOOKUP(C1454,CATEGORIZACION!$A$1:$C$269,2,FALSE)</f>
        <v>TRANSPORTE</v>
      </c>
      <c r="J1454" s="188" t="s">
        <v>19</v>
      </c>
    </row>
    <row r="1455" spans="1:10" ht="15.75" customHeight="1" x14ac:dyDescent="0.25">
      <c r="A1455" s="1">
        <v>45152</v>
      </c>
      <c r="B1455" s="188" t="s">
        <v>1438</v>
      </c>
      <c r="C1455" s="188" t="s">
        <v>36</v>
      </c>
      <c r="D1455" s="188" t="s">
        <v>37</v>
      </c>
      <c r="E1455" s="4">
        <v>12500</v>
      </c>
      <c r="F1455" s="5">
        <v>143350</v>
      </c>
      <c r="G1455" s="4">
        <v>30103.5</v>
      </c>
      <c r="H1455" s="4">
        <v>185953.5</v>
      </c>
      <c r="I1455" s="188" t="str">
        <f>VLOOKUP(C1455,CATEGORIZACION!$A$1:$C$269,2,FALSE)</f>
        <v>TRANSPORTE</v>
      </c>
      <c r="J1455" s="188" t="s">
        <v>19</v>
      </c>
    </row>
    <row r="1456" spans="1:10" ht="15.75" customHeight="1" x14ac:dyDescent="0.25">
      <c r="A1456" s="1">
        <v>45152</v>
      </c>
      <c r="B1456" s="188" t="s">
        <v>1439</v>
      </c>
      <c r="C1456" s="188" t="s">
        <v>36</v>
      </c>
      <c r="D1456" s="188" t="s">
        <v>37</v>
      </c>
      <c r="E1456" s="4">
        <v>2500</v>
      </c>
      <c r="F1456" s="5">
        <v>95300</v>
      </c>
      <c r="G1456" s="4">
        <v>20013</v>
      </c>
      <c r="H1456" s="4">
        <v>117813</v>
      </c>
      <c r="I1456" s="188" t="str">
        <f>VLOOKUP(C1456,CATEGORIZACION!$A$1:$C$269,2,FALSE)</f>
        <v>TRANSPORTE</v>
      </c>
      <c r="J1456" s="188" t="s">
        <v>19</v>
      </c>
    </row>
    <row r="1457" spans="1:10" ht="15.75" customHeight="1" x14ac:dyDescent="0.25">
      <c r="A1457" s="1">
        <v>45152</v>
      </c>
      <c r="B1457" s="188" t="s">
        <v>1440</v>
      </c>
      <c r="C1457" s="188" t="s">
        <v>36</v>
      </c>
      <c r="D1457" s="188" t="s">
        <v>37</v>
      </c>
      <c r="E1457" s="4">
        <v>2500</v>
      </c>
      <c r="F1457" s="5">
        <v>52100</v>
      </c>
      <c r="G1457" s="4">
        <v>10941</v>
      </c>
      <c r="H1457" s="4">
        <v>65541</v>
      </c>
      <c r="I1457" s="188" t="str">
        <f>VLOOKUP(C1457,CATEGORIZACION!$A$1:$C$269,2,FALSE)</f>
        <v>TRANSPORTE</v>
      </c>
      <c r="J1457" s="188" t="s">
        <v>19</v>
      </c>
    </row>
    <row r="1458" spans="1:10" ht="15.75" customHeight="1" x14ac:dyDescent="0.25">
      <c r="A1458" s="1">
        <v>45152</v>
      </c>
      <c r="B1458" s="188" t="s">
        <v>1441</v>
      </c>
      <c r="C1458" s="188" t="s">
        <v>36</v>
      </c>
      <c r="D1458" s="188" t="s">
        <v>37</v>
      </c>
      <c r="E1458" s="4">
        <v>2500</v>
      </c>
      <c r="F1458" s="5">
        <v>85300</v>
      </c>
      <c r="G1458" s="4">
        <v>17913</v>
      </c>
      <c r="H1458" s="4">
        <v>105713</v>
      </c>
      <c r="I1458" s="188" t="str">
        <f>VLOOKUP(C1458,CATEGORIZACION!$A$1:$C$269,2,FALSE)</f>
        <v>TRANSPORTE</v>
      </c>
      <c r="J1458" s="188" t="s">
        <v>19</v>
      </c>
    </row>
    <row r="1459" spans="1:10" ht="15.75" customHeight="1" x14ac:dyDescent="0.25">
      <c r="A1459" s="1">
        <v>45153</v>
      </c>
      <c r="B1459" s="188" t="s">
        <v>1442</v>
      </c>
      <c r="C1459" s="188" t="s">
        <v>36</v>
      </c>
      <c r="D1459" s="188" t="s">
        <v>37</v>
      </c>
      <c r="E1459" s="4">
        <v>40000</v>
      </c>
      <c r="F1459" s="5">
        <v>0</v>
      </c>
      <c r="G1459" s="4">
        <v>0</v>
      </c>
      <c r="H1459" s="4">
        <v>40000</v>
      </c>
      <c r="I1459" s="188" t="str">
        <f>VLOOKUP(C1459,CATEGORIZACION!$A$1:$C$269,2,FALSE)</f>
        <v>TRANSPORTE</v>
      </c>
      <c r="J1459" s="188" t="s">
        <v>19</v>
      </c>
    </row>
    <row r="1460" spans="1:10" ht="15.75" customHeight="1" x14ac:dyDescent="0.25">
      <c r="A1460" s="1">
        <v>45153</v>
      </c>
      <c r="B1460" s="188" t="s">
        <v>1443</v>
      </c>
      <c r="C1460" s="188" t="s">
        <v>84</v>
      </c>
      <c r="D1460" s="188" t="s">
        <v>85</v>
      </c>
      <c r="E1460" s="4">
        <v>62714.099999999853</v>
      </c>
      <c r="F1460" s="5">
        <v>867736.19</v>
      </c>
      <c r="G1460" s="4">
        <v>182224.6</v>
      </c>
      <c r="H1460" s="4">
        <v>1112674.8899999999</v>
      </c>
      <c r="I1460" s="188" t="str">
        <f>VLOOKUP(C1460,CATEGORIZACION!$A$1:$C$269,2,FALSE)</f>
        <v>PROOVEDORES</v>
      </c>
      <c r="J1460" s="188" t="str">
        <f>VLOOKUP(C1460,CATEGORIZACION!$A$1:$C$269,3,FALSE)</f>
        <v>LOGISTICA</v>
      </c>
    </row>
    <row r="1461" spans="1:10" ht="15.75" customHeight="1" x14ac:dyDescent="0.25">
      <c r="A1461" s="1">
        <v>45153</v>
      </c>
      <c r="B1461" s="188" t="s">
        <v>1444</v>
      </c>
      <c r="C1461" s="188" t="s">
        <v>17</v>
      </c>
      <c r="D1461" s="188" t="s">
        <v>18</v>
      </c>
      <c r="E1461" s="4">
        <v>31840</v>
      </c>
      <c r="F1461" s="5">
        <v>507500</v>
      </c>
      <c r="G1461" s="4">
        <v>106575</v>
      </c>
      <c r="H1461" s="4">
        <v>645915</v>
      </c>
      <c r="I1461" s="188" t="str">
        <f>VLOOKUP(C1461,CATEGORIZACION!$A$1:$C$269,2,FALSE)</f>
        <v>TRANSPORTE</v>
      </c>
      <c r="J1461" s="188" t="s">
        <v>19</v>
      </c>
    </row>
    <row r="1462" spans="1:10" ht="15.75" customHeight="1" x14ac:dyDescent="0.25">
      <c r="A1462" s="1">
        <v>45153</v>
      </c>
      <c r="B1462" s="188" t="s">
        <v>1445</v>
      </c>
      <c r="C1462" s="188" t="s">
        <v>17</v>
      </c>
      <c r="D1462" s="188" t="s">
        <v>18</v>
      </c>
      <c r="E1462" s="4">
        <v>16280</v>
      </c>
      <c r="F1462" s="5">
        <v>291000</v>
      </c>
      <c r="G1462" s="4">
        <v>61110</v>
      </c>
      <c r="H1462" s="4">
        <v>368390</v>
      </c>
      <c r="I1462" s="188" t="str">
        <f>VLOOKUP(C1462,CATEGORIZACION!$A$1:$C$269,2,FALSE)</f>
        <v>TRANSPORTE</v>
      </c>
      <c r="J1462" s="188" t="s">
        <v>19</v>
      </c>
    </row>
    <row r="1463" spans="1:10" ht="15.75" customHeight="1" x14ac:dyDescent="0.25">
      <c r="A1463" s="1">
        <v>45153</v>
      </c>
      <c r="B1463" s="188" t="s">
        <v>1446</v>
      </c>
      <c r="C1463" s="188" t="s">
        <v>21</v>
      </c>
      <c r="D1463" s="188" t="s">
        <v>22</v>
      </c>
      <c r="E1463" s="4">
        <v>18840</v>
      </c>
      <c r="F1463" s="5">
        <v>221400</v>
      </c>
      <c r="G1463" s="4">
        <v>46494</v>
      </c>
      <c r="H1463" s="4">
        <v>286734</v>
      </c>
      <c r="I1463" s="188" t="str">
        <f>VLOOKUP(C1463,CATEGORIZACION!$A$1:$C$269,2,FALSE)</f>
        <v>TRANSPORTE</v>
      </c>
      <c r="J1463" s="188" t="s">
        <v>19</v>
      </c>
    </row>
    <row r="1464" spans="1:10" ht="15.75" customHeight="1" x14ac:dyDescent="0.25">
      <c r="A1464" s="1">
        <v>45153</v>
      </c>
      <c r="B1464" s="188" t="s">
        <v>1447</v>
      </c>
      <c r="C1464" s="188" t="s">
        <v>21</v>
      </c>
      <c r="D1464" s="188" t="s">
        <v>22</v>
      </c>
      <c r="E1464" s="4">
        <v>39840</v>
      </c>
      <c r="F1464" s="5">
        <v>595800</v>
      </c>
      <c r="G1464" s="4">
        <v>125118</v>
      </c>
      <c r="H1464" s="4">
        <v>760758</v>
      </c>
      <c r="I1464" s="188" t="str">
        <f>VLOOKUP(C1464,CATEGORIZACION!$A$1:$C$269,2,FALSE)</f>
        <v>TRANSPORTE</v>
      </c>
      <c r="J1464" s="188" t="s">
        <v>19</v>
      </c>
    </row>
    <row r="1465" spans="1:10" ht="15.75" customHeight="1" x14ac:dyDescent="0.25">
      <c r="A1465" s="1">
        <v>45153</v>
      </c>
      <c r="B1465" s="188" t="s">
        <v>1448</v>
      </c>
      <c r="C1465" s="188" t="s">
        <v>426</v>
      </c>
      <c r="D1465" s="188" t="s">
        <v>427</v>
      </c>
      <c r="E1465" s="4">
        <v>2495</v>
      </c>
      <c r="F1465" s="5">
        <v>16326.45</v>
      </c>
      <c r="G1465" s="4">
        <v>3428.55</v>
      </c>
      <c r="H1465" s="4">
        <v>22250</v>
      </c>
      <c r="I1465" s="188" t="str">
        <f>VLOOKUP(C1465,CATEGORIZACION!$A$1:$C$269,2,FALSE)</f>
        <v>PROOVEDORES</v>
      </c>
      <c r="J1465" s="188" t="str">
        <f>VLOOKUP(C1465,CATEGORIZACION!$A$1:$C$269,3,FALSE)</f>
        <v>LOGISTICA</v>
      </c>
    </row>
    <row r="1466" spans="1:10" ht="15.75" customHeight="1" x14ac:dyDescent="0.25">
      <c r="A1466" s="1">
        <v>45153</v>
      </c>
      <c r="B1466" s="188" t="s">
        <v>1449</v>
      </c>
      <c r="C1466" s="188" t="s">
        <v>1450</v>
      </c>
      <c r="D1466" s="188" t="s">
        <v>1451</v>
      </c>
      <c r="E1466" s="4">
        <v>160800</v>
      </c>
      <c r="F1466" s="5">
        <v>0</v>
      </c>
      <c r="G1466" s="4">
        <v>0</v>
      </c>
      <c r="H1466" s="4">
        <v>160800</v>
      </c>
      <c r="I1466" s="188" t="str">
        <f>VLOOKUP(C1466,CATEGORIZACION!$A$1:$C$269,2,FALSE)</f>
        <v>PROOVEDORES</v>
      </c>
      <c r="J1466" s="188" t="str">
        <f>VLOOKUP(C1466,CATEGORIZACION!$A$1:$C$269,3,FALSE)</f>
        <v>LOGISTICA</v>
      </c>
    </row>
    <row r="1467" spans="1:10" ht="15.75" customHeight="1" x14ac:dyDescent="0.25">
      <c r="A1467" s="1">
        <v>45154</v>
      </c>
      <c r="B1467" s="188" t="s">
        <v>1452</v>
      </c>
      <c r="C1467" s="188" t="s">
        <v>52</v>
      </c>
      <c r="D1467" s="188" t="s">
        <v>53</v>
      </c>
      <c r="E1467" s="4">
        <v>0</v>
      </c>
      <c r="F1467" s="3">
        <v>137976.92000000001</v>
      </c>
      <c r="G1467" s="4">
        <v>28975.15</v>
      </c>
      <c r="H1467" s="4">
        <v>166952.07</v>
      </c>
      <c r="I1467" s="188" t="str">
        <f>VLOOKUP(C1467,CATEGORIZACION!$A$1:$C$269,2,FALSE)</f>
        <v>PROOVEDORES</v>
      </c>
      <c r="J1467" s="188" t="str">
        <f>VLOOKUP(C1467,CATEGORIZACION!$A$1:$C$269,3,FALSE)</f>
        <v>DEPOSITO</v>
      </c>
    </row>
    <row r="1468" spans="1:10" ht="15.75" customHeight="1" x14ac:dyDescent="0.25">
      <c r="A1468" s="1">
        <v>45155</v>
      </c>
      <c r="B1468" s="188" t="s">
        <v>1453</v>
      </c>
      <c r="C1468" s="188" t="s">
        <v>714</v>
      </c>
      <c r="D1468" s="188" t="s">
        <v>715</v>
      </c>
      <c r="E1468" s="4">
        <v>0</v>
      </c>
      <c r="F1468" s="3">
        <v>333218.2</v>
      </c>
      <c r="G1468" s="4">
        <v>69975.820000000007</v>
      </c>
      <c r="H1468" s="4">
        <v>403194.02</v>
      </c>
      <c r="I1468" s="188" t="str">
        <f>VLOOKUP(C1468,CATEGORIZACION!$A$1:$C$269,2,FALSE)</f>
        <v>PROOVEDORES</v>
      </c>
      <c r="J1468" s="188" t="str">
        <f>VLOOKUP(C1468,CATEGORIZACION!$A$1:$C$269,3,FALSE)</f>
        <v>DEPOSITO</v>
      </c>
    </row>
    <row r="1469" spans="1:10" ht="15.75" customHeight="1" x14ac:dyDescent="0.25">
      <c r="A1469" s="1">
        <v>45155</v>
      </c>
      <c r="B1469" s="188" t="s">
        <v>1454</v>
      </c>
      <c r="C1469" s="188" t="s">
        <v>21</v>
      </c>
      <c r="D1469" s="188" t="s">
        <v>22</v>
      </c>
      <c r="E1469" s="4">
        <v>24600</v>
      </c>
      <c r="F1469" s="5">
        <v>297900</v>
      </c>
      <c r="G1469" s="4">
        <v>62559</v>
      </c>
      <c r="H1469" s="4">
        <v>385059</v>
      </c>
      <c r="I1469" s="188" t="str">
        <f>VLOOKUP(C1469,CATEGORIZACION!$A$1:$C$269,2,FALSE)</f>
        <v>TRANSPORTE</v>
      </c>
      <c r="J1469" s="188" t="s">
        <v>19</v>
      </c>
    </row>
    <row r="1470" spans="1:10" ht="15.75" customHeight="1" x14ac:dyDescent="0.25">
      <c r="A1470" s="1">
        <v>45155</v>
      </c>
      <c r="B1470" s="188" t="s">
        <v>1455</v>
      </c>
      <c r="C1470" s="188" t="s">
        <v>21</v>
      </c>
      <c r="D1470" s="188" t="s">
        <v>22</v>
      </c>
      <c r="E1470" s="4">
        <v>12160</v>
      </c>
      <c r="F1470" s="5">
        <v>340200</v>
      </c>
      <c r="G1470" s="4">
        <v>71442</v>
      </c>
      <c r="H1470" s="4">
        <v>423802</v>
      </c>
      <c r="I1470" s="188" t="str">
        <f>VLOOKUP(C1470,CATEGORIZACION!$A$1:$C$269,2,FALSE)</f>
        <v>TRANSPORTE</v>
      </c>
      <c r="J1470" s="188" t="s">
        <v>19</v>
      </c>
    </row>
    <row r="1471" spans="1:10" ht="15.75" customHeight="1" x14ac:dyDescent="0.25">
      <c r="A1471" s="1">
        <v>45155</v>
      </c>
      <c r="B1471" s="188" t="s">
        <v>1456</v>
      </c>
      <c r="C1471" s="188" t="s">
        <v>21</v>
      </c>
      <c r="D1471" s="188" t="s">
        <v>22</v>
      </c>
      <c r="E1471" s="4">
        <v>15120</v>
      </c>
      <c r="F1471" s="5">
        <v>221400</v>
      </c>
      <c r="G1471" s="4">
        <v>46494</v>
      </c>
      <c r="H1471" s="4">
        <v>283014</v>
      </c>
      <c r="I1471" s="188" t="str">
        <f>VLOOKUP(C1471,CATEGORIZACION!$A$1:$C$269,2,FALSE)</f>
        <v>TRANSPORTE</v>
      </c>
      <c r="J1471" s="188" t="s">
        <v>19</v>
      </c>
    </row>
    <row r="1472" spans="1:10" ht="15.75" customHeight="1" x14ac:dyDescent="0.25">
      <c r="A1472" s="1">
        <v>45155</v>
      </c>
      <c r="B1472" s="188" t="s">
        <v>1457</v>
      </c>
      <c r="C1472" s="188" t="s">
        <v>658</v>
      </c>
      <c r="D1472" s="188" t="s">
        <v>659</v>
      </c>
      <c r="E1472" s="4">
        <v>451.22</v>
      </c>
      <c r="F1472" s="3">
        <v>56402</v>
      </c>
      <c r="G1472" s="4">
        <v>11844.42</v>
      </c>
      <c r="H1472" s="4">
        <v>68697.64</v>
      </c>
      <c r="I1472" s="188" t="str">
        <f>VLOOKUP(C1472,CATEGORIZACION!$A$1:$C$269,2,FALSE)</f>
        <v>PROOVEDORES</v>
      </c>
      <c r="J1472" s="188" t="str">
        <f>VLOOKUP(C1472,CATEGORIZACION!$A$1:$C$269,3,FALSE)</f>
        <v>DEPOSITO</v>
      </c>
    </row>
    <row r="1473" spans="1:10" ht="15.75" customHeight="1" x14ac:dyDescent="0.25">
      <c r="A1473" s="1">
        <v>45155</v>
      </c>
      <c r="B1473" s="188" t="s">
        <v>1458</v>
      </c>
      <c r="C1473" s="188" t="s">
        <v>658</v>
      </c>
      <c r="D1473" s="188" t="s">
        <v>659</v>
      </c>
      <c r="E1473" s="4">
        <v>676.82</v>
      </c>
      <c r="F1473" s="3">
        <v>84602</v>
      </c>
      <c r="G1473" s="4">
        <v>17766.419999999998</v>
      </c>
      <c r="H1473" s="4">
        <v>103045.24</v>
      </c>
      <c r="I1473" s="188" t="str">
        <f>VLOOKUP(C1473,CATEGORIZACION!$A$1:$C$269,2,FALSE)</f>
        <v>PROOVEDORES</v>
      </c>
      <c r="J1473" s="188" t="str">
        <f>VLOOKUP(C1473,CATEGORIZACION!$A$1:$C$269,3,FALSE)</f>
        <v>DEPOSITO</v>
      </c>
    </row>
    <row r="1474" spans="1:10" ht="15.75" customHeight="1" x14ac:dyDescent="0.25">
      <c r="A1474" s="1">
        <v>45156</v>
      </c>
      <c r="B1474" s="188" t="s">
        <v>1459</v>
      </c>
      <c r="C1474" s="188" t="s">
        <v>17</v>
      </c>
      <c r="D1474" s="188" t="s">
        <v>18</v>
      </c>
      <c r="E1474" s="4">
        <v>24080</v>
      </c>
      <c r="F1474" s="5">
        <v>480000</v>
      </c>
      <c r="G1474" s="4">
        <v>100800</v>
      </c>
      <c r="H1474" s="4">
        <v>604880</v>
      </c>
      <c r="I1474" s="188" t="str">
        <f>VLOOKUP(C1474,CATEGORIZACION!$A$1:$C$269,2,FALSE)</f>
        <v>TRANSPORTE</v>
      </c>
      <c r="J1474" s="188" t="s">
        <v>19</v>
      </c>
    </row>
    <row r="1475" spans="1:10" ht="15.75" customHeight="1" x14ac:dyDescent="0.25">
      <c r="A1475" s="1">
        <v>45156</v>
      </c>
      <c r="B1475" s="188" t="s">
        <v>1460</v>
      </c>
      <c r="C1475" s="188" t="s">
        <v>36</v>
      </c>
      <c r="D1475" s="188" t="s">
        <v>37</v>
      </c>
      <c r="E1475" s="4">
        <v>5000</v>
      </c>
      <c r="F1475" s="5">
        <v>182700</v>
      </c>
      <c r="G1475" s="4">
        <v>38367</v>
      </c>
      <c r="H1475" s="4">
        <v>226067</v>
      </c>
      <c r="I1475" s="188" t="str">
        <f>VLOOKUP(C1475,CATEGORIZACION!$A$1:$C$269,2,FALSE)</f>
        <v>TRANSPORTE</v>
      </c>
      <c r="J1475" s="188" t="s">
        <v>19</v>
      </c>
    </row>
    <row r="1476" spans="1:10" ht="15.75" customHeight="1" x14ac:dyDescent="0.25">
      <c r="A1476" s="1">
        <v>45156</v>
      </c>
      <c r="B1476" s="188" t="s">
        <v>1461</v>
      </c>
      <c r="C1476" s="188" t="s">
        <v>36</v>
      </c>
      <c r="D1476" s="188" t="s">
        <v>37</v>
      </c>
      <c r="E1476" s="4">
        <v>5000</v>
      </c>
      <c r="F1476" s="5">
        <v>182700</v>
      </c>
      <c r="G1476" s="4">
        <v>38367</v>
      </c>
      <c r="H1476" s="4">
        <v>226067</v>
      </c>
      <c r="I1476" s="188" t="str">
        <f>VLOOKUP(C1476,CATEGORIZACION!$A$1:$C$269,2,FALSE)</f>
        <v>TRANSPORTE</v>
      </c>
      <c r="J1476" s="188" t="s">
        <v>19</v>
      </c>
    </row>
    <row r="1477" spans="1:10" ht="15.75" customHeight="1" x14ac:dyDescent="0.25">
      <c r="A1477" s="1">
        <v>45156</v>
      </c>
      <c r="B1477" s="188" t="s">
        <v>1462</v>
      </c>
      <c r="C1477" s="188" t="s">
        <v>36</v>
      </c>
      <c r="D1477" s="188" t="s">
        <v>37</v>
      </c>
      <c r="E1477" s="4">
        <v>5000</v>
      </c>
      <c r="F1477" s="5">
        <v>182700</v>
      </c>
      <c r="G1477" s="4">
        <v>38367</v>
      </c>
      <c r="H1477" s="4">
        <v>226067</v>
      </c>
      <c r="I1477" s="188" t="str">
        <f>VLOOKUP(C1477,CATEGORIZACION!$A$1:$C$269,2,FALSE)</f>
        <v>TRANSPORTE</v>
      </c>
      <c r="J1477" s="188" t="s">
        <v>19</v>
      </c>
    </row>
    <row r="1478" spans="1:10" ht="15.75" customHeight="1" x14ac:dyDescent="0.25">
      <c r="A1478" s="1">
        <v>45156</v>
      </c>
      <c r="B1478" s="188" t="s">
        <v>1463</v>
      </c>
      <c r="C1478" s="188" t="s">
        <v>36</v>
      </c>
      <c r="D1478" s="188" t="s">
        <v>37</v>
      </c>
      <c r="E1478" s="4">
        <v>6200</v>
      </c>
      <c r="F1478" s="5">
        <v>58500</v>
      </c>
      <c r="G1478" s="4">
        <v>12285</v>
      </c>
      <c r="H1478" s="4">
        <v>76985</v>
      </c>
      <c r="I1478" s="188" t="str">
        <f>VLOOKUP(C1478,CATEGORIZACION!$A$1:$C$269,2,FALSE)</f>
        <v>TRANSPORTE</v>
      </c>
      <c r="J1478" s="188" t="s">
        <v>19</v>
      </c>
    </row>
    <row r="1479" spans="1:10" ht="15.75" customHeight="1" x14ac:dyDescent="0.25">
      <c r="A1479" s="1">
        <v>45156</v>
      </c>
      <c r="B1479" s="188" t="s">
        <v>1464</v>
      </c>
      <c r="C1479" s="188" t="s">
        <v>36</v>
      </c>
      <c r="D1479" s="188" t="s">
        <v>37</v>
      </c>
      <c r="E1479" s="4">
        <v>6200</v>
      </c>
      <c r="F1479" s="5">
        <v>58500</v>
      </c>
      <c r="G1479" s="4">
        <v>12285</v>
      </c>
      <c r="H1479" s="4">
        <v>76985</v>
      </c>
      <c r="I1479" s="188" t="str">
        <f>VLOOKUP(C1479,CATEGORIZACION!$A$1:$C$269,2,FALSE)</f>
        <v>TRANSPORTE</v>
      </c>
      <c r="J1479" s="188" t="s">
        <v>19</v>
      </c>
    </row>
    <row r="1480" spans="1:10" ht="15.75" customHeight="1" x14ac:dyDescent="0.25">
      <c r="A1480" s="1">
        <v>45156</v>
      </c>
      <c r="B1480" s="188" t="s">
        <v>1465</v>
      </c>
      <c r="C1480" s="188" t="s">
        <v>36</v>
      </c>
      <c r="D1480" s="188" t="s">
        <v>37</v>
      </c>
      <c r="E1480" s="4">
        <v>9200</v>
      </c>
      <c r="F1480" s="5">
        <v>69300</v>
      </c>
      <c r="G1480" s="4">
        <v>14553</v>
      </c>
      <c r="H1480" s="4">
        <v>93053</v>
      </c>
      <c r="I1480" s="188" t="str">
        <f>VLOOKUP(C1480,CATEGORIZACION!$A$1:$C$269,2,FALSE)</f>
        <v>TRANSPORTE</v>
      </c>
      <c r="J1480" s="188" t="s">
        <v>19</v>
      </c>
    </row>
    <row r="1481" spans="1:10" ht="15.75" customHeight="1" x14ac:dyDescent="0.25">
      <c r="A1481" s="1">
        <v>45156</v>
      </c>
      <c r="B1481" s="188" t="s">
        <v>1466</v>
      </c>
      <c r="C1481" s="188" t="s">
        <v>36</v>
      </c>
      <c r="D1481" s="188" t="s">
        <v>37</v>
      </c>
      <c r="E1481" s="4">
        <v>9200</v>
      </c>
      <c r="F1481" s="5">
        <v>63000</v>
      </c>
      <c r="G1481" s="4">
        <v>13230</v>
      </c>
      <c r="H1481" s="4">
        <v>85430</v>
      </c>
      <c r="I1481" s="188" t="str">
        <f>VLOOKUP(C1481,CATEGORIZACION!$A$1:$C$269,2,FALSE)</f>
        <v>TRANSPORTE</v>
      </c>
      <c r="J1481" s="188" t="s">
        <v>19</v>
      </c>
    </row>
    <row r="1482" spans="1:10" ht="15.75" customHeight="1" x14ac:dyDescent="0.25">
      <c r="A1482" s="1">
        <v>45156</v>
      </c>
      <c r="B1482" s="188" t="s">
        <v>1467</v>
      </c>
      <c r="C1482" s="188" t="s">
        <v>36</v>
      </c>
      <c r="D1482" s="188" t="s">
        <v>37</v>
      </c>
      <c r="E1482" s="4">
        <v>15000</v>
      </c>
      <c r="F1482" s="5">
        <v>135500</v>
      </c>
      <c r="G1482" s="4">
        <v>28455</v>
      </c>
      <c r="H1482" s="4">
        <v>178955</v>
      </c>
      <c r="I1482" s="188" t="str">
        <f>VLOOKUP(C1482,CATEGORIZACION!$A$1:$C$269,2,FALSE)</f>
        <v>TRANSPORTE</v>
      </c>
      <c r="J1482" s="188" t="s">
        <v>19</v>
      </c>
    </row>
    <row r="1483" spans="1:10" ht="15.75" customHeight="1" x14ac:dyDescent="0.25">
      <c r="A1483" s="1">
        <v>45159</v>
      </c>
      <c r="B1483" s="188" t="s">
        <v>1468</v>
      </c>
      <c r="C1483" s="188" t="s">
        <v>36</v>
      </c>
      <c r="D1483" s="188" t="s">
        <v>37</v>
      </c>
      <c r="E1483" s="4">
        <v>7500</v>
      </c>
      <c r="F1483" s="5">
        <v>161650</v>
      </c>
      <c r="G1483" s="4">
        <v>33946.5</v>
      </c>
      <c r="H1483" s="4">
        <v>203096.5</v>
      </c>
      <c r="I1483" s="188" t="str">
        <f>VLOOKUP(C1483,CATEGORIZACION!$A$1:$C$269,2,FALSE)</f>
        <v>TRANSPORTE</v>
      </c>
      <c r="J1483" s="188" t="s">
        <v>19</v>
      </c>
    </row>
    <row r="1484" spans="1:10" ht="15.75" customHeight="1" x14ac:dyDescent="0.25">
      <c r="A1484" s="1">
        <v>45159</v>
      </c>
      <c r="B1484" s="188" t="s">
        <v>1469</v>
      </c>
      <c r="C1484" s="188" t="s">
        <v>36</v>
      </c>
      <c r="D1484" s="188" t="s">
        <v>37</v>
      </c>
      <c r="E1484" s="4">
        <v>7500</v>
      </c>
      <c r="F1484" s="5">
        <v>161650</v>
      </c>
      <c r="G1484" s="4">
        <v>33946.5</v>
      </c>
      <c r="H1484" s="4">
        <v>203096.5</v>
      </c>
      <c r="I1484" s="188" t="str">
        <f>VLOOKUP(C1484,CATEGORIZACION!$A$1:$C$269,2,FALSE)</f>
        <v>TRANSPORTE</v>
      </c>
      <c r="J1484" s="188" t="s">
        <v>19</v>
      </c>
    </row>
    <row r="1485" spans="1:10" ht="15.75" customHeight="1" x14ac:dyDescent="0.25">
      <c r="A1485" s="1">
        <v>45159</v>
      </c>
      <c r="B1485" s="188" t="s">
        <v>1470</v>
      </c>
      <c r="C1485" s="188" t="s">
        <v>36</v>
      </c>
      <c r="D1485" s="188" t="s">
        <v>37</v>
      </c>
      <c r="E1485" s="4">
        <v>7500</v>
      </c>
      <c r="F1485" s="5">
        <v>161650</v>
      </c>
      <c r="G1485" s="4">
        <v>33946.5</v>
      </c>
      <c r="H1485" s="4">
        <v>203096.5</v>
      </c>
      <c r="I1485" s="188" t="str">
        <f>VLOOKUP(C1485,CATEGORIZACION!$A$1:$C$269,2,FALSE)</f>
        <v>TRANSPORTE</v>
      </c>
      <c r="J1485" s="188" t="s">
        <v>19</v>
      </c>
    </row>
    <row r="1486" spans="1:10" ht="15.75" customHeight="1" x14ac:dyDescent="0.25">
      <c r="A1486" s="1">
        <v>45159</v>
      </c>
      <c r="B1486" s="188" t="s">
        <v>1471</v>
      </c>
      <c r="C1486" s="188" t="s">
        <v>36</v>
      </c>
      <c r="D1486" s="188" t="s">
        <v>37</v>
      </c>
      <c r="E1486" s="4">
        <v>5000</v>
      </c>
      <c r="F1486" s="5">
        <v>133900</v>
      </c>
      <c r="G1486" s="4">
        <v>28119</v>
      </c>
      <c r="H1486" s="4">
        <v>167019</v>
      </c>
      <c r="I1486" s="188" t="str">
        <f>VLOOKUP(C1486,CATEGORIZACION!$A$1:$C$269,2,FALSE)</f>
        <v>TRANSPORTE</v>
      </c>
      <c r="J1486" s="188" t="s">
        <v>19</v>
      </c>
    </row>
    <row r="1487" spans="1:10" ht="15.75" customHeight="1" x14ac:dyDescent="0.25">
      <c r="A1487" s="1">
        <v>45159</v>
      </c>
      <c r="B1487" s="188" t="s">
        <v>1472</v>
      </c>
      <c r="C1487" s="188" t="s">
        <v>36</v>
      </c>
      <c r="D1487" s="188" t="s">
        <v>37</v>
      </c>
      <c r="E1487" s="4">
        <v>17500</v>
      </c>
      <c r="F1487" s="5">
        <v>163500</v>
      </c>
      <c r="G1487" s="4">
        <v>34335</v>
      </c>
      <c r="H1487" s="4">
        <v>215335</v>
      </c>
      <c r="I1487" s="188" t="str">
        <f>VLOOKUP(C1487,CATEGORIZACION!$A$1:$C$269,2,FALSE)</f>
        <v>TRANSPORTE</v>
      </c>
      <c r="J1487" s="188" t="s">
        <v>19</v>
      </c>
    </row>
    <row r="1488" spans="1:10" ht="15.75" customHeight="1" x14ac:dyDescent="0.25">
      <c r="A1488" s="1">
        <v>45159</v>
      </c>
      <c r="B1488" s="188" t="s">
        <v>1473</v>
      </c>
      <c r="C1488" s="188" t="s">
        <v>36</v>
      </c>
      <c r="D1488" s="188" t="s">
        <v>37</v>
      </c>
      <c r="E1488" s="4">
        <v>12500</v>
      </c>
      <c r="F1488" s="5">
        <v>113640</v>
      </c>
      <c r="G1488" s="4">
        <v>23864.400000000001</v>
      </c>
      <c r="H1488" s="4">
        <v>150004.4</v>
      </c>
      <c r="I1488" s="188" t="str">
        <f>VLOOKUP(C1488,CATEGORIZACION!$A$1:$C$269,2,FALSE)</f>
        <v>TRANSPORTE</v>
      </c>
      <c r="J1488" s="188" t="s">
        <v>19</v>
      </c>
    </row>
    <row r="1489" spans="1:10" ht="15.75" customHeight="1" x14ac:dyDescent="0.25">
      <c r="A1489" s="1">
        <v>45159</v>
      </c>
      <c r="B1489" s="188" t="s">
        <v>1474</v>
      </c>
      <c r="C1489" s="188" t="s">
        <v>36</v>
      </c>
      <c r="D1489" s="188" t="s">
        <v>37</v>
      </c>
      <c r="E1489" s="4">
        <v>9500</v>
      </c>
      <c r="F1489" s="5">
        <v>217400</v>
      </c>
      <c r="G1489" s="4">
        <v>45654</v>
      </c>
      <c r="H1489" s="4">
        <v>272554</v>
      </c>
      <c r="I1489" s="188" t="str">
        <f>VLOOKUP(C1489,CATEGORIZACION!$A$1:$C$269,2,FALSE)</f>
        <v>TRANSPORTE</v>
      </c>
      <c r="J1489" s="188" t="s">
        <v>19</v>
      </c>
    </row>
    <row r="1490" spans="1:10" ht="15.75" customHeight="1" x14ac:dyDescent="0.25">
      <c r="A1490" s="1">
        <v>45159</v>
      </c>
      <c r="B1490" s="188" t="s">
        <v>1475</v>
      </c>
      <c r="C1490" s="188" t="s">
        <v>36</v>
      </c>
      <c r="D1490" s="188" t="s">
        <v>37</v>
      </c>
      <c r="E1490" s="4">
        <v>9500</v>
      </c>
      <c r="F1490" s="5">
        <v>217400</v>
      </c>
      <c r="G1490" s="4">
        <v>45654</v>
      </c>
      <c r="H1490" s="4">
        <v>272554</v>
      </c>
      <c r="I1490" s="188" t="str">
        <f>VLOOKUP(C1490,CATEGORIZACION!$A$1:$C$269,2,FALSE)</f>
        <v>TRANSPORTE</v>
      </c>
      <c r="J1490" s="188" t="s">
        <v>19</v>
      </c>
    </row>
    <row r="1491" spans="1:10" ht="15.75" customHeight="1" x14ac:dyDescent="0.25">
      <c r="A1491" s="1">
        <v>45159</v>
      </c>
      <c r="B1491" s="188" t="s">
        <v>1476</v>
      </c>
      <c r="C1491" s="188" t="s">
        <v>36</v>
      </c>
      <c r="D1491" s="188" t="s">
        <v>37</v>
      </c>
      <c r="E1491" s="4">
        <v>9500</v>
      </c>
      <c r="F1491" s="5">
        <v>217400</v>
      </c>
      <c r="G1491" s="4">
        <v>45654</v>
      </c>
      <c r="H1491" s="4">
        <v>272554</v>
      </c>
      <c r="I1491" s="188" t="str">
        <f>VLOOKUP(C1491,CATEGORIZACION!$A$1:$C$269,2,FALSE)</f>
        <v>TRANSPORTE</v>
      </c>
      <c r="J1491" s="188" t="s">
        <v>19</v>
      </c>
    </row>
    <row r="1492" spans="1:10" ht="15.75" customHeight="1" x14ac:dyDescent="0.25">
      <c r="A1492" s="1">
        <v>45160</v>
      </c>
      <c r="B1492" s="188" t="s">
        <v>1477</v>
      </c>
      <c r="C1492" s="188" t="s">
        <v>21</v>
      </c>
      <c r="D1492" s="188" t="s">
        <v>22</v>
      </c>
      <c r="E1492" s="4">
        <v>16360</v>
      </c>
      <c r="F1492" s="5">
        <v>221400</v>
      </c>
      <c r="G1492" s="4">
        <v>46494</v>
      </c>
      <c r="H1492" s="4">
        <v>284254</v>
      </c>
      <c r="I1492" s="188" t="str">
        <f>VLOOKUP(C1492,CATEGORIZACION!$A$1:$C$269,2,FALSE)</f>
        <v>TRANSPORTE</v>
      </c>
      <c r="J1492" s="188" t="s">
        <v>19</v>
      </c>
    </row>
    <row r="1493" spans="1:10" ht="15.75" customHeight="1" x14ac:dyDescent="0.25">
      <c r="A1493" s="1">
        <v>45160</v>
      </c>
      <c r="B1493" s="188" t="s">
        <v>1478</v>
      </c>
      <c r="C1493" s="188" t="s">
        <v>21</v>
      </c>
      <c r="D1493" s="188" t="s">
        <v>22</v>
      </c>
      <c r="E1493" s="4">
        <v>23760</v>
      </c>
      <c r="F1493" s="5">
        <v>297900</v>
      </c>
      <c r="G1493" s="4">
        <v>62559</v>
      </c>
      <c r="H1493" s="4">
        <v>384219</v>
      </c>
      <c r="I1493" s="188" t="str">
        <f>VLOOKUP(C1493,CATEGORIZACION!$A$1:$C$269,2,FALSE)</f>
        <v>TRANSPORTE</v>
      </c>
      <c r="J1493" s="188" t="s">
        <v>19</v>
      </c>
    </row>
    <row r="1494" spans="1:10" ht="15.75" customHeight="1" x14ac:dyDescent="0.25">
      <c r="A1494" s="1">
        <v>45160</v>
      </c>
      <c r="B1494" s="188" t="s">
        <v>1479</v>
      </c>
      <c r="C1494" s="188" t="s">
        <v>21</v>
      </c>
      <c r="D1494" s="188" t="s">
        <v>22</v>
      </c>
      <c r="E1494" s="4">
        <v>4960</v>
      </c>
      <c r="F1494" s="5">
        <v>338000</v>
      </c>
      <c r="G1494" s="4">
        <v>70980</v>
      </c>
      <c r="H1494" s="4">
        <v>413940</v>
      </c>
      <c r="I1494" s="188" t="str">
        <f>VLOOKUP(C1494,CATEGORIZACION!$A$1:$C$269,2,FALSE)</f>
        <v>TRANSPORTE</v>
      </c>
      <c r="J1494" s="188" t="s">
        <v>19</v>
      </c>
    </row>
    <row r="1495" spans="1:10" ht="15.75" customHeight="1" x14ac:dyDescent="0.25">
      <c r="A1495" s="1">
        <v>45160</v>
      </c>
      <c r="B1495" s="188" t="s">
        <v>1480</v>
      </c>
      <c r="C1495" s="188" t="s">
        <v>36</v>
      </c>
      <c r="D1495" s="188" t="s">
        <v>37</v>
      </c>
      <c r="E1495" s="4">
        <v>12500</v>
      </c>
      <c r="F1495" s="5">
        <v>104200</v>
      </c>
      <c r="G1495" s="4">
        <v>21882</v>
      </c>
      <c r="H1495" s="4">
        <v>138582</v>
      </c>
      <c r="I1495" s="188" t="str">
        <f>VLOOKUP(C1495,CATEGORIZACION!$A$1:$C$269,2,FALSE)</f>
        <v>TRANSPORTE</v>
      </c>
      <c r="J1495" s="188" t="s">
        <v>19</v>
      </c>
    </row>
    <row r="1496" spans="1:10" ht="15.75" customHeight="1" x14ac:dyDescent="0.25">
      <c r="A1496" s="1">
        <v>45160</v>
      </c>
      <c r="B1496" s="188" t="s">
        <v>1481</v>
      </c>
      <c r="C1496" s="188" t="s">
        <v>426</v>
      </c>
      <c r="D1496" s="188" t="s">
        <v>427</v>
      </c>
      <c r="E1496" s="4">
        <v>2495</v>
      </c>
      <c r="F1496" s="5">
        <v>16326.45</v>
      </c>
      <c r="G1496" s="4">
        <v>3428.55</v>
      </c>
      <c r="H1496" s="4">
        <v>22250</v>
      </c>
      <c r="I1496" s="188" t="str">
        <f>VLOOKUP(C1496,CATEGORIZACION!$A$1:$C$269,2,FALSE)</f>
        <v>PROOVEDORES</v>
      </c>
      <c r="J1496" s="188" t="str">
        <f>VLOOKUP(C1496,CATEGORIZACION!$A$1:$C$269,3,FALSE)</f>
        <v>LOGISTICA</v>
      </c>
    </row>
    <row r="1497" spans="1:10" ht="15.75" customHeight="1" x14ac:dyDescent="0.25">
      <c r="A1497" s="1">
        <v>45161</v>
      </c>
      <c r="B1497" s="188" t="s">
        <v>1482</v>
      </c>
      <c r="C1497" s="188" t="s">
        <v>21</v>
      </c>
      <c r="D1497" s="188" t="s">
        <v>22</v>
      </c>
      <c r="E1497" s="4">
        <v>12560</v>
      </c>
      <c r="F1497" s="5">
        <v>233200</v>
      </c>
      <c r="G1497" s="4">
        <v>48972</v>
      </c>
      <c r="H1497" s="4">
        <v>294732</v>
      </c>
      <c r="I1497" s="188" t="str">
        <f>VLOOKUP(C1497,CATEGORIZACION!$A$1:$C$269,2,FALSE)</f>
        <v>TRANSPORTE</v>
      </c>
      <c r="J1497" s="188" t="s">
        <v>19</v>
      </c>
    </row>
    <row r="1498" spans="1:10" ht="15.75" customHeight="1" x14ac:dyDescent="0.25">
      <c r="A1498" s="1">
        <v>45161</v>
      </c>
      <c r="B1498" s="188" t="s">
        <v>1483</v>
      </c>
      <c r="C1498" s="188" t="s">
        <v>21</v>
      </c>
      <c r="D1498" s="188" t="s">
        <v>22</v>
      </c>
      <c r="E1498" s="4">
        <v>25120</v>
      </c>
      <c r="F1498" s="5">
        <v>295200</v>
      </c>
      <c r="G1498" s="4">
        <v>61992</v>
      </c>
      <c r="H1498" s="4">
        <v>382312</v>
      </c>
      <c r="I1498" s="188" t="str">
        <f>VLOOKUP(C1498,CATEGORIZACION!$A$1:$C$269,2,FALSE)</f>
        <v>TRANSPORTE</v>
      </c>
      <c r="J1498" s="188" t="s">
        <v>19</v>
      </c>
    </row>
    <row r="1499" spans="1:10" ht="15.75" customHeight="1" x14ac:dyDescent="0.25">
      <c r="A1499" s="1">
        <v>45161</v>
      </c>
      <c r="B1499" s="188" t="s">
        <v>1484</v>
      </c>
      <c r="C1499" s="188" t="s">
        <v>21</v>
      </c>
      <c r="D1499" s="188" t="s">
        <v>22</v>
      </c>
      <c r="E1499" s="4">
        <v>18840</v>
      </c>
      <c r="F1499" s="5">
        <v>221400</v>
      </c>
      <c r="G1499" s="4">
        <v>46494</v>
      </c>
      <c r="H1499" s="4">
        <v>286734</v>
      </c>
      <c r="I1499" s="188" t="str">
        <f>VLOOKUP(C1499,CATEGORIZACION!$A$1:$C$269,2,FALSE)</f>
        <v>TRANSPORTE</v>
      </c>
      <c r="J1499" s="188" t="s">
        <v>19</v>
      </c>
    </row>
    <row r="1500" spans="1:10" ht="15.75" customHeight="1" x14ac:dyDescent="0.25">
      <c r="A1500" s="1">
        <v>45161</v>
      </c>
      <c r="B1500" s="188" t="s">
        <v>1485</v>
      </c>
      <c r="C1500" s="188" t="s">
        <v>21</v>
      </c>
      <c r="D1500" s="188" t="s">
        <v>22</v>
      </c>
      <c r="E1500" s="4">
        <v>0</v>
      </c>
      <c r="F1500" s="5">
        <v>196750</v>
      </c>
      <c r="G1500" s="4">
        <v>41317.5</v>
      </c>
      <c r="H1500" s="4">
        <v>238067.5</v>
      </c>
      <c r="I1500" s="188" t="str">
        <f>VLOOKUP(C1500,CATEGORIZACION!$A$1:$C$269,2,FALSE)</f>
        <v>TRANSPORTE</v>
      </c>
      <c r="J1500" s="188" t="s">
        <v>19</v>
      </c>
    </row>
    <row r="1501" spans="1:10" ht="15.75" customHeight="1" x14ac:dyDescent="0.25">
      <c r="A1501" s="1">
        <v>45161</v>
      </c>
      <c r="B1501" s="188" t="s">
        <v>1486</v>
      </c>
      <c r="C1501" s="188" t="s">
        <v>21</v>
      </c>
      <c r="D1501" s="188" t="s">
        <v>22</v>
      </c>
      <c r="E1501" s="4">
        <v>23760</v>
      </c>
      <c r="F1501" s="5">
        <v>297900</v>
      </c>
      <c r="G1501" s="4">
        <v>62559</v>
      </c>
      <c r="H1501" s="4">
        <v>384219</v>
      </c>
      <c r="I1501" s="188" t="str">
        <f>VLOOKUP(C1501,CATEGORIZACION!$A$1:$C$269,2,FALSE)</f>
        <v>TRANSPORTE</v>
      </c>
      <c r="J1501" s="188" t="s">
        <v>19</v>
      </c>
    </row>
    <row r="1502" spans="1:10" ht="15.75" customHeight="1" x14ac:dyDescent="0.25">
      <c r="A1502" s="1">
        <v>45161</v>
      </c>
      <c r="B1502" s="188" t="s">
        <v>1487</v>
      </c>
      <c r="C1502" s="188" t="s">
        <v>21</v>
      </c>
      <c r="D1502" s="188" t="s">
        <v>22</v>
      </c>
      <c r="E1502" s="4">
        <v>23760</v>
      </c>
      <c r="F1502" s="5">
        <v>297900</v>
      </c>
      <c r="G1502" s="4">
        <v>62559</v>
      </c>
      <c r="H1502" s="4">
        <v>384219</v>
      </c>
      <c r="I1502" s="188" t="str">
        <f>VLOOKUP(C1502,CATEGORIZACION!$A$1:$C$269,2,FALSE)</f>
        <v>TRANSPORTE</v>
      </c>
      <c r="J1502" s="188" t="s">
        <v>19</v>
      </c>
    </row>
    <row r="1503" spans="1:10" ht="15.75" customHeight="1" x14ac:dyDescent="0.25">
      <c r="A1503" s="1">
        <v>45161</v>
      </c>
      <c r="B1503" s="188" t="s">
        <v>1488</v>
      </c>
      <c r="C1503" s="188" t="s">
        <v>21</v>
      </c>
      <c r="D1503" s="188" t="s">
        <v>22</v>
      </c>
      <c r="E1503" s="4">
        <v>12560</v>
      </c>
      <c r="F1503" s="5">
        <v>182600</v>
      </c>
      <c r="G1503" s="4">
        <v>38346</v>
      </c>
      <c r="H1503" s="4">
        <v>233506</v>
      </c>
      <c r="I1503" s="188" t="str">
        <f>VLOOKUP(C1503,CATEGORIZACION!$A$1:$C$269,2,FALSE)</f>
        <v>TRANSPORTE</v>
      </c>
      <c r="J1503" s="188" t="s">
        <v>19</v>
      </c>
    </row>
    <row r="1504" spans="1:10" ht="15.75" customHeight="1" x14ac:dyDescent="0.25">
      <c r="A1504" s="1">
        <v>45162</v>
      </c>
      <c r="B1504" s="188" t="s">
        <v>1489</v>
      </c>
      <c r="C1504" s="188" t="s">
        <v>21</v>
      </c>
      <c r="D1504" s="188" t="s">
        <v>22</v>
      </c>
      <c r="E1504" s="4">
        <v>7920</v>
      </c>
      <c r="F1504" s="5">
        <v>198600</v>
      </c>
      <c r="G1504" s="4">
        <v>41706</v>
      </c>
      <c r="H1504" s="4">
        <v>248226</v>
      </c>
      <c r="I1504" s="188" t="str">
        <f>VLOOKUP(C1504,CATEGORIZACION!$A$1:$C$269,2,FALSE)</f>
        <v>TRANSPORTE</v>
      </c>
      <c r="J1504" s="188" t="s">
        <v>19</v>
      </c>
    </row>
    <row r="1505" spans="1:10" ht="15.75" customHeight="1" x14ac:dyDescent="0.25">
      <c r="A1505" s="1">
        <v>45162</v>
      </c>
      <c r="B1505" s="188" t="s">
        <v>1490</v>
      </c>
      <c r="C1505" s="188" t="s">
        <v>21</v>
      </c>
      <c r="D1505" s="188" t="s">
        <v>22</v>
      </c>
      <c r="E1505" s="4">
        <v>33200</v>
      </c>
      <c r="F1505" s="5">
        <v>0</v>
      </c>
      <c r="G1505" s="4">
        <v>0</v>
      </c>
      <c r="H1505" s="4">
        <v>33200</v>
      </c>
      <c r="I1505" s="188" t="str">
        <f>VLOOKUP(C1505,CATEGORIZACION!$A$1:$C$269,2,FALSE)</f>
        <v>TRANSPORTE</v>
      </c>
      <c r="J1505" s="188" t="s">
        <v>19</v>
      </c>
    </row>
    <row r="1506" spans="1:10" ht="15.75" customHeight="1" x14ac:dyDescent="0.25">
      <c r="A1506" s="1">
        <v>45163</v>
      </c>
      <c r="B1506" s="188" t="s">
        <v>1491</v>
      </c>
      <c r="C1506" s="188" t="s">
        <v>658</v>
      </c>
      <c r="D1506" s="188" t="s">
        <v>659</v>
      </c>
      <c r="E1506" s="4">
        <v>451.22</v>
      </c>
      <c r="F1506" s="3">
        <v>56402</v>
      </c>
      <c r="G1506" s="4">
        <v>11844.42</v>
      </c>
      <c r="H1506" s="4">
        <v>68697.64</v>
      </c>
      <c r="I1506" s="188" t="str">
        <f>VLOOKUP(C1506,CATEGORIZACION!$A$1:$C$269,2,FALSE)</f>
        <v>PROOVEDORES</v>
      </c>
      <c r="J1506" s="188" t="str">
        <f>VLOOKUP(C1506,CATEGORIZACION!$A$1:$C$269,3,FALSE)</f>
        <v>DEPOSITO</v>
      </c>
    </row>
    <row r="1507" spans="1:10" ht="15.75" customHeight="1" x14ac:dyDescent="0.25">
      <c r="A1507" s="1">
        <v>45163</v>
      </c>
      <c r="B1507" s="188" t="s">
        <v>1492</v>
      </c>
      <c r="C1507" s="188" t="s">
        <v>658</v>
      </c>
      <c r="D1507" s="188" t="s">
        <v>659</v>
      </c>
      <c r="E1507" s="4">
        <v>225.61</v>
      </c>
      <c r="F1507" s="3">
        <v>28201</v>
      </c>
      <c r="G1507" s="4">
        <v>5922.21</v>
      </c>
      <c r="H1507" s="4">
        <v>34348.82</v>
      </c>
      <c r="I1507" s="188" t="str">
        <f>VLOOKUP(C1507,CATEGORIZACION!$A$1:$C$269,2,FALSE)</f>
        <v>PROOVEDORES</v>
      </c>
      <c r="J1507" s="188" t="str">
        <f>VLOOKUP(C1507,CATEGORIZACION!$A$1:$C$269,3,FALSE)</f>
        <v>DEPOSITO</v>
      </c>
    </row>
    <row r="1508" spans="1:10" ht="15.75" customHeight="1" x14ac:dyDescent="0.25">
      <c r="A1508" s="1">
        <v>45163</v>
      </c>
      <c r="B1508" s="188" t="s">
        <v>1493</v>
      </c>
      <c r="C1508" s="188" t="s">
        <v>658</v>
      </c>
      <c r="D1508" s="188" t="s">
        <v>659</v>
      </c>
      <c r="E1508" s="4">
        <v>225.61</v>
      </c>
      <c r="F1508" s="3">
        <v>28201</v>
      </c>
      <c r="G1508" s="4">
        <v>5922.21</v>
      </c>
      <c r="H1508" s="4">
        <v>34348.82</v>
      </c>
      <c r="I1508" s="188" t="str">
        <f>VLOOKUP(C1508,CATEGORIZACION!$A$1:$C$269,2,FALSE)</f>
        <v>PROOVEDORES</v>
      </c>
      <c r="J1508" s="188" t="str">
        <f>VLOOKUP(C1508,CATEGORIZACION!$A$1:$C$269,3,FALSE)</f>
        <v>DEPOSITO</v>
      </c>
    </row>
    <row r="1509" spans="1:10" ht="15.75" customHeight="1" x14ac:dyDescent="0.25">
      <c r="A1509" s="1">
        <v>45163</v>
      </c>
      <c r="B1509" s="188" t="s">
        <v>1494</v>
      </c>
      <c r="C1509" s="188" t="s">
        <v>36</v>
      </c>
      <c r="D1509" s="188" t="s">
        <v>37</v>
      </c>
      <c r="E1509" s="4">
        <v>5000</v>
      </c>
      <c r="F1509" s="5">
        <v>120510</v>
      </c>
      <c r="G1509" s="4">
        <v>25307.1</v>
      </c>
      <c r="H1509" s="4">
        <v>150817.1</v>
      </c>
      <c r="I1509" s="188" t="str">
        <f>VLOOKUP(C1509,CATEGORIZACION!$A$1:$C$269,2,FALSE)</f>
        <v>TRANSPORTE</v>
      </c>
      <c r="J1509" s="188" t="s">
        <v>19</v>
      </c>
    </row>
    <row r="1510" spans="1:10" ht="15.75" customHeight="1" x14ac:dyDescent="0.25">
      <c r="A1510" s="1">
        <v>45163</v>
      </c>
      <c r="B1510" s="188" t="s">
        <v>1495</v>
      </c>
      <c r="C1510" s="188" t="s">
        <v>36</v>
      </c>
      <c r="D1510" s="188" t="s">
        <v>37</v>
      </c>
      <c r="E1510" s="4">
        <v>5000</v>
      </c>
      <c r="F1510" s="5">
        <v>120510</v>
      </c>
      <c r="G1510" s="4">
        <v>25307.1</v>
      </c>
      <c r="H1510" s="4">
        <v>150817.1</v>
      </c>
      <c r="I1510" s="188" t="str">
        <f>VLOOKUP(C1510,CATEGORIZACION!$A$1:$C$269,2,FALSE)</f>
        <v>TRANSPORTE</v>
      </c>
      <c r="J1510" s="188" t="s">
        <v>19</v>
      </c>
    </row>
    <row r="1511" spans="1:10" ht="15.75" customHeight="1" x14ac:dyDescent="0.25">
      <c r="A1511" s="1">
        <v>45163</v>
      </c>
      <c r="B1511" s="188" t="s">
        <v>1496</v>
      </c>
      <c r="C1511" s="188" t="s">
        <v>36</v>
      </c>
      <c r="D1511" s="188" t="s">
        <v>37</v>
      </c>
      <c r="E1511" s="4">
        <v>5000</v>
      </c>
      <c r="F1511" s="5">
        <v>80340</v>
      </c>
      <c r="G1511" s="4">
        <v>16871.400000000001</v>
      </c>
      <c r="H1511" s="4">
        <v>102211.4</v>
      </c>
      <c r="I1511" s="188" t="str">
        <f>VLOOKUP(C1511,CATEGORIZACION!$A$1:$C$269,2,FALSE)</f>
        <v>TRANSPORTE</v>
      </c>
      <c r="J1511" s="188" t="s">
        <v>19</v>
      </c>
    </row>
    <row r="1512" spans="1:10" ht="15.75" customHeight="1" x14ac:dyDescent="0.25">
      <c r="A1512" s="1">
        <v>45163</v>
      </c>
      <c r="B1512" s="188" t="s">
        <v>1497</v>
      </c>
      <c r="C1512" s="188" t="s">
        <v>36</v>
      </c>
      <c r="D1512" s="188" t="s">
        <v>37</v>
      </c>
      <c r="E1512" s="4">
        <v>5000</v>
      </c>
      <c r="F1512" s="5">
        <v>80340</v>
      </c>
      <c r="G1512" s="4">
        <v>16871.400000000001</v>
      </c>
      <c r="H1512" s="4">
        <v>102211.4</v>
      </c>
      <c r="I1512" s="188" t="str">
        <f>VLOOKUP(C1512,CATEGORIZACION!$A$1:$C$269,2,FALSE)</f>
        <v>TRANSPORTE</v>
      </c>
      <c r="J1512" s="188" t="s">
        <v>19</v>
      </c>
    </row>
    <row r="1513" spans="1:10" ht="15.75" customHeight="1" x14ac:dyDescent="0.25">
      <c r="A1513" s="1">
        <v>45163</v>
      </c>
      <c r="B1513" s="188" t="s">
        <v>1498</v>
      </c>
      <c r="C1513" s="188" t="s">
        <v>36</v>
      </c>
      <c r="D1513" s="188" t="s">
        <v>37</v>
      </c>
      <c r="E1513" s="4">
        <v>3800</v>
      </c>
      <c r="F1513" s="5">
        <v>159000</v>
      </c>
      <c r="G1513" s="4">
        <v>33390</v>
      </c>
      <c r="H1513" s="4">
        <v>196190</v>
      </c>
      <c r="I1513" s="188" t="str">
        <f>VLOOKUP(C1513,CATEGORIZACION!$A$1:$C$269,2,FALSE)</f>
        <v>TRANSPORTE</v>
      </c>
      <c r="J1513" s="188" t="s">
        <v>19</v>
      </c>
    </row>
    <row r="1514" spans="1:10" ht="15.75" customHeight="1" x14ac:dyDescent="0.25">
      <c r="A1514" s="1">
        <v>45163</v>
      </c>
      <c r="B1514" s="188" t="s">
        <v>1499</v>
      </c>
      <c r="C1514" s="188" t="s">
        <v>36</v>
      </c>
      <c r="D1514" s="188" t="s">
        <v>37</v>
      </c>
      <c r="E1514" s="4">
        <v>9200</v>
      </c>
      <c r="F1514" s="5">
        <v>133900</v>
      </c>
      <c r="G1514" s="4">
        <v>28119</v>
      </c>
      <c r="H1514" s="4">
        <v>171219</v>
      </c>
      <c r="I1514" s="188" t="str">
        <f>VLOOKUP(C1514,CATEGORIZACION!$A$1:$C$269,2,FALSE)</f>
        <v>TRANSPORTE</v>
      </c>
      <c r="J1514" s="188" t="s">
        <v>19</v>
      </c>
    </row>
    <row r="1515" spans="1:10" ht="15.75" customHeight="1" x14ac:dyDescent="0.25">
      <c r="A1515" s="1">
        <v>45163</v>
      </c>
      <c r="B1515" s="188" t="s">
        <v>1500</v>
      </c>
      <c r="C1515" s="188" t="s">
        <v>1501</v>
      </c>
      <c r="D1515" s="188" t="s">
        <v>1502</v>
      </c>
      <c r="E1515" s="4">
        <v>786.2</v>
      </c>
      <c r="F1515" s="5">
        <v>43677.69</v>
      </c>
      <c r="G1515" s="4">
        <v>9172.31</v>
      </c>
      <c r="H1515" s="4">
        <v>53636.2</v>
      </c>
      <c r="I1515" s="188" t="str">
        <f>VLOOKUP(C1515,CATEGORIZACION!$A$1:$C$269,2,FALSE)</f>
        <v>PROOVEDORES</v>
      </c>
      <c r="J1515" s="188" t="str">
        <f>VLOOKUP(C1515,CATEGORIZACION!$A$1:$C$269,3,FALSE)</f>
        <v>LOGISTICA</v>
      </c>
    </row>
    <row r="1516" spans="1:10" ht="15.75" customHeight="1" x14ac:dyDescent="0.25">
      <c r="A1516" s="1">
        <v>45163</v>
      </c>
      <c r="B1516" s="188" t="s">
        <v>1503</v>
      </c>
      <c r="C1516" s="188" t="s">
        <v>1501</v>
      </c>
      <c r="D1516" s="188" t="s">
        <v>1502</v>
      </c>
      <c r="E1516" s="4">
        <v>0</v>
      </c>
      <c r="F1516" s="5">
        <v>2479.34</v>
      </c>
      <c r="G1516" s="4">
        <v>520.66</v>
      </c>
      <c r="H1516" s="4">
        <v>3000</v>
      </c>
      <c r="I1516" s="188" t="str">
        <f>VLOOKUP(C1516,CATEGORIZACION!$A$1:$C$269,2,FALSE)</f>
        <v>PROOVEDORES</v>
      </c>
      <c r="J1516" s="188" t="str">
        <f>VLOOKUP(C1516,CATEGORIZACION!$A$1:$C$269,3,FALSE)</f>
        <v>LOGISTICA</v>
      </c>
    </row>
    <row r="1517" spans="1:10" ht="15.75" customHeight="1" x14ac:dyDescent="0.25">
      <c r="A1517" s="1">
        <v>45166</v>
      </c>
      <c r="B1517" s="188" t="s">
        <v>1504</v>
      </c>
      <c r="C1517" s="188" t="s">
        <v>337</v>
      </c>
      <c r="D1517" s="188" t="s">
        <v>174</v>
      </c>
      <c r="E1517" s="4">
        <v>0</v>
      </c>
      <c r="F1517" s="5">
        <v>38000</v>
      </c>
      <c r="G1517" s="4">
        <v>7980</v>
      </c>
      <c r="H1517" s="4">
        <v>45980</v>
      </c>
      <c r="I1517" s="188" t="str">
        <f>VLOOKUP(C1517,CATEGORIZACION!$A$1:$C$269,2,FALSE)</f>
        <v>TRANSPORTE</v>
      </c>
      <c r="J1517" s="188" t="s">
        <v>19</v>
      </c>
    </row>
    <row r="1518" spans="1:10" ht="15.75" customHeight="1" x14ac:dyDescent="0.25">
      <c r="A1518" s="1">
        <v>45166</v>
      </c>
      <c r="B1518" s="188" t="s">
        <v>1505</v>
      </c>
      <c r="C1518" s="188" t="s">
        <v>21</v>
      </c>
      <c r="D1518" s="188" t="s">
        <v>22</v>
      </c>
      <c r="E1518" s="4">
        <v>35480</v>
      </c>
      <c r="F1518" s="5">
        <v>442800</v>
      </c>
      <c r="G1518" s="4">
        <v>92988</v>
      </c>
      <c r="H1518" s="4">
        <v>571268</v>
      </c>
      <c r="I1518" s="188" t="str">
        <f>VLOOKUP(C1518,CATEGORIZACION!$A$1:$C$269,2,FALSE)</f>
        <v>TRANSPORTE</v>
      </c>
      <c r="J1518" s="188" t="s">
        <v>19</v>
      </c>
    </row>
    <row r="1519" spans="1:10" ht="15.75" customHeight="1" x14ac:dyDescent="0.25">
      <c r="A1519" s="1">
        <v>45166</v>
      </c>
      <c r="B1519" s="188" t="s">
        <v>1506</v>
      </c>
      <c r="C1519" s="188" t="s">
        <v>21</v>
      </c>
      <c r="D1519" s="188" t="s">
        <v>22</v>
      </c>
      <c r="E1519" s="4">
        <v>0</v>
      </c>
      <c r="F1519" s="5">
        <v>73800</v>
      </c>
      <c r="G1519" s="4">
        <v>15498</v>
      </c>
      <c r="H1519" s="4">
        <v>89298</v>
      </c>
      <c r="I1519" s="188" t="str">
        <f>VLOOKUP(C1519,CATEGORIZACION!$A$1:$C$269,2,FALSE)</f>
        <v>TRANSPORTE</v>
      </c>
      <c r="J1519" s="188" t="s">
        <v>19</v>
      </c>
    </row>
    <row r="1520" spans="1:10" ht="15.75" customHeight="1" x14ac:dyDescent="0.25">
      <c r="A1520" s="1">
        <v>45166</v>
      </c>
      <c r="B1520" s="188" t="s">
        <v>1507</v>
      </c>
      <c r="C1520" s="188" t="s">
        <v>21</v>
      </c>
      <c r="D1520" s="188" t="s">
        <v>22</v>
      </c>
      <c r="E1520" s="4">
        <v>23360</v>
      </c>
      <c r="F1520" s="5">
        <v>295200</v>
      </c>
      <c r="G1520" s="4">
        <v>61992</v>
      </c>
      <c r="H1520" s="4">
        <v>380552</v>
      </c>
      <c r="I1520" s="188" t="str">
        <f>VLOOKUP(C1520,CATEGORIZACION!$A$1:$C$269,2,FALSE)</f>
        <v>TRANSPORTE</v>
      </c>
      <c r="J1520" s="188" t="s">
        <v>19</v>
      </c>
    </row>
    <row r="1521" spans="1:10" ht="15.75" customHeight="1" x14ac:dyDescent="0.25">
      <c r="A1521" s="1">
        <v>45166</v>
      </c>
      <c r="B1521" s="188" t="s">
        <v>1508</v>
      </c>
      <c r="C1521" s="188" t="s">
        <v>21</v>
      </c>
      <c r="D1521" s="188" t="s">
        <v>22</v>
      </c>
      <c r="E1521" s="4">
        <v>31680</v>
      </c>
      <c r="F1521" s="5">
        <v>965600</v>
      </c>
      <c r="G1521" s="4">
        <v>202776</v>
      </c>
      <c r="H1521" s="4">
        <v>1200056</v>
      </c>
      <c r="I1521" s="188" t="str">
        <f>VLOOKUP(C1521,CATEGORIZACION!$A$1:$C$269,2,FALSE)</f>
        <v>TRANSPORTE</v>
      </c>
      <c r="J1521" s="188" t="s">
        <v>19</v>
      </c>
    </row>
    <row r="1522" spans="1:10" ht="15.75" customHeight="1" x14ac:dyDescent="0.25">
      <c r="A1522" s="1">
        <v>45166</v>
      </c>
      <c r="B1522" s="188" t="s">
        <v>1509</v>
      </c>
      <c r="C1522" s="188" t="s">
        <v>21</v>
      </c>
      <c r="D1522" s="188" t="s">
        <v>22</v>
      </c>
      <c r="E1522" s="4">
        <v>19840</v>
      </c>
      <c r="F1522" s="5">
        <v>885600</v>
      </c>
      <c r="G1522" s="4">
        <v>185976</v>
      </c>
      <c r="H1522" s="4">
        <v>1091416</v>
      </c>
      <c r="I1522" s="188" t="str">
        <f>VLOOKUP(C1522,CATEGORIZACION!$A$1:$C$269,2,FALSE)</f>
        <v>TRANSPORTE</v>
      </c>
      <c r="J1522" s="188" t="s">
        <v>19</v>
      </c>
    </row>
    <row r="1523" spans="1:10" ht="15.75" customHeight="1" x14ac:dyDescent="0.25">
      <c r="A1523" s="1">
        <v>45166</v>
      </c>
      <c r="B1523" s="188" t="s">
        <v>1510</v>
      </c>
      <c r="C1523" s="188" t="s">
        <v>21</v>
      </c>
      <c r="D1523" s="188" t="s">
        <v>22</v>
      </c>
      <c r="E1523" s="4">
        <v>15840</v>
      </c>
      <c r="F1523" s="5">
        <v>397200</v>
      </c>
      <c r="G1523" s="4">
        <v>83412</v>
      </c>
      <c r="H1523" s="4">
        <v>496452</v>
      </c>
      <c r="I1523" s="188" t="str">
        <f>VLOOKUP(C1523,CATEGORIZACION!$A$1:$C$269,2,FALSE)</f>
        <v>TRANSPORTE</v>
      </c>
      <c r="J1523" s="188" t="s">
        <v>19</v>
      </c>
    </row>
    <row r="1524" spans="1:10" ht="15.75" customHeight="1" x14ac:dyDescent="0.25">
      <c r="A1524" s="1">
        <v>45166</v>
      </c>
      <c r="B1524" s="188" t="s">
        <v>1511</v>
      </c>
      <c r="C1524" s="188" t="s">
        <v>21</v>
      </c>
      <c r="D1524" s="188" t="s">
        <v>22</v>
      </c>
      <c r="E1524" s="4">
        <v>22800</v>
      </c>
      <c r="F1524" s="5">
        <v>649200</v>
      </c>
      <c r="G1524" s="4">
        <v>136332</v>
      </c>
      <c r="H1524" s="4">
        <v>808332</v>
      </c>
      <c r="I1524" s="188" t="str">
        <f>VLOOKUP(C1524,CATEGORIZACION!$A$1:$C$269,2,FALSE)</f>
        <v>TRANSPORTE</v>
      </c>
      <c r="J1524" s="188" t="s">
        <v>19</v>
      </c>
    </row>
    <row r="1525" spans="1:10" ht="15.75" customHeight="1" x14ac:dyDescent="0.25">
      <c r="A1525" s="1">
        <v>45166</v>
      </c>
      <c r="B1525" s="188" t="s">
        <v>1512</v>
      </c>
      <c r="C1525" s="188" t="s">
        <v>21</v>
      </c>
      <c r="D1525" s="188" t="s">
        <v>22</v>
      </c>
      <c r="E1525" s="4">
        <v>23760</v>
      </c>
      <c r="F1525" s="5">
        <v>297900</v>
      </c>
      <c r="G1525" s="4">
        <v>62559</v>
      </c>
      <c r="H1525" s="4">
        <v>384219</v>
      </c>
      <c r="I1525" s="188" t="str">
        <f>VLOOKUP(C1525,CATEGORIZACION!$A$1:$C$269,2,FALSE)</f>
        <v>TRANSPORTE</v>
      </c>
      <c r="J1525" s="188" t="s">
        <v>19</v>
      </c>
    </row>
    <row r="1526" spans="1:10" ht="15.75" customHeight="1" x14ac:dyDescent="0.25">
      <c r="A1526" s="1">
        <v>45166</v>
      </c>
      <c r="B1526" s="188" t="s">
        <v>1513</v>
      </c>
      <c r="C1526" s="188" t="s">
        <v>21</v>
      </c>
      <c r="D1526" s="188" t="s">
        <v>22</v>
      </c>
      <c r="E1526" s="4">
        <v>6280</v>
      </c>
      <c r="F1526" s="5">
        <v>108800</v>
      </c>
      <c r="G1526" s="4">
        <v>22848</v>
      </c>
      <c r="H1526" s="4">
        <v>137928</v>
      </c>
      <c r="I1526" s="188" t="str">
        <f>VLOOKUP(C1526,CATEGORIZACION!$A$1:$C$269,2,FALSE)</f>
        <v>TRANSPORTE</v>
      </c>
      <c r="J1526" s="188" t="s">
        <v>19</v>
      </c>
    </row>
    <row r="1527" spans="1:10" ht="15.75" customHeight="1" x14ac:dyDescent="0.25">
      <c r="A1527" s="1">
        <v>45166</v>
      </c>
      <c r="B1527" s="188" t="s">
        <v>1514</v>
      </c>
      <c r="C1527" s="188" t="s">
        <v>21</v>
      </c>
      <c r="D1527" s="188" t="s">
        <v>22</v>
      </c>
      <c r="E1527" s="4">
        <v>6640</v>
      </c>
      <c r="F1527" s="5">
        <v>173100</v>
      </c>
      <c r="G1527" s="4">
        <v>36351</v>
      </c>
      <c r="H1527" s="4">
        <v>216091</v>
      </c>
      <c r="I1527" s="188" t="str">
        <f>VLOOKUP(C1527,CATEGORIZACION!$A$1:$C$269,2,FALSE)</f>
        <v>TRANSPORTE</v>
      </c>
      <c r="J1527" s="188" t="s">
        <v>19</v>
      </c>
    </row>
    <row r="1528" spans="1:10" ht="15.75" customHeight="1" x14ac:dyDescent="0.25">
      <c r="A1528" s="1">
        <v>45166</v>
      </c>
      <c r="B1528" s="188" t="s">
        <v>1515</v>
      </c>
      <c r="C1528" s="188" t="s">
        <v>339</v>
      </c>
      <c r="D1528" s="188" t="s">
        <v>340</v>
      </c>
      <c r="E1528" s="4">
        <v>0</v>
      </c>
      <c r="F1528" s="5">
        <v>109830.33</v>
      </c>
      <c r="G1528" s="4">
        <v>23064.37</v>
      </c>
      <c r="H1528" s="4">
        <v>132894.70000000001</v>
      </c>
      <c r="I1528" s="188" t="str">
        <f>VLOOKUP(C1528,CATEGORIZACION!$A$1:$C$269,2,FALSE)</f>
        <v>PROOVEDORES</v>
      </c>
      <c r="J1528" s="188" t="str">
        <f>VLOOKUP(C1528,CATEGORIZACION!$A$1:$C$269,3,FALSE)</f>
        <v>LOGISTICA</v>
      </c>
    </row>
    <row r="1529" spans="1:10" ht="15.75" customHeight="1" x14ac:dyDescent="0.25">
      <c r="A1529" s="1">
        <v>45166</v>
      </c>
      <c r="B1529" s="188" t="s">
        <v>1516</v>
      </c>
      <c r="C1529" s="188" t="s">
        <v>36</v>
      </c>
      <c r="D1529" s="188" t="s">
        <v>37</v>
      </c>
      <c r="E1529" s="4">
        <v>12500</v>
      </c>
      <c r="F1529" s="5">
        <v>135500</v>
      </c>
      <c r="G1529" s="4">
        <v>28455</v>
      </c>
      <c r="H1529" s="4">
        <v>176455</v>
      </c>
      <c r="I1529" s="188" t="str">
        <f>VLOOKUP(C1529,CATEGORIZACION!$A$1:$C$269,2,FALSE)</f>
        <v>TRANSPORTE</v>
      </c>
      <c r="J1529" s="188" t="s">
        <v>19</v>
      </c>
    </row>
    <row r="1530" spans="1:10" ht="15.75" customHeight="1" x14ac:dyDescent="0.25">
      <c r="A1530" s="1">
        <v>45166</v>
      </c>
      <c r="B1530" s="188" t="s">
        <v>1517</v>
      </c>
      <c r="C1530" s="188" t="s">
        <v>36</v>
      </c>
      <c r="D1530" s="188" t="s">
        <v>37</v>
      </c>
      <c r="E1530" s="4">
        <v>5000</v>
      </c>
      <c r="F1530" s="5">
        <v>133200</v>
      </c>
      <c r="G1530" s="4">
        <v>27972</v>
      </c>
      <c r="H1530" s="4">
        <v>166172</v>
      </c>
      <c r="I1530" s="188" t="str">
        <f>VLOOKUP(C1530,CATEGORIZACION!$A$1:$C$269,2,FALSE)</f>
        <v>TRANSPORTE</v>
      </c>
      <c r="J1530" s="188" t="s">
        <v>19</v>
      </c>
    </row>
    <row r="1531" spans="1:10" ht="15.75" customHeight="1" x14ac:dyDescent="0.25">
      <c r="A1531" s="1">
        <v>45166</v>
      </c>
      <c r="B1531" s="188" t="s">
        <v>1518</v>
      </c>
      <c r="C1531" s="188" t="s">
        <v>36</v>
      </c>
      <c r="D1531" s="188" t="s">
        <v>37</v>
      </c>
      <c r="E1531" s="4">
        <v>5000</v>
      </c>
      <c r="F1531" s="5">
        <v>133200</v>
      </c>
      <c r="G1531" s="4">
        <v>27972</v>
      </c>
      <c r="H1531" s="4">
        <v>166172</v>
      </c>
      <c r="I1531" s="188" t="str">
        <f>VLOOKUP(C1531,CATEGORIZACION!$A$1:$C$269,2,FALSE)</f>
        <v>TRANSPORTE</v>
      </c>
      <c r="J1531" s="188" t="s">
        <v>19</v>
      </c>
    </row>
    <row r="1532" spans="1:10" ht="15.75" customHeight="1" x14ac:dyDescent="0.25">
      <c r="A1532" s="1">
        <v>45166</v>
      </c>
      <c r="B1532" s="188" t="s">
        <v>1519</v>
      </c>
      <c r="C1532" s="188" t="s">
        <v>36</v>
      </c>
      <c r="D1532" s="188" t="s">
        <v>37</v>
      </c>
      <c r="E1532" s="4">
        <v>5000</v>
      </c>
      <c r="F1532" s="5">
        <v>133200</v>
      </c>
      <c r="G1532" s="4">
        <v>27972</v>
      </c>
      <c r="H1532" s="4">
        <v>166172</v>
      </c>
      <c r="I1532" s="188" t="str">
        <f>VLOOKUP(C1532,CATEGORIZACION!$A$1:$C$269,2,FALSE)</f>
        <v>TRANSPORTE</v>
      </c>
      <c r="J1532" s="188" t="s">
        <v>19</v>
      </c>
    </row>
    <row r="1533" spans="1:10" ht="15.75" customHeight="1" x14ac:dyDescent="0.25">
      <c r="A1533" s="1">
        <v>45166</v>
      </c>
      <c r="B1533" s="188" t="s">
        <v>1520</v>
      </c>
      <c r="C1533" s="188" t="s">
        <v>36</v>
      </c>
      <c r="D1533" s="188" t="s">
        <v>37</v>
      </c>
      <c r="E1533" s="4">
        <v>13400</v>
      </c>
      <c r="F1533" s="5">
        <v>176150</v>
      </c>
      <c r="G1533" s="4">
        <v>36991.5</v>
      </c>
      <c r="H1533" s="4">
        <v>226541.5</v>
      </c>
      <c r="I1533" s="188" t="str">
        <f>VLOOKUP(C1533,CATEGORIZACION!$A$1:$C$269,2,FALSE)</f>
        <v>TRANSPORTE</v>
      </c>
      <c r="J1533" s="188" t="s">
        <v>19</v>
      </c>
    </row>
    <row r="1534" spans="1:10" ht="15.75" customHeight="1" x14ac:dyDescent="0.25">
      <c r="A1534" s="1">
        <v>45166</v>
      </c>
      <c r="B1534" s="188" t="s">
        <v>1521</v>
      </c>
      <c r="C1534" s="188" t="s">
        <v>36</v>
      </c>
      <c r="D1534" s="188" t="s">
        <v>37</v>
      </c>
      <c r="E1534" s="4">
        <v>13400</v>
      </c>
      <c r="F1534" s="5">
        <v>176150</v>
      </c>
      <c r="G1534" s="4">
        <v>36991.5</v>
      </c>
      <c r="H1534" s="4">
        <v>226541.5</v>
      </c>
      <c r="I1534" s="188" t="str">
        <f>VLOOKUP(C1534,CATEGORIZACION!$A$1:$C$269,2,FALSE)</f>
        <v>TRANSPORTE</v>
      </c>
      <c r="J1534" s="188" t="s">
        <v>19</v>
      </c>
    </row>
    <row r="1535" spans="1:10" ht="15.75" customHeight="1" x14ac:dyDescent="0.25">
      <c r="A1535" s="1">
        <v>45166</v>
      </c>
      <c r="B1535" s="188" t="s">
        <v>1522</v>
      </c>
      <c r="C1535" s="188" t="s">
        <v>36</v>
      </c>
      <c r="D1535" s="188" t="s">
        <v>37</v>
      </c>
      <c r="E1535" s="4">
        <v>9200</v>
      </c>
      <c r="F1535" s="5">
        <v>104400</v>
      </c>
      <c r="G1535" s="4">
        <v>21924</v>
      </c>
      <c r="H1535" s="4">
        <v>135524</v>
      </c>
      <c r="I1535" s="188" t="str">
        <f>VLOOKUP(C1535,CATEGORIZACION!$A$1:$C$269,2,FALSE)</f>
        <v>TRANSPORTE</v>
      </c>
      <c r="J1535" s="188" t="s">
        <v>19</v>
      </c>
    </row>
    <row r="1536" spans="1:10" ht="15.75" customHeight="1" x14ac:dyDescent="0.25">
      <c r="A1536" s="1">
        <v>45166</v>
      </c>
      <c r="B1536" s="188" t="s">
        <v>1523</v>
      </c>
      <c r="C1536" s="188" t="s">
        <v>36</v>
      </c>
      <c r="D1536" s="188" t="s">
        <v>37</v>
      </c>
      <c r="E1536" s="4">
        <v>12800</v>
      </c>
      <c r="F1536" s="5">
        <v>213100</v>
      </c>
      <c r="G1536" s="4">
        <v>44751</v>
      </c>
      <c r="H1536" s="4">
        <v>270651</v>
      </c>
      <c r="I1536" s="188" t="str">
        <f>VLOOKUP(C1536,CATEGORIZACION!$A$1:$C$269,2,FALSE)</f>
        <v>TRANSPORTE</v>
      </c>
      <c r="J1536" s="188" t="s">
        <v>19</v>
      </c>
    </row>
    <row r="1537" spans="1:10" ht="15.75" customHeight="1" x14ac:dyDescent="0.25">
      <c r="A1537" s="1">
        <v>45166</v>
      </c>
      <c r="B1537" s="188" t="s">
        <v>1524</v>
      </c>
      <c r="C1537" s="188" t="s">
        <v>36</v>
      </c>
      <c r="D1537" s="188" t="s">
        <v>37</v>
      </c>
      <c r="E1537" s="4">
        <v>7600</v>
      </c>
      <c r="F1537" s="5">
        <v>111000</v>
      </c>
      <c r="G1537" s="4">
        <v>23310</v>
      </c>
      <c r="H1537" s="4">
        <v>141910</v>
      </c>
      <c r="I1537" s="188" t="str">
        <f>VLOOKUP(C1537,CATEGORIZACION!$A$1:$C$269,2,FALSE)</f>
        <v>TRANSPORTE</v>
      </c>
      <c r="J1537" s="188" t="s">
        <v>19</v>
      </c>
    </row>
    <row r="1538" spans="1:10" ht="15.75" customHeight="1" x14ac:dyDescent="0.25">
      <c r="A1538" s="1">
        <v>45166</v>
      </c>
      <c r="B1538" s="188" t="s">
        <v>1525</v>
      </c>
      <c r="C1538" s="188" t="s">
        <v>36</v>
      </c>
      <c r="D1538" s="188" t="s">
        <v>37</v>
      </c>
      <c r="E1538" s="4">
        <v>7600</v>
      </c>
      <c r="F1538" s="5">
        <v>111000</v>
      </c>
      <c r="G1538" s="4">
        <v>23310</v>
      </c>
      <c r="H1538" s="4">
        <v>141910</v>
      </c>
      <c r="I1538" s="188" t="str">
        <f>VLOOKUP(C1538,CATEGORIZACION!$A$1:$C$269,2,FALSE)</f>
        <v>TRANSPORTE</v>
      </c>
      <c r="J1538" s="188" t="s">
        <v>19</v>
      </c>
    </row>
    <row r="1539" spans="1:10" ht="15.75" customHeight="1" x14ac:dyDescent="0.25">
      <c r="A1539" s="1">
        <v>45166</v>
      </c>
      <c r="B1539" s="188" t="s">
        <v>1526</v>
      </c>
      <c r="C1539" s="188" t="s">
        <v>36</v>
      </c>
      <c r="D1539" s="188" t="s">
        <v>37</v>
      </c>
      <c r="E1539" s="4">
        <v>5000</v>
      </c>
      <c r="F1539" s="5">
        <v>111000</v>
      </c>
      <c r="G1539" s="4">
        <v>23310</v>
      </c>
      <c r="H1539" s="4">
        <v>139310</v>
      </c>
      <c r="I1539" s="188" t="str">
        <f>VLOOKUP(C1539,CATEGORIZACION!$A$1:$C$269,2,FALSE)</f>
        <v>TRANSPORTE</v>
      </c>
      <c r="J1539" s="188" t="s">
        <v>19</v>
      </c>
    </row>
    <row r="1540" spans="1:10" ht="15.75" customHeight="1" x14ac:dyDescent="0.25">
      <c r="A1540" s="1">
        <v>45166</v>
      </c>
      <c r="B1540" s="188" t="s">
        <v>1527</v>
      </c>
      <c r="C1540" s="188" t="s">
        <v>36</v>
      </c>
      <c r="D1540" s="188" t="s">
        <v>37</v>
      </c>
      <c r="E1540" s="4">
        <v>15000</v>
      </c>
      <c r="F1540" s="5">
        <v>162600</v>
      </c>
      <c r="G1540" s="4">
        <v>34146</v>
      </c>
      <c r="H1540" s="4">
        <v>211746</v>
      </c>
      <c r="I1540" s="188" t="str">
        <f>VLOOKUP(C1540,CATEGORIZACION!$A$1:$C$269,2,FALSE)</f>
        <v>TRANSPORTE</v>
      </c>
      <c r="J1540" s="188" t="s">
        <v>19</v>
      </c>
    </row>
    <row r="1541" spans="1:10" ht="15.75" customHeight="1" x14ac:dyDescent="0.25">
      <c r="A1541" s="1">
        <v>45166</v>
      </c>
      <c r="B1541" s="188" t="s">
        <v>1528</v>
      </c>
      <c r="C1541" s="188" t="s">
        <v>36</v>
      </c>
      <c r="D1541" s="188" t="s">
        <v>37</v>
      </c>
      <c r="E1541" s="4">
        <v>9200</v>
      </c>
      <c r="F1541" s="5">
        <v>111000</v>
      </c>
      <c r="G1541" s="4">
        <v>23310</v>
      </c>
      <c r="H1541" s="4">
        <v>143510</v>
      </c>
      <c r="I1541" s="188" t="str">
        <f>VLOOKUP(C1541,CATEGORIZACION!$A$1:$C$269,2,FALSE)</f>
        <v>TRANSPORTE</v>
      </c>
      <c r="J1541" s="188" t="s">
        <v>19</v>
      </c>
    </row>
    <row r="1542" spans="1:10" ht="15.75" customHeight="1" x14ac:dyDescent="0.25">
      <c r="A1542" s="1">
        <v>45167</v>
      </c>
      <c r="B1542" s="188" t="s">
        <v>1529</v>
      </c>
      <c r="C1542" s="188" t="s">
        <v>21</v>
      </c>
      <c r="D1542" s="188" t="s">
        <v>22</v>
      </c>
      <c r="E1542" s="4">
        <v>18840</v>
      </c>
      <c r="F1542" s="5">
        <v>256400</v>
      </c>
      <c r="G1542" s="4">
        <v>53844</v>
      </c>
      <c r="H1542" s="4">
        <v>329084</v>
      </c>
      <c r="I1542" s="188" t="str">
        <f>VLOOKUP(C1542,CATEGORIZACION!$A$1:$C$269,2,FALSE)</f>
        <v>TRANSPORTE</v>
      </c>
      <c r="J1542" s="188" t="s">
        <v>19</v>
      </c>
    </row>
    <row r="1543" spans="1:10" ht="15.75" customHeight="1" x14ac:dyDescent="0.25">
      <c r="A1543" s="1">
        <v>45167</v>
      </c>
      <c r="B1543" s="188" t="s">
        <v>1530</v>
      </c>
      <c r="C1543" s="188" t="s">
        <v>21</v>
      </c>
      <c r="D1543" s="188" t="s">
        <v>22</v>
      </c>
      <c r="E1543" s="4">
        <v>15120</v>
      </c>
      <c r="F1543" s="5">
        <v>349800</v>
      </c>
      <c r="G1543" s="4">
        <v>73458</v>
      </c>
      <c r="H1543" s="4">
        <v>438378</v>
      </c>
      <c r="I1543" s="188" t="str">
        <f>VLOOKUP(C1543,CATEGORIZACION!$A$1:$C$269,2,FALSE)</f>
        <v>TRANSPORTE</v>
      </c>
      <c r="J1543" s="188" t="s">
        <v>19</v>
      </c>
    </row>
    <row r="1544" spans="1:10" ht="15.75" customHeight="1" x14ac:dyDescent="0.25">
      <c r="A1544" s="1">
        <v>45167</v>
      </c>
      <c r="B1544" s="188" t="s">
        <v>1531</v>
      </c>
      <c r="C1544" s="188" t="s">
        <v>21</v>
      </c>
      <c r="D1544" s="188" t="s">
        <v>22</v>
      </c>
      <c r="E1544" s="4">
        <v>22640</v>
      </c>
      <c r="F1544" s="5">
        <v>450800</v>
      </c>
      <c r="G1544" s="4">
        <v>94668</v>
      </c>
      <c r="H1544" s="4">
        <v>568108</v>
      </c>
      <c r="I1544" s="188" t="str">
        <f>VLOOKUP(C1544,CATEGORIZACION!$A$1:$C$269,2,FALSE)</f>
        <v>TRANSPORTE</v>
      </c>
      <c r="J1544" s="188" t="s">
        <v>19</v>
      </c>
    </row>
    <row r="1545" spans="1:10" ht="15.75" customHeight="1" x14ac:dyDescent="0.25">
      <c r="A1545" s="1">
        <v>45167</v>
      </c>
      <c r="B1545" s="188" t="s">
        <v>1532</v>
      </c>
      <c r="C1545" s="188" t="s">
        <v>21</v>
      </c>
      <c r="D1545" s="188" t="s">
        <v>22</v>
      </c>
      <c r="E1545" s="4">
        <v>16360</v>
      </c>
      <c r="F1545" s="5">
        <v>221400</v>
      </c>
      <c r="G1545" s="4">
        <v>46494</v>
      </c>
      <c r="H1545" s="4">
        <v>284254</v>
      </c>
      <c r="I1545" s="188" t="str">
        <f>VLOOKUP(C1545,CATEGORIZACION!$A$1:$C$269,2,FALSE)</f>
        <v>TRANSPORTE</v>
      </c>
      <c r="J1545" s="188" t="s">
        <v>19</v>
      </c>
    </row>
    <row r="1546" spans="1:10" ht="15.75" customHeight="1" x14ac:dyDescent="0.25">
      <c r="A1546" s="1">
        <v>45167</v>
      </c>
      <c r="B1546" s="188" t="s">
        <v>1533</v>
      </c>
      <c r="C1546" s="188" t="s">
        <v>21</v>
      </c>
      <c r="D1546" s="188" t="s">
        <v>22</v>
      </c>
      <c r="E1546" s="4">
        <v>46400</v>
      </c>
      <c r="F1546" s="5">
        <v>496500</v>
      </c>
      <c r="G1546" s="4">
        <v>104265</v>
      </c>
      <c r="H1546" s="4">
        <v>647165</v>
      </c>
      <c r="I1546" s="188" t="str">
        <f>VLOOKUP(C1546,CATEGORIZACION!$A$1:$C$269,2,FALSE)</f>
        <v>TRANSPORTE</v>
      </c>
      <c r="J1546" s="188" t="s">
        <v>19</v>
      </c>
    </row>
    <row r="1547" spans="1:10" ht="15.75" customHeight="1" x14ac:dyDescent="0.25">
      <c r="A1547" s="1">
        <v>45167</v>
      </c>
      <c r="B1547" s="188" t="s">
        <v>1534</v>
      </c>
      <c r="C1547" s="188" t="s">
        <v>153</v>
      </c>
      <c r="D1547" s="188" t="s">
        <v>154</v>
      </c>
      <c r="E1547" s="4">
        <v>255.6</v>
      </c>
      <c r="F1547" s="3">
        <v>31950.240000000002</v>
      </c>
      <c r="G1547" s="4">
        <v>6709.55</v>
      </c>
      <c r="H1547" s="4">
        <v>38915.39</v>
      </c>
      <c r="I1547" s="188" t="str">
        <f>VLOOKUP(C1547,CATEGORIZACION!$A$1:$C$269,2,FALSE)</f>
        <v>PROOVEDORES</v>
      </c>
      <c r="J1547" s="188" t="str">
        <f>VLOOKUP(C1547,CATEGORIZACION!$A$1:$C$269,3,FALSE)</f>
        <v>DEPOSITO</v>
      </c>
    </row>
    <row r="1548" spans="1:10" ht="15.75" customHeight="1" x14ac:dyDescent="0.25">
      <c r="A1548" s="1">
        <v>45168</v>
      </c>
      <c r="B1548" s="188" t="s">
        <v>1535</v>
      </c>
      <c r="C1548" s="188" t="s">
        <v>21</v>
      </c>
      <c r="D1548" s="188" t="s">
        <v>22</v>
      </c>
      <c r="E1548" s="4">
        <v>17680</v>
      </c>
      <c r="F1548" s="5">
        <v>660000</v>
      </c>
      <c r="G1548" s="4">
        <v>138600</v>
      </c>
      <c r="H1548" s="4">
        <v>816280</v>
      </c>
      <c r="I1548" s="188" t="str">
        <f>VLOOKUP(C1548,CATEGORIZACION!$A$1:$C$269,2,FALSE)</f>
        <v>TRANSPORTE</v>
      </c>
      <c r="J1548" s="188" t="s">
        <v>19</v>
      </c>
    </row>
    <row r="1549" spans="1:10" ht="15.75" customHeight="1" x14ac:dyDescent="0.25">
      <c r="A1549" s="1">
        <v>45168</v>
      </c>
      <c r="B1549" s="188" t="s">
        <v>1536</v>
      </c>
      <c r="C1549" s="188" t="s">
        <v>21</v>
      </c>
      <c r="D1549" s="188" t="s">
        <v>22</v>
      </c>
      <c r="E1549" s="4">
        <v>17680</v>
      </c>
      <c r="F1549" s="5">
        <v>630000</v>
      </c>
      <c r="G1549" s="4">
        <v>132300</v>
      </c>
      <c r="H1549" s="4">
        <v>779980</v>
      </c>
      <c r="I1549" s="188" t="str">
        <f>VLOOKUP(C1549,CATEGORIZACION!$A$1:$C$269,2,FALSE)</f>
        <v>TRANSPORTE</v>
      </c>
      <c r="J1549" s="188" t="s">
        <v>19</v>
      </c>
    </row>
    <row r="1550" spans="1:10" ht="15.75" customHeight="1" x14ac:dyDescent="0.25">
      <c r="A1550" s="1">
        <v>45168</v>
      </c>
      <c r="B1550" s="188" t="s">
        <v>1537</v>
      </c>
      <c r="C1550" s="188" t="s">
        <v>658</v>
      </c>
      <c r="D1550" s="188" t="s">
        <v>659</v>
      </c>
      <c r="E1550" s="4">
        <v>225.61</v>
      </c>
      <c r="F1550" s="3">
        <v>28201</v>
      </c>
      <c r="G1550" s="4">
        <v>5922.21</v>
      </c>
      <c r="H1550" s="4">
        <v>34348.82</v>
      </c>
      <c r="I1550" s="188" t="str">
        <f>VLOOKUP(C1550,CATEGORIZACION!$A$1:$C$269,2,FALSE)</f>
        <v>PROOVEDORES</v>
      </c>
      <c r="J1550" s="188" t="str">
        <f>VLOOKUP(C1550,CATEGORIZACION!$A$1:$C$269,3,FALSE)</f>
        <v>DEPOSITO</v>
      </c>
    </row>
    <row r="1551" spans="1:10" ht="15.75" customHeight="1" x14ac:dyDescent="0.25">
      <c r="A1551" s="1">
        <v>45168</v>
      </c>
      <c r="B1551" s="188" t="s">
        <v>1538</v>
      </c>
      <c r="C1551" s="188" t="s">
        <v>658</v>
      </c>
      <c r="D1551" s="188" t="s">
        <v>659</v>
      </c>
      <c r="E1551" s="4">
        <v>225.61</v>
      </c>
      <c r="F1551" s="3">
        <v>28201</v>
      </c>
      <c r="G1551" s="4">
        <v>5922.21</v>
      </c>
      <c r="H1551" s="4">
        <v>34348.82</v>
      </c>
      <c r="I1551" s="188" t="str">
        <f>VLOOKUP(C1551,CATEGORIZACION!$A$1:$C$269,2,FALSE)</f>
        <v>PROOVEDORES</v>
      </c>
      <c r="J1551" s="188" t="str">
        <f>VLOOKUP(C1551,CATEGORIZACION!$A$1:$C$269,3,FALSE)</f>
        <v>DEPOSITO</v>
      </c>
    </row>
    <row r="1552" spans="1:10" ht="15.75" customHeight="1" x14ac:dyDescent="0.25">
      <c r="A1552" s="1">
        <v>45169</v>
      </c>
      <c r="B1552" s="188" t="s">
        <v>1539</v>
      </c>
      <c r="C1552" s="188" t="s">
        <v>517</v>
      </c>
      <c r="D1552" s="188" t="s">
        <v>518</v>
      </c>
      <c r="E1552" s="4">
        <v>2.3283064365386963E-12</v>
      </c>
      <c r="F1552" s="5">
        <v>-13797.94</v>
      </c>
      <c r="G1552" s="4">
        <v>-2897.57</v>
      </c>
      <c r="H1552" s="4">
        <v>-16695.509999999998</v>
      </c>
      <c r="I1552" s="188" t="str">
        <f>VLOOKUP(C1552,CATEGORIZACION!$A$1:$C$269,2,FALSE)</f>
        <v>PROOVEDORES</v>
      </c>
      <c r="J1552" s="188" t="str">
        <f>VLOOKUP(C1552,CATEGORIZACION!$A$1:$C$269,3,FALSE)</f>
        <v>LOGISTICA</v>
      </c>
    </row>
    <row r="1553" spans="1:10" ht="15.75" customHeight="1" x14ac:dyDescent="0.25">
      <c r="A1553" s="1">
        <v>45169</v>
      </c>
      <c r="B1553" s="188" t="s">
        <v>1540</v>
      </c>
      <c r="C1553" s="188" t="s">
        <v>84</v>
      </c>
      <c r="D1553" s="188" t="s">
        <v>85</v>
      </c>
      <c r="E1553" s="4">
        <v>48034.87</v>
      </c>
      <c r="F1553" s="5">
        <v>713980.16</v>
      </c>
      <c r="G1553" s="4">
        <v>149935.82999999999</v>
      </c>
      <c r="H1553" s="4">
        <v>911950.86</v>
      </c>
      <c r="I1553" s="188" t="str">
        <f>VLOOKUP(C1553,CATEGORIZACION!$A$1:$C$269,2,FALSE)</f>
        <v>PROOVEDORES</v>
      </c>
      <c r="J1553" s="188" t="str">
        <f>VLOOKUP(C1553,CATEGORIZACION!$A$1:$C$269,3,FALSE)</f>
        <v>LOGISTICA</v>
      </c>
    </row>
    <row r="1554" spans="1:10" ht="15.75" customHeight="1" x14ac:dyDescent="0.25">
      <c r="A1554" s="1">
        <v>45169</v>
      </c>
      <c r="B1554" s="188" t="s">
        <v>1541</v>
      </c>
      <c r="C1554" s="188" t="s">
        <v>84</v>
      </c>
      <c r="D1554" s="188" t="s">
        <v>85</v>
      </c>
      <c r="E1554" s="4">
        <v>35922.629999999997</v>
      </c>
      <c r="F1554" s="5">
        <v>34040.03</v>
      </c>
      <c r="G1554" s="4">
        <v>111920.98</v>
      </c>
      <c r="H1554" s="5">
        <v>34040.03</v>
      </c>
      <c r="I1554" s="188" t="str">
        <f>VLOOKUP(C1554,CATEGORIZACION!$A$1:$C$269,2,FALSE)</f>
        <v>PROOVEDORES</v>
      </c>
      <c r="J1554" s="188" t="str">
        <f>VLOOKUP(C1554,CATEGORIZACION!$A$1:$C$269,3,FALSE)</f>
        <v>LOGISTICA</v>
      </c>
    </row>
    <row r="1555" spans="1:10" ht="15.75" customHeight="1" x14ac:dyDescent="0.25">
      <c r="A1555" s="1">
        <v>45169</v>
      </c>
      <c r="B1555" s="188" t="s">
        <v>104</v>
      </c>
      <c r="C1555" s="188" t="s">
        <v>665</v>
      </c>
      <c r="D1555" s="188" t="s">
        <v>666</v>
      </c>
      <c r="E1555" s="4">
        <v>0</v>
      </c>
      <c r="F1555" s="5">
        <v>17702.46</v>
      </c>
      <c r="G1555" s="4">
        <v>3717.52</v>
      </c>
      <c r="H1555" s="4">
        <v>21419.98</v>
      </c>
      <c r="I1555" s="188" t="str">
        <f>VLOOKUP(C1555,CATEGORIZACION!$A$1:$C$269,2,FALSE)</f>
        <v>PROOVEDORES</v>
      </c>
      <c r="J1555" s="188" t="str">
        <f>VLOOKUP(C1555,CATEGORIZACION!$A$1:$C$269,3,FALSE)</f>
        <v>LOGISTICA</v>
      </c>
    </row>
    <row r="1556" spans="1:10" ht="15.75" customHeight="1" x14ac:dyDescent="0.25">
      <c r="A1556" s="1">
        <v>45169</v>
      </c>
      <c r="B1556" s="188" t="s">
        <v>1542</v>
      </c>
      <c r="C1556" s="188" t="s">
        <v>21</v>
      </c>
      <c r="D1556" s="188" t="s">
        <v>22</v>
      </c>
      <c r="E1556" s="4">
        <v>2480</v>
      </c>
      <c r="F1556" s="5">
        <v>73800</v>
      </c>
      <c r="G1556" s="4">
        <v>15498</v>
      </c>
      <c r="H1556" s="4">
        <v>91778</v>
      </c>
      <c r="I1556" s="188" t="str">
        <f>VLOOKUP(C1556,CATEGORIZACION!$A$1:$C$269,2,FALSE)</f>
        <v>TRANSPORTE</v>
      </c>
      <c r="J1556" s="188" t="s">
        <v>19</v>
      </c>
    </row>
    <row r="1557" spans="1:10" ht="15.75" customHeight="1" x14ac:dyDescent="0.25">
      <c r="A1557" s="1">
        <v>45169</v>
      </c>
      <c r="B1557" s="188" t="s">
        <v>1543</v>
      </c>
      <c r="C1557" s="188" t="s">
        <v>21</v>
      </c>
      <c r="D1557" s="188" t="s">
        <v>22</v>
      </c>
      <c r="E1557" s="4">
        <v>19200</v>
      </c>
      <c r="F1557" s="5">
        <v>271900</v>
      </c>
      <c r="G1557" s="4">
        <v>57099</v>
      </c>
      <c r="H1557" s="4">
        <v>348199</v>
      </c>
      <c r="I1557" s="188" t="str">
        <f>VLOOKUP(C1557,CATEGORIZACION!$A$1:$C$269,2,FALSE)</f>
        <v>TRANSPORTE</v>
      </c>
      <c r="J1557" s="188" t="s">
        <v>19</v>
      </c>
    </row>
    <row r="1558" spans="1:10" ht="15.75" customHeight="1" x14ac:dyDescent="0.25">
      <c r="A1558" s="1">
        <v>45169</v>
      </c>
      <c r="B1558" s="188" t="s">
        <v>1544</v>
      </c>
      <c r="C1558" s="188" t="s">
        <v>21</v>
      </c>
      <c r="D1558" s="188" t="s">
        <v>22</v>
      </c>
      <c r="E1558" s="4">
        <v>16000</v>
      </c>
      <c r="F1558" s="5">
        <v>241400</v>
      </c>
      <c r="G1558" s="4">
        <v>50694</v>
      </c>
      <c r="H1558" s="4">
        <v>308094</v>
      </c>
      <c r="I1558" s="188" t="str">
        <f>VLOOKUP(C1558,CATEGORIZACION!$A$1:$C$269,2,FALSE)</f>
        <v>TRANSPORTE</v>
      </c>
      <c r="J1558" s="188" t="s">
        <v>19</v>
      </c>
    </row>
    <row r="1559" spans="1:10" ht="15.75" customHeight="1" x14ac:dyDescent="0.25">
      <c r="A1559" s="1">
        <v>45169</v>
      </c>
      <c r="B1559" s="188" t="s">
        <v>1545</v>
      </c>
      <c r="C1559" s="188" t="s">
        <v>21</v>
      </c>
      <c r="D1559" s="188" t="s">
        <v>22</v>
      </c>
      <c r="E1559" s="4">
        <v>37680</v>
      </c>
      <c r="F1559" s="5">
        <v>699600</v>
      </c>
      <c r="G1559" s="4">
        <v>146916</v>
      </c>
      <c r="H1559" s="4">
        <v>884196</v>
      </c>
      <c r="I1559" s="188" t="str">
        <f>VLOOKUP(C1559,CATEGORIZACION!$A$1:$C$269,2,FALSE)</f>
        <v>TRANSPORTE</v>
      </c>
      <c r="J1559" s="188" t="s">
        <v>19</v>
      </c>
    </row>
    <row r="1560" spans="1:10" ht="15.75" customHeight="1" x14ac:dyDescent="0.25">
      <c r="A1560" s="1">
        <v>45169</v>
      </c>
      <c r="B1560" s="188" t="s">
        <v>1546</v>
      </c>
      <c r="C1560" s="188" t="s">
        <v>21</v>
      </c>
      <c r="D1560" s="188" t="s">
        <v>22</v>
      </c>
      <c r="E1560" s="4">
        <v>37680</v>
      </c>
      <c r="F1560" s="5">
        <v>699600</v>
      </c>
      <c r="G1560" s="4">
        <v>146916</v>
      </c>
      <c r="H1560" s="4">
        <v>884196</v>
      </c>
      <c r="I1560" s="188" t="str">
        <f>VLOOKUP(C1560,CATEGORIZACION!$A$1:$C$269,2,FALSE)</f>
        <v>TRANSPORTE</v>
      </c>
      <c r="J1560" s="188" t="s">
        <v>19</v>
      </c>
    </row>
    <row r="1561" spans="1:10" ht="15.75" customHeight="1" x14ac:dyDescent="0.25">
      <c r="A1561" s="1">
        <v>45169</v>
      </c>
      <c r="B1561" s="188" t="s">
        <v>1547</v>
      </c>
      <c r="C1561" s="188" t="s">
        <v>21</v>
      </c>
      <c r="D1561" s="188" t="s">
        <v>22</v>
      </c>
      <c r="E1561" s="4">
        <v>37680</v>
      </c>
      <c r="F1561" s="5">
        <v>699600</v>
      </c>
      <c r="G1561" s="4">
        <v>146916</v>
      </c>
      <c r="H1561" s="4">
        <v>884196</v>
      </c>
      <c r="I1561" s="188" t="str">
        <f>VLOOKUP(C1561,CATEGORIZACION!$A$1:$C$269,2,FALSE)</f>
        <v>TRANSPORTE</v>
      </c>
      <c r="J1561" s="188" t="s">
        <v>19</v>
      </c>
    </row>
    <row r="1562" spans="1:10" ht="15.75" customHeight="1" x14ac:dyDescent="0.25">
      <c r="A1562" s="1">
        <v>45169</v>
      </c>
      <c r="B1562" s="188" t="s">
        <v>1548</v>
      </c>
      <c r="C1562" s="188" t="s">
        <v>36</v>
      </c>
      <c r="D1562" s="188" t="s">
        <v>37</v>
      </c>
      <c r="E1562" s="4">
        <v>9200</v>
      </c>
      <c r="F1562" s="5">
        <v>168700</v>
      </c>
      <c r="G1562" s="4">
        <v>35427</v>
      </c>
      <c r="H1562" s="4">
        <v>213327</v>
      </c>
      <c r="I1562" s="188" t="str">
        <f>VLOOKUP(C1562,CATEGORIZACION!$A$1:$C$269,2,FALSE)</f>
        <v>TRANSPORTE</v>
      </c>
      <c r="J1562" s="188" t="s">
        <v>19</v>
      </c>
    </row>
    <row r="1563" spans="1:10" ht="15.75" customHeight="1" x14ac:dyDescent="0.25">
      <c r="A1563" s="1">
        <v>45169</v>
      </c>
      <c r="B1563" s="188" t="s">
        <v>1549</v>
      </c>
      <c r="C1563" s="188" t="s">
        <v>36</v>
      </c>
      <c r="D1563" s="188" t="s">
        <v>37</v>
      </c>
      <c r="E1563" s="4">
        <v>15000</v>
      </c>
      <c r="F1563" s="5">
        <v>162600</v>
      </c>
      <c r="G1563" s="4">
        <v>34146</v>
      </c>
      <c r="H1563" s="4">
        <v>211746</v>
      </c>
      <c r="I1563" s="188" t="str">
        <f>VLOOKUP(C1563,CATEGORIZACION!$A$1:$C$269,2,FALSE)</f>
        <v>TRANSPORTE</v>
      </c>
      <c r="J1563" s="188" t="s">
        <v>19</v>
      </c>
    </row>
    <row r="1564" spans="1:10" ht="15.75" customHeight="1" x14ac:dyDescent="0.25">
      <c r="A1564" s="1">
        <v>45169</v>
      </c>
      <c r="B1564" s="188" t="s">
        <v>1550</v>
      </c>
      <c r="C1564" s="188" t="s">
        <v>36</v>
      </c>
      <c r="D1564" s="188" t="s">
        <v>37</v>
      </c>
      <c r="E1564" s="4">
        <v>9200</v>
      </c>
      <c r="F1564" s="5">
        <v>69600</v>
      </c>
      <c r="G1564" s="4">
        <v>14616</v>
      </c>
      <c r="H1564" s="4">
        <v>93416</v>
      </c>
      <c r="I1564" s="188" t="str">
        <f>VLOOKUP(C1564,CATEGORIZACION!$A$1:$C$269,2,FALSE)</f>
        <v>TRANSPORTE</v>
      </c>
      <c r="J1564" s="188" t="s">
        <v>19</v>
      </c>
    </row>
    <row r="1565" spans="1:10" ht="15.75" customHeight="1" x14ac:dyDescent="0.25">
      <c r="A1565" s="1">
        <v>45169</v>
      </c>
      <c r="B1565" s="188" t="s">
        <v>1551</v>
      </c>
      <c r="C1565" s="188" t="s">
        <v>36</v>
      </c>
      <c r="D1565" s="188" t="s">
        <v>37</v>
      </c>
      <c r="E1565" s="4">
        <v>9200</v>
      </c>
      <c r="F1565" s="5">
        <v>69600</v>
      </c>
      <c r="G1565" s="4">
        <v>14616</v>
      </c>
      <c r="H1565" s="4">
        <v>93416</v>
      </c>
      <c r="I1565" s="188" t="str">
        <f>VLOOKUP(C1565,CATEGORIZACION!$A$1:$C$269,2,FALSE)</f>
        <v>TRANSPORTE</v>
      </c>
      <c r="J1565" s="188" t="s">
        <v>19</v>
      </c>
    </row>
    <row r="1566" spans="1:10" ht="15.75" customHeight="1" x14ac:dyDescent="0.25">
      <c r="A1566" s="1">
        <v>45169</v>
      </c>
      <c r="B1566" s="188" t="s">
        <v>1552</v>
      </c>
      <c r="C1566" s="188" t="s">
        <v>36</v>
      </c>
      <c r="D1566" s="188" t="s">
        <v>37</v>
      </c>
      <c r="E1566" s="4">
        <v>12500</v>
      </c>
      <c r="F1566" s="5">
        <v>119760</v>
      </c>
      <c r="G1566" s="4">
        <v>25149.599999999999</v>
      </c>
      <c r="H1566" s="4">
        <v>157409.60000000001</v>
      </c>
      <c r="I1566" s="188" t="str">
        <f>VLOOKUP(C1566,CATEGORIZACION!$A$1:$C$269,2,FALSE)</f>
        <v>TRANSPORTE</v>
      </c>
      <c r="J1566" s="188" t="s">
        <v>19</v>
      </c>
    </row>
    <row r="1567" spans="1:10" ht="15.75" customHeight="1" x14ac:dyDescent="0.25">
      <c r="A1567" s="1">
        <v>45169</v>
      </c>
      <c r="B1567" s="188" t="s">
        <v>1553</v>
      </c>
      <c r="C1567" s="188" t="s">
        <v>36</v>
      </c>
      <c r="D1567" s="188" t="s">
        <v>37</v>
      </c>
      <c r="E1567" s="4">
        <v>16500</v>
      </c>
      <c r="F1567" s="5">
        <v>339720</v>
      </c>
      <c r="G1567" s="4">
        <v>71341.2</v>
      </c>
      <c r="H1567" s="4">
        <v>427561.2</v>
      </c>
      <c r="I1567" s="188" t="str">
        <f>VLOOKUP(C1567,CATEGORIZACION!$A$1:$C$269,2,FALSE)</f>
        <v>TRANSPORTE</v>
      </c>
      <c r="J1567" s="188" t="s">
        <v>19</v>
      </c>
    </row>
    <row r="1568" spans="1:10" ht="15.75" customHeight="1" x14ac:dyDescent="0.25">
      <c r="A1568" s="1">
        <v>45169</v>
      </c>
      <c r="B1568" s="188" t="s">
        <v>1554</v>
      </c>
      <c r="C1568" s="188" t="s">
        <v>36</v>
      </c>
      <c r="D1568" s="188" t="s">
        <v>37</v>
      </c>
      <c r="E1568" s="4">
        <v>12500</v>
      </c>
      <c r="F1568" s="5">
        <v>171360</v>
      </c>
      <c r="G1568" s="4">
        <v>35985.599999999999</v>
      </c>
      <c r="H1568" s="4">
        <v>219845.6</v>
      </c>
      <c r="I1568" s="188" t="str">
        <f>VLOOKUP(C1568,CATEGORIZACION!$A$1:$C$269,2,FALSE)</f>
        <v>TRANSPORTE</v>
      </c>
      <c r="J1568" s="188" t="s">
        <v>19</v>
      </c>
    </row>
    <row r="1569" spans="1:10" ht="15.75" customHeight="1" x14ac:dyDescent="0.25">
      <c r="A1569" s="1">
        <v>45169</v>
      </c>
      <c r="B1569" s="188" t="s">
        <v>1555</v>
      </c>
      <c r="C1569" s="188" t="s">
        <v>36</v>
      </c>
      <c r="D1569" s="188" t="s">
        <v>37</v>
      </c>
      <c r="E1569" s="4">
        <v>12500</v>
      </c>
      <c r="F1569" s="5">
        <v>171360</v>
      </c>
      <c r="G1569" s="4">
        <v>35985.599999999999</v>
      </c>
      <c r="H1569" s="4">
        <v>219845.6</v>
      </c>
      <c r="I1569" s="188" t="str">
        <f>VLOOKUP(C1569,CATEGORIZACION!$A$1:$C$269,2,FALSE)</f>
        <v>TRANSPORTE</v>
      </c>
      <c r="J1569" s="188" t="s">
        <v>19</v>
      </c>
    </row>
    <row r="1570" spans="1:10" ht="15.75" customHeight="1" x14ac:dyDescent="0.25">
      <c r="A1570" s="1">
        <v>45169</v>
      </c>
      <c r="B1570" s="188" t="s">
        <v>1556</v>
      </c>
      <c r="C1570" s="188" t="s">
        <v>36</v>
      </c>
      <c r="D1570" s="188" t="s">
        <v>37</v>
      </c>
      <c r="E1570" s="4">
        <v>10500</v>
      </c>
      <c r="F1570" s="5">
        <v>239520</v>
      </c>
      <c r="G1570" s="4">
        <v>50299.199999999997</v>
      </c>
      <c r="H1570" s="4">
        <v>300319.2</v>
      </c>
      <c r="I1570" s="188" t="str">
        <f>VLOOKUP(C1570,CATEGORIZACION!$A$1:$C$269,2,FALSE)</f>
        <v>TRANSPORTE</v>
      </c>
      <c r="J1570" s="188" t="s">
        <v>19</v>
      </c>
    </row>
    <row r="1571" spans="1:10" ht="15.75" customHeight="1" x14ac:dyDescent="0.25">
      <c r="A1571" s="1">
        <v>45169</v>
      </c>
      <c r="B1571" s="188" t="s">
        <v>1557</v>
      </c>
      <c r="C1571" s="188" t="s">
        <v>36</v>
      </c>
      <c r="D1571" s="188" t="s">
        <v>37</v>
      </c>
      <c r="E1571" s="4">
        <v>5000</v>
      </c>
      <c r="F1571" s="5">
        <v>210800</v>
      </c>
      <c r="G1571" s="4">
        <v>44268</v>
      </c>
      <c r="H1571" s="4">
        <v>260068</v>
      </c>
      <c r="I1571" s="188" t="str">
        <f>VLOOKUP(C1571,CATEGORIZACION!$A$1:$C$269,2,FALSE)</f>
        <v>TRANSPORTE</v>
      </c>
      <c r="J1571" s="188" t="s">
        <v>19</v>
      </c>
    </row>
    <row r="1572" spans="1:10" ht="15.75" customHeight="1" x14ac:dyDescent="0.25">
      <c r="A1572" s="1">
        <v>45169</v>
      </c>
      <c r="B1572" s="188" t="s">
        <v>1558</v>
      </c>
      <c r="C1572" s="188" t="s">
        <v>36</v>
      </c>
      <c r="D1572" s="188" t="s">
        <v>37</v>
      </c>
      <c r="E1572" s="4">
        <v>5000</v>
      </c>
      <c r="F1572" s="5">
        <v>173800</v>
      </c>
      <c r="G1572" s="4">
        <v>36498</v>
      </c>
      <c r="H1572" s="4">
        <v>215298</v>
      </c>
      <c r="I1572" s="188" t="str">
        <f>VLOOKUP(C1572,CATEGORIZACION!$A$1:$C$269,2,FALSE)</f>
        <v>TRANSPORTE</v>
      </c>
      <c r="J1572" s="188" t="s">
        <v>19</v>
      </c>
    </row>
    <row r="1573" spans="1:10" ht="15.75" customHeight="1" x14ac:dyDescent="0.25">
      <c r="A1573" s="1">
        <v>45169</v>
      </c>
      <c r="B1573" s="188" t="s">
        <v>1559</v>
      </c>
      <c r="C1573" s="188" t="s">
        <v>36</v>
      </c>
      <c r="D1573" s="188" t="s">
        <v>37</v>
      </c>
      <c r="E1573" s="4">
        <v>5000</v>
      </c>
      <c r="F1573" s="5">
        <v>173800</v>
      </c>
      <c r="G1573" s="4">
        <v>36498</v>
      </c>
      <c r="H1573" s="4">
        <v>215298</v>
      </c>
      <c r="I1573" s="188" t="str">
        <f>VLOOKUP(C1573,CATEGORIZACION!$A$1:$C$269,2,FALSE)</f>
        <v>TRANSPORTE</v>
      </c>
      <c r="J1573" s="188" t="s">
        <v>19</v>
      </c>
    </row>
    <row r="1574" spans="1:10" ht="15.75" customHeight="1" x14ac:dyDescent="0.25">
      <c r="A1574" s="1">
        <v>45169</v>
      </c>
      <c r="B1574" s="188" t="s">
        <v>82</v>
      </c>
      <c r="C1574" s="188" t="s">
        <v>188</v>
      </c>
      <c r="D1574" s="188">
        <v>0</v>
      </c>
      <c r="E1574" s="4">
        <v>0</v>
      </c>
      <c r="F1574" s="3">
        <v>1369800</v>
      </c>
      <c r="G1574" s="4">
        <v>0</v>
      </c>
      <c r="H1574" s="4">
        <v>0</v>
      </c>
      <c r="I1574" s="188" t="str">
        <f>VLOOKUP(C1574,CATEGORIZACION!$A$1:$C$269,2,FALSE)</f>
        <v>SUELDOS</v>
      </c>
      <c r="J1574" s="188" t="s">
        <v>103</v>
      </c>
    </row>
    <row r="1575" spans="1:10" ht="15.75" customHeight="1" x14ac:dyDescent="0.25">
      <c r="A1575" s="1">
        <v>45169</v>
      </c>
      <c r="B1575" s="188" t="s">
        <v>82</v>
      </c>
      <c r="C1575" s="188" t="s">
        <v>189</v>
      </c>
      <c r="D1575" s="188">
        <v>0</v>
      </c>
      <c r="E1575" s="4">
        <v>0</v>
      </c>
      <c r="F1575" s="3">
        <v>381700</v>
      </c>
      <c r="G1575" s="4">
        <v>0</v>
      </c>
      <c r="H1575" s="4">
        <v>0</v>
      </c>
      <c r="I1575" s="188" t="str">
        <f>VLOOKUP(C1575,CATEGORIZACION!$A$1:$C$269,2,FALSE)</f>
        <v>SUELDOS</v>
      </c>
      <c r="J1575" s="188" t="s">
        <v>103</v>
      </c>
    </row>
    <row r="1576" spans="1:10" ht="15.75" customHeight="1" x14ac:dyDescent="0.25">
      <c r="A1576" s="1">
        <v>45169</v>
      </c>
      <c r="B1576" s="188" t="s">
        <v>82</v>
      </c>
      <c r="C1576" s="188" t="s">
        <v>1114</v>
      </c>
      <c r="D1576" s="188">
        <v>0</v>
      </c>
      <c r="E1576" s="4">
        <v>0</v>
      </c>
      <c r="F1576" s="3">
        <v>0</v>
      </c>
      <c r="G1576" s="4">
        <v>0</v>
      </c>
      <c r="H1576" s="4">
        <v>0</v>
      </c>
      <c r="I1576" s="188" t="str">
        <f>VLOOKUP(C1576,CATEGORIZACION!$A$1:$C$269,2,FALSE)</f>
        <v>SUELDOS</v>
      </c>
      <c r="J1576" s="188" t="s">
        <v>103</v>
      </c>
    </row>
    <row r="1577" spans="1:10" ht="15.75" customHeight="1" x14ac:dyDescent="0.25">
      <c r="A1577" s="1">
        <v>45169</v>
      </c>
      <c r="B1577" s="188" t="s">
        <v>82</v>
      </c>
      <c r="C1577" s="188" t="s">
        <v>1115</v>
      </c>
      <c r="D1577" s="188">
        <v>0</v>
      </c>
      <c r="E1577" s="4">
        <v>0</v>
      </c>
      <c r="F1577" s="5">
        <v>0</v>
      </c>
      <c r="G1577" s="4">
        <v>0</v>
      </c>
      <c r="H1577" s="4">
        <v>0</v>
      </c>
      <c r="I1577" s="188" t="str">
        <f>VLOOKUP(C1577,CATEGORIZACION!$A$1:$C$269,2,FALSE)</f>
        <v>SUELDOS</v>
      </c>
      <c r="J1577" s="188" t="s">
        <v>19</v>
      </c>
    </row>
    <row r="1578" spans="1:10" ht="15.75" customHeight="1" x14ac:dyDescent="0.25">
      <c r="A1578" s="1">
        <v>45169</v>
      </c>
      <c r="B1578" s="188" t="s">
        <v>82</v>
      </c>
      <c r="C1578" s="188" t="s">
        <v>190</v>
      </c>
      <c r="D1578" s="188">
        <v>0</v>
      </c>
      <c r="E1578" s="4">
        <v>0</v>
      </c>
      <c r="F1578" s="5">
        <v>2750130</v>
      </c>
      <c r="G1578" s="4">
        <v>0</v>
      </c>
      <c r="H1578" s="4">
        <v>0</v>
      </c>
      <c r="I1578" s="188" t="str">
        <f>VLOOKUP(C1578,CATEGORIZACION!$A$1:$C$269,2,FALSE)</f>
        <v>SUELDOS</v>
      </c>
      <c r="J1578" s="188" t="s">
        <v>19</v>
      </c>
    </row>
    <row r="1579" spans="1:10" ht="15.75" customHeight="1" x14ac:dyDescent="0.25">
      <c r="A1579" s="1">
        <v>45169</v>
      </c>
      <c r="B1579" s="188" t="s">
        <v>82</v>
      </c>
      <c r="C1579" s="188" t="s">
        <v>191</v>
      </c>
      <c r="D1579" s="188">
        <v>0</v>
      </c>
      <c r="E1579" s="4">
        <v>0</v>
      </c>
      <c r="F1579" s="5">
        <v>1322540</v>
      </c>
      <c r="G1579" s="4">
        <v>0</v>
      </c>
      <c r="H1579" s="4">
        <v>0</v>
      </c>
      <c r="I1579" s="188" t="str">
        <f>VLOOKUP(C1579,CATEGORIZACION!$A$1:$C$269,2,FALSE)</f>
        <v>SUELDOS</v>
      </c>
      <c r="J1579" s="188" t="s">
        <v>19</v>
      </c>
    </row>
    <row r="1580" spans="1:10" ht="15.75" customHeight="1" x14ac:dyDescent="0.25">
      <c r="A1580" s="1">
        <v>45169</v>
      </c>
      <c r="B1580" s="188" t="s">
        <v>82</v>
      </c>
      <c r="C1580" s="188" t="s">
        <v>192</v>
      </c>
      <c r="D1580" s="188">
        <v>0</v>
      </c>
      <c r="E1580" s="4">
        <v>0</v>
      </c>
      <c r="F1580" s="3">
        <v>0</v>
      </c>
      <c r="G1580" s="4">
        <v>0</v>
      </c>
      <c r="H1580" s="4">
        <v>0</v>
      </c>
      <c r="I1580" s="188" t="str">
        <f>VLOOKUP(C1580,CATEGORIZACION!$A$1:$C$269,2,FALSE)</f>
        <v>SUELDOS</v>
      </c>
      <c r="J1580" s="188" t="s">
        <v>103</v>
      </c>
    </row>
    <row r="1581" spans="1:10" ht="15.75" customHeight="1" x14ac:dyDescent="0.25">
      <c r="A1581" s="1">
        <v>45169</v>
      </c>
      <c r="B1581" s="188" t="s">
        <v>82</v>
      </c>
      <c r="C1581" s="188" t="s">
        <v>193</v>
      </c>
      <c r="D1581" s="188">
        <v>0</v>
      </c>
      <c r="E1581" s="4">
        <v>0</v>
      </c>
      <c r="F1581" s="5">
        <v>0</v>
      </c>
      <c r="G1581" s="4">
        <v>0</v>
      </c>
      <c r="H1581" s="4">
        <v>0</v>
      </c>
      <c r="I1581" s="188" t="str">
        <f>VLOOKUP(C1581,CATEGORIZACION!$A$1:$C$269,2,FALSE)</f>
        <v>SUELDOS</v>
      </c>
      <c r="J1581" s="188" t="s">
        <v>19</v>
      </c>
    </row>
    <row r="1582" spans="1:10" ht="15.75" customHeight="1" x14ac:dyDescent="0.25">
      <c r="A1582" s="1">
        <v>45169</v>
      </c>
      <c r="B1582" s="188" t="s">
        <v>82</v>
      </c>
      <c r="C1582" s="188" t="s">
        <v>194</v>
      </c>
      <c r="D1582" s="188">
        <v>0</v>
      </c>
      <c r="E1582" s="4">
        <v>0</v>
      </c>
      <c r="F1582" s="3">
        <v>1400000</v>
      </c>
      <c r="G1582" s="4">
        <v>0</v>
      </c>
      <c r="H1582" s="4">
        <v>0</v>
      </c>
      <c r="I1582" s="188" t="str">
        <f>VLOOKUP(C1582,CATEGORIZACION!$A$1:$C$269,2,FALSE)</f>
        <v>ALQUILER</v>
      </c>
      <c r="J1582" s="188" t="s">
        <v>103</v>
      </c>
    </row>
    <row r="1583" spans="1:10" ht="15.75" customHeight="1" x14ac:dyDescent="0.25">
      <c r="A1583" s="1">
        <v>45169</v>
      </c>
      <c r="B1583" s="188" t="s">
        <v>82</v>
      </c>
      <c r="C1583" s="188" t="s">
        <v>195</v>
      </c>
      <c r="D1583" s="188">
        <v>0</v>
      </c>
      <c r="E1583" s="4">
        <v>0</v>
      </c>
      <c r="F1583" s="3">
        <v>760438</v>
      </c>
      <c r="G1583" s="4">
        <v>0</v>
      </c>
      <c r="H1583" s="4">
        <v>0</v>
      </c>
      <c r="I1583" s="188" t="str">
        <f>VLOOKUP(C1583,CATEGORIZACION!$A$1:$C$269,2,FALSE)</f>
        <v>ALQUILER</v>
      </c>
      <c r="J1583" s="188" t="s">
        <v>103</v>
      </c>
    </row>
    <row r="1584" spans="1:10" ht="15.75" customHeight="1" x14ac:dyDescent="0.25">
      <c r="A1584" s="1">
        <v>45169</v>
      </c>
      <c r="B1584" s="188" t="s">
        <v>82</v>
      </c>
      <c r="C1584" s="188" t="s">
        <v>196</v>
      </c>
      <c r="D1584" s="188">
        <v>0</v>
      </c>
      <c r="E1584" s="4">
        <v>0</v>
      </c>
      <c r="F1584" s="3">
        <v>330461</v>
      </c>
      <c r="G1584" s="4">
        <v>0</v>
      </c>
      <c r="H1584" s="4">
        <v>0</v>
      </c>
      <c r="I1584" s="188" t="str">
        <f>VLOOKUP(C1584,CATEGORIZACION!$A$1:$C$269,2,FALSE)</f>
        <v>ALQUILER</v>
      </c>
      <c r="J1584" s="188" t="s">
        <v>103</v>
      </c>
    </row>
    <row r="1585" spans="1:10" ht="15.75" customHeight="1" x14ac:dyDescent="0.25">
      <c r="A1585" s="1">
        <v>45169</v>
      </c>
      <c r="B1585" s="188" t="s">
        <v>82</v>
      </c>
      <c r="C1585" s="188" t="s">
        <v>197</v>
      </c>
      <c r="D1585" s="188">
        <v>0</v>
      </c>
      <c r="E1585" s="4">
        <v>0</v>
      </c>
      <c r="F1585" s="3">
        <v>73063</v>
      </c>
      <c r="G1585" s="4">
        <v>0</v>
      </c>
      <c r="H1585" s="4">
        <v>0</v>
      </c>
      <c r="I1585" s="188" t="str">
        <f>VLOOKUP(C1585,CATEGORIZACION!$A$1:$C$269,2,FALSE)</f>
        <v>ALQUILER</v>
      </c>
      <c r="J1585" s="188" t="s">
        <v>103</v>
      </c>
    </row>
    <row r="1586" spans="1:10" ht="15.75" customHeight="1" x14ac:dyDescent="0.25">
      <c r="A1586" s="1">
        <v>45169</v>
      </c>
      <c r="B1586" s="188" t="s">
        <v>82</v>
      </c>
      <c r="C1586" s="188" t="s">
        <v>198</v>
      </c>
      <c r="D1586" s="188">
        <v>0</v>
      </c>
      <c r="E1586" s="4">
        <v>0</v>
      </c>
      <c r="F1586" s="5">
        <v>330000</v>
      </c>
      <c r="G1586" s="4">
        <v>0</v>
      </c>
      <c r="H1586" s="4">
        <v>0</v>
      </c>
      <c r="I1586" s="188" t="str">
        <f>VLOOKUP(C1586,CATEGORIZACION!$A$1:$C$269,2,FALSE)</f>
        <v>ALQUILER</v>
      </c>
      <c r="J1586" s="188" t="s">
        <v>19</v>
      </c>
    </row>
    <row r="1587" spans="1:10" ht="15.75" customHeight="1" x14ac:dyDescent="0.25">
      <c r="A1587" s="1">
        <v>45169</v>
      </c>
      <c r="B1587" s="188" t="s">
        <v>82</v>
      </c>
      <c r="C1587" s="188" t="s">
        <v>199</v>
      </c>
      <c r="D1587" s="188">
        <v>0</v>
      </c>
      <c r="E1587" s="4">
        <v>0</v>
      </c>
      <c r="F1587" s="3">
        <v>10500</v>
      </c>
      <c r="G1587" s="4">
        <v>0</v>
      </c>
      <c r="H1587" s="4">
        <v>0</v>
      </c>
      <c r="I1587" s="188" t="str">
        <f>VLOOKUP(C1587,CATEGORIZACION!$A$1:$C$269,2,FALSE)</f>
        <v>PROOVEDORES</v>
      </c>
      <c r="J1587" s="188" t="str">
        <f>VLOOKUP(C1587,CATEGORIZACION!$A$1:$C$269,3,FALSE)</f>
        <v>DEPOSITO</v>
      </c>
    </row>
    <row r="1588" spans="1:10" ht="15.75" customHeight="1" x14ac:dyDescent="0.25">
      <c r="A1588" s="1">
        <v>45169</v>
      </c>
      <c r="B1588" s="188" t="s">
        <v>82</v>
      </c>
      <c r="C1588" s="188" t="s">
        <v>200</v>
      </c>
      <c r="D1588" s="188">
        <v>0</v>
      </c>
      <c r="E1588" s="4">
        <v>0</v>
      </c>
      <c r="F1588" s="5">
        <v>262699</v>
      </c>
      <c r="G1588" s="4">
        <v>0</v>
      </c>
      <c r="H1588" s="4">
        <v>0</v>
      </c>
      <c r="I1588" s="188" t="str">
        <f>VLOOKUP(C1588,CATEGORIZACION!$A$1:$C$269,2,FALSE)</f>
        <v>PROOVEDORES</v>
      </c>
      <c r="J1588" s="188" t="str">
        <f>VLOOKUP(C1588,CATEGORIZACION!$A$1:$C$269,3,FALSE)</f>
        <v>LOGISTICA</v>
      </c>
    </row>
    <row r="1589" spans="1:10" ht="15.75" customHeight="1" x14ac:dyDescent="0.25">
      <c r="A1589" s="1">
        <v>45169</v>
      </c>
      <c r="B1589" s="188" t="s">
        <v>82</v>
      </c>
      <c r="C1589" s="188" t="s">
        <v>1116</v>
      </c>
      <c r="D1589" s="188">
        <v>0</v>
      </c>
      <c r="E1589" s="4">
        <v>0</v>
      </c>
      <c r="F1589" s="5">
        <v>0</v>
      </c>
      <c r="G1589" s="4">
        <v>0</v>
      </c>
      <c r="H1589" s="4">
        <v>0</v>
      </c>
      <c r="I1589" s="188" t="str">
        <f>VLOOKUP(C1589,CATEGORIZACION!$A$1:$C$269,2,FALSE)</f>
        <v>PROOVEDORES</v>
      </c>
      <c r="J1589" s="188" t="str">
        <f>VLOOKUP(C1589,CATEGORIZACION!$A$1:$C$269,3,FALSE)</f>
        <v>LOGISTICA</v>
      </c>
    </row>
    <row r="1590" spans="1:10" ht="15.75" customHeight="1" x14ac:dyDescent="0.25">
      <c r="A1590" s="1">
        <v>45169</v>
      </c>
      <c r="B1590" s="188" t="s">
        <v>82</v>
      </c>
      <c r="C1590" s="188" t="s">
        <v>1117</v>
      </c>
      <c r="D1590" s="188">
        <v>0</v>
      </c>
      <c r="E1590" s="4">
        <v>0</v>
      </c>
      <c r="F1590" s="5">
        <v>0</v>
      </c>
      <c r="G1590" s="4">
        <v>0</v>
      </c>
      <c r="H1590" s="4">
        <v>0</v>
      </c>
      <c r="I1590" s="188" t="str">
        <f>VLOOKUP(C1590,CATEGORIZACION!$A$1:$C$269,2,FALSE)</f>
        <v>PROOVEDORES</v>
      </c>
      <c r="J1590" s="188" t="str">
        <f>VLOOKUP(C1590,CATEGORIZACION!$A$1:$C$269,3,FALSE)</f>
        <v>LOGISTICA</v>
      </c>
    </row>
    <row r="1591" spans="1:10" ht="15.75" customHeight="1" x14ac:dyDescent="0.25">
      <c r="A1591" s="1">
        <v>45169</v>
      </c>
      <c r="B1591" s="188" t="s">
        <v>82</v>
      </c>
      <c r="C1591" s="188" t="s">
        <v>363</v>
      </c>
      <c r="D1591" s="188">
        <v>0</v>
      </c>
      <c r="E1591" s="4">
        <v>0</v>
      </c>
      <c r="F1591" s="5">
        <v>0</v>
      </c>
      <c r="G1591" s="4">
        <v>0</v>
      </c>
      <c r="H1591" s="4">
        <v>0</v>
      </c>
      <c r="I1591" s="188" t="str">
        <f>VLOOKUP(C1591,CATEGORIZACION!$A$1:$C$269,2,FALSE)</f>
        <v>PROOVEDORES</v>
      </c>
      <c r="J1591" s="188" t="str">
        <f>VLOOKUP(C1591,CATEGORIZACION!$A$1:$C$269,3,FALSE)</f>
        <v>LOGISTICA</v>
      </c>
    </row>
    <row r="1592" spans="1:10" ht="15.75" customHeight="1" x14ac:dyDescent="0.25">
      <c r="A1592" s="1">
        <v>45169</v>
      </c>
      <c r="B1592" s="188" t="s">
        <v>82</v>
      </c>
      <c r="C1592" s="188" t="s">
        <v>204</v>
      </c>
      <c r="D1592" s="188">
        <v>0</v>
      </c>
      <c r="E1592" s="4">
        <v>0</v>
      </c>
      <c r="F1592" s="5">
        <v>610440</v>
      </c>
      <c r="G1592" s="4">
        <v>0</v>
      </c>
      <c r="H1592" s="4">
        <v>0</v>
      </c>
      <c r="I1592" s="188" t="str">
        <f>VLOOKUP(C1592,CATEGORIZACION!$A$1:$C$269,2,FALSE)</f>
        <v>PROOVEDORES</v>
      </c>
      <c r="J1592" s="188" t="str">
        <f>VLOOKUP(C1592,CATEGORIZACION!$A$1:$C$269,3,FALSE)</f>
        <v>LOGISTICA</v>
      </c>
    </row>
    <row r="1593" spans="1:10" ht="15.75" customHeight="1" x14ac:dyDescent="0.25">
      <c r="A1593" s="1">
        <v>45169</v>
      </c>
      <c r="B1593" s="188" t="s">
        <v>82</v>
      </c>
      <c r="C1593" s="188" t="s">
        <v>205</v>
      </c>
      <c r="D1593" s="188">
        <v>0</v>
      </c>
      <c r="E1593" s="4">
        <v>0</v>
      </c>
      <c r="F1593" s="5">
        <v>0</v>
      </c>
      <c r="G1593" s="4">
        <v>0</v>
      </c>
      <c r="H1593" s="4">
        <v>0</v>
      </c>
      <c r="I1593" s="188" t="str">
        <f>VLOOKUP(C1593,CATEGORIZACION!$A$1:$C$269,2,FALSE)</f>
        <v>AFIP</v>
      </c>
      <c r="J1593" s="188" t="s">
        <v>19</v>
      </c>
    </row>
    <row r="1594" spans="1:10" ht="15.75" customHeight="1" x14ac:dyDescent="0.25">
      <c r="A1594" s="1">
        <v>45169</v>
      </c>
      <c r="B1594" s="188" t="s">
        <v>82</v>
      </c>
      <c r="C1594" s="188" t="s">
        <v>690</v>
      </c>
      <c r="D1594" s="188">
        <v>0</v>
      </c>
      <c r="E1594" s="4">
        <v>0</v>
      </c>
      <c r="F1594" s="3">
        <v>623343.5</v>
      </c>
      <c r="G1594" s="4">
        <v>0</v>
      </c>
      <c r="H1594" s="4">
        <v>0</v>
      </c>
      <c r="I1594" s="188" t="str">
        <f>VLOOKUP(C1594,CATEGORIZACION!$A$1:$C$269,2,FALSE)</f>
        <v>AFIP</v>
      </c>
      <c r="J1594" s="188" t="s">
        <v>103</v>
      </c>
    </row>
    <row r="1595" spans="1:10" ht="15.75" customHeight="1" x14ac:dyDescent="0.25">
      <c r="A1595" s="1">
        <v>45169</v>
      </c>
      <c r="B1595" s="188" t="s">
        <v>82</v>
      </c>
      <c r="C1595" s="188" t="s">
        <v>206</v>
      </c>
      <c r="D1595" s="188">
        <v>0</v>
      </c>
      <c r="E1595" s="4">
        <v>0</v>
      </c>
      <c r="F1595" s="5">
        <v>623343.5</v>
      </c>
      <c r="G1595" s="4">
        <v>0</v>
      </c>
      <c r="H1595" s="4">
        <v>0</v>
      </c>
      <c r="I1595" s="188" t="str">
        <f>VLOOKUP(C1595,CATEGORIZACION!$A$1:$C$269,2,FALSE)</f>
        <v>AFIP</v>
      </c>
      <c r="J1595" s="188" t="s">
        <v>19</v>
      </c>
    </row>
    <row r="1596" spans="1:10" ht="15.75" customHeight="1" x14ac:dyDescent="0.25">
      <c r="A1596" s="1">
        <v>45169</v>
      </c>
      <c r="B1596" s="188" t="s">
        <v>82</v>
      </c>
      <c r="C1596" s="188" t="s">
        <v>207</v>
      </c>
      <c r="D1596" s="188">
        <v>0</v>
      </c>
      <c r="E1596" s="4">
        <v>0</v>
      </c>
      <c r="F1596" s="5">
        <v>897899.47</v>
      </c>
      <c r="G1596" s="4">
        <v>0</v>
      </c>
      <c r="H1596" s="4">
        <v>0</v>
      </c>
      <c r="I1596" s="188" t="str">
        <f>VLOOKUP(C1596,CATEGORIZACION!$A$1:$C$269,2,FALSE)</f>
        <v>AFIP</v>
      </c>
      <c r="J1596" s="188" t="s">
        <v>19</v>
      </c>
    </row>
    <row r="1597" spans="1:10" ht="15.75" customHeight="1" x14ac:dyDescent="0.25">
      <c r="A1597" s="1">
        <v>45169</v>
      </c>
      <c r="B1597" s="188" t="s">
        <v>82</v>
      </c>
      <c r="C1597" s="188" t="s">
        <v>208</v>
      </c>
      <c r="D1597" s="188">
        <v>0</v>
      </c>
      <c r="E1597" s="4">
        <v>0</v>
      </c>
      <c r="F1597" s="5">
        <v>2368021</v>
      </c>
      <c r="G1597" s="4">
        <v>0</v>
      </c>
      <c r="H1597" s="4">
        <v>0</v>
      </c>
      <c r="I1597" s="188" t="str">
        <f>VLOOKUP(C1597,CATEGORIZACION!$A$1:$C$269,2,FALSE)</f>
        <v>AFIP</v>
      </c>
      <c r="J1597" s="188" t="s">
        <v>19</v>
      </c>
    </row>
    <row r="1598" spans="1:10" ht="15.75" customHeight="1" x14ac:dyDescent="0.25">
      <c r="A1598" s="1">
        <v>45169</v>
      </c>
      <c r="B1598" s="188" t="s">
        <v>82</v>
      </c>
      <c r="C1598" s="188" t="s">
        <v>209</v>
      </c>
      <c r="D1598" s="188">
        <v>0</v>
      </c>
      <c r="E1598" s="4">
        <v>0</v>
      </c>
      <c r="F1598" s="5">
        <v>43559.77</v>
      </c>
      <c r="G1598" s="4">
        <v>0</v>
      </c>
      <c r="H1598" s="4">
        <v>0</v>
      </c>
      <c r="I1598" s="188" t="str">
        <f>VLOOKUP(C1598,CATEGORIZACION!$A$1:$C$269,2,FALSE)</f>
        <v>PROOVEDORES</v>
      </c>
      <c r="J1598" s="188" t="str">
        <f>VLOOKUP(C1598,CATEGORIZACION!$A$1:$C$269,3,FALSE)</f>
        <v>LOGISTICA</v>
      </c>
    </row>
    <row r="1599" spans="1:10" ht="15.75" customHeight="1" x14ac:dyDescent="0.25">
      <c r="A1599" s="1">
        <v>45169</v>
      </c>
      <c r="B1599" s="188" t="s">
        <v>82</v>
      </c>
      <c r="C1599" s="188" t="s">
        <v>210</v>
      </c>
      <c r="D1599" s="188">
        <v>0</v>
      </c>
      <c r="E1599" s="4">
        <v>0</v>
      </c>
      <c r="F1599" s="5">
        <v>242528</v>
      </c>
      <c r="G1599" s="4">
        <v>0</v>
      </c>
      <c r="H1599" s="4">
        <v>0</v>
      </c>
      <c r="I1599" s="188" t="str">
        <f>VLOOKUP(C1599,CATEGORIZACION!$A$1:$C$269,2,FALSE)</f>
        <v>PROOVEDORES</v>
      </c>
      <c r="J1599" s="188" t="str">
        <f>VLOOKUP(C1599,CATEGORIZACION!$A$1:$C$269,3,FALSE)</f>
        <v>LOGISTICA</v>
      </c>
    </row>
    <row r="1600" spans="1:10" ht="15.75" customHeight="1" x14ac:dyDescent="0.25">
      <c r="A1600" s="1">
        <v>45169</v>
      </c>
      <c r="B1600" s="188" t="s">
        <v>82</v>
      </c>
      <c r="C1600" s="188" t="s">
        <v>211</v>
      </c>
      <c r="D1600" s="188">
        <v>0</v>
      </c>
      <c r="E1600" s="4">
        <v>0</v>
      </c>
      <c r="F1600" s="5">
        <v>51312.36</v>
      </c>
      <c r="G1600" s="4">
        <v>0</v>
      </c>
      <c r="H1600" s="4">
        <v>0</v>
      </c>
      <c r="I1600" s="188" t="str">
        <f>VLOOKUP(C1600,CATEGORIZACION!$A$1:$C$269,2,FALSE)</f>
        <v>PROOVEDORES</v>
      </c>
      <c r="J1600" s="188" t="str">
        <f>VLOOKUP(C1600,CATEGORIZACION!$A$1:$C$269,3,FALSE)</f>
        <v>LOGISTICA</v>
      </c>
    </row>
    <row r="1601" spans="1:10" ht="15.75" customHeight="1" x14ac:dyDescent="0.25">
      <c r="A1601" s="1">
        <v>45169</v>
      </c>
      <c r="B1601" s="188" t="s">
        <v>82</v>
      </c>
      <c r="C1601" s="188" t="s">
        <v>212</v>
      </c>
      <c r="D1601" s="188">
        <v>0</v>
      </c>
      <c r="E1601" s="4">
        <v>0</v>
      </c>
      <c r="F1601" s="5">
        <v>8926.93</v>
      </c>
      <c r="G1601" s="4">
        <v>0</v>
      </c>
      <c r="H1601" s="4">
        <v>0</v>
      </c>
      <c r="I1601" s="188" t="str">
        <f>VLOOKUP(C1601,CATEGORIZACION!$A$1:$C$269,2,FALSE)</f>
        <v>PROOVEDORES</v>
      </c>
      <c r="J1601" s="188" t="str">
        <f>VLOOKUP(C1601,CATEGORIZACION!$A$1:$C$269,3,FALSE)</f>
        <v>LOGISTICA</v>
      </c>
    </row>
    <row r="1602" spans="1:10" ht="15.75" customHeight="1" x14ac:dyDescent="0.25">
      <c r="A1602" s="1">
        <v>45169</v>
      </c>
      <c r="B1602" s="188" t="s">
        <v>82</v>
      </c>
      <c r="C1602" s="188" t="s">
        <v>213</v>
      </c>
      <c r="D1602" s="188">
        <v>0</v>
      </c>
      <c r="E1602" s="4">
        <v>0</v>
      </c>
      <c r="F1602" s="5">
        <v>0</v>
      </c>
      <c r="G1602" s="4">
        <v>0</v>
      </c>
      <c r="H1602" s="4">
        <v>0</v>
      </c>
      <c r="I1602" s="188" t="str">
        <f>VLOOKUP(C1602,CATEGORIZACION!$A$1:$C$269,2,FALSE)</f>
        <v>AFIP</v>
      </c>
      <c r="J1602" s="188" t="s">
        <v>19</v>
      </c>
    </row>
    <row r="1603" spans="1:10" ht="15.75" customHeight="1" x14ac:dyDescent="0.25">
      <c r="A1603" s="1">
        <v>45169</v>
      </c>
      <c r="B1603" s="188" t="s">
        <v>82</v>
      </c>
      <c r="C1603" s="188" t="s">
        <v>1118</v>
      </c>
      <c r="D1603" s="188">
        <v>0</v>
      </c>
      <c r="E1603" s="4">
        <v>0</v>
      </c>
      <c r="F1603" s="5">
        <v>0</v>
      </c>
      <c r="G1603" s="4">
        <v>0</v>
      </c>
      <c r="H1603" s="4">
        <v>0</v>
      </c>
      <c r="I1603" s="188" t="str">
        <f>VLOOKUP(C1603,CATEGORIZACION!$A$1:$C$269,2,FALSE)</f>
        <v>AFIP</v>
      </c>
      <c r="J1603" s="188" t="s">
        <v>19</v>
      </c>
    </row>
    <row r="1604" spans="1:10" ht="15.75" customHeight="1" x14ac:dyDescent="0.25">
      <c r="A1604" s="1">
        <v>45169</v>
      </c>
      <c r="B1604" s="188" t="s">
        <v>82</v>
      </c>
      <c r="C1604" s="188" t="s">
        <v>1119</v>
      </c>
      <c r="D1604" s="188">
        <v>0</v>
      </c>
      <c r="E1604" s="4">
        <v>0</v>
      </c>
      <c r="F1604" s="5">
        <v>601225</v>
      </c>
      <c r="G1604" s="4">
        <v>0</v>
      </c>
      <c r="H1604" s="4">
        <v>0</v>
      </c>
      <c r="I1604" s="188" t="str">
        <f>VLOOKUP(C1604,CATEGORIZACION!$A$1:$C$269,2,FALSE)</f>
        <v>AFIP</v>
      </c>
      <c r="J1604" s="188" t="s">
        <v>19</v>
      </c>
    </row>
    <row r="1605" spans="1:10" ht="15.75" customHeight="1" x14ac:dyDescent="0.25">
      <c r="A1605" s="1">
        <v>45170</v>
      </c>
      <c r="B1605" s="188" t="s">
        <v>1560</v>
      </c>
      <c r="C1605" s="188" t="s">
        <v>441</v>
      </c>
      <c r="D1605" s="188" t="s">
        <v>442</v>
      </c>
      <c r="E1605" s="4">
        <v>0</v>
      </c>
      <c r="F1605" s="3">
        <v>661250</v>
      </c>
      <c r="G1605" s="4">
        <v>138862.5</v>
      </c>
      <c r="H1605" s="4">
        <v>800112.5</v>
      </c>
      <c r="I1605" s="188" t="str">
        <f>VLOOKUP(C1605,CATEGORIZACION!$A$1:$C$269,2,FALSE)</f>
        <v>ALQUILER</v>
      </c>
      <c r="J1605" s="188" t="s">
        <v>103</v>
      </c>
    </row>
    <row r="1606" spans="1:10" ht="15.75" customHeight="1" x14ac:dyDescent="0.25">
      <c r="A1606" s="1">
        <v>45170</v>
      </c>
      <c r="B1606" s="188" t="s">
        <v>1561</v>
      </c>
      <c r="C1606" s="188" t="s">
        <v>14</v>
      </c>
      <c r="D1606" s="188" t="s">
        <v>15</v>
      </c>
      <c r="E1606" s="4">
        <v>0</v>
      </c>
      <c r="F1606" s="3">
        <v>43860</v>
      </c>
      <c r="G1606" s="4">
        <v>9210.6</v>
      </c>
      <c r="H1606" s="4">
        <v>53070.6</v>
      </c>
      <c r="I1606" s="188" t="str">
        <f>VLOOKUP(C1606,CATEGORIZACION!$A$1:$C$269,2,FALSE)</f>
        <v>PROOVEDORES</v>
      </c>
      <c r="J1606" s="188" t="str">
        <f>VLOOKUP(C1606,CATEGORIZACION!$A$1:$C$269,3,FALSE)</f>
        <v>DEPOSITO</v>
      </c>
    </row>
    <row r="1607" spans="1:10" ht="15.75" customHeight="1" x14ac:dyDescent="0.25">
      <c r="A1607" s="1">
        <v>45170</v>
      </c>
      <c r="B1607" s="188" t="s">
        <v>1562</v>
      </c>
      <c r="C1607" s="188" t="s">
        <v>952</v>
      </c>
      <c r="D1607" s="188" t="s">
        <v>953</v>
      </c>
      <c r="E1607" s="4">
        <v>0</v>
      </c>
      <c r="F1607" s="5">
        <v>66711.360000000001</v>
      </c>
      <c r="G1607" s="4">
        <v>14009.39</v>
      </c>
      <c r="H1607" s="4">
        <v>80720.75</v>
      </c>
      <c r="I1607" s="188" t="str">
        <f>VLOOKUP(C1607,CATEGORIZACION!$A$1:$C$269,2,FALSE)</f>
        <v>PROOVEDORES</v>
      </c>
      <c r="J1607" s="188" t="str">
        <f>VLOOKUP(C1607,CATEGORIZACION!$A$1:$C$269,3,FALSE)</f>
        <v>LOGISTICA</v>
      </c>
    </row>
    <row r="1608" spans="1:10" ht="15.75" customHeight="1" x14ac:dyDescent="0.25">
      <c r="A1608" s="1">
        <v>45170</v>
      </c>
      <c r="B1608" s="188" t="s">
        <v>1563</v>
      </c>
      <c r="C1608" s="188" t="s">
        <v>17</v>
      </c>
      <c r="D1608" s="188" t="s">
        <v>18</v>
      </c>
      <c r="E1608" s="4">
        <v>47800</v>
      </c>
      <c r="F1608" s="5">
        <v>478500</v>
      </c>
      <c r="G1608" s="4">
        <v>100485</v>
      </c>
      <c r="H1608" s="4">
        <v>626785</v>
      </c>
      <c r="I1608" s="188" t="str">
        <f>VLOOKUP(C1608,CATEGORIZACION!$A$1:$C$269,2,FALSE)</f>
        <v>TRANSPORTE</v>
      </c>
      <c r="J1608" s="188" t="s">
        <v>19</v>
      </c>
    </row>
    <row r="1609" spans="1:10" ht="15.75" customHeight="1" x14ac:dyDescent="0.25">
      <c r="A1609" s="1">
        <v>45170</v>
      </c>
      <c r="B1609" s="188" t="s">
        <v>1564</v>
      </c>
      <c r="C1609" s="188" t="s">
        <v>17</v>
      </c>
      <c r="D1609" s="188" t="s">
        <v>18</v>
      </c>
      <c r="E1609" s="4">
        <v>43600</v>
      </c>
      <c r="F1609" s="5">
        <v>432000</v>
      </c>
      <c r="G1609" s="4">
        <v>90720</v>
      </c>
      <c r="H1609" s="4">
        <v>566320</v>
      </c>
      <c r="I1609" s="188" t="str">
        <f>VLOOKUP(C1609,CATEGORIZACION!$A$1:$C$269,2,FALSE)</f>
        <v>TRANSPORTE</v>
      </c>
      <c r="J1609" s="188" t="s">
        <v>19</v>
      </c>
    </row>
    <row r="1610" spans="1:10" ht="15.75" customHeight="1" x14ac:dyDescent="0.25">
      <c r="A1610" s="1">
        <v>45170</v>
      </c>
      <c r="B1610" s="188" t="s">
        <v>1565</v>
      </c>
      <c r="C1610" s="188" t="s">
        <v>17</v>
      </c>
      <c r="D1610" s="188" t="s">
        <v>18</v>
      </c>
      <c r="E1610" s="4">
        <v>34000</v>
      </c>
      <c r="F1610" s="5">
        <v>562500</v>
      </c>
      <c r="G1610" s="4">
        <v>118125</v>
      </c>
      <c r="H1610" s="4">
        <v>714625</v>
      </c>
      <c r="I1610" s="188" t="str">
        <f>VLOOKUP(C1610,CATEGORIZACION!$A$1:$C$269,2,FALSE)</f>
        <v>TRANSPORTE</v>
      </c>
      <c r="J1610" s="188" t="s">
        <v>19</v>
      </c>
    </row>
    <row r="1611" spans="1:10" ht="15.75" customHeight="1" x14ac:dyDescent="0.25">
      <c r="A1611" s="1">
        <v>45170</v>
      </c>
      <c r="B1611" s="188" t="s">
        <v>1566</v>
      </c>
      <c r="C1611" s="188" t="s">
        <v>218</v>
      </c>
      <c r="D1611" s="188" t="s">
        <v>219</v>
      </c>
      <c r="E1611" s="4">
        <v>0</v>
      </c>
      <c r="F1611" s="5">
        <v>161027.59</v>
      </c>
      <c r="G1611" s="4">
        <v>33815.79</v>
      </c>
      <c r="H1611" s="4">
        <v>194843.38</v>
      </c>
      <c r="I1611" s="188" t="str">
        <f>VLOOKUP(C1611,CATEGORIZACION!$A$1:$C$269,2,FALSE)</f>
        <v>PROOVEDORES</v>
      </c>
      <c r="J1611" s="188" t="str">
        <f>VLOOKUP(C1611,CATEGORIZACION!$A$1:$C$269,3,FALSE)</f>
        <v>LOGISTICA</v>
      </c>
    </row>
    <row r="1612" spans="1:10" ht="15.75" customHeight="1" x14ac:dyDescent="0.25">
      <c r="A1612" s="1">
        <v>45170</v>
      </c>
      <c r="B1612" s="188" t="s">
        <v>1567</v>
      </c>
      <c r="C1612" s="188" t="s">
        <v>1346</v>
      </c>
      <c r="D1612" s="188" t="s">
        <v>1347</v>
      </c>
      <c r="E1612" s="4">
        <v>502160</v>
      </c>
      <c r="F1612" s="5">
        <v>0</v>
      </c>
      <c r="G1612" s="4">
        <v>0</v>
      </c>
      <c r="H1612" s="4">
        <v>502160</v>
      </c>
      <c r="I1612" s="188" t="str">
        <f>VLOOKUP(C1612,CATEGORIZACION!$A$1:$C$269,2,FALSE)</f>
        <v>PROOVEDORES</v>
      </c>
      <c r="J1612" s="188" t="str">
        <f>VLOOKUP(C1612,CATEGORIZACION!$A$1:$C$269,3,FALSE)</f>
        <v>LOGISTICA</v>
      </c>
    </row>
    <row r="1613" spans="1:10" ht="15.75" customHeight="1" x14ac:dyDescent="0.25">
      <c r="A1613" s="1">
        <v>45172</v>
      </c>
      <c r="B1613" s="188" t="s">
        <v>1568</v>
      </c>
      <c r="C1613" s="188" t="s">
        <v>918</v>
      </c>
      <c r="D1613" s="188" t="s">
        <v>919</v>
      </c>
      <c r="E1613" s="4">
        <v>12.4</v>
      </c>
      <c r="F1613" s="5">
        <v>1239.67</v>
      </c>
      <c r="G1613" s="4">
        <v>260.33</v>
      </c>
      <c r="H1613" s="4">
        <v>1512.4</v>
      </c>
      <c r="I1613" s="188" t="str">
        <f>VLOOKUP(C1613,CATEGORIZACION!$A$1:$C$269,2,FALSE)</f>
        <v>PROOVEDORES</v>
      </c>
      <c r="J1613" s="188" t="str">
        <f>VLOOKUP(C1613,CATEGORIZACION!$A$1:$C$269,3,FALSE)</f>
        <v>LOGISTICA</v>
      </c>
    </row>
    <row r="1614" spans="1:10" ht="15.75" customHeight="1" x14ac:dyDescent="0.25">
      <c r="A1614" s="1">
        <v>45172</v>
      </c>
      <c r="B1614" s="188" t="s">
        <v>1569</v>
      </c>
      <c r="C1614" s="188" t="s">
        <v>918</v>
      </c>
      <c r="D1614" s="188" t="s">
        <v>919</v>
      </c>
      <c r="E1614" s="4">
        <v>328.19</v>
      </c>
      <c r="F1614" s="5">
        <v>18223</v>
      </c>
      <c r="G1614" s="4">
        <v>3826.83</v>
      </c>
      <c r="H1614" s="4">
        <v>22378.02</v>
      </c>
      <c r="I1614" s="188" t="str">
        <f>VLOOKUP(C1614,CATEGORIZACION!$A$1:$C$269,2,FALSE)</f>
        <v>PROOVEDORES</v>
      </c>
      <c r="J1614" s="188" t="str">
        <f>VLOOKUP(C1614,CATEGORIZACION!$A$1:$C$269,3,FALSE)</f>
        <v>LOGISTICA</v>
      </c>
    </row>
    <row r="1615" spans="1:10" ht="15.75" customHeight="1" x14ac:dyDescent="0.25">
      <c r="A1615" s="1">
        <v>45172</v>
      </c>
      <c r="B1615" s="188" t="s">
        <v>1570</v>
      </c>
      <c r="C1615" s="188" t="s">
        <v>804</v>
      </c>
      <c r="D1615" s="188" t="s">
        <v>805</v>
      </c>
      <c r="E1615" s="4">
        <v>351.13</v>
      </c>
      <c r="F1615" s="5">
        <v>7314</v>
      </c>
      <c r="G1615" s="4">
        <v>1535.94</v>
      </c>
      <c r="H1615" s="4">
        <v>9201.07</v>
      </c>
      <c r="I1615" s="188" t="str">
        <f>VLOOKUP(C1615,CATEGORIZACION!$A$1:$C$269,2,FALSE)</f>
        <v>PROOVEDORES</v>
      </c>
      <c r="J1615" s="188" t="str">
        <f>VLOOKUP(C1615,CATEGORIZACION!$A$1:$C$269,3,FALSE)</f>
        <v>LOGISTICA</v>
      </c>
    </row>
    <row r="1616" spans="1:10" ht="15.75" customHeight="1" x14ac:dyDescent="0.25">
      <c r="A1616" s="1">
        <v>45172</v>
      </c>
      <c r="B1616" s="188" t="s">
        <v>1571</v>
      </c>
      <c r="C1616" s="188" t="s">
        <v>804</v>
      </c>
      <c r="D1616" s="188" t="s">
        <v>805</v>
      </c>
      <c r="E1616" s="4">
        <v>2671.93</v>
      </c>
      <c r="F1616" s="5">
        <v>55661</v>
      </c>
      <c r="G1616" s="4">
        <v>11688.81</v>
      </c>
      <c r="H1616" s="4">
        <v>70021.740000000005</v>
      </c>
      <c r="I1616" s="188" t="str">
        <f>VLOOKUP(C1616,CATEGORIZACION!$A$1:$C$269,2,FALSE)</f>
        <v>PROOVEDORES</v>
      </c>
      <c r="J1616" s="188" t="str">
        <f>VLOOKUP(C1616,CATEGORIZACION!$A$1:$C$269,3,FALSE)</f>
        <v>LOGISTICA</v>
      </c>
    </row>
    <row r="1617" spans="1:10" ht="15.75" customHeight="1" x14ac:dyDescent="0.25">
      <c r="A1617" s="1">
        <v>45173</v>
      </c>
      <c r="B1617" s="188" t="s">
        <v>1572</v>
      </c>
      <c r="C1617" s="188" t="s">
        <v>49</v>
      </c>
      <c r="D1617" s="188" t="s">
        <v>50</v>
      </c>
      <c r="E1617" s="4">
        <v>0</v>
      </c>
      <c r="F1617" s="3">
        <v>500</v>
      </c>
      <c r="G1617" s="4">
        <v>105</v>
      </c>
      <c r="H1617" s="4">
        <v>605</v>
      </c>
      <c r="I1617" s="188" t="str">
        <f>VLOOKUP(C1617,CATEGORIZACION!$A$1:$C$269,2,FALSE)</f>
        <v>PROOVEDORES</v>
      </c>
      <c r="J1617" s="188" t="str">
        <f>VLOOKUP(C1617,CATEGORIZACION!$A$1:$C$269,3,FALSE)</f>
        <v>DEPOSITO</v>
      </c>
    </row>
    <row r="1618" spans="1:10" ht="15.75" customHeight="1" x14ac:dyDescent="0.25">
      <c r="A1618" s="1">
        <v>45173</v>
      </c>
      <c r="B1618" s="188" t="s">
        <v>1573</v>
      </c>
      <c r="C1618" s="188" t="s">
        <v>49</v>
      </c>
      <c r="D1618" s="188" t="s">
        <v>50</v>
      </c>
      <c r="E1618" s="4">
        <v>0</v>
      </c>
      <c r="F1618" s="3">
        <v>500</v>
      </c>
      <c r="G1618" s="4">
        <v>105</v>
      </c>
      <c r="H1618" s="4">
        <v>605</v>
      </c>
      <c r="I1618" s="188" t="str">
        <f>VLOOKUP(C1618,CATEGORIZACION!$A$1:$C$269,2,FALSE)</f>
        <v>PROOVEDORES</v>
      </c>
      <c r="J1618" s="188" t="str">
        <f>VLOOKUP(C1618,CATEGORIZACION!$A$1:$C$269,3,FALSE)</f>
        <v>DEPOSITO</v>
      </c>
    </row>
    <row r="1619" spans="1:10" ht="15.75" customHeight="1" x14ac:dyDescent="0.25">
      <c r="A1619" s="1">
        <v>45173</v>
      </c>
      <c r="B1619" s="188" t="s">
        <v>1574</v>
      </c>
      <c r="C1619" s="188" t="s">
        <v>714</v>
      </c>
      <c r="D1619" s="188" t="s">
        <v>715</v>
      </c>
      <c r="E1619" s="4">
        <v>0</v>
      </c>
      <c r="F1619" s="3">
        <v>95866.4</v>
      </c>
      <c r="G1619" s="4">
        <v>20131.939999999999</v>
      </c>
      <c r="H1619" s="4">
        <v>115998.34</v>
      </c>
      <c r="I1619" s="188" t="str">
        <f>VLOOKUP(C1619,CATEGORIZACION!$A$1:$C$269,2,FALSE)</f>
        <v>PROOVEDORES</v>
      </c>
      <c r="J1619" s="188" t="str">
        <f>VLOOKUP(C1619,CATEGORIZACION!$A$1:$C$269,3,FALSE)</f>
        <v>DEPOSITO</v>
      </c>
    </row>
    <row r="1620" spans="1:10" ht="15.75" customHeight="1" x14ac:dyDescent="0.25">
      <c r="A1620" s="1">
        <v>45173</v>
      </c>
      <c r="B1620" s="188" t="s">
        <v>1575</v>
      </c>
      <c r="C1620" s="188" t="s">
        <v>253</v>
      </c>
      <c r="D1620" s="188" t="s">
        <v>57</v>
      </c>
      <c r="E1620" s="4">
        <v>0</v>
      </c>
      <c r="F1620" s="5">
        <v>95972.23</v>
      </c>
      <c r="G1620" s="4">
        <v>20154.169999999998</v>
      </c>
      <c r="H1620" s="4">
        <v>116126.39999999999</v>
      </c>
      <c r="I1620" s="188" t="str">
        <f>VLOOKUP(C1620,CATEGORIZACION!$A$1:$C$269,2,FALSE)</f>
        <v>PROOVEDORES</v>
      </c>
      <c r="J1620" s="188" t="str">
        <f>VLOOKUP(C1620,CATEGORIZACION!$A$1:$C$269,3,FALSE)</f>
        <v>LOGISTICA</v>
      </c>
    </row>
    <row r="1621" spans="1:10" ht="15.75" customHeight="1" x14ac:dyDescent="0.25">
      <c r="A1621" s="1">
        <v>45173</v>
      </c>
      <c r="B1621" s="188" t="s">
        <v>1576</v>
      </c>
      <c r="C1621" s="188" t="s">
        <v>801</v>
      </c>
      <c r="D1621" s="188" t="s">
        <v>802</v>
      </c>
      <c r="E1621" s="4">
        <v>6256.54</v>
      </c>
      <c r="F1621" s="5">
        <v>44688</v>
      </c>
      <c r="G1621" s="4">
        <v>9384.48</v>
      </c>
      <c r="H1621" s="4">
        <v>60329.02</v>
      </c>
      <c r="I1621" s="188" t="str">
        <f>VLOOKUP(C1621,CATEGORIZACION!$A$1:$C$269,2,FALSE)</f>
        <v>PROOVEDORES</v>
      </c>
      <c r="J1621" s="188" t="str">
        <f>VLOOKUP(C1621,CATEGORIZACION!$A$1:$C$269,3,FALSE)</f>
        <v>LOGISTICA</v>
      </c>
    </row>
    <row r="1622" spans="1:10" ht="15.75" customHeight="1" x14ac:dyDescent="0.25">
      <c r="A1622" s="1">
        <v>45173</v>
      </c>
      <c r="B1622" s="188" t="s">
        <v>1577</v>
      </c>
      <c r="C1622" s="188" t="s">
        <v>801</v>
      </c>
      <c r="D1622" s="188" t="s">
        <v>802</v>
      </c>
      <c r="E1622" s="4">
        <v>34397.379999999997</v>
      </c>
      <c r="F1622" s="5">
        <v>245687</v>
      </c>
      <c r="G1622" s="4">
        <v>51594.27</v>
      </c>
      <c r="H1622" s="4">
        <v>331678.65000000002</v>
      </c>
      <c r="I1622" s="188" t="str">
        <f>VLOOKUP(C1622,CATEGORIZACION!$A$1:$C$269,2,FALSE)</f>
        <v>PROOVEDORES</v>
      </c>
      <c r="J1622" s="188" t="str">
        <f>VLOOKUP(C1622,CATEGORIZACION!$A$1:$C$269,3,FALSE)</f>
        <v>LOGISTICA</v>
      </c>
    </row>
    <row r="1623" spans="1:10" ht="15.75" customHeight="1" x14ac:dyDescent="0.25">
      <c r="A1623" s="1">
        <v>45174</v>
      </c>
      <c r="B1623" s="188" t="s">
        <v>1578</v>
      </c>
      <c r="C1623" s="188" t="s">
        <v>101</v>
      </c>
      <c r="D1623" s="188" t="s">
        <v>102</v>
      </c>
      <c r="E1623" s="4">
        <v>11205</v>
      </c>
      <c r="F1623" s="3">
        <v>1400625</v>
      </c>
      <c r="G1623" s="4">
        <v>294131.25</v>
      </c>
      <c r="H1623" s="4">
        <v>1705961.25</v>
      </c>
      <c r="I1623" s="188" t="str">
        <f>VLOOKUP(C1623,CATEGORIZACION!$A$1:$C$269,2,FALSE)</f>
        <v>ALQUILER</v>
      </c>
      <c r="J1623" s="188" t="s">
        <v>103</v>
      </c>
    </row>
    <row r="1624" spans="1:10" ht="15.75" customHeight="1" x14ac:dyDescent="0.25">
      <c r="A1624" s="1">
        <v>45174</v>
      </c>
      <c r="B1624" s="188" t="s">
        <v>1579</v>
      </c>
      <c r="C1624" s="188" t="s">
        <v>52</v>
      </c>
      <c r="D1624" s="188" t="s">
        <v>53</v>
      </c>
      <c r="E1624" s="4">
        <v>0</v>
      </c>
      <c r="F1624" s="3">
        <v>59907.44</v>
      </c>
      <c r="G1624" s="4">
        <v>12580.56</v>
      </c>
      <c r="H1624" s="4">
        <v>72488</v>
      </c>
      <c r="I1624" s="188" t="str">
        <f>VLOOKUP(C1624,CATEGORIZACION!$A$1:$C$269,2,FALSE)</f>
        <v>PROOVEDORES</v>
      </c>
      <c r="J1624" s="188" t="str">
        <f>VLOOKUP(C1624,CATEGORIZACION!$A$1:$C$269,3,FALSE)</f>
        <v>DEPOSITO</v>
      </c>
    </row>
    <row r="1625" spans="1:10" ht="15.75" customHeight="1" x14ac:dyDescent="0.25">
      <c r="A1625" s="1">
        <v>45175</v>
      </c>
      <c r="B1625" s="188" t="s">
        <v>1580</v>
      </c>
      <c r="C1625" s="188" t="s">
        <v>36</v>
      </c>
      <c r="D1625" s="188" t="s">
        <v>37</v>
      </c>
      <c r="E1625" s="4">
        <v>0</v>
      </c>
      <c r="F1625" s="5">
        <v>-220000</v>
      </c>
      <c r="G1625" s="4">
        <v>-46200</v>
      </c>
      <c r="H1625" s="4">
        <v>-266200</v>
      </c>
      <c r="I1625" s="188" t="str">
        <f>VLOOKUP(C1625,CATEGORIZACION!$A$1:$C$269,2,FALSE)</f>
        <v>TRANSPORTE</v>
      </c>
      <c r="J1625" s="188" t="s">
        <v>19</v>
      </c>
    </row>
    <row r="1626" spans="1:10" ht="15.75" customHeight="1" x14ac:dyDescent="0.25">
      <c r="A1626" s="1">
        <v>45175</v>
      </c>
      <c r="B1626" s="188" t="s">
        <v>1581</v>
      </c>
      <c r="C1626" s="188" t="s">
        <v>21</v>
      </c>
      <c r="D1626" s="188" t="s">
        <v>22</v>
      </c>
      <c r="E1626" s="4">
        <v>49560</v>
      </c>
      <c r="F1626" s="5">
        <v>645400</v>
      </c>
      <c r="G1626" s="4">
        <v>135534</v>
      </c>
      <c r="H1626" s="4">
        <v>830494</v>
      </c>
      <c r="I1626" s="188" t="str">
        <f>VLOOKUP(C1626,CATEGORIZACION!$A$1:$C$269,2,FALSE)</f>
        <v>TRANSPORTE</v>
      </c>
      <c r="J1626" s="188" t="s">
        <v>19</v>
      </c>
    </row>
    <row r="1627" spans="1:10" ht="15.75" customHeight="1" x14ac:dyDescent="0.25">
      <c r="A1627" s="1">
        <v>45175</v>
      </c>
      <c r="B1627" s="188" t="s">
        <v>1582</v>
      </c>
      <c r="C1627" s="188" t="s">
        <v>21</v>
      </c>
      <c r="D1627" s="188" t="s">
        <v>22</v>
      </c>
      <c r="E1627" s="4">
        <v>28320</v>
      </c>
      <c r="F1627" s="5">
        <v>368800</v>
      </c>
      <c r="G1627" s="4">
        <v>77448</v>
      </c>
      <c r="H1627" s="4">
        <v>474568</v>
      </c>
      <c r="I1627" s="188" t="str">
        <f>VLOOKUP(C1627,CATEGORIZACION!$A$1:$C$269,2,FALSE)</f>
        <v>TRANSPORTE</v>
      </c>
      <c r="J1627" s="188" t="s">
        <v>19</v>
      </c>
    </row>
    <row r="1628" spans="1:10" ht="15.75" customHeight="1" x14ac:dyDescent="0.25">
      <c r="A1628" s="1">
        <v>45175</v>
      </c>
      <c r="B1628" s="188" t="s">
        <v>1583</v>
      </c>
      <c r="C1628" s="188" t="s">
        <v>21</v>
      </c>
      <c r="D1628" s="188" t="s">
        <v>22</v>
      </c>
      <c r="E1628" s="4">
        <v>14160</v>
      </c>
      <c r="F1628" s="5">
        <v>274400</v>
      </c>
      <c r="G1628" s="4">
        <v>57624</v>
      </c>
      <c r="H1628" s="4">
        <v>346184</v>
      </c>
      <c r="I1628" s="188" t="str">
        <f>VLOOKUP(C1628,CATEGORIZACION!$A$1:$C$269,2,FALSE)</f>
        <v>TRANSPORTE</v>
      </c>
      <c r="J1628" s="188" t="s">
        <v>19</v>
      </c>
    </row>
    <row r="1629" spans="1:10" ht="15.75" customHeight="1" x14ac:dyDescent="0.25">
      <c r="A1629" s="1">
        <v>45175</v>
      </c>
      <c r="B1629" s="188" t="s">
        <v>124</v>
      </c>
      <c r="C1629" s="188" t="s">
        <v>21</v>
      </c>
      <c r="D1629" s="188" t="s">
        <v>22</v>
      </c>
      <c r="E1629" s="4">
        <v>40880</v>
      </c>
      <c r="F1629" s="5">
        <v>645400</v>
      </c>
      <c r="G1629" s="4">
        <v>135534</v>
      </c>
      <c r="H1629" s="4">
        <v>821814</v>
      </c>
      <c r="I1629" s="188" t="str">
        <f>VLOOKUP(C1629,CATEGORIZACION!$A$1:$C$269,2,FALSE)</f>
        <v>TRANSPORTE</v>
      </c>
      <c r="J1629" s="188" t="s">
        <v>19</v>
      </c>
    </row>
    <row r="1630" spans="1:10" ht="15.75" customHeight="1" x14ac:dyDescent="0.25">
      <c r="A1630" s="1">
        <v>45175</v>
      </c>
      <c r="B1630" s="188" t="s">
        <v>1584</v>
      </c>
      <c r="C1630" s="188" t="s">
        <v>36</v>
      </c>
      <c r="D1630" s="188" t="s">
        <v>37</v>
      </c>
      <c r="E1630" s="4">
        <v>5000</v>
      </c>
      <c r="F1630" s="5">
        <v>133200</v>
      </c>
      <c r="G1630" s="4">
        <v>27972</v>
      </c>
      <c r="H1630" s="4">
        <v>166172</v>
      </c>
      <c r="I1630" s="188" t="str">
        <f>VLOOKUP(C1630,CATEGORIZACION!$A$1:$C$269,2,FALSE)</f>
        <v>TRANSPORTE</v>
      </c>
      <c r="J1630" s="188" t="s">
        <v>19</v>
      </c>
    </row>
    <row r="1631" spans="1:10" ht="15.75" customHeight="1" x14ac:dyDescent="0.25">
      <c r="A1631" s="1">
        <v>45175</v>
      </c>
      <c r="B1631" s="188" t="s">
        <v>1585</v>
      </c>
      <c r="C1631" s="188" t="s">
        <v>36</v>
      </c>
      <c r="D1631" s="188" t="s">
        <v>37</v>
      </c>
      <c r="E1631" s="4">
        <v>0</v>
      </c>
      <c r="F1631" s="5">
        <v>220000</v>
      </c>
      <c r="G1631" s="4">
        <v>46200</v>
      </c>
      <c r="H1631" s="4">
        <v>266200</v>
      </c>
      <c r="I1631" s="188" t="str">
        <f>VLOOKUP(C1631,CATEGORIZACION!$A$1:$C$269,2,FALSE)</f>
        <v>TRANSPORTE</v>
      </c>
      <c r="J1631" s="188" t="s">
        <v>19</v>
      </c>
    </row>
    <row r="1632" spans="1:10" ht="15.75" customHeight="1" x14ac:dyDescent="0.25">
      <c r="A1632" s="1">
        <v>45175</v>
      </c>
      <c r="B1632" s="188" t="s">
        <v>1586</v>
      </c>
      <c r="C1632" s="188" t="s">
        <v>36</v>
      </c>
      <c r="D1632" s="188" t="s">
        <v>37</v>
      </c>
      <c r="E1632" s="4">
        <v>9200</v>
      </c>
      <c r="F1632" s="5">
        <v>210800</v>
      </c>
      <c r="G1632" s="4">
        <v>44268</v>
      </c>
      <c r="H1632" s="4">
        <v>264268</v>
      </c>
      <c r="I1632" s="188" t="str">
        <f>VLOOKUP(C1632,CATEGORIZACION!$A$1:$C$269,2,FALSE)</f>
        <v>TRANSPORTE</v>
      </c>
      <c r="J1632" s="188" t="s">
        <v>19</v>
      </c>
    </row>
    <row r="1633" spans="1:10" ht="15.75" customHeight="1" x14ac:dyDescent="0.25">
      <c r="A1633" s="1">
        <v>45175</v>
      </c>
      <c r="B1633" s="188" t="s">
        <v>1587</v>
      </c>
      <c r="C1633" s="188" t="s">
        <v>36</v>
      </c>
      <c r="D1633" s="188" t="s">
        <v>37</v>
      </c>
      <c r="E1633" s="4">
        <v>9200</v>
      </c>
      <c r="F1633" s="5">
        <v>210800</v>
      </c>
      <c r="G1633" s="4">
        <v>44268</v>
      </c>
      <c r="H1633" s="4">
        <v>264268</v>
      </c>
      <c r="I1633" s="188" t="str">
        <f>VLOOKUP(C1633,CATEGORIZACION!$A$1:$C$269,2,FALSE)</f>
        <v>TRANSPORTE</v>
      </c>
      <c r="J1633" s="188" t="s">
        <v>19</v>
      </c>
    </row>
    <row r="1634" spans="1:10" ht="15.75" customHeight="1" x14ac:dyDescent="0.25">
      <c r="A1634" s="1">
        <v>45175</v>
      </c>
      <c r="B1634" s="188" t="s">
        <v>1588</v>
      </c>
      <c r="C1634" s="188" t="s">
        <v>36</v>
      </c>
      <c r="D1634" s="188" t="s">
        <v>37</v>
      </c>
      <c r="E1634" s="4">
        <v>9200</v>
      </c>
      <c r="F1634" s="5">
        <v>111000</v>
      </c>
      <c r="G1634" s="4">
        <v>23310</v>
      </c>
      <c r="H1634" s="4">
        <v>143510</v>
      </c>
      <c r="I1634" s="188" t="str">
        <f>VLOOKUP(C1634,CATEGORIZACION!$A$1:$C$269,2,FALSE)</f>
        <v>TRANSPORTE</v>
      </c>
      <c r="J1634" s="188" t="s">
        <v>19</v>
      </c>
    </row>
    <row r="1635" spans="1:10" ht="15.75" customHeight="1" x14ac:dyDescent="0.25">
      <c r="A1635" s="1">
        <v>45176</v>
      </c>
      <c r="B1635" s="188" t="s">
        <v>1589</v>
      </c>
      <c r="C1635" s="188" t="s">
        <v>1501</v>
      </c>
      <c r="D1635" s="188" t="s">
        <v>1502</v>
      </c>
      <c r="E1635" s="4">
        <v>266.27999999999997</v>
      </c>
      <c r="F1635" s="5">
        <v>14793.39</v>
      </c>
      <c r="G1635" s="4">
        <v>3106.61</v>
      </c>
      <c r="H1635" s="4">
        <v>18166.28</v>
      </c>
      <c r="I1635" s="188" t="str">
        <f>VLOOKUP(C1635,CATEGORIZACION!$A$1:$C$269,2,FALSE)</f>
        <v>PROOVEDORES</v>
      </c>
      <c r="J1635" s="188" t="str">
        <f>VLOOKUP(C1635,CATEGORIZACION!$A$1:$C$269,3,FALSE)</f>
        <v>LOGISTICA</v>
      </c>
    </row>
    <row r="1636" spans="1:10" ht="15.75" customHeight="1" x14ac:dyDescent="0.25">
      <c r="A1636" s="1">
        <v>45176</v>
      </c>
      <c r="B1636" s="188" t="s">
        <v>1590</v>
      </c>
      <c r="C1636" s="188" t="s">
        <v>1501</v>
      </c>
      <c r="D1636" s="188" t="s">
        <v>1502</v>
      </c>
      <c r="E1636" s="4">
        <v>0</v>
      </c>
      <c r="F1636" s="5">
        <v>1487.6</v>
      </c>
      <c r="G1636" s="4">
        <v>312.39999999999998</v>
      </c>
      <c r="H1636" s="4">
        <v>1800</v>
      </c>
      <c r="I1636" s="188" t="str">
        <f>VLOOKUP(C1636,CATEGORIZACION!$A$1:$C$269,2,FALSE)</f>
        <v>PROOVEDORES</v>
      </c>
      <c r="J1636" s="188" t="str">
        <f>VLOOKUP(C1636,CATEGORIZACION!$A$1:$C$269,3,FALSE)</f>
        <v>LOGISTICA</v>
      </c>
    </row>
    <row r="1637" spans="1:10" ht="15.75" customHeight="1" x14ac:dyDescent="0.25">
      <c r="A1637" s="1">
        <v>45177</v>
      </c>
      <c r="B1637" s="188" t="s">
        <v>1591</v>
      </c>
      <c r="C1637" s="188" t="s">
        <v>1143</v>
      </c>
      <c r="D1637" s="188" t="s">
        <v>1144</v>
      </c>
      <c r="E1637" s="4">
        <v>0</v>
      </c>
      <c r="F1637" s="3">
        <v>333828</v>
      </c>
      <c r="G1637" s="4">
        <v>70103.88</v>
      </c>
      <c r="H1637" s="4">
        <v>403931.88</v>
      </c>
      <c r="I1637" s="188" t="str">
        <f>VLOOKUP(C1637,CATEGORIZACION!$A$1:$C$269,2,FALSE)</f>
        <v>PROOVEDORES</v>
      </c>
      <c r="J1637" s="188" t="str">
        <f>VLOOKUP(C1637,CATEGORIZACION!$A$1:$C$269,3,FALSE)</f>
        <v>DEPOSITO</v>
      </c>
    </row>
    <row r="1638" spans="1:10" ht="15.75" customHeight="1" x14ac:dyDescent="0.25">
      <c r="A1638" s="1">
        <v>45177</v>
      </c>
      <c r="B1638" s="188" t="s">
        <v>45</v>
      </c>
      <c r="C1638" s="188" t="s">
        <v>1143</v>
      </c>
      <c r="D1638" s="188" t="s">
        <v>1144</v>
      </c>
      <c r="E1638" s="4">
        <v>0</v>
      </c>
      <c r="F1638" s="3">
        <v>316976</v>
      </c>
      <c r="G1638" s="4">
        <v>66564.960000000006</v>
      </c>
      <c r="H1638" s="4">
        <v>383540.96</v>
      </c>
      <c r="I1638" s="188" t="str">
        <f>VLOOKUP(C1638,CATEGORIZACION!$A$1:$C$269,2,FALSE)</f>
        <v>PROOVEDORES</v>
      </c>
      <c r="J1638" s="188" t="str">
        <f>VLOOKUP(C1638,CATEGORIZACION!$A$1:$C$269,3,FALSE)</f>
        <v>DEPOSITO</v>
      </c>
    </row>
    <row r="1639" spans="1:10" ht="15.75" customHeight="1" x14ac:dyDescent="0.25">
      <c r="A1639" s="1">
        <v>45180</v>
      </c>
      <c r="B1639" s="188" t="s">
        <v>1592</v>
      </c>
      <c r="C1639" s="188" t="s">
        <v>17</v>
      </c>
      <c r="D1639" s="188" t="s">
        <v>18</v>
      </c>
      <c r="E1639" s="4">
        <v>44640</v>
      </c>
      <c r="F1639" s="5">
        <v>759000</v>
      </c>
      <c r="G1639" s="4">
        <v>159390</v>
      </c>
      <c r="H1639" s="4">
        <v>963030</v>
      </c>
      <c r="I1639" s="188" t="str">
        <f>VLOOKUP(C1639,CATEGORIZACION!$A$1:$C$269,2,FALSE)</f>
        <v>TRANSPORTE</v>
      </c>
      <c r="J1639" s="188" t="s">
        <v>19</v>
      </c>
    </row>
    <row r="1640" spans="1:10" ht="15.75" customHeight="1" x14ac:dyDescent="0.25">
      <c r="A1640" s="1">
        <v>45180</v>
      </c>
      <c r="B1640" s="188" t="s">
        <v>1593</v>
      </c>
      <c r="C1640" s="188" t="s">
        <v>21</v>
      </c>
      <c r="D1640" s="188" t="s">
        <v>22</v>
      </c>
      <c r="E1640" s="4">
        <v>11680</v>
      </c>
      <c r="F1640" s="5">
        <v>184400</v>
      </c>
      <c r="G1640" s="4">
        <v>38724</v>
      </c>
      <c r="H1640" s="4">
        <v>234804</v>
      </c>
      <c r="I1640" s="188" t="str">
        <f>VLOOKUP(C1640,CATEGORIZACION!$A$1:$C$269,2,FALSE)</f>
        <v>TRANSPORTE</v>
      </c>
      <c r="J1640" s="188" t="s">
        <v>19</v>
      </c>
    </row>
    <row r="1641" spans="1:10" ht="15.75" customHeight="1" x14ac:dyDescent="0.25">
      <c r="A1641" s="1">
        <v>45180</v>
      </c>
      <c r="B1641" s="188" t="s">
        <v>1594</v>
      </c>
      <c r="C1641" s="188" t="s">
        <v>21</v>
      </c>
      <c r="D1641" s="188" t="s">
        <v>22</v>
      </c>
      <c r="E1641" s="4">
        <v>11680</v>
      </c>
      <c r="F1641" s="5">
        <v>274400</v>
      </c>
      <c r="G1641" s="4">
        <v>57624</v>
      </c>
      <c r="H1641" s="4">
        <v>343704</v>
      </c>
      <c r="I1641" s="188" t="str">
        <f>VLOOKUP(C1641,CATEGORIZACION!$A$1:$C$269,2,FALSE)</f>
        <v>TRANSPORTE</v>
      </c>
      <c r="J1641" s="188" t="s">
        <v>19</v>
      </c>
    </row>
    <row r="1642" spans="1:10" ht="15.75" customHeight="1" x14ac:dyDescent="0.25">
      <c r="A1642" s="1">
        <v>45180</v>
      </c>
      <c r="B1642" s="188" t="s">
        <v>1595</v>
      </c>
      <c r="C1642" s="188" t="s">
        <v>21</v>
      </c>
      <c r="D1642" s="188" t="s">
        <v>22</v>
      </c>
      <c r="E1642" s="4">
        <v>23360</v>
      </c>
      <c r="F1642" s="5">
        <v>368800</v>
      </c>
      <c r="G1642" s="4">
        <v>77448</v>
      </c>
      <c r="H1642" s="4">
        <v>469608</v>
      </c>
      <c r="I1642" s="188" t="str">
        <f>VLOOKUP(C1642,CATEGORIZACION!$A$1:$C$269,2,FALSE)</f>
        <v>TRANSPORTE</v>
      </c>
      <c r="J1642" s="188" t="s">
        <v>19</v>
      </c>
    </row>
    <row r="1643" spans="1:10" ht="15.75" customHeight="1" x14ac:dyDescent="0.25">
      <c r="A1643" s="1">
        <v>45180</v>
      </c>
      <c r="B1643" s="188" t="s">
        <v>1596</v>
      </c>
      <c r="C1643" s="188" t="s">
        <v>21</v>
      </c>
      <c r="D1643" s="188" t="s">
        <v>22</v>
      </c>
      <c r="E1643" s="4">
        <v>0</v>
      </c>
      <c r="F1643" s="5">
        <v>276600</v>
      </c>
      <c r="G1643" s="4">
        <v>58086</v>
      </c>
      <c r="H1643" s="4">
        <v>334686</v>
      </c>
      <c r="I1643" s="188" t="str">
        <f>VLOOKUP(C1643,CATEGORIZACION!$A$1:$C$269,2,FALSE)</f>
        <v>TRANSPORTE</v>
      </c>
      <c r="J1643" s="188" t="s">
        <v>19</v>
      </c>
    </row>
    <row r="1644" spans="1:10" ht="15.75" customHeight="1" x14ac:dyDescent="0.25">
      <c r="A1644" s="1">
        <v>45180</v>
      </c>
      <c r="B1644" s="188" t="s">
        <v>1597</v>
      </c>
      <c r="C1644" s="188" t="s">
        <v>21</v>
      </c>
      <c r="D1644" s="188" t="s">
        <v>22</v>
      </c>
      <c r="E1644" s="4">
        <v>5840</v>
      </c>
      <c r="F1644" s="5">
        <v>115000</v>
      </c>
      <c r="G1644" s="4">
        <v>24150</v>
      </c>
      <c r="H1644" s="4">
        <v>144990</v>
      </c>
      <c r="I1644" s="188" t="str">
        <f>VLOOKUP(C1644,CATEGORIZACION!$A$1:$C$269,2,FALSE)</f>
        <v>TRANSPORTE</v>
      </c>
      <c r="J1644" s="188" t="s">
        <v>19</v>
      </c>
    </row>
    <row r="1645" spans="1:10" ht="15.75" customHeight="1" x14ac:dyDescent="0.25">
      <c r="A1645" s="1">
        <v>45180</v>
      </c>
      <c r="B1645" s="188" t="s">
        <v>1598</v>
      </c>
      <c r="C1645" s="188" t="s">
        <v>36</v>
      </c>
      <c r="D1645" s="188" t="s">
        <v>37</v>
      </c>
      <c r="E1645" s="4">
        <v>15200</v>
      </c>
      <c r="F1645" s="5">
        <v>209100</v>
      </c>
      <c r="G1645" s="4">
        <v>43911</v>
      </c>
      <c r="H1645" s="4">
        <v>268211</v>
      </c>
      <c r="I1645" s="188" t="str">
        <f>VLOOKUP(C1645,CATEGORIZACION!$A$1:$C$269,2,FALSE)</f>
        <v>TRANSPORTE</v>
      </c>
      <c r="J1645" s="188" t="s">
        <v>19</v>
      </c>
    </row>
    <row r="1646" spans="1:10" ht="15.75" customHeight="1" x14ac:dyDescent="0.25">
      <c r="A1646" s="1">
        <v>45180</v>
      </c>
      <c r="B1646" s="188" t="s">
        <v>1599</v>
      </c>
      <c r="C1646" s="188" t="s">
        <v>36</v>
      </c>
      <c r="D1646" s="188" t="s">
        <v>37</v>
      </c>
      <c r="E1646" s="4">
        <v>17200</v>
      </c>
      <c r="F1646" s="5">
        <v>249500</v>
      </c>
      <c r="G1646" s="4">
        <v>52395</v>
      </c>
      <c r="H1646" s="4">
        <v>319095</v>
      </c>
      <c r="I1646" s="188" t="str">
        <f>VLOOKUP(C1646,CATEGORIZACION!$A$1:$C$269,2,FALSE)</f>
        <v>TRANSPORTE</v>
      </c>
      <c r="J1646" s="188" t="s">
        <v>19</v>
      </c>
    </row>
    <row r="1647" spans="1:10" ht="15.75" customHeight="1" x14ac:dyDescent="0.25">
      <c r="A1647" s="1">
        <v>45180</v>
      </c>
      <c r="B1647" s="188" t="s">
        <v>1600</v>
      </c>
      <c r="C1647" s="188" t="s">
        <v>36</v>
      </c>
      <c r="D1647" s="188" t="s">
        <v>37</v>
      </c>
      <c r="E1647" s="4">
        <v>17200</v>
      </c>
      <c r="F1647" s="5">
        <v>249500</v>
      </c>
      <c r="G1647" s="4">
        <v>52395</v>
      </c>
      <c r="H1647" s="4">
        <v>319095</v>
      </c>
      <c r="I1647" s="188" t="str">
        <f>VLOOKUP(C1647,CATEGORIZACION!$A$1:$C$269,2,FALSE)</f>
        <v>TRANSPORTE</v>
      </c>
      <c r="J1647" s="188" t="s">
        <v>19</v>
      </c>
    </row>
    <row r="1648" spans="1:10" ht="15.75" customHeight="1" x14ac:dyDescent="0.25">
      <c r="A1648" s="1">
        <v>45180</v>
      </c>
      <c r="B1648" s="188" t="s">
        <v>1601</v>
      </c>
      <c r="C1648" s="188" t="s">
        <v>36</v>
      </c>
      <c r="D1648" s="188" t="s">
        <v>37</v>
      </c>
      <c r="E1648" s="4">
        <v>9200</v>
      </c>
      <c r="F1648" s="5">
        <v>69600</v>
      </c>
      <c r="G1648" s="4">
        <v>14616</v>
      </c>
      <c r="H1648" s="4">
        <v>93416</v>
      </c>
      <c r="I1648" s="188" t="str">
        <f>VLOOKUP(C1648,CATEGORIZACION!$A$1:$C$269,2,FALSE)</f>
        <v>TRANSPORTE</v>
      </c>
      <c r="J1648" s="188" t="s">
        <v>19</v>
      </c>
    </row>
    <row r="1649" spans="1:10" ht="15.75" customHeight="1" x14ac:dyDescent="0.25">
      <c r="A1649" s="1">
        <v>45180</v>
      </c>
      <c r="B1649" s="188" t="s">
        <v>1602</v>
      </c>
      <c r="C1649" s="188" t="s">
        <v>36</v>
      </c>
      <c r="D1649" s="188" t="s">
        <v>37</v>
      </c>
      <c r="E1649" s="4">
        <v>9200</v>
      </c>
      <c r="F1649" s="5">
        <v>69600</v>
      </c>
      <c r="G1649" s="4">
        <v>14616</v>
      </c>
      <c r="H1649" s="4">
        <v>93416</v>
      </c>
      <c r="I1649" s="188" t="str">
        <f>VLOOKUP(C1649,CATEGORIZACION!$A$1:$C$269,2,FALSE)</f>
        <v>TRANSPORTE</v>
      </c>
      <c r="J1649" s="188" t="s">
        <v>19</v>
      </c>
    </row>
    <row r="1650" spans="1:10" ht="15.75" customHeight="1" x14ac:dyDescent="0.25">
      <c r="A1650" s="1">
        <v>45180</v>
      </c>
      <c r="B1650" s="188" t="s">
        <v>1603</v>
      </c>
      <c r="C1650" s="188" t="s">
        <v>36</v>
      </c>
      <c r="D1650" s="188" t="s">
        <v>37</v>
      </c>
      <c r="E1650" s="4">
        <v>12500</v>
      </c>
      <c r="F1650" s="5">
        <v>149950</v>
      </c>
      <c r="G1650" s="4">
        <v>31489.5</v>
      </c>
      <c r="H1650" s="4">
        <v>193939.5</v>
      </c>
      <c r="I1650" s="188" t="str">
        <f>VLOOKUP(C1650,CATEGORIZACION!$A$1:$C$269,2,FALSE)</f>
        <v>TRANSPORTE</v>
      </c>
      <c r="J1650" s="188" t="s">
        <v>19</v>
      </c>
    </row>
    <row r="1651" spans="1:10" ht="15.75" customHeight="1" x14ac:dyDescent="0.25">
      <c r="A1651" s="1">
        <v>45180</v>
      </c>
      <c r="B1651" s="188" t="s">
        <v>1604</v>
      </c>
      <c r="C1651" s="188" t="s">
        <v>36</v>
      </c>
      <c r="D1651" s="188" t="s">
        <v>37</v>
      </c>
      <c r="E1651" s="4">
        <v>12500</v>
      </c>
      <c r="F1651" s="5">
        <v>125760</v>
      </c>
      <c r="G1651" s="4">
        <v>26409.599999999999</v>
      </c>
      <c r="H1651" s="4">
        <v>164669.6</v>
      </c>
      <c r="I1651" s="188" t="str">
        <f>VLOOKUP(C1651,CATEGORIZACION!$A$1:$C$269,2,FALSE)</f>
        <v>TRANSPORTE</v>
      </c>
      <c r="J1651" s="188" t="s">
        <v>19</v>
      </c>
    </row>
    <row r="1652" spans="1:10" ht="15.75" customHeight="1" x14ac:dyDescent="0.25">
      <c r="A1652" s="1">
        <v>45180</v>
      </c>
      <c r="B1652" s="188" t="s">
        <v>1605</v>
      </c>
      <c r="C1652" s="188" t="s">
        <v>36</v>
      </c>
      <c r="D1652" s="188" t="s">
        <v>37</v>
      </c>
      <c r="E1652" s="4">
        <v>12500</v>
      </c>
      <c r="F1652" s="5">
        <v>125760</v>
      </c>
      <c r="G1652" s="4">
        <v>26409.599999999999</v>
      </c>
      <c r="H1652" s="4">
        <v>164669.6</v>
      </c>
      <c r="I1652" s="188" t="str">
        <f>VLOOKUP(C1652,CATEGORIZACION!$A$1:$C$269,2,FALSE)</f>
        <v>TRANSPORTE</v>
      </c>
      <c r="J1652" s="188" t="s">
        <v>19</v>
      </c>
    </row>
    <row r="1653" spans="1:10" ht="15.75" customHeight="1" x14ac:dyDescent="0.25">
      <c r="A1653" s="1">
        <v>45180</v>
      </c>
      <c r="B1653" s="188" t="s">
        <v>1606</v>
      </c>
      <c r="C1653" s="188" t="s">
        <v>36</v>
      </c>
      <c r="D1653" s="188" t="s">
        <v>37</v>
      </c>
      <c r="E1653" s="4">
        <v>2499.9999999999627</v>
      </c>
      <c r="F1653" s="5">
        <v>227460</v>
      </c>
      <c r="G1653" s="4">
        <v>47766.6</v>
      </c>
      <c r="H1653" s="4">
        <v>277726.59999999998</v>
      </c>
      <c r="I1653" s="188" t="str">
        <f>VLOOKUP(C1653,CATEGORIZACION!$A$1:$C$269,2,FALSE)</f>
        <v>TRANSPORTE</v>
      </c>
      <c r="J1653" s="188" t="s">
        <v>19</v>
      </c>
    </row>
    <row r="1654" spans="1:10" ht="15.75" customHeight="1" x14ac:dyDescent="0.25">
      <c r="A1654" s="1">
        <v>45180</v>
      </c>
      <c r="B1654" s="188" t="s">
        <v>1607</v>
      </c>
      <c r="C1654" s="188" t="s">
        <v>36</v>
      </c>
      <c r="D1654" s="188" t="s">
        <v>37</v>
      </c>
      <c r="E1654" s="4">
        <v>2499.9999999999627</v>
      </c>
      <c r="F1654" s="5">
        <v>227460</v>
      </c>
      <c r="G1654" s="4">
        <v>47766.6</v>
      </c>
      <c r="H1654" s="4">
        <v>277726.59999999998</v>
      </c>
      <c r="I1654" s="188" t="str">
        <f>VLOOKUP(C1654,CATEGORIZACION!$A$1:$C$269,2,FALSE)</f>
        <v>TRANSPORTE</v>
      </c>
      <c r="J1654" s="188" t="s">
        <v>19</v>
      </c>
    </row>
    <row r="1655" spans="1:10" ht="15.75" customHeight="1" x14ac:dyDescent="0.25">
      <c r="A1655" s="1">
        <v>45180</v>
      </c>
      <c r="B1655" s="188" t="s">
        <v>1608</v>
      </c>
      <c r="C1655" s="188" t="s">
        <v>36</v>
      </c>
      <c r="D1655" s="188" t="s">
        <v>37</v>
      </c>
      <c r="E1655" s="4">
        <v>2499.9999999999627</v>
      </c>
      <c r="F1655" s="5">
        <v>227460</v>
      </c>
      <c r="G1655" s="4">
        <v>47766.6</v>
      </c>
      <c r="H1655" s="4">
        <v>277726.59999999998</v>
      </c>
      <c r="I1655" s="188" t="str">
        <f>VLOOKUP(C1655,CATEGORIZACION!$A$1:$C$269,2,FALSE)</f>
        <v>TRANSPORTE</v>
      </c>
      <c r="J1655" s="188" t="s">
        <v>19</v>
      </c>
    </row>
    <row r="1656" spans="1:10" ht="15.75" customHeight="1" x14ac:dyDescent="0.25">
      <c r="A1656" s="1">
        <v>45180</v>
      </c>
      <c r="B1656" s="188" t="s">
        <v>1609</v>
      </c>
      <c r="C1656" s="188" t="s">
        <v>36</v>
      </c>
      <c r="D1656" s="188" t="s">
        <v>37</v>
      </c>
      <c r="E1656" s="4">
        <v>12500</v>
      </c>
      <c r="F1656" s="5">
        <v>149950</v>
      </c>
      <c r="G1656" s="4">
        <v>31489.5</v>
      </c>
      <c r="H1656" s="4">
        <v>193939.5</v>
      </c>
      <c r="I1656" s="188" t="str">
        <f>VLOOKUP(C1656,CATEGORIZACION!$A$1:$C$269,2,FALSE)</f>
        <v>TRANSPORTE</v>
      </c>
      <c r="J1656" s="188" t="s">
        <v>19</v>
      </c>
    </row>
    <row r="1657" spans="1:10" ht="15.75" customHeight="1" x14ac:dyDescent="0.25">
      <c r="A1657" s="1">
        <v>45180</v>
      </c>
      <c r="B1657" s="188" t="s">
        <v>1610</v>
      </c>
      <c r="C1657" s="188" t="s">
        <v>36</v>
      </c>
      <c r="D1657" s="188" t="s">
        <v>37</v>
      </c>
      <c r="E1657" s="4">
        <v>18500</v>
      </c>
      <c r="F1657" s="5">
        <v>205100</v>
      </c>
      <c r="G1657" s="4">
        <v>43071</v>
      </c>
      <c r="H1657" s="4">
        <v>266671</v>
      </c>
      <c r="I1657" s="188" t="str">
        <f>VLOOKUP(C1657,CATEGORIZACION!$A$1:$C$269,2,FALSE)</f>
        <v>TRANSPORTE</v>
      </c>
      <c r="J1657" s="188" t="s">
        <v>19</v>
      </c>
    </row>
    <row r="1658" spans="1:10" ht="15.75" customHeight="1" x14ac:dyDescent="0.25">
      <c r="A1658" s="1">
        <v>45180</v>
      </c>
      <c r="B1658" s="188" t="s">
        <v>1611</v>
      </c>
      <c r="C1658" s="188" t="s">
        <v>36</v>
      </c>
      <c r="D1658" s="188" t="s">
        <v>37</v>
      </c>
      <c r="E1658" s="4">
        <v>22000</v>
      </c>
      <c r="F1658" s="5">
        <v>193272</v>
      </c>
      <c r="G1658" s="4">
        <v>40587.120000000003</v>
      </c>
      <c r="H1658" s="4">
        <v>255859.12</v>
      </c>
      <c r="I1658" s="188" t="str">
        <f>VLOOKUP(C1658,CATEGORIZACION!$A$1:$C$269,2,FALSE)</f>
        <v>TRANSPORTE</v>
      </c>
      <c r="J1658" s="188" t="s">
        <v>19</v>
      </c>
    </row>
    <row r="1659" spans="1:10" ht="15.75" customHeight="1" x14ac:dyDescent="0.25">
      <c r="A1659" s="1">
        <v>45182</v>
      </c>
      <c r="B1659" s="188" t="s">
        <v>1612</v>
      </c>
      <c r="C1659" s="188" t="s">
        <v>1613</v>
      </c>
      <c r="D1659" s="188" t="s">
        <v>1614</v>
      </c>
      <c r="E1659" s="4">
        <v>0</v>
      </c>
      <c r="F1659" s="5">
        <v>26374.18</v>
      </c>
      <c r="G1659" s="4">
        <v>5538.58</v>
      </c>
      <c r="H1659" s="4">
        <v>31912.76</v>
      </c>
      <c r="I1659" s="188" t="str">
        <f>VLOOKUP(C1659,CATEGORIZACION!$A$1:$C$269,2,FALSE)</f>
        <v>PROOVEDORES</v>
      </c>
      <c r="J1659" s="188" t="str">
        <f>VLOOKUP(C1659,CATEGORIZACION!$A$1:$C$269,3,FALSE)</f>
        <v>LOGISTICA</v>
      </c>
    </row>
    <row r="1660" spans="1:10" ht="15.75" customHeight="1" x14ac:dyDescent="0.25">
      <c r="A1660" s="1">
        <v>45183</v>
      </c>
      <c r="B1660" s="188" t="s">
        <v>1615</v>
      </c>
      <c r="C1660" s="188" t="s">
        <v>36</v>
      </c>
      <c r="D1660" s="188" t="s">
        <v>37</v>
      </c>
      <c r="E1660" s="4">
        <v>14200</v>
      </c>
      <c r="F1660" s="5">
        <v>185250</v>
      </c>
      <c r="G1660" s="4">
        <v>38902.5</v>
      </c>
      <c r="H1660" s="4">
        <v>238352.5</v>
      </c>
      <c r="I1660" s="188" t="str">
        <f>VLOOKUP(C1660,CATEGORIZACION!$A$1:$C$269,2,FALSE)</f>
        <v>TRANSPORTE</v>
      </c>
      <c r="J1660" s="188" t="s">
        <v>19</v>
      </c>
    </row>
    <row r="1661" spans="1:10" ht="15.75" customHeight="1" x14ac:dyDescent="0.25">
      <c r="A1661" s="1">
        <v>45183</v>
      </c>
      <c r="B1661" s="188" t="s">
        <v>1616</v>
      </c>
      <c r="C1661" s="188" t="s">
        <v>1346</v>
      </c>
      <c r="D1661" s="188" t="s">
        <v>1347</v>
      </c>
      <c r="E1661" s="4">
        <v>52000</v>
      </c>
      <c r="F1661" s="5">
        <v>0</v>
      </c>
      <c r="G1661" s="4">
        <v>0</v>
      </c>
      <c r="H1661" s="4">
        <v>52000</v>
      </c>
      <c r="I1661" s="188" t="str">
        <f>VLOOKUP(C1661,CATEGORIZACION!$A$1:$C$269,2,FALSE)</f>
        <v>PROOVEDORES</v>
      </c>
      <c r="J1661" s="188" t="str">
        <f>VLOOKUP(C1661,CATEGORIZACION!$A$1:$C$269,3,FALSE)</f>
        <v>LOGISTICA</v>
      </c>
    </row>
    <row r="1662" spans="1:10" ht="15.75" customHeight="1" x14ac:dyDescent="0.25">
      <c r="A1662" s="1">
        <v>45184</v>
      </c>
      <c r="B1662" s="188" t="s">
        <v>1617</v>
      </c>
      <c r="C1662" s="188" t="s">
        <v>1143</v>
      </c>
      <c r="D1662" s="188" t="s">
        <v>1144</v>
      </c>
      <c r="E1662" s="4">
        <v>0</v>
      </c>
      <c r="F1662" s="3">
        <v>329472</v>
      </c>
      <c r="G1662" s="4">
        <v>69189.119999999995</v>
      </c>
      <c r="H1662" s="4">
        <v>398661.12</v>
      </c>
      <c r="I1662" s="188" t="str">
        <f>VLOOKUP(C1662,CATEGORIZACION!$A$1:$C$269,2,FALSE)</f>
        <v>PROOVEDORES</v>
      </c>
      <c r="J1662" s="188" t="str">
        <f>VLOOKUP(C1662,CATEGORIZACION!$A$1:$C$269,3,FALSE)</f>
        <v>DEPOSITO</v>
      </c>
    </row>
    <row r="1663" spans="1:10" ht="15.75" customHeight="1" x14ac:dyDescent="0.25">
      <c r="A1663" s="1">
        <v>45184</v>
      </c>
      <c r="B1663" s="188" t="s">
        <v>1618</v>
      </c>
      <c r="C1663" s="188" t="s">
        <v>84</v>
      </c>
      <c r="D1663" s="188" t="s">
        <v>85</v>
      </c>
      <c r="E1663" s="4">
        <v>55926.81</v>
      </c>
      <c r="F1663" s="5">
        <v>910423.88</v>
      </c>
      <c r="G1663" s="4">
        <v>191189.01</v>
      </c>
      <c r="H1663" s="4">
        <v>1157539.7</v>
      </c>
      <c r="I1663" s="188" t="str">
        <f>VLOOKUP(C1663,CATEGORIZACION!$A$1:$C$269,2,FALSE)</f>
        <v>PROOVEDORES</v>
      </c>
      <c r="J1663" s="188" t="str">
        <f>VLOOKUP(C1663,CATEGORIZACION!$A$1:$C$269,3,FALSE)</f>
        <v>LOGISTICA</v>
      </c>
    </row>
    <row r="1664" spans="1:10" ht="15.75" customHeight="1" x14ac:dyDescent="0.25">
      <c r="A1664" s="1">
        <v>45184</v>
      </c>
      <c r="B1664" s="188" t="s">
        <v>1619</v>
      </c>
      <c r="C1664" s="188" t="s">
        <v>21</v>
      </c>
      <c r="D1664" s="188" t="s">
        <v>22</v>
      </c>
      <c r="E1664" s="4">
        <v>31400</v>
      </c>
      <c r="F1664" s="5">
        <v>461000</v>
      </c>
      <c r="G1664" s="4">
        <v>96810</v>
      </c>
      <c r="H1664" s="4">
        <v>589210</v>
      </c>
      <c r="I1664" s="188" t="str">
        <f>VLOOKUP(C1664,CATEGORIZACION!$A$1:$C$269,2,FALSE)</f>
        <v>TRANSPORTE</v>
      </c>
      <c r="J1664" s="188" t="s">
        <v>19</v>
      </c>
    </row>
    <row r="1665" spans="1:10" ht="15.75" customHeight="1" x14ac:dyDescent="0.25">
      <c r="A1665" s="1">
        <v>45184</v>
      </c>
      <c r="B1665" s="188" t="s">
        <v>1620</v>
      </c>
      <c r="C1665" s="188" t="s">
        <v>21</v>
      </c>
      <c r="D1665" s="188" t="s">
        <v>22</v>
      </c>
      <c r="E1665" s="4">
        <v>17520</v>
      </c>
      <c r="F1665" s="5">
        <v>276600</v>
      </c>
      <c r="G1665" s="4">
        <v>58086</v>
      </c>
      <c r="H1665" s="4">
        <v>352206</v>
      </c>
      <c r="I1665" s="188" t="str">
        <f>VLOOKUP(C1665,CATEGORIZACION!$A$1:$C$269,2,FALSE)</f>
        <v>TRANSPORTE</v>
      </c>
      <c r="J1665" s="188" t="s">
        <v>19</v>
      </c>
    </row>
    <row r="1666" spans="1:10" ht="15.75" customHeight="1" x14ac:dyDescent="0.25">
      <c r="A1666" s="1">
        <v>45184</v>
      </c>
      <c r="B1666" s="188" t="s">
        <v>1621</v>
      </c>
      <c r="C1666" s="188" t="s">
        <v>21</v>
      </c>
      <c r="D1666" s="188" t="s">
        <v>22</v>
      </c>
      <c r="E1666" s="4">
        <v>11680</v>
      </c>
      <c r="F1666" s="5">
        <v>575000</v>
      </c>
      <c r="G1666" s="4">
        <v>120750</v>
      </c>
      <c r="H1666" s="4">
        <v>707430</v>
      </c>
      <c r="I1666" s="188" t="str">
        <f>VLOOKUP(C1666,CATEGORIZACION!$A$1:$C$269,2,FALSE)</f>
        <v>TRANSPORTE</v>
      </c>
      <c r="J1666" s="188" t="s">
        <v>19</v>
      </c>
    </row>
    <row r="1667" spans="1:10" ht="15.75" customHeight="1" x14ac:dyDescent="0.25">
      <c r="A1667" s="1">
        <v>45184</v>
      </c>
      <c r="B1667" s="188" t="s">
        <v>1622</v>
      </c>
      <c r="C1667" s="188" t="s">
        <v>21</v>
      </c>
      <c r="D1667" s="188" t="s">
        <v>22</v>
      </c>
      <c r="E1667" s="4">
        <v>27920</v>
      </c>
      <c r="F1667" s="5">
        <v>357000</v>
      </c>
      <c r="G1667" s="4">
        <v>74970</v>
      </c>
      <c r="H1667" s="4">
        <v>459890</v>
      </c>
      <c r="I1667" s="188" t="str">
        <f>VLOOKUP(C1667,CATEGORIZACION!$A$1:$C$269,2,FALSE)</f>
        <v>TRANSPORTE</v>
      </c>
      <c r="J1667" s="188" t="s">
        <v>19</v>
      </c>
    </row>
    <row r="1668" spans="1:10" ht="15.75" customHeight="1" x14ac:dyDescent="0.25">
      <c r="A1668" s="1">
        <v>45184</v>
      </c>
      <c r="B1668" s="188" t="s">
        <v>1623</v>
      </c>
      <c r="C1668" s="188" t="s">
        <v>21</v>
      </c>
      <c r="D1668" s="188" t="s">
        <v>22</v>
      </c>
      <c r="E1668" s="4">
        <v>17780</v>
      </c>
      <c r="F1668" s="5">
        <v>1035000</v>
      </c>
      <c r="G1668" s="4">
        <v>217350</v>
      </c>
      <c r="H1668" s="4">
        <v>1270130</v>
      </c>
      <c r="I1668" s="188" t="str">
        <f>VLOOKUP(C1668,CATEGORIZACION!$A$1:$C$269,2,FALSE)</f>
        <v>TRANSPORTE</v>
      </c>
      <c r="J1668" s="188" t="s">
        <v>19</v>
      </c>
    </row>
    <row r="1669" spans="1:10" ht="15.75" customHeight="1" x14ac:dyDescent="0.25">
      <c r="A1669" s="1">
        <v>45184</v>
      </c>
      <c r="B1669" s="188" t="s">
        <v>1624</v>
      </c>
      <c r="C1669" s="188" t="s">
        <v>21</v>
      </c>
      <c r="D1669" s="188" t="s">
        <v>22</v>
      </c>
      <c r="E1669" s="4">
        <v>0</v>
      </c>
      <c r="F1669" s="5">
        <v>470000</v>
      </c>
      <c r="G1669" s="4">
        <v>98700</v>
      </c>
      <c r="H1669" s="4">
        <v>568700</v>
      </c>
      <c r="I1669" s="188" t="str">
        <f>VLOOKUP(C1669,CATEGORIZACION!$A$1:$C$269,2,FALSE)</f>
        <v>TRANSPORTE</v>
      </c>
      <c r="J1669" s="188" t="s">
        <v>19</v>
      </c>
    </row>
    <row r="1670" spans="1:10" ht="15.75" customHeight="1" x14ac:dyDescent="0.25">
      <c r="A1670" s="1">
        <v>45184</v>
      </c>
      <c r="B1670" s="188" t="s">
        <v>1625</v>
      </c>
      <c r="C1670" s="188" t="s">
        <v>21</v>
      </c>
      <c r="D1670" s="188" t="s">
        <v>22</v>
      </c>
      <c r="E1670" s="4">
        <v>17780</v>
      </c>
      <c r="F1670" s="5">
        <v>828000</v>
      </c>
      <c r="G1670" s="4">
        <v>173880</v>
      </c>
      <c r="H1670" s="4">
        <v>1019660</v>
      </c>
      <c r="I1670" s="188" t="str">
        <f>VLOOKUP(C1670,CATEGORIZACION!$A$1:$C$269,2,FALSE)</f>
        <v>TRANSPORTE</v>
      </c>
      <c r="J1670" s="188" t="s">
        <v>19</v>
      </c>
    </row>
    <row r="1671" spans="1:10" ht="15.75" customHeight="1" x14ac:dyDescent="0.25">
      <c r="A1671" s="1">
        <v>45184</v>
      </c>
      <c r="B1671" s="188" t="s">
        <v>1626</v>
      </c>
      <c r="C1671" s="188" t="s">
        <v>36</v>
      </c>
      <c r="D1671" s="188" t="s">
        <v>37</v>
      </c>
      <c r="E1671" s="4">
        <v>9200</v>
      </c>
      <c r="F1671" s="5">
        <v>79700</v>
      </c>
      <c r="G1671" s="4">
        <v>16737</v>
      </c>
      <c r="H1671" s="4">
        <v>105637</v>
      </c>
      <c r="I1671" s="188" t="str">
        <f>VLOOKUP(C1671,CATEGORIZACION!$A$1:$C$269,2,FALSE)</f>
        <v>TRANSPORTE</v>
      </c>
      <c r="J1671" s="188" t="s">
        <v>19</v>
      </c>
    </row>
    <row r="1672" spans="1:10" ht="15.75" customHeight="1" x14ac:dyDescent="0.25">
      <c r="A1672" s="1">
        <v>45184</v>
      </c>
      <c r="B1672" s="188" t="s">
        <v>1627</v>
      </c>
      <c r="C1672" s="188" t="s">
        <v>36</v>
      </c>
      <c r="D1672" s="188" t="s">
        <v>37</v>
      </c>
      <c r="E1672" s="4">
        <v>9200</v>
      </c>
      <c r="F1672" s="5">
        <v>79700</v>
      </c>
      <c r="G1672" s="4">
        <v>16737</v>
      </c>
      <c r="H1672" s="4">
        <v>105637</v>
      </c>
      <c r="I1672" s="188" t="str">
        <f>VLOOKUP(C1672,CATEGORIZACION!$A$1:$C$269,2,FALSE)</f>
        <v>TRANSPORTE</v>
      </c>
      <c r="J1672" s="188" t="s">
        <v>19</v>
      </c>
    </row>
    <row r="1673" spans="1:10" ht="15.75" customHeight="1" x14ac:dyDescent="0.25">
      <c r="A1673" s="1">
        <v>45184</v>
      </c>
      <c r="B1673" s="188" t="s">
        <v>1628</v>
      </c>
      <c r="C1673" s="188" t="s">
        <v>36</v>
      </c>
      <c r="D1673" s="188" t="s">
        <v>37</v>
      </c>
      <c r="E1673" s="4">
        <v>9200</v>
      </c>
      <c r="F1673" s="5">
        <v>79700</v>
      </c>
      <c r="G1673" s="4">
        <v>16737</v>
      </c>
      <c r="H1673" s="4">
        <v>105637</v>
      </c>
      <c r="I1673" s="188" t="str">
        <f>VLOOKUP(C1673,CATEGORIZACION!$A$1:$C$269,2,FALSE)</f>
        <v>TRANSPORTE</v>
      </c>
      <c r="J1673" s="188" t="s">
        <v>19</v>
      </c>
    </row>
    <row r="1674" spans="1:10" ht="15.75" customHeight="1" x14ac:dyDescent="0.25">
      <c r="A1674" s="1">
        <v>45184</v>
      </c>
      <c r="B1674" s="188" t="s">
        <v>1629</v>
      </c>
      <c r="C1674" s="188" t="s">
        <v>36</v>
      </c>
      <c r="D1674" s="188" t="s">
        <v>37</v>
      </c>
      <c r="E1674" s="4">
        <v>6200</v>
      </c>
      <c r="F1674" s="5">
        <v>69050</v>
      </c>
      <c r="G1674" s="4">
        <v>14500.5</v>
      </c>
      <c r="H1674" s="4">
        <v>89750.5</v>
      </c>
      <c r="I1674" s="188" t="str">
        <f>VLOOKUP(C1674,CATEGORIZACION!$A$1:$C$269,2,FALSE)</f>
        <v>TRANSPORTE</v>
      </c>
      <c r="J1674" s="188" t="s">
        <v>19</v>
      </c>
    </row>
    <row r="1675" spans="1:10" ht="15.75" customHeight="1" x14ac:dyDescent="0.25">
      <c r="A1675" s="1">
        <v>45187</v>
      </c>
      <c r="B1675" s="188" t="s">
        <v>1630</v>
      </c>
      <c r="C1675" s="188" t="s">
        <v>21</v>
      </c>
      <c r="D1675" s="188" t="s">
        <v>22</v>
      </c>
      <c r="E1675" s="4">
        <v>25520</v>
      </c>
      <c r="F1675" s="5">
        <v>459000</v>
      </c>
      <c r="G1675" s="4">
        <v>96390</v>
      </c>
      <c r="H1675" s="4">
        <v>580910</v>
      </c>
      <c r="I1675" s="188" t="str">
        <f>VLOOKUP(C1675,CATEGORIZACION!$A$1:$C$269,2,FALSE)</f>
        <v>TRANSPORTE</v>
      </c>
      <c r="J1675" s="188" t="s">
        <v>19</v>
      </c>
    </row>
    <row r="1676" spans="1:10" ht="15.75" customHeight="1" x14ac:dyDescent="0.25">
      <c r="A1676" s="1">
        <v>45187</v>
      </c>
      <c r="B1676" s="188" t="s">
        <v>1631</v>
      </c>
      <c r="C1676" s="188" t="s">
        <v>36</v>
      </c>
      <c r="D1676" s="188" t="s">
        <v>37</v>
      </c>
      <c r="E1676" s="4">
        <v>12500</v>
      </c>
      <c r="F1676" s="5">
        <v>104800</v>
      </c>
      <c r="G1676" s="4">
        <v>22008</v>
      </c>
      <c r="H1676" s="4">
        <v>139308</v>
      </c>
      <c r="I1676" s="188" t="str">
        <f>VLOOKUP(C1676,CATEGORIZACION!$A$1:$C$269,2,FALSE)</f>
        <v>TRANSPORTE</v>
      </c>
      <c r="J1676" s="188" t="s">
        <v>19</v>
      </c>
    </row>
    <row r="1677" spans="1:10" ht="15.75" customHeight="1" x14ac:dyDescent="0.25">
      <c r="A1677" s="1">
        <v>45187</v>
      </c>
      <c r="B1677" s="188" t="s">
        <v>1632</v>
      </c>
      <c r="C1677" s="188" t="s">
        <v>36</v>
      </c>
      <c r="D1677" s="188" t="s">
        <v>37</v>
      </c>
      <c r="E1677" s="4">
        <v>12500</v>
      </c>
      <c r="F1677" s="5">
        <v>104800</v>
      </c>
      <c r="G1677" s="4">
        <v>22008</v>
      </c>
      <c r="H1677" s="4">
        <v>139308</v>
      </c>
      <c r="I1677" s="188" t="str">
        <f>VLOOKUP(C1677,CATEGORIZACION!$A$1:$C$269,2,FALSE)</f>
        <v>TRANSPORTE</v>
      </c>
      <c r="J1677" s="188" t="s">
        <v>19</v>
      </c>
    </row>
    <row r="1678" spans="1:10" ht="15.75" customHeight="1" x14ac:dyDescent="0.25">
      <c r="A1678" s="1">
        <v>45187</v>
      </c>
      <c r="B1678" s="188" t="s">
        <v>1633</v>
      </c>
      <c r="C1678" s="188" t="s">
        <v>36</v>
      </c>
      <c r="D1678" s="188" t="s">
        <v>37</v>
      </c>
      <c r="E1678" s="4">
        <v>5000</v>
      </c>
      <c r="F1678" s="5">
        <v>152580</v>
      </c>
      <c r="G1678" s="4">
        <v>32041.8</v>
      </c>
      <c r="H1678" s="4">
        <v>189621.8</v>
      </c>
      <c r="I1678" s="188" t="str">
        <f>VLOOKUP(C1678,CATEGORIZACION!$A$1:$C$269,2,FALSE)</f>
        <v>TRANSPORTE</v>
      </c>
      <c r="J1678" s="188" t="s">
        <v>19</v>
      </c>
    </row>
    <row r="1679" spans="1:10" ht="15.75" customHeight="1" x14ac:dyDescent="0.25">
      <c r="A1679" s="1">
        <v>45187</v>
      </c>
      <c r="B1679" s="188" t="s">
        <v>1634</v>
      </c>
      <c r="C1679" s="188" t="s">
        <v>36</v>
      </c>
      <c r="D1679" s="188" t="s">
        <v>37</v>
      </c>
      <c r="E1679" s="4">
        <v>5000</v>
      </c>
      <c r="F1679" s="5">
        <v>152580</v>
      </c>
      <c r="G1679" s="4">
        <v>32041.8</v>
      </c>
      <c r="H1679" s="4">
        <v>189621.8</v>
      </c>
      <c r="I1679" s="188" t="str">
        <f>VLOOKUP(C1679,CATEGORIZACION!$A$1:$C$269,2,FALSE)</f>
        <v>TRANSPORTE</v>
      </c>
      <c r="J1679" s="188" t="s">
        <v>19</v>
      </c>
    </row>
    <row r="1680" spans="1:10" ht="15.75" customHeight="1" x14ac:dyDescent="0.25">
      <c r="A1680" s="1">
        <v>45187</v>
      </c>
      <c r="B1680" s="188" t="s">
        <v>1635</v>
      </c>
      <c r="C1680" s="188" t="s">
        <v>36</v>
      </c>
      <c r="D1680" s="188" t="s">
        <v>37</v>
      </c>
      <c r="E1680" s="4">
        <v>5000</v>
      </c>
      <c r="F1680" s="5">
        <v>152580</v>
      </c>
      <c r="G1680" s="4">
        <v>32041.8</v>
      </c>
      <c r="H1680" s="4">
        <v>189621.8</v>
      </c>
      <c r="I1680" s="188" t="str">
        <f>VLOOKUP(C1680,CATEGORIZACION!$A$1:$C$269,2,FALSE)</f>
        <v>TRANSPORTE</v>
      </c>
      <c r="J1680" s="188" t="s">
        <v>19</v>
      </c>
    </row>
    <row r="1681" spans="1:10" ht="15.75" customHeight="1" x14ac:dyDescent="0.25">
      <c r="A1681" s="1">
        <v>45187</v>
      </c>
      <c r="B1681" s="188" t="s">
        <v>1636</v>
      </c>
      <c r="C1681" s="188" t="s">
        <v>36</v>
      </c>
      <c r="D1681" s="188" t="s">
        <v>37</v>
      </c>
      <c r="E1681" s="4">
        <v>6200</v>
      </c>
      <c r="F1681" s="5">
        <v>69050</v>
      </c>
      <c r="G1681" s="4">
        <v>14500.5</v>
      </c>
      <c r="H1681" s="4">
        <v>89750.5</v>
      </c>
      <c r="I1681" s="188" t="str">
        <f>VLOOKUP(C1681,CATEGORIZACION!$A$1:$C$269,2,FALSE)</f>
        <v>TRANSPORTE</v>
      </c>
      <c r="J1681" s="188" t="s">
        <v>19</v>
      </c>
    </row>
    <row r="1682" spans="1:10" ht="15.75" customHeight="1" x14ac:dyDescent="0.25">
      <c r="A1682" s="1">
        <v>45187</v>
      </c>
      <c r="B1682" s="188" t="s">
        <v>1637</v>
      </c>
      <c r="C1682" s="188" t="s">
        <v>36</v>
      </c>
      <c r="D1682" s="188" t="s">
        <v>37</v>
      </c>
      <c r="E1682" s="4">
        <v>9200</v>
      </c>
      <c r="F1682" s="5">
        <v>79700</v>
      </c>
      <c r="G1682" s="4">
        <v>16737</v>
      </c>
      <c r="H1682" s="4">
        <v>105637</v>
      </c>
      <c r="I1682" s="188" t="str">
        <f>VLOOKUP(C1682,CATEGORIZACION!$A$1:$C$269,2,FALSE)</f>
        <v>TRANSPORTE</v>
      </c>
      <c r="J1682" s="188" t="s">
        <v>19</v>
      </c>
    </row>
    <row r="1683" spans="1:10" ht="15.75" customHeight="1" x14ac:dyDescent="0.25">
      <c r="A1683" s="1">
        <v>45187</v>
      </c>
      <c r="B1683" s="188" t="s">
        <v>1638</v>
      </c>
      <c r="C1683" s="188" t="s">
        <v>36</v>
      </c>
      <c r="D1683" s="188" t="s">
        <v>37</v>
      </c>
      <c r="E1683" s="4">
        <v>9200</v>
      </c>
      <c r="F1683" s="5">
        <v>79700</v>
      </c>
      <c r="G1683" s="4">
        <v>16737</v>
      </c>
      <c r="H1683" s="4">
        <v>105637</v>
      </c>
      <c r="I1683" s="188" t="str">
        <f>VLOOKUP(C1683,CATEGORIZACION!$A$1:$C$269,2,FALSE)</f>
        <v>TRANSPORTE</v>
      </c>
      <c r="J1683" s="188" t="s">
        <v>19</v>
      </c>
    </row>
    <row r="1684" spans="1:10" ht="15.75" customHeight="1" x14ac:dyDescent="0.25">
      <c r="A1684" s="1">
        <v>45187</v>
      </c>
      <c r="B1684" s="188" t="s">
        <v>1639</v>
      </c>
      <c r="C1684" s="188" t="s">
        <v>36</v>
      </c>
      <c r="D1684" s="188" t="s">
        <v>37</v>
      </c>
      <c r="E1684" s="4">
        <v>16400</v>
      </c>
      <c r="F1684" s="5">
        <v>211380</v>
      </c>
      <c r="G1684" s="4">
        <v>44389.8</v>
      </c>
      <c r="H1684" s="4">
        <v>272169.8</v>
      </c>
      <c r="I1684" s="188" t="str">
        <f>VLOOKUP(C1684,CATEGORIZACION!$A$1:$C$269,2,FALSE)</f>
        <v>TRANSPORTE</v>
      </c>
      <c r="J1684" s="188" t="s">
        <v>19</v>
      </c>
    </row>
    <row r="1685" spans="1:10" ht="15.75" customHeight="1" x14ac:dyDescent="0.25">
      <c r="A1685" s="1">
        <v>45187</v>
      </c>
      <c r="B1685" s="188" t="s">
        <v>1640</v>
      </c>
      <c r="C1685" s="188" t="s">
        <v>36</v>
      </c>
      <c r="D1685" s="188" t="s">
        <v>37</v>
      </c>
      <c r="E1685" s="4">
        <v>12500</v>
      </c>
      <c r="F1685" s="5">
        <v>125760</v>
      </c>
      <c r="G1685" s="4">
        <v>26409.599999999999</v>
      </c>
      <c r="H1685" s="4">
        <v>164669.6</v>
      </c>
      <c r="I1685" s="188" t="str">
        <f>VLOOKUP(C1685,CATEGORIZACION!$A$1:$C$269,2,FALSE)</f>
        <v>TRANSPORTE</v>
      </c>
      <c r="J1685" s="188" t="s">
        <v>19</v>
      </c>
    </row>
    <row r="1686" spans="1:10" ht="15.75" customHeight="1" x14ac:dyDescent="0.25">
      <c r="A1686" s="1">
        <v>45187</v>
      </c>
      <c r="B1686" s="188" t="s">
        <v>1641</v>
      </c>
      <c r="C1686" s="188" t="s">
        <v>801</v>
      </c>
      <c r="D1686" s="188" t="s">
        <v>802</v>
      </c>
      <c r="E1686" s="4">
        <v>3530.32</v>
      </c>
      <c r="F1686" s="5">
        <v>25215</v>
      </c>
      <c r="G1686" s="4">
        <v>5295.15</v>
      </c>
      <c r="H1686" s="4">
        <v>34040.47</v>
      </c>
      <c r="I1686" s="188" t="str">
        <f>VLOOKUP(C1686,CATEGORIZACION!$A$1:$C$269,2,FALSE)</f>
        <v>PROOVEDORES</v>
      </c>
      <c r="J1686" s="188" t="str">
        <f>VLOOKUP(C1686,CATEGORIZACION!$A$1:$C$269,3,FALSE)</f>
        <v>LOGISTICA</v>
      </c>
    </row>
    <row r="1687" spans="1:10" ht="15.75" customHeight="1" x14ac:dyDescent="0.25">
      <c r="A1687" s="1">
        <v>45187</v>
      </c>
      <c r="B1687" s="188" t="s">
        <v>1642</v>
      </c>
      <c r="C1687" s="188" t="s">
        <v>801</v>
      </c>
      <c r="D1687" s="188" t="s">
        <v>802</v>
      </c>
      <c r="E1687" s="4">
        <v>26216.44</v>
      </c>
      <c r="F1687" s="5">
        <v>187251</v>
      </c>
      <c r="G1687" s="4">
        <v>39322.71</v>
      </c>
      <c r="H1687" s="4">
        <v>252790.15</v>
      </c>
      <c r="I1687" s="188" t="str">
        <f>VLOOKUP(C1687,CATEGORIZACION!$A$1:$C$269,2,FALSE)</f>
        <v>PROOVEDORES</v>
      </c>
      <c r="J1687" s="188" t="str">
        <f>VLOOKUP(C1687,CATEGORIZACION!$A$1:$C$269,3,FALSE)</f>
        <v>LOGISTICA</v>
      </c>
    </row>
    <row r="1688" spans="1:10" ht="15.75" customHeight="1" x14ac:dyDescent="0.25">
      <c r="A1688" s="1">
        <v>45187</v>
      </c>
      <c r="B1688" s="188" t="s">
        <v>1643</v>
      </c>
      <c r="C1688" s="188" t="s">
        <v>918</v>
      </c>
      <c r="D1688" s="188" t="s">
        <v>919</v>
      </c>
      <c r="E1688" s="4">
        <v>0</v>
      </c>
      <c r="F1688" s="5">
        <v>495.87</v>
      </c>
      <c r="G1688" s="4">
        <v>104.13</v>
      </c>
      <c r="H1688" s="4">
        <v>600</v>
      </c>
      <c r="I1688" s="188" t="str">
        <f>VLOOKUP(C1688,CATEGORIZACION!$A$1:$C$269,2,FALSE)</f>
        <v>PROOVEDORES</v>
      </c>
      <c r="J1688" s="188" t="str">
        <f>VLOOKUP(C1688,CATEGORIZACION!$A$1:$C$269,3,FALSE)</f>
        <v>LOGISTICA</v>
      </c>
    </row>
    <row r="1689" spans="1:10" ht="15.75" customHeight="1" x14ac:dyDescent="0.25">
      <c r="A1689" s="1">
        <v>45187</v>
      </c>
      <c r="B1689" s="188" t="s">
        <v>1644</v>
      </c>
      <c r="C1689" s="188" t="s">
        <v>918</v>
      </c>
      <c r="D1689" s="188" t="s">
        <v>919</v>
      </c>
      <c r="E1689" s="4">
        <v>476.3</v>
      </c>
      <c r="F1689" s="5">
        <v>26488</v>
      </c>
      <c r="G1689" s="4">
        <v>5562.48</v>
      </c>
      <c r="H1689" s="4">
        <v>32526.78</v>
      </c>
      <c r="I1689" s="188" t="str">
        <f>VLOOKUP(C1689,CATEGORIZACION!$A$1:$C$269,2,FALSE)</f>
        <v>PROOVEDORES</v>
      </c>
      <c r="J1689" s="188" t="str">
        <f>VLOOKUP(C1689,CATEGORIZACION!$A$1:$C$269,3,FALSE)</f>
        <v>LOGISTICA</v>
      </c>
    </row>
    <row r="1690" spans="1:10" ht="15.75" customHeight="1" x14ac:dyDescent="0.25">
      <c r="A1690" s="1">
        <v>45187</v>
      </c>
      <c r="B1690" s="188" t="s">
        <v>1645</v>
      </c>
      <c r="C1690" s="188" t="s">
        <v>804</v>
      </c>
      <c r="D1690" s="188" t="s">
        <v>805</v>
      </c>
      <c r="E1690" s="4">
        <v>335.77</v>
      </c>
      <c r="F1690" s="5">
        <v>6983</v>
      </c>
      <c r="G1690" s="4">
        <v>1466.43</v>
      </c>
      <c r="H1690" s="4">
        <v>8785.2000000000007</v>
      </c>
      <c r="I1690" s="188" t="str">
        <f>VLOOKUP(C1690,CATEGORIZACION!$A$1:$C$269,2,FALSE)</f>
        <v>PROOVEDORES</v>
      </c>
      <c r="J1690" s="188" t="str">
        <f>VLOOKUP(C1690,CATEGORIZACION!$A$1:$C$269,3,FALSE)</f>
        <v>LOGISTICA</v>
      </c>
    </row>
    <row r="1691" spans="1:10" ht="15.75" customHeight="1" x14ac:dyDescent="0.25">
      <c r="A1691" s="1">
        <v>45187</v>
      </c>
      <c r="B1691" s="188" t="s">
        <v>1646</v>
      </c>
      <c r="C1691" s="188" t="s">
        <v>804</v>
      </c>
      <c r="D1691" s="188" t="s">
        <v>805</v>
      </c>
      <c r="E1691" s="4">
        <v>2304.23</v>
      </c>
      <c r="F1691" s="5">
        <v>48017</v>
      </c>
      <c r="G1691" s="4">
        <v>10083.57</v>
      </c>
      <c r="H1691" s="4">
        <v>60404.800000000003</v>
      </c>
      <c r="I1691" s="188" t="str">
        <f>VLOOKUP(C1691,CATEGORIZACION!$A$1:$C$269,2,FALSE)</f>
        <v>PROOVEDORES</v>
      </c>
      <c r="J1691" s="188" t="str">
        <f>VLOOKUP(C1691,CATEGORIZACION!$A$1:$C$269,3,FALSE)</f>
        <v>LOGISTICA</v>
      </c>
    </row>
    <row r="1692" spans="1:10" ht="15.75" customHeight="1" x14ac:dyDescent="0.25">
      <c r="A1692" s="1">
        <v>45188</v>
      </c>
      <c r="B1692" s="188" t="s">
        <v>1647</v>
      </c>
      <c r="C1692" s="188" t="s">
        <v>1143</v>
      </c>
      <c r="D1692" s="188" t="s">
        <v>1144</v>
      </c>
      <c r="E1692" s="4">
        <v>0</v>
      </c>
      <c r="F1692" s="3">
        <v>368412</v>
      </c>
      <c r="G1692" s="4">
        <v>77366.52</v>
      </c>
      <c r="H1692" s="4">
        <v>445778.52</v>
      </c>
      <c r="I1692" s="188" t="str">
        <f>VLOOKUP(C1692,CATEGORIZACION!$A$1:$C$269,2,FALSE)</f>
        <v>PROOVEDORES</v>
      </c>
      <c r="J1692" s="188" t="str">
        <f>VLOOKUP(C1692,CATEGORIZACION!$A$1:$C$269,3,FALSE)</f>
        <v>DEPOSITO</v>
      </c>
    </row>
    <row r="1693" spans="1:10" ht="15.75" customHeight="1" x14ac:dyDescent="0.25">
      <c r="A1693" s="1">
        <v>45188</v>
      </c>
      <c r="B1693" s="188" t="s">
        <v>1648</v>
      </c>
      <c r="C1693" s="188" t="s">
        <v>450</v>
      </c>
      <c r="D1693" s="188" t="s">
        <v>451</v>
      </c>
      <c r="E1693" s="4">
        <v>0</v>
      </c>
      <c r="F1693" s="3">
        <v>25339.37</v>
      </c>
      <c r="G1693" s="4">
        <v>2660.63</v>
      </c>
      <c r="H1693" s="4">
        <v>28000</v>
      </c>
      <c r="I1693" s="188" t="str">
        <f>VLOOKUP(C1693,CATEGORIZACION!$A$1:$C$269,2,FALSE)</f>
        <v>PROOVEDORES</v>
      </c>
      <c r="J1693" s="188" t="str">
        <f>VLOOKUP(C1693,CATEGORIZACION!$A$1:$C$269,3,FALSE)</f>
        <v>DEPOSITO</v>
      </c>
    </row>
    <row r="1694" spans="1:10" ht="15.75" customHeight="1" x14ac:dyDescent="0.25">
      <c r="A1694" s="1">
        <v>45188</v>
      </c>
      <c r="B1694" s="188" t="s">
        <v>1649</v>
      </c>
      <c r="C1694" s="188" t="s">
        <v>450</v>
      </c>
      <c r="D1694" s="188" t="s">
        <v>451</v>
      </c>
      <c r="E1694" s="4">
        <v>0</v>
      </c>
      <c r="F1694" s="3">
        <v>7000</v>
      </c>
      <c r="G1694" s="4">
        <v>1470</v>
      </c>
      <c r="H1694" s="4">
        <v>8470</v>
      </c>
      <c r="I1694" s="188" t="str">
        <f>VLOOKUP(C1694,CATEGORIZACION!$A$1:$C$269,2,FALSE)</f>
        <v>PROOVEDORES</v>
      </c>
      <c r="J1694" s="188" t="str">
        <f>VLOOKUP(C1694,CATEGORIZACION!$A$1:$C$269,3,FALSE)</f>
        <v>DEPOSITO</v>
      </c>
    </row>
    <row r="1695" spans="1:10" ht="15.75" customHeight="1" x14ac:dyDescent="0.25">
      <c r="A1695" s="1">
        <v>45188</v>
      </c>
      <c r="B1695" s="188" t="s">
        <v>1650</v>
      </c>
      <c r="C1695" s="188" t="s">
        <v>337</v>
      </c>
      <c r="D1695" s="188" t="s">
        <v>174</v>
      </c>
      <c r="E1695" s="4">
        <v>0</v>
      </c>
      <c r="F1695" s="5">
        <v>98550</v>
      </c>
      <c r="G1695" s="4">
        <v>20695.5</v>
      </c>
      <c r="H1695" s="4">
        <v>119245.5</v>
      </c>
      <c r="I1695" s="188" t="str">
        <f>VLOOKUP(C1695,CATEGORIZACION!$A$1:$C$269,2,FALSE)</f>
        <v>TRANSPORTE</v>
      </c>
      <c r="J1695" s="188" t="s">
        <v>19</v>
      </c>
    </row>
    <row r="1696" spans="1:10" ht="15.75" customHeight="1" x14ac:dyDescent="0.25">
      <c r="A1696" s="1">
        <v>45188</v>
      </c>
      <c r="B1696" s="188" t="s">
        <v>1651</v>
      </c>
      <c r="C1696" s="188" t="s">
        <v>337</v>
      </c>
      <c r="D1696" s="188" t="s">
        <v>174</v>
      </c>
      <c r="E1696" s="4">
        <v>0</v>
      </c>
      <c r="F1696" s="5">
        <v>101200</v>
      </c>
      <c r="G1696" s="4">
        <v>21252</v>
      </c>
      <c r="H1696" s="4">
        <v>122452</v>
      </c>
      <c r="I1696" s="188" t="str">
        <f>VLOOKUP(C1696,CATEGORIZACION!$A$1:$C$269,2,FALSE)</f>
        <v>TRANSPORTE</v>
      </c>
      <c r="J1696" s="188" t="s">
        <v>19</v>
      </c>
    </row>
    <row r="1697" spans="1:10" ht="15.75" customHeight="1" x14ac:dyDescent="0.25">
      <c r="A1697" s="1">
        <v>45188</v>
      </c>
      <c r="B1697" s="188" t="s">
        <v>1652</v>
      </c>
      <c r="C1697" s="188" t="s">
        <v>650</v>
      </c>
      <c r="D1697" s="188" t="s">
        <v>130</v>
      </c>
      <c r="E1697" s="4">
        <v>1320</v>
      </c>
      <c r="F1697" s="3">
        <v>165000</v>
      </c>
      <c r="G1697" s="4">
        <v>34650</v>
      </c>
      <c r="H1697" s="4">
        <v>200970</v>
      </c>
      <c r="I1697" s="188" t="str">
        <f>VLOOKUP(C1697,CATEGORIZACION!$A$1:$C$269,2,FALSE)</f>
        <v>PROOVEDORES</v>
      </c>
      <c r="J1697" s="188" t="str">
        <f>VLOOKUP(C1697,CATEGORIZACION!$A$1:$C$269,3,FALSE)</f>
        <v>DEPOSITO</v>
      </c>
    </row>
    <row r="1698" spans="1:10" ht="15.75" customHeight="1" x14ac:dyDescent="0.25">
      <c r="A1698" s="1">
        <v>45188</v>
      </c>
      <c r="B1698" s="188" t="s">
        <v>1653</v>
      </c>
      <c r="C1698" s="188" t="s">
        <v>21</v>
      </c>
      <c r="D1698" s="188" t="s">
        <v>22</v>
      </c>
      <c r="E1698" s="4">
        <v>0</v>
      </c>
      <c r="F1698" s="5">
        <v>153000</v>
      </c>
      <c r="G1698" s="4">
        <v>32130</v>
      </c>
      <c r="H1698" s="4">
        <v>185130</v>
      </c>
      <c r="I1698" s="188" t="str">
        <f>VLOOKUP(C1698,CATEGORIZACION!$A$1:$C$269,2,FALSE)</f>
        <v>TRANSPORTE</v>
      </c>
      <c r="J1698" s="188" t="s">
        <v>19</v>
      </c>
    </row>
    <row r="1699" spans="1:10" ht="15.75" customHeight="1" x14ac:dyDescent="0.25">
      <c r="A1699" s="1">
        <v>45188</v>
      </c>
      <c r="B1699" s="188" t="s">
        <v>1654</v>
      </c>
      <c r="C1699" s="188" t="s">
        <v>253</v>
      </c>
      <c r="D1699" s="188" t="s">
        <v>57</v>
      </c>
      <c r="E1699" s="4">
        <v>0</v>
      </c>
      <c r="F1699" s="5">
        <v>74444.05</v>
      </c>
      <c r="G1699" s="4">
        <v>15633.25</v>
      </c>
      <c r="H1699" s="4">
        <v>90077.3</v>
      </c>
      <c r="I1699" s="188" t="str">
        <f>VLOOKUP(C1699,CATEGORIZACION!$A$1:$C$269,2,FALSE)</f>
        <v>PROOVEDORES</v>
      </c>
      <c r="J1699" s="188" t="str">
        <f>VLOOKUP(C1699,CATEGORIZACION!$A$1:$C$269,3,FALSE)</f>
        <v>LOGISTICA</v>
      </c>
    </row>
    <row r="1700" spans="1:10" ht="15.75" customHeight="1" x14ac:dyDescent="0.25">
      <c r="A1700" s="1">
        <v>45188</v>
      </c>
      <c r="B1700" s="188" t="s">
        <v>1655</v>
      </c>
      <c r="C1700" s="188" t="s">
        <v>1050</v>
      </c>
      <c r="D1700" s="188" t="s">
        <v>1051</v>
      </c>
      <c r="E1700" s="4">
        <v>6237.4</v>
      </c>
      <c r="F1700" s="5">
        <v>164142.15</v>
      </c>
      <c r="G1700" s="4">
        <v>34469.85</v>
      </c>
      <c r="H1700" s="4">
        <v>204849.4</v>
      </c>
      <c r="I1700" s="188" t="str">
        <f>VLOOKUP(C1700,CATEGORIZACION!$A$1:$C$269,2,FALSE)</f>
        <v>PROOVEDORES</v>
      </c>
      <c r="J1700" s="188" t="str">
        <f>VLOOKUP(C1700,CATEGORIZACION!$A$1:$C$269,3,FALSE)</f>
        <v>LOGISTICA</v>
      </c>
    </row>
    <row r="1701" spans="1:10" ht="15.75" customHeight="1" x14ac:dyDescent="0.25">
      <c r="A1701" s="1">
        <v>45188</v>
      </c>
      <c r="B1701" s="188" t="s">
        <v>1656</v>
      </c>
      <c r="C1701" s="188" t="s">
        <v>1501</v>
      </c>
      <c r="D1701" s="188" t="s">
        <v>1502</v>
      </c>
      <c r="E1701" s="4">
        <v>0</v>
      </c>
      <c r="F1701" s="5">
        <v>165.29</v>
      </c>
      <c r="G1701" s="4">
        <v>34.71</v>
      </c>
      <c r="H1701" s="4">
        <v>200</v>
      </c>
      <c r="I1701" s="188" t="str">
        <f>VLOOKUP(C1701,CATEGORIZACION!$A$1:$C$269,2,FALSE)</f>
        <v>PROOVEDORES</v>
      </c>
      <c r="J1701" s="188" t="str">
        <f>VLOOKUP(C1701,CATEGORIZACION!$A$1:$C$269,3,FALSE)</f>
        <v>LOGISTICA</v>
      </c>
    </row>
    <row r="1702" spans="1:10" ht="15.75" customHeight="1" x14ac:dyDescent="0.25">
      <c r="A1702" s="1">
        <v>45188</v>
      </c>
      <c r="B1702" s="188" t="s">
        <v>1657</v>
      </c>
      <c r="C1702" s="188" t="s">
        <v>214</v>
      </c>
      <c r="D1702" s="188" t="s">
        <v>471</v>
      </c>
      <c r="E1702" s="4">
        <v>96000</v>
      </c>
      <c r="F1702" s="5">
        <v>0</v>
      </c>
      <c r="G1702" s="4">
        <v>0</v>
      </c>
      <c r="H1702" s="4">
        <v>96000</v>
      </c>
      <c r="I1702" s="188" t="str">
        <f>VLOOKUP(C1702,CATEGORIZACION!$A$1:$C$269,2,FALSE)</f>
        <v>PROOVEDORES</v>
      </c>
      <c r="J1702" s="188" t="str">
        <f>VLOOKUP(C1702,CATEGORIZACION!$A$1:$C$269,3,FALSE)</f>
        <v>LOGISTICA</v>
      </c>
    </row>
    <row r="1703" spans="1:10" ht="15.75" customHeight="1" x14ac:dyDescent="0.25">
      <c r="A1703" s="1">
        <v>45189</v>
      </c>
      <c r="B1703" s="188" t="s">
        <v>1658</v>
      </c>
      <c r="C1703" s="188" t="s">
        <v>1659</v>
      </c>
      <c r="D1703" s="188" t="s">
        <v>1660</v>
      </c>
      <c r="E1703" s="4">
        <v>0</v>
      </c>
      <c r="F1703" s="5">
        <v>1539.23</v>
      </c>
      <c r="G1703" s="4">
        <v>323.24</v>
      </c>
      <c r="H1703" s="4">
        <v>1862.47</v>
      </c>
      <c r="I1703" s="188" t="str">
        <f>VLOOKUP(C1703,CATEGORIZACION!$A$1:$C$269,2,FALSE)</f>
        <v>PROOVEDORES</v>
      </c>
      <c r="J1703" s="188" t="str">
        <f>VLOOKUP(C1703,CATEGORIZACION!$A$1:$C$269,3,FALSE)</f>
        <v>LOGISTICA</v>
      </c>
    </row>
    <row r="1704" spans="1:10" ht="15.75" customHeight="1" x14ac:dyDescent="0.25">
      <c r="A1704" s="1">
        <v>45190</v>
      </c>
      <c r="B1704" s="188" t="s">
        <v>1661</v>
      </c>
      <c r="C1704" s="188" t="s">
        <v>52</v>
      </c>
      <c r="D1704" s="188" t="s">
        <v>53</v>
      </c>
      <c r="E1704" s="4">
        <v>0</v>
      </c>
      <c r="F1704" s="3">
        <v>233760.79</v>
      </c>
      <c r="G1704" s="4">
        <v>49089.77</v>
      </c>
      <c r="H1704" s="4">
        <v>282850.56</v>
      </c>
      <c r="I1704" s="188" t="str">
        <f>VLOOKUP(C1704,CATEGORIZACION!$A$1:$C$269,2,FALSE)</f>
        <v>PROOVEDORES</v>
      </c>
      <c r="J1704" s="188" t="str">
        <f>VLOOKUP(C1704,CATEGORIZACION!$A$1:$C$269,3,FALSE)</f>
        <v>DEPOSITO</v>
      </c>
    </row>
    <row r="1705" spans="1:10" ht="15.75" customHeight="1" x14ac:dyDescent="0.25">
      <c r="A1705" s="1">
        <v>45191</v>
      </c>
      <c r="B1705" s="188" t="s">
        <v>1662</v>
      </c>
      <c r="C1705" s="188" t="s">
        <v>248</v>
      </c>
      <c r="D1705" s="188" t="s">
        <v>249</v>
      </c>
      <c r="E1705" s="4">
        <v>0</v>
      </c>
      <c r="F1705" s="5">
        <v>426735</v>
      </c>
      <c r="G1705" s="4">
        <v>89614.35</v>
      </c>
      <c r="H1705" s="4">
        <v>516349.35</v>
      </c>
      <c r="I1705" s="188" t="str">
        <f>VLOOKUP(C1705,CATEGORIZACION!$A$1:$C$269,2,FALSE)</f>
        <v>PROOVEDORES</v>
      </c>
      <c r="J1705" s="188" t="str">
        <f>VLOOKUP(C1705,CATEGORIZACION!$A$1:$C$269,3,FALSE)</f>
        <v>LOGISTICA</v>
      </c>
    </row>
    <row r="1706" spans="1:10" ht="15.75" customHeight="1" x14ac:dyDescent="0.25">
      <c r="A1706" s="1">
        <v>45191</v>
      </c>
      <c r="B1706" s="188" t="s">
        <v>1663</v>
      </c>
      <c r="C1706" s="188" t="s">
        <v>1664</v>
      </c>
      <c r="D1706" s="188" t="s">
        <v>1665</v>
      </c>
      <c r="E1706" s="4">
        <v>0</v>
      </c>
      <c r="F1706" s="5">
        <v>320000</v>
      </c>
      <c r="G1706" s="4">
        <v>67200</v>
      </c>
      <c r="H1706" s="4">
        <v>387200</v>
      </c>
      <c r="I1706" s="188" t="str">
        <f>VLOOKUP(C1706,CATEGORIZACION!$A$1:$C$269,2,FALSE)</f>
        <v>PROOVEDORES</v>
      </c>
      <c r="J1706" s="188" t="str">
        <f>VLOOKUP(C1706,CATEGORIZACION!$A$1:$C$269,3,FALSE)</f>
        <v>LOGISTICA</v>
      </c>
    </row>
    <row r="1707" spans="1:10" ht="15.75" customHeight="1" x14ac:dyDescent="0.25">
      <c r="A1707" s="1">
        <v>45191</v>
      </c>
      <c r="B1707" s="188" t="s">
        <v>1666</v>
      </c>
      <c r="C1707" s="188" t="s">
        <v>21</v>
      </c>
      <c r="D1707" s="188" t="s">
        <v>22</v>
      </c>
      <c r="E1707" s="4">
        <v>25120</v>
      </c>
      <c r="F1707" s="5">
        <v>413800</v>
      </c>
      <c r="G1707" s="4">
        <v>86898</v>
      </c>
      <c r="H1707" s="4">
        <v>525818</v>
      </c>
      <c r="I1707" s="188" t="str">
        <f>VLOOKUP(C1707,CATEGORIZACION!$A$1:$C$269,2,FALSE)</f>
        <v>TRANSPORTE</v>
      </c>
      <c r="J1707" s="188" t="s">
        <v>19</v>
      </c>
    </row>
    <row r="1708" spans="1:10" ht="15.75" customHeight="1" x14ac:dyDescent="0.25">
      <c r="A1708" s="1">
        <v>45191</v>
      </c>
      <c r="B1708" s="188" t="s">
        <v>1667</v>
      </c>
      <c r="C1708" s="188" t="s">
        <v>21</v>
      </c>
      <c r="D1708" s="188" t="s">
        <v>22</v>
      </c>
      <c r="E1708" s="4">
        <v>43960</v>
      </c>
      <c r="F1708" s="5">
        <v>690400</v>
      </c>
      <c r="G1708" s="4">
        <v>144984</v>
      </c>
      <c r="H1708" s="4">
        <v>879344</v>
      </c>
      <c r="I1708" s="188" t="str">
        <f>VLOOKUP(C1708,CATEGORIZACION!$A$1:$C$269,2,FALSE)</f>
        <v>TRANSPORTE</v>
      </c>
      <c r="J1708" s="188" t="s">
        <v>19</v>
      </c>
    </row>
    <row r="1709" spans="1:10" ht="15.75" customHeight="1" x14ac:dyDescent="0.25">
      <c r="A1709" s="1">
        <v>45191</v>
      </c>
      <c r="B1709" s="188" t="s">
        <v>1668</v>
      </c>
      <c r="C1709" s="188" t="s">
        <v>21</v>
      </c>
      <c r="D1709" s="188" t="s">
        <v>22</v>
      </c>
      <c r="E1709" s="4">
        <v>10080</v>
      </c>
      <c r="F1709" s="5">
        <v>207200</v>
      </c>
      <c r="G1709" s="4">
        <v>43512</v>
      </c>
      <c r="H1709" s="4">
        <v>260792</v>
      </c>
      <c r="I1709" s="188" t="str">
        <f>VLOOKUP(C1709,CATEGORIZACION!$A$1:$C$269,2,FALSE)</f>
        <v>TRANSPORTE</v>
      </c>
      <c r="J1709" s="188" t="s">
        <v>19</v>
      </c>
    </row>
    <row r="1710" spans="1:10" ht="15.75" customHeight="1" x14ac:dyDescent="0.25">
      <c r="A1710" s="1">
        <v>45191</v>
      </c>
      <c r="B1710" s="188" t="s">
        <v>1669</v>
      </c>
      <c r="C1710" s="188" t="s">
        <v>36</v>
      </c>
      <c r="D1710" s="188" t="s">
        <v>37</v>
      </c>
      <c r="E1710" s="4">
        <v>3500</v>
      </c>
      <c r="F1710" s="5">
        <v>65950</v>
      </c>
      <c r="G1710" s="4">
        <v>13849.5</v>
      </c>
      <c r="H1710" s="4">
        <v>83299.5</v>
      </c>
      <c r="I1710" s="188" t="str">
        <f>VLOOKUP(C1710,CATEGORIZACION!$A$1:$C$269,2,FALSE)</f>
        <v>TRANSPORTE</v>
      </c>
      <c r="J1710" s="188" t="s">
        <v>19</v>
      </c>
    </row>
    <row r="1711" spans="1:10" ht="15.75" customHeight="1" x14ac:dyDescent="0.25">
      <c r="A1711" s="1">
        <v>45191</v>
      </c>
      <c r="B1711" s="188" t="s">
        <v>1670</v>
      </c>
      <c r="C1711" s="188" t="s">
        <v>36</v>
      </c>
      <c r="D1711" s="188" t="s">
        <v>37</v>
      </c>
      <c r="E1711" s="4">
        <v>13500</v>
      </c>
      <c r="F1711" s="5">
        <v>296625</v>
      </c>
      <c r="G1711" s="4">
        <v>62291.25</v>
      </c>
      <c r="H1711" s="4">
        <v>372416.25</v>
      </c>
      <c r="I1711" s="188" t="str">
        <f>VLOOKUP(C1711,CATEGORIZACION!$A$1:$C$269,2,FALSE)</f>
        <v>TRANSPORTE</v>
      </c>
      <c r="J1711" s="188" t="s">
        <v>19</v>
      </c>
    </row>
    <row r="1712" spans="1:10" ht="15.75" customHeight="1" x14ac:dyDescent="0.25">
      <c r="A1712" s="1">
        <v>45191</v>
      </c>
      <c r="B1712" s="188" t="s">
        <v>1671</v>
      </c>
      <c r="C1712" s="188" t="s">
        <v>36</v>
      </c>
      <c r="D1712" s="188" t="s">
        <v>37</v>
      </c>
      <c r="E1712" s="4">
        <v>10500</v>
      </c>
      <c r="F1712" s="5">
        <v>254250</v>
      </c>
      <c r="G1712" s="4">
        <v>53392.5</v>
      </c>
      <c r="H1712" s="4">
        <v>318142.5</v>
      </c>
      <c r="I1712" s="188" t="str">
        <f>VLOOKUP(C1712,CATEGORIZACION!$A$1:$C$269,2,FALSE)</f>
        <v>TRANSPORTE</v>
      </c>
      <c r="J1712" s="188" t="s">
        <v>19</v>
      </c>
    </row>
    <row r="1713" spans="1:10" ht="15.75" customHeight="1" x14ac:dyDescent="0.25">
      <c r="A1713" s="1">
        <v>45194</v>
      </c>
      <c r="B1713" s="188" t="s">
        <v>1672</v>
      </c>
      <c r="C1713" s="188" t="s">
        <v>21</v>
      </c>
      <c r="D1713" s="188" t="s">
        <v>22</v>
      </c>
      <c r="E1713" s="4">
        <v>87480</v>
      </c>
      <c r="F1713" s="5">
        <v>736500</v>
      </c>
      <c r="G1713" s="4">
        <v>154665</v>
      </c>
      <c r="H1713" s="4">
        <v>978645</v>
      </c>
      <c r="I1713" s="188" t="str">
        <f>VLOOKUP(C1713,CATEGORIZACION!$A$1:$C$269,2,FALSE)</f>
        <v>TRANSPORTE</v>
      </c>
      <c r="J1713" s="188" t="s">
        <v>19</v>
      </c>
    </row>
    <row r="1714" spans="1:10" ht="15.75" customHeight="1" x14ac:dyDescent="0.25">
      <c r="A1714" s="1">
        <v>45194</v>
      </c>
      <c r="B1714" s="188" t="s">
        <v>1673</v>
      </c>
      <c r="C1714" s="188" t="s">
        <v>153</v>
      </c>
      <c r="D1714" s="188" t="s">
        <v>154</v>
      </c>
      <c r="E1714" s="4">
        <v>323.33999999999997</v>
      </c>
      <c r="F1714" s="3">
        <v>40417.69</v>
      </c>
      <c r="G1714" s="4">
        <v>8487.7099999999991</v>
      </c>
      <c r="H1714" s="4">
        <v>49228.74</v>
      </c>
      <c r="I1714" s="188" t="str">
        <f>VLOOKUP(C1714,CATEGORIZACION!$A$1:$C$269,2,FALSE)</f>
        <v>PROOVEDORES</v>
      </c>
      <c r="J1714" s="188" t="str">
        <f>VLOOKUP(C1714,CATEGORIZACION!$A$1:$C$269,3,FALSE)</f>
        <v>DEPOSITO</v>
      </c>
    </row>
    <row r="1715" spans="1:10" ht="15.75" customHeight="1" x14ac:dyDescent="0.25">
      <c r="A1715" s="1">
        <v>45194</v>
      </c>
      <c r="B1715" s="188" t="s">
        <v>1674</v>
      </c>
      <c r="C1715" s="188" t="s">
        <v>426</v>
      </c>
      <c r="D1715" s="188" t="s">
        <v>427</v>
      </c>
      <c r="E1715" s="4">
        <v>2495</v>
      </c>
      <c r="F1715" s="5">
        <v>34632.230000000003</v>
      </c>
      <c r="G1715" s="4">
        <v>7272.77</v>
      </c>
      <c r="H1715" s="4">
        <v>44400</v>
      </c>
      <c r="I1715" s="188" t="str">
        <f>VLOOKUP(C1715,CATEGORIZACION!$A$1:$C$269,2,FALSE)</f>
        <v>PROOVEDORES</v>
      </c>
      <c r="J1715" s="188" t="str">
        <f>VLOOKUP(C1715,CATEGORIZACION!$A$1:$C$269,3,FALSE)</f>
        <v>LOGISTICA</v>
      </c>
    </row>
    <row r="1716" spans="1:10" ht="15.75" customHeight="1" x14ac:dyDescent="0.25">
      <c r="A1716" s="1">
        <v>45195</v>
      </c>
      <c r="B1716" s="188" t="s">
        <v>1675</v>
      </c>
      <c r="C1716" s="188" t="s">
        <v>21</v>
      </c>
      <c r="D1716" s="188" t="s">
        <v>22</v>
      </c>
      <c r="E1716" s="4">
        <v>35088</v>
      </c>
      <c r="F1716" s="5">
        <v>553200</v>
      </c>
      <c r="G1716" s="4">
        <v>116172</v>
      </c>
      <c r="H1716" s="4">
        <v>704460</v>
      </c>
      <c r="I1716" s="188" t="str">
        <f>VLOOKUP(C1716,CATEGORIZACION!$A$1:$C$269,2,FALSE)</f>
        <v>TRANSPORTE</v>
      </c>
      <c r="J1716" s="188" t="s">
        <v>19</v>
      </c>
    </row>
    <row r="1717" spans="1:10" ht="15.75" customHeight="1" x14ac:dyDescent="0.25">
      <c r="A1717" s="1">
        <v>45195</v>
      </c>
      <c r="B1717" s="188" t="s">
        <v>1676</v>
      </c>
      <c r="C1717" s="188" t="s">
        <v>21</v>
      </c>
      <c r="D1717" s="188" t="s">
        <v>22</v>
      </c>
      <c r="E1717" s="4">
        <v>35088</v>
      </c>
      <c r="F1717" s="5">
        <v>598200</v>
      </c>
      <c r="G1717" s="4">
        <v>125622</v>
      </c>
      <c r="H1717" s="4">
        <v>758910</v>
      </c>
      <c r="I1717" s="188" t="str">
        <f>VLOOKUP(C1717,CATEGORIZACION!$A$1:$C$269,2,FALSE)</f>
        <v>TRANSPORTE</v>
      </c>
      <c r="J1717" s="188" t="s">
        <v>19</v>
      </c>
    </row>
    <row r="1718" spans="1:10" ht="15.75" customHeight="1" x14ac:dyDescent="0.25">
      <c r="A1718" s="1">
        <v>45195</v>
      </c>
      <c r="B1718" s="188" t="s">
        <v>1677</v>
      </c>
      <c r="C1718" s="188" t="s">
        <v>21</v>
      </c>
      <c r="D1718" s="188" t="s">
        <v>22</v>
      </c>
      <c r="E1718" s="4">
        <v>30032</v>
      </c>
      <c r="F1718" s="5">
        <v>495800</v>
      </c>
      <c r="G1718" s="4">
        <v>104118</v>
      </c>
      <c r="H1718" s="4">
        <v>629950</v>
      </c>
      <c r="I1718" s="188" t="str">
        <f>VLOOKUP(C1718,CATEGORIZACION!$A$1:$C$269,2,FALSE)</f>
        <v>TRANSPORTE</v>
      </c>
      <c r="J1718" s="188" t="s">
        <v>19</v>
      </c>
    </row>
    <row r="1719" spans="1:10" ht="15.75" customHeight="1" x14ac:dyDescent="0.25">
      <c r="A1719" s="1">
        <v>45195</v>
      </c>
      <c r="B1719" s="188" t="s">
        <v>1678</v>
      </c>
      <c r="C1719" s="188" t="s">
        <v>36</v>
      </c>
      <c r="D1719" s="188" t="s">
        <v>37</v>
      </c>
      <c r="E1719" s="4">
        <v>5000</v>
      </c>
      <c r="F1719" s="5">
        <v>254250</v>
      </c>
      <c r="G1719" s="4">
        <v>53392.5</v>
      </c>
      <c r="H1719" s="4">
        <v>312642.5</v>
      </c>
      <c r="I1719" s="188" t="str">
        <f>VLOOKUP(C1719,CATEGORIZACION!$A$1:$C$269,2,FALSE)</f>
        <v>TRANSPORTE</v>
      </c>
      <c r="J1719" s="188" t="s">
        <v>19</v>
      </c>
    </row>
    <row r="1720" spans="1:10" ht="15.75" customHeight="1" x14ac:dyDescent="0.25">
      <c r="A1720" s="1">
        <v>45195</v>
      </c>
      <c r="B1720" s="188" t="s">
        <v>1679</v>
      </c>
      <c r="C1720" s="188" t="s">
        <v>36</v>
      </c>
      <c r="D1720" s="188" t="s">
        <v>37</v>
      </c>
      <c r="E1720" s="4">
        <v>5000</v>
      </c>
      <c r="F1720" s="5">
        <v>254250</v>
      </c>
      <c r="G1720" s="4">
        <v>53392.5</v>
      </c>
      <c r="H1720" s="4">
        <v>312642.5</v>
      </c>
      <c r="I1720" s="188" t="str">
        <f>VLOOKUP(C1720,CATEGORIZACION!$A$1:$C$269,2,FALSE)</f>
        <v>TRANSPORTE</v>
      </c>
      <c r="J1720" s="188" t="s">
        <v>19</v>
      </c>
    </row>
    <row r="1721" spans="1:10" ht="15.75" customHeight="1" x14ac:dyDescent="0.25">
      <c r="A1721" s="1">
        <v>45195</v>
      </c>
      <c r="B1721" s="188" t="s">
        <v>1680</v>
      </c>
      <c r="C1721" s="188" t="s">
        <v>36</v>
      </c>
      <c r="D1721" s="188" t="s">
        <v>37</v>
      </c>
      <c r="E1721" s="4">
        <v>5000</v>
      </c>
      <c r="F1721" s="5">
        <v>254250</v>
      </c>
      <c r="G1721" s="4">
        <v>53392.5</v>
      </c>
      <c r="H1721" s="4">
        <v>312642.5</v>
      </c>
      <c r="I1721" s="188" t="str">
        <f>VLOOKUP(C1721,CATEGORIZACION!$A$1:$C$269,2,FALSE)</f>
        <v>TRANSPORTE</v>
      </c>
      <c r="J1721" s="188" t="s">
        <v>19</v>
      </c>
    </row>
    <row r="1722" spans="1:10" ht="15.75" customHeight="1" x14ac:dyDescent="0.25">
      <c r="A1722" s="1">
        <v>45195</v>
      </c>
      <c r="B1722" s="188" t="s">
        <v>1681</v>
      </c>
      <c r="C1722" s="188" t="s">
        <v>36</v>
      </c>
      <c r="D1722" s="188" t="s">
        <v>37</v>
      </c>
      <c r="E1722" s="4">
        <v>5000</v>
      </c>
      <c r="F1722" s="5">
        <v>254250</v>
      </c>
      <c r="G1722" s="4">
        <v>53392.5</v>
      </c>
      <c r="H1722" s="4">
        <v>312642.5</v>
      </c>
      <c r="I1722" s="188" t="str">
        <f>VLOOKUP(C1722,CATEGORIZACION!$A$1:$C$269,2,FALSE)</f>
        <v>TRANSPORTE</v>
      </c>
      <c r="J1722" s="188" t="s">
        <v>19</v>
      </c>
    </row>
    <row r="1723" spans="1:10" ht="15.75" customHeight="1" x14ac:dyDescent="0.25">
      <c r="A1723" s="1">
        <v>45195</v>
      </c>
      <c r="B1723" s="188" t="s">
        <v>1682</v>
      </c>
      <c r="C1723" s="188" t="s">
        <v>36</v>
      </c>
      <c r="D1723" s="188" t="s">
        <v>37</v>
      </c>
      <c r="E1723" s="4">
        <v>5000</v>
      </c>
      <c r="F1723" s="5">
        <v>254250</v>
      </c>
      <c r="G1723" s="4">
        <v>53392.5</v>
      </c>
      <c r="H1723" s="4">
        <v>312642.5</v>
      </c>
      <c r="I1723" s="188" t="str">
        <f>VLOOKUP(C1723,CATEGORIZACION!$A$1:$C$269,2,FALSE)</f>
        <v>TRANSPORTE</v>
      </c>
      <c r="J1723" s="188" t="s">
        <v>19</v>
      </c>
    </row>
    <row r="1724" spans="1:10" ht="15.75" customHeight="1" x14ac:dyDescent="0.25">
      <c r="A1724" s="1">
        <v>45195</v>
      </c>
      <c r="B1724" s="188" t="s">
        <v>1683</v>
      </c>
      <c r="C1724" s="188" t="s">
        <v>36</v>
      </c>
      <c r="D1724" s="188" t="s">
        <v>37</v>
      </c>
      <c r="E1724" s="4">
        <v>12500</v>
      </c>
      <c r="F1724" s="5">
        <v>104800</v>
      </c>
      <c r="G1724" s="4">
        <v>22008</v>
      </c>
      <c r="H1724" s="4">
        <v>139308</v>
      </c>
      <c r="I1724" s="188" t="str">
        <f>VLOOKUP(C1724,CATEGORIZACION!$A$1:$C$269,2,FALSE)</f>
        <v>TRANSPORTE</v>
      </c>
      <c r="J1724" s="188" t="s">
        <v>19</v>
      </c>
    </row>
    <row r="1725" spans="1:10" ht="15.75" customHeight="1" x14ac:dyDescent="0.25">
      <c r="A1725" s="1">
        <v>45195</v>
      </c>
      <c r="B1725" s="188" t="s">
        <v>1684</v>
      </c>
      <c r="C1725" s="188" t="s">
        <v>36</v>
      </c>
      <c r="D1725" s="188" t="s">
        <v>37</v>
      </c>
      <c r="E1725" s="4">
        <v>12500</v>
      </c>
      <c r="F1725" s="5">
        <v>104800</v>
      </c>
      <c r="G1725" s="4">
        <v>22008</v>
      </c>
      <c r="H1725" s="4">
        <v>139308</v>
      </c>
      <c r="I1725" s="188" t="str">
        <f>VLOOKUP(C1725,CATEGORIZACION!$A$1:$C$269,2,FALSE)</f>
        <v>TRANSPORTE</v>
      </c>
      <c r="J1725" s="188" t="s">
        <v>19</v>
      </c>
    </row>
    <row r="1726" spans="1:10" ht="15.75" customHeight="1" x14ac:dyDescent="0.25">
      <c r="A1726" s="1">
        <v>45195</v>
      </c>
      <c r="B1726" s="188" t="s">
        <v>1685</v>
      </c>
      <c r="C1726" s="188" t="s">
        <v>36</v>
      </c>
      <c r="D1726" s="188" t="s">
        <v>37</v>
      </c>
      <c r="E1726" s="4">
        <v>15000</v>
      </c>
      <c r="F1726" s="5">
        <v>149950</v>
      </c>
      <c r="G1726" s="4">
        <v>31489.5</v>
      </c>
      <c r="H1726" s="4">
        <v>196439.5</v>
      </c>
      <c r="I1726" s="188" t="str">
        <f>VLOOKUP(C1726,CATEGORIZACION!$A$1:$C$269,2,FALSE)</f>
        <v>TRANSPORTE</v>
      </c>
      <c r="J1726" s="188" t="s">
        <v>19</v>
      </c>
    </row>
    <row r="1727" spans="1:10" ht="15.75" customHeight="1" x14ac:dyDescent="0.25">
      <c r="A1727" s="1">
        <v>45195</v>
      </c>
      <c r="B1727" s="188" t="s">
        <v>1686</v>
      </c>
      <c r="C1727" s="188" t="s">
        <v>36</v>
      </c>
      <c r="D1727" s="188" t="s">
        <v>37</v>
      </c>
      <c r="E1727" s="4">
        <v>12500</v>
      </c>
      <c r="F1727" s="5">
        <v>104800</v>
      </c>
      <c r="G1727" s="4">
        <v>22008</v>
      </c>
      <c r="H1727" s="4">
        <v>139308</v>
      </c>
      <c r="I1727" s="188" t="str">
        <f>VLOOKUP(C1727,CATEGORIZACION!$A$1:$C$269,2,FALSE)</f>
        <v>TRANSPORTE</v>
      </c>
      <c r="J1727" s="188" t="s">
        <v>19</v>
      </c>
    </row>
    <row r="1728" spans="1:10" ht="15.75" customHeight="1" x14ac:dyDescent="0.25">
      <c r="A1728" s="1">
        <v>45195</v>
      </c>
      <c r="B1728" s="188" t="s">
        <v>1687</v>
      </c>
      <c r="C1728" s="188" t="s">
        <v>36</v>
      </c>
      <c r="D1728" s="188" t="s">
        <v>37</v>
      </c>
      <c r="E1728" s="4">
        <v>19000</v>
      </c>
      <c r="F1728" s="5">
        <v>305700</v>
      </c>
      <c r="G1728" s="4">
        <v>64197</v>
      </c>
      <c r="H1728" s="4">
        <v>388897</v>
      </c>
      <c r="I1728" s="188" t="str">
        <f>VLOOKUP(C1728,CATEGORIZACION!$A$1:$C$269,2,FALSE)</f>
        <v>TRANSPORTE</v>
      </c>
      <c r="J1728" s="188" t="s">
        <v>19</v>
      </c>
    </row>
    <row r="1729" spans="1:10" ht="15.75" customHeight="1" x14ac:dyDescent="0.25">
      <c r="A1729" s="1">
        <v>45195</v>
      </c>
      <c r="B1729" s="188" t="s">
        <v>1688</v>
      </c>
      <c r="C1729" s="188" t="s">
        <v>36</v>
      </c>
      <c r="D1729" s="188" t="s">
        <v>37</v>
      </c>
      <c r="E1729" s="4">
        <v>16500</v>
      </c>
      <c r="F1729" s="5">
        <v>251520</v>
      </c>
      <c r="G1729" s="4">
        <v>52819.199999999997</v>
      </c>
      <c r="H1729" s="4">
        <v>320839.2</v>
      </c>
      <c r="I1729" s="188" t="str">
        <f>VLOOKUP(C1729,CATEGORIZACION!$A$1:$C$269,2,FALSE)</f>
        <v>TRANSPORTE</v>
      </c>
      <c r="J1729" s="188" t="s">
        <v>19</v>
      </c>
    </row>
    <row r="1730" spans="1:10" ht="15.75" customHeight="1" x14ac:dyDescent="0.25">
      <c r="A1730" s="1">
        <v>45195</v>
      </c>
      <c r="B1730" s="188" t="s">
        <v>1689</v>
      </c>
      <c r="C1730" s="188" t="s">
        <v>36</v>
      </c>
      <c r="D1730" s="188" t="s">
        <v>37</v>
      </c>
      <c r="E1730" s="4">
        <v>16500</v>
      </c>
      <c r="F1730" s="5">
        <v>251520</v>
      </c>
      <c r="G1730" s="4">
        <v>52819.199999999997</v>
      </c>
      <c r="H1730" s="4">
        <v>320839.2</v>
      </c>
      <c r="I1730" s="188" t="str">
        <f>VLOOKUP(C1730,CATEGORIZACION!$A$1:$C$269,2,FALSE)</f>
        <v>TRANSPORTE</v>
      </c>
      <c r="J1730" s="188" t="s">
        <v>19</v>
      </c>
    </row>
    <row r="1731" spans="1:10" ht="15.75" customHeight="1" x14ac:dyDescent="0.25">
      <c r="A1731" s="1">
        <v>45195</v>
      </c>
      <c r="B1731" s="188" t="s">
        <v>1690</v>
      </c>
      <c r="C1731" s="188" t="s">
        <v>36</v>
      </c>
      <c r="D1731" s="188" t="s">
        <v>37</v>
      </c>
      <c r="E1731" s="4">
        <v>15000</v>
      </c>
      <c r="F1731" s="5">
        <v>149950</v>
      </c>
      <c r="G1731" s="4">
        <v>31489.5</v>
      </c>
      <c r="H1731" s="4">
        <v>196439.5</v>
      </c>
      <c r="I1731" s="188" t="str">
        <f>VLOOKUP(C1731,CATEGORIZACION!$A$1:$C$269,2,FALSE)</f>
        <v>TRANSPORTE</v>
      </c>
      <c r="J1731" s="188" t="s">
        <v>19</v>
      </c>
    </row>
    <row r="1732" spans="1:10" ht="15.75" customHeight="1" x14ac:dyDescent="0.25">
      <c r="A1732" s="1">
        <v>45195</v>
      </c>
      <c r="B1732" s="188" t="s">
        <v>1691</v>
      </c>
      <c r="C1732" s="188" t="s">
        <v>36</v>
      </c>
      <c r="D1732" s="188" t="s">
        <v>37</v>
      </c>
      <c r="E1732" s="4">
        <v>15000</v>
      </c>
      <c r="F1732" s="5">
        <v>179940</v>
      </c>
      <c r="G1732" s="4">
        <v>37787.4</v>
      </c>
      <c r="H1732" s="4">
        <v>232727.4</v>
      </c>
      <c r="I1732" s="188" t="str">
        <f>VLOOKUP(C1732,CATEGORIZACION!$A$1:$C$269,2,FALSE)</f>
        <v>TRANSPORTE</v>
      </c>
      <c r="J1732" s="188" t="s">
        <v>19</v>
      </c>
    </row>
    <row r="1733" spans="1:10" ht="15.75" customHeight="1" x14ac:dyDescent="0.25">
      <c r="A1733" s="1">
        <v>45195</v>
      </c>
      <c r="B1733" s="188" t="s">
        <v>1692</v>
      </c>
      <c r="C1733" s="188" t="s">
        <v>36</v>
      </c>
      <c r="D1733" s="188" t="s">
        <v>37</v>
      </c>
      <c r="E1733" s="4">
        <v>15000</v>
      </c>
      <c r="F1733" s="5">
        <v>149950</v>
      </c>
      <c r="G1733" s="4">
        <v>31489.5</v>
      </c>
      <c r="H1733" s="4">
        <v>196439.5</v>
      </c>
      <c r="I1733" s="188" t="str">
        <f>VLOOKUP(C1733,CATEGORIZACION!$A$1:$C$269,2,FALSE)</f>
        <v>TRANSPORTE</v>
      </c>
      <c r="J1733" s="188" t="s">
        <v>19</v>
      </c>
    </row>
    <row r="1734" spans="1:10" ht="15.75" customHeight="1" x14ac:dyDescent="0.25">
      <c r="A1734" s="1">
        <v>45195</v>
      </c>
      <c r="B1734" s="188" t="s">
        <v>1693</v>
      </c>
      <c r="C1734" s="188" t="s">
        <v>36</v>
      </c>
      <c r="D1734" s="188" t="s">
        <v>37</v>
      </c>
      <c r="E1734" s="4">
        <v>5000</v>
      </c>
      <c r="F1734" s="5">
        <v>254250</v>
      </c>
      <c r="G1734" s="4">
        <v>53392.5</v>
      </c>
      <c r="H1734" s="4">
        <v>312642.5</v>
      </c>
      <c r="I1734" s="188" t="str">
        <f>VLOOKUP(C1734,CATEGORIZACION!$A$1:$C$269,2,FALSE)</f>
        <v>TRANSPORTE</v>
      </c>
      <c r="J1734" s="188" t="s">
        <v>19</v>
      </c>
    </row>
    <row r="1735" spans="1:10" ht="15.75" customHeight="1" x14ac:dyDescent="0.25">
      <c r="A1735" s="1">
        <v>45195</v>
      </c>
      <c r="B1735" s="188" t="s">
        <v>1694</v>
      </c>
      <c r="C1735" s="188" t="s">
        <v>36</v>
      </c>
      <c r="D1735" s="188" t="s">
        <v>37</v>
      </c>
      <c r="E1735" s="4">
        <v>6200</v>
      </c>
      <c r="F1735" s="5">
        <v>69050</v>
      </c>
      <c r="G1735" s="4">
        <v>14500.5</v>
      </c>
      <c r="H1735" s="4">
        <v>89750.5</v>
      </c>
      <c r="I1735" s="188" t="str">
        <f>VLOOKUP(C1735,CATEGORIZACION!$A$1:$C$269,2,FALSE)</f>
        <v>TRANSPORTE</v>
      </c>
      <c r="J1735" s="188" t="s">
        <v>19</v>
      </c>
    </row>
    <row r="1736" spans="1:10" ht="15.75" customHeight="1" x14ac:dyDescent="0.25">
      <c r="A1736" s="1">
        <v>45195</v>
      </c>
      <c r="B1736" s="188" t="s">
        <v>1695</v>
      </c>
      <c r="C1736" s="188" t="s">
        <v>36</v>
      </c>
      <c r="D1736" s="188" t="s">
        <v>37</v>
      </c>
      <c r="E1736" s="4">
        <v>6200</v>
      </c>
      <c r="F1736" s="5">
        <v>69050</v>
      </c>
      <c r="G1736" s="4">
        <v>14500.5</v>
      </c>
      <c r="H1736" s="4">
        <v>89750.5</v>
      </c>
      <c r="I1736" s="188" t="str">
        <f>VLOOKUP(C1736,CATEGORIZACION!$A$1:$C$269,2,FALSE)</f>
        <v>TRANSPORTE</v>
      </c>
      <c r="J1736" s="188" t="s">
        <v>19</v>
      </c>
    </row>
    <row r="1737" spans="1:10" ht="15.75" customHeight="1" x14ac:dyDescent="0.25">
      <c r="A1737" s="1">
        <v>45195</v>
      </c>
      <c r="B1737" s="188" t="s">
        <v>1696</v>
      </c>
      <c r="C1737" s="188" t="s">
        <v>36</v>
      </c>
      <c r="D1737" s="188" t="s">
        <v>37</v>
      </c>
      <c r="E1737" s="4">
        <v>6200</v>
      </c>
      <c r="F1737" s="5">
        <v>69050</v>
      </c>
      <c r="G1737" s="4">
        <v>14500.5</v>
      </c>
      <c r="H1737" s="4">
        <v>89750.5</v>
      </c>
      <c r="I1737" s="188" t="str">
        <f>VLOOKUP(C1737,CATEGORIZACION!$A$1:$C$269,2,FALSE)</f>
        <v>TRANSPORTE</v>
      </c>
      <c r="J1737" s="188" t="s">
        <v>19</v>
      </c>
    </row>
    <row r="1738" spans="1:10" ht="15.75" customHeight="1" x14ac:dyDescent="0.25">
      <c r="A1738" s="1">
        <v>45195</v>
      </c>
      <c r="B1738" s="188" t="s">
        <v>1697</v>
      </c>
      <c r="C1738" s="188" t="s">
        <v>36</v>
      </c>
      <c r="D1738" s="188" t="s">
        <v>37</v>
      </c>
      <c r="E1738" s="4">
        <v>9200</v>
      </c>
      <c r="F1738" s="5">
        <v>103600</v>
      </c>
      <c r="G1738" s="4">
        <v>21756</v>
      </c>
      <c r="H1738" s="4">
        <v>134556</v>
      </c>
      <c r="I1738" s="188" t="str">
        <f>VLOOKUP(C1738,CATEGORIZACION!$A$1:$C$269,2,FALSE)</f>
        <v>TRANSPORTE</v>
      </c>
      <c r="J1738" s="188" t="s">
        <v>19</v>
      </c>
    </row>
    <row r="1739" spans="1:10" ht="15.75" customHeight="1" x14ac:dyDescent="0.25">
      <c r="A1739" s="1">
        <v>45195</v>
      </c>
      <c r="B1739" s="188" t="s">
        <v>1698</v>
      </c>
      <c r="C1739" s="188" t="s">
        <v>36</v>
      </c>
      <c r="D1739" s="188" t="s">
        <v>37</v>
      </c>
      <c r="E1739" s="4">
        <v>9200</v>
      </c>
      <c r="F1739" s="5">
        <v>103600</v>
      </c>
      <c r="G1739" s="4">
        <v>21756</v>
      </c>
      <c r="H1739" s="4">
        <v>134556</v>
      </c>
      <c r="I1739" s="188" t="str">
        <f>VLOOKUP(C1739,CATEGORIZACION!$A$1:$C$269,2,FALSE)</f>
        <v>TRANSPORTE</v>
      </c>
      <c r="J1739" s="188" t="s">
        <v>19</v>
      </c>
    </row>
    <row r="1740" spans="1:10" ht="15.75" customHeight="1" x14ac:dyDescent="0.25">
      <c r="A1740" s="1">
        <v>45195</v>
      </c>
      <c r="B1740" s="188" t="s">
        <v>1699</v>
      </c>
      <c r="C1740" s="188" t="s">
        <v>36</v>
      </c>
      <c r="D1740" s="188" t="s">
        <v>37</v>
      </c>
      <c r="E1740" s="4">
        <v>9200</v>
      </c>
      <c r="F1740" s="5">
        <v>79700</v>
      </c>
      <c r="G1740" s="4">
        <v>16737</v>
      </c>
      <c r="H1740" s="4">
        <v>105637</v>
      </c>
      <c r="I1740" s="188" t="str">
        <f>VLOOKUP(C1740,CATEGORIZACION!$A$1:$C$269,2,FALSE)</f>
        <v>TRANSPORTE</v>
      </c>
      <c r="J1740" s="188" t="s">
        <v>19</v>
      </c>
    </row>
    <row r="1741" spans="1:10" ht="15.75" customHeight="1" x14ac:dyDescent="0.25">
      <c r="A1741" s="1">
        <v>45195</v>
      </c>
      <c r="B1741" s="188" t="s">
        <v>1700</v>
      </c>
      <c r="C1741" s="188" t="s">
        <v>36</v>
      </c>
      <c r="D1741" s="188" t="s">
        <v>37</v>
      </c>
      <c r="E1741" s="4">
        <v>9200</v>
      </c>
      <c r="F1741" s="5">
        <v>79700</v>
      </c>
      <c r="G1741" s="4">
        <v>16737</v>
      </c>
      <c r="H1741" s="4">
        <v>105637</v>
      </c>
      <c r="I1741" s="188" t="str">
        <f>VLOOKUP(C1741,CATEGORIZACION!$A$1:$C$269,2,FALSE)</f>
        <v>TRANSPORTE</v>
      </c>
      <c r="J1741" s="188" t="s">
        <v>19</v>
      </c>
    </row>
    <row r="1742" spans="1:10" ht="15.75" customHeight="1" x14ac:dyDescent="0.25">
      <c r="A1742" s="1">
        <v>45195</v>
      </c>
      <c r="B1742" s="188" t="s">
        <v>1701</v>
      </c>
      <c r="C1742" s="188" t="s">
        <v>426</v>
      </c>
      <c r="D1742" s="188" t="s">
        <v>427</v>
      </c>
      <c r="E1742" s="4">
        <v>2495</v>
      </c>
      <c r="F1742" s="5">
        <v>34632.230000000003</v>
      </c>
      <c r="G1742" s="4">
        <v>7272.77</v>
      </c>
      <c r="H1742" s="4">
        <v>44400</v>
      </c>
      <c r="I1742" s="188" t="str">
        <f>VLOOKUP(C1742,CATEGORIZACION!$A$1:$C$269,2,FALSE)</f>
        <v>PROOVEDORES</v>
      </c>
      <c r="J1742" s="188" t="str">
        <f>VLOOKUP(C1742,CATEGORIZACION!$A$1:$C$269,3,FALSE)</f>
        <v>LOGISTICA</v>
      </c>
    </row>
    <row r="1743" spans="1:10" ht="15.75" customHeight="1" x14ac:dyDescent="0.25">
      <c r="A1743" s="1">
        <v>45195</v>
      </c>
      <c r="B1743" s="188" t="s">
        <v>1702</v>
      </c>
      <c r="C1743" s="188" t="s">
        <v>1346</v>
      </c>
      <c r="D1743" s="188" t="s">
        <v>1347</v>
      </c>
      <c r="E1743" s="4">
        <v>40000</v>
      </c>
      <c r="F1743" s="5">
        <v>0</v>
      </c>
      <c r="G1743" s="4">
        <v>0</v>
      </c>
      <c r="H1743" s="4">
        <v>40000</v>
      </c>
      <c r="I1743" s="188" t="str">
        <f>VLOOKUP(C1743,CATEGORIZACION!$A$1:$C$269,2,FALSE)</f>
        <v>PROOVEDORES</v>
      </c>
      <c r="J1743" s="188" t="str">
        <f>VLOOKUP(C1743,CATEGORIZACION!$A$1:$C$269,3,FALSE)</f>
        <v>LOGISTICA</v>
      </c>
    </row>
    <row r="1744" spans="1:10" ht="15.75" customHeight="1" x14ac:dyDescent="0.25">
      <c r="A1744" s="1">
        <v>45196</v>
      </c>
      <c r="B1744" s="188" t="s">
        <v>1703</v>
      </c>
      <c r="C1744" s="188" t="s">
        <v>409</v>
      </c>
      <c r="D1744" s="188" t="s">
        <v>410</v>
      </c>
      <c r="E1744" s="4">
        <v>3829.72</v>
      </c>
      <c r="F1744" s="5">
        <v>478714.52</v>
      </c>
      <c r="G1744" s="4">
        <v>100530.05</v>
      </c>
      <c r="H1744" s="4">
        <v>583074.29</v>
      </c>
      <c r="I1744" s="188" t="str">
        <f>VLOOKUP(C1744,CATEGORIZACION!$A$1:$C$269,2,FALSE)</f>
        <v>PROOVEDORES</v>
      </c>
      <c r="J1744" s="188" t="str">
        <f>VLOOKUP(C1744,CATEGORIZACION!$A$1:$C$269,3,FALSE)</f>
        <v>LOGISTICA</v>
      </c>
    </row>
    <row r="1745" spans="1:10" ht="15.75" customHeight="1" x14ac:dyDescent="0.25">
      <c r="A1745" s="1">
        <v>45197</v>
      </c>
      <c r="B1745" s="188" t="s">
        <v>1704</v>
      </c>
      <c r="C1745" s="188" t="s">
        <v>339</v>
      </c>
      <c r="D1745" s="188" t="s">
        <v>340</v>
      </c>
      <c r="E1745" s="4">
        <v>0</v>
      </c>
      <c r="F1745" s="5">
        <v>238829.17</v>
      </c>
      <c r="G1745" s="4">
        <v>50154.13</v>
      </c>
      <c r="H1745" s="4">
        <v>288983.3</v>
      </c>
      <c r="I1745" s="188" t="str">
        <f>VLOOKUP(C1745,CATEGORIZACION!$A$1:$C$269,2,FALSE)</f>
        <v>PROOVEDORES</v>
      </c>
      <c r="J1745" s="188" t="str">
        <f>VLOOKUP(C1745,CATEGORIZACION!$A$1:$C$269,3,FALSE)</f>
        <v>LOGISTICA</v>
      </c>
    </row>
    <row r="1746" spans="1:10" ht="15.75" customHeight="1" x14ac:dyDescent="0.25">
      <c r="A1746" s="1">
        <v>45197</v>
      </c>
      <c r="B1746" s="188" t="s">
        <v>1705</v>
      </c>
      <c r="C1746" s="188" t="s">
        <v>1659</v>
      </c>
      <c r="D1746" s="188" t="s">
        <v>1660</v>
      </c>
      <c r="E1746" s="4">
        <v>0</v>
      </c>
      <c r="F1746" s="5">
        <v>2182.4</v>
      </c>
      <c r="G1746" s="4">
        <v>458.3</v>
      </c>
      <c r="H1746" s="4">
        <v>2640.7</v>
      </c>
      <c r="I1746" s="188" t="str">
        <f>VLOOKUP(C1746,CATEGORIZACION!$A$1:$C$269,2,FALSE)</f>
        <v>PROOVEDORES</v>
      </c>
      <c r="J1746" s="188" t="str">
        <f>VLOOKUP(C1746,CATEGORIZACION!$A$1:$C$269,3,FALSE)</f>
        <v>LOGISTICA</v>
      </c>
    </row>
    <row r="1747" spans="1:10" ht="15.75" customHeight="1" x14ac:dyDescent="0.25">
      <c r="A1747" s="1">
        <v>45198</v>
      </c>
      <c r="B1747" s="188" t="s">
        <v>1706</v>
      </c>
      <c r="C1747" s="188" t="s">
        <v>665</v>
      </c>
      <c r="D1747" s="188" t="s">
        <v>666</v>
      </c>
      <c r="E1747" s="4">
        <v>0</v>
      </c>
      <c r="F1747" s="5">
        <v>75247.91</v>
      </c>
      <c r="G1747" s="4">
        <v>15802.06</v>
      </c>
      <c r="H1747" s="4">
        <v>91049.97</v>
      </c>
      <c r="I1747" s="188" t="str">
        <f>VLOOKUP(C1747,CATEGORIZACION!$A$1:$C$269,2,FALSE)</f>
        <v>PROOVEDORES</v>
      </c>
      <c r="J1747" s="188" t="str">
        <f>VLOOKUP(C1747,CATEGORIZACION!$A$1:$C$269,3,FALSE)</f>
        <v>LOGISTICA</v>
      </c>
    </row>
    <row r="1748" spans="1:10" ht="15.75" customHeight="1" x14ac:dyDescent="0.25">
      <c r="A1748" s="1">
        <v>45198</v>
      </c>
      <c r="B1748" s="188" t="s">
        <v>1707</v>
      </c>
      <c r="C1748" s="188" t="s">
        <v>21</v>
      </c>
      <c r="D1748" s="188" t="s">
        <v>22</v>
      </c>
      <c r="E1748" s="4">
        <v>25120</v>
      </c>
      <c r="F1748" s="5">
        <v>368800</v>
      </c>
      <c r="G1748" s="4">
        <v>77448</v>
      </c>
      <c r="H1748" s="4">
        <v>471368</v>
      </c>
      <c r="I1748" s="188" t="str">
        <f>VLOOKUP(C1748,CATEGORIZACION!$A$1:$C$269,2,FALSE)</f>
        <v>TRANSPORTE</v>
      </c>
      <c r="J1748" s="188" t="s">
        <v>19</v>
      </c>
    </row>
    <row r="1749" spans="1:10" ht="15.75" customHeight="1" x14ac:dyDescent="0.25">
      <c r="A1749" s="1">
        <v>45198</v>
      </c>
      <c r="B1749" s="188" t="s">
        <v>1708</v>
      </c>
      <c r="C1749" s="188" t="s">
        <v>21</v>
      </c>
      <c r="D1749" s="188" t="s">
        <v>22</v>
      </c>
      <c r="E1749" s="4">
        <v>0</v>
      </c>
      <c r="F1749" s="5">
        <v>461000</v>
      </c>
      <c r="G1749" s="4">
        <v>96810</v>
      </c>
      <c r="H1749" s="4">
        <v>557810</v>
      </c>
      <c r="I1749" s="188" t="str">
        <f>VLOOKUP(C1749,CATEGORIZACION!$A$1:$C$269,2,FALSE)</f>
        <v>TRANSPORTE</v>
      </c>
      <c r="J1749" s="188" t="s">
        <v>19</v>
      </c>
    </row>
    <row r="1750" spans="1:10" ht="15.75" customHeight="1" x14ac:dyDescent="0.25">
      <c r="A1750" s="1">
        <v>45198</v>
      </c>
      <c r="B1750" s="188" t="s">
        <v>1709</v>
      </c>
      <c r="C1750" s="188" t="s">
        <v>866</v>
      </c>
      <c r="D1750" s="188" t="s">
        <v>867</v>
      </c>
      <c r="E1750" s="4">
        <v>2495</v>
      </c>
      <c r="F1750" s="5">
        <v>32648.76</v>
      </c>
      <c r="G1750" s="4">
        <v>6856.24</v>
      </c>
      <c r="H1750" s="4">
        <v>42000</v>
      </c>
      <c r="I1750" s="188" t="str">
        <f>VLOOKUP(C1750,CATEGORIZACION!$A$1:$C$269,2,FALSE)</f>
        <v>PROOVEDORES</v>
      </c>
      <c r="J1750" s="188" t="str">
        <f>VLOOKUP(C1750,CATEGORIZACION!$A$1:$C$269,3,FALSE)</f>
        <v>LOGISTICA</v>
      </c>
    </row>
    <row r="1751" spans="1:10" ht="15.75" customHeight="1" x14ac:dyDescent="0.25">
      <c r="A1751" s="1">
        <v>45199</v>
      </c>
      <c r="B1751" s="188" t="s">
        <v>1710</v>
      </c>
      <c r="C1751" s="188" t="s">
        <v>21</v>
      </c>
      <c r="D1751" s="188" t="s">
        <v>22</v>
      </c>
      <c r="E1751" s="4">
        <v>-56540</v>
      </c>
      <c r="F1751" s="5">
        <v>0</v>
      </c>
      <c r="G1751" s="4">
        <v>0</v>
      </c>
      <c r="H1751" s="4">
        <v>-56540</v>
      </c>
      <c r="I1751" s="188" t="str">
        <f>VLOOKUP(C1751,CATEGORIZACION!$A$1:$C$269,2,FALSE)</f>
        <v>TRANSPORTE</v>
      </c>
      <c r="J1751" s="188" t="s">
        <v>19</v>
      </c>
    </row>
    <row r="1752" spans="1:10" ht="15.75" customHeight="1" x14ac:dyDescent="0.25">
      <c r="A1752" s="1">
        <v>45199</v>
      </c>
      <c r="B1752" s="188" t="s">
        <v>1268</v>
      </c>
      <c r="C1752" s="188" t="s">
        <v>84</v>
      </c>
      <c r="D1752" s="188" t="s">
        <v>85</v>
      </c>
      <c r="E1752" s="4">
        <v>57299.839999999997</v>
      </c>
      <c r="F1752" s="5">
        <v>895330.78</v>
      </c>
      <c r="G1752" s="4">
        <v>188019.46</v>
      </c>
      <c r="H1752" s="4">
        <v>1140650.08</v>
      </c>
      <c r="I1752" s="188" t="str">
        <f>VLOOKUP(C1752,CATEGORIZACION!$A$1:$C$269,2,FALSE)</f>
        <v>PROOVEDORES</v>
      </c>
      <c r="J1752" s="188" t="str">
        <f>VLOOKUP(C1752,CATEGORIZACION!$A$1:$C$269,3,FALSE)</f>
        <v>LOGISTICA</v>
      </c>
    </row>
    <row r="1753" spans="1:10" ht="15.75" customHeight="1" x14ac:dyDescent="0.25">
      <c r="A1753" s="1">
        <v>45199</v>
      </c>
      <c r="B1753" s="188" t="s">
        <v>1711</v>
      </c>
      <c r="C1753" s="188" t="s">
        <v>84</v>
      </c>
      <c r="D1753" s="188" t="s">
        <v>85</v>
      </c>
      <c r="E1753" s="4">
        <v>36377.480000000003</v>
      </c>
      <c r="F1753" s="5">
        <v>35231.19</v>
      </c>
      <c r="G1753" s="4">
        <v>115976.65</v>
      </c>
      <c r="H1753" s="5">
        <v>35231.19</v>
      </c>
      <c r="I1753" s="188" t="str">
        <f>VLOOKUP(C1753,CATEGORIZACION!$A$1:$C$269,2,FALSE)</f>
        <v>PROOVEDORES</v>
      </c>
      <c r="J1753" s="188" t="str">
        <f>VLOOKUP(C1753,CATEGORIZACION!$A$1:$C$269,3,FALSE)</f>
        <v>LOGISTICA</v>
      </c>
    </row>
    <row r="1754" spans="1:10" ht="15.75" customHeight="1" x14ac:dyDescent="0.25">
      <c r="A1754" s="1">
        <v>45199</v>
      </c>
      <c r="B1754" s="188" t="s">
        <v>1712</v>
      </c>
      <c r="C1754" s="188" t="s">
        <v>21</v>
      </c>
      <c r="D1754" s="188" t="s">
        <v>22</v>
      </c>
      <c r="E1754" s="4">
        <v>62820</v>
      </c>
      <c r="F1754" s="5">
        <v>184400</v>
      </c>
      <c r="G1754" s="4">
        <v>38724</v>
      </c>
      <c r="H1754" s="4">
        <v>285944</v>
      </c>
      <c r="I1754" s="188" t="str">
        <f>VLOOKUP(C1754,CATEGORIZACION!$A$1:$C$269,2,FALSE)</f>
        <v>TRANSPORTE</v>
      </c>
      <c r="J1754" s="188" t="s">
        <v>19</v>
      </c>
    </row>
    <row r="1755" spans="1:10" ht="15.75" customHeight="1" x14ac:dyDescent="0.25">
      <c r="A1755" s="1">
        <v>45199</v>
      </c>
      <c r="B1755" s="188" t="s">
        <v>1713</v>
      </c>
      <c r="C1755" s="188" t="s">
        <v>21</v>
      </c>
      <c r="D1755" s="188" t="s">
        <v>22</v>
      </c>
      <c r="E1755" s="4">
        <v>0</v>
      </c>
      <c r="F1755" s="5">
        <v>110000</v>
      </c>
      <c r="G1755" s="4">
        <v>23100</v>
      </c>
      <c r="H1755" s="4">
        <v>133100</v>
      </c>
      <c r="I1755" s="188" t="str">
        <f>VLOOKUP(C1755,CATEGORIZACION!$A$1:$C$269,2,FALSE)</f>
        <v>TRANSPORTE</v>
      </c>
      <c r="J1755" s="188" t="s">
        <v>19</v>
      </c>
    </row>
    <row r="1756" spans="1:10" ht="15.75" customHeight="1" x14ac:dyDescent="0.25">
      <c r="A1756" s="1">
        <v>45199</v>
      </c>
      <c r="B1756" s="188" t="s">
        <v>1714</v>
      </c>
      <c r="C1756" s="188" t="s">
        <v>21</v>
      </c>
      <c r="D1756" s="188" t="s">
        <v>22</v>
      </c>
      <c r="E1756" s="4">
        <v>21920</v>
      </c>
      <c r="F1756" s="5">
        <v>864000</v>
      </c>
      <c r="G1756" s="4">
        <v>181440</v>
      </c>
      <c r="H1756" s="4">
        <v>1067360</v>
      </c>
      <c r="I1756" s="188" t="str">
        <f>VLOOKUP(C1756,CATEGORIZACION!$A$1:$C$269,2,FALSE)</f>
        <v>TRANSPORTE</v>
      </c>
      <c r="J1756" s="188" t="s">
        <v>19</v>
      </c>
    </row>
    <row r="1757" spans="1:10" ht="15.75" customHeight="1" x14ac:dyDescent="0.25">
      <c r="A1757" s="1">
        <v>45199</v>
      </c>
      <c r="B1757" s="188" t="s">
        <v>1715</v>
      </c>
      <c r="C1757" s="188" t="s">
        <v>21</v>
      </c>
      <c r="D1757" s="188" t="s">
        <v>22</v>
      </c>
      <c r="E1757" s="4">
        <v>10080</v>
      </c>
      <c r="F1757" s="5">
        <v>372200</v>
      </c>
      <c r="G1757" s="4">
        <v>78162</v>
      </c>
      <c r="H1757" s="4">
        <v>460442</v>
      </c>
      <c r="I1757" s="188" t="str">
        <f>VLOOKUP(C1757,CATEGORIZACION!$A$1:$C$269,2,FALSE)</f>
        <v>TRANSPORTE</v>
      </c>
      <c r="J1757" s="188" t="s">
        <v>19</v>
      </c>
    </row>
    <row r="1758" spans="1:10" ht="15.75" customHeight="1" x14ac:dyDescent="0.25">
      <c r="A1758" s="1">
        <v>45199</v>
      </c>
      <c r="B1758" s="188" t="s">
        <v>1716</v>
      </c>
      <c r="C1758" s="188" t="s">
        <v>21</v>
      </c>
      <c r="D1758" s="188" t="s">
        <v>22</v>
      </c>
      <c r="E1758" s="4">
        <v>31400</v>
      </c>
      <c r="F1758" s="5">
        <v>736000</v>
      </c>
      <c r="G1758" s="4">
        <v>154560</v>
      </c>
      <c r="H1758" s="4">
        <v>921960</v>
      </c>
      <c r="I1758" s="188" t="str">
        <f>VLOOKUP(C1758,CATEGORIZACION!$A$1:$C$269,2,FALSE)</f>
        <v>TRANSPORTE</v>
      </c>
      <c r="J1758" s="188" t="s">
        <v>19</v>
      </c>
    </row>
    <row r="1759" spans="1:10" ht="15.75" customHeight="1" x14ac:dyDescent="0.25">
      <c r="A1759" s="1">
        <v>45199</v>
      </c>
      <c r="B1759" s="188" t="s">
        <v>1717</v>
      </c>
      <c r="C1759" s="188" t="s">
        <v>21</v>
      </c>
      <c r="D1759" s="188" t="s">
        <v>22</v>
      </c>
      <c r="E1759" s="4">
        <v>35040</v>
      </c>
      <c r="F1759" s="5">
        <v>643200</v>
      </c>
      <c r="G1759" s="4">
        <v>135072</v>
      </c>
      <c r="H1759" s="4">
        <v>813312</v>
      </c>
      <c r="I1759" s="188" t="str">
        <f>VLOOKUP(C1759,CATEGORIZACION!$A$1:$C$269,2,FALSE)</f>
        <v>TRANSPORTE</v>
      </c>
      <c r="J1759" s="188" t="s">
        <v>19</v>
      </c>
    </row>
    <row r="1760" spans="1:10" ht="15.75" customHeight="1" x14ac:dyDescent="0.25">
      <c r="A1760" s="1">
        <v>45199</v>
      </c>
      <c r="B1760" s="188" t="s">
        <v>1718</v>
      </c>
      <c r="C1760" s="188" t="s">
        <v>36</v>
      </c>
      <c r="D1760" s="188" t="s">
        <v>37</v>
      </c>
      <c r="E1760" s="4">
        <v>6200</v>
      </c>
      <c r="F1760" s="5">
        <v>69050</v>
      </c>
      <c r="G1760" s="4">
        <v>14500.5</v>
      </c>
      <c r="H1760" s="4">
        <v>89750.5</v>
      </c>
      <c r="I1760" s="188" t="str">
        <f>VLOOKUP(C1760,CATEGORIZACION!$A$1:$C$269,2,FALSE)</f>
        <v>TRANSPORTE</v>
      </c>
      <c r="J1760" s="188" t="s">
        <v>19</v>
      </c>
    </row>
    <row r="1761" spans="1:10" ht="15.75" customHeight="1" x14ac:dyDescent="0.25">
      <c r="A1761" s="1">
        <v>45199</v>
      </c>
      <c r="B1761" s="188" t="s">
        <v>1719</v>
      </c>
      <c r="C1761" s="188" t="s">
        <v>36</v>
      </c>
      <c r="D1761" s="188" t="s">
        <v>37</v>
      </c>
      <c r="E1761" s="4">
        <v>12200</v>
      </c>
      <c r="F1761" s="5">
        <v>104350</v>
      </c>
      <c r="G1761" s="4">
        <v>21913.5</v>
      </c>
      <c r="H1761" s="4">
        <v>138463.5</v>
      </c>
      <c r="I1761" s="188" t="str">
        <f>VLOOKUP(C1761,CATEGORIZACION!$A$1:$C$269,2,FALSE)</f>
        <v>TRANSPORTE</v>
      </c>
      <c r="J1761" s="188" t="s">
        <v>19</v>
      </c>
    </row>
    <row r="1762" spans="1:10" ht="15.75" customHeight="1" x14ac:dyDescent="0.25">
      <c r="A1762" s="1">
        <v>45199</v>
      </c>
      <c r="B1762" s="188" t="s">
        <v>1720</v>
      </c>
      <c r="C1762" s="188" t="s">
        <v>36</v>
      </c>
      <c r="D1762" s="188" t="s">
        <v>37</v>
      </c>
      <c r="E1762" s="4">
        <v>12500</v>
      </c>
      <c r="F1762" s="5">
        <v>149950</v>
      </c>
      <c r="G1762" s="4">
        <v>31489.5</v>
      </c>
      <c r="H1762" s="4">
        <v>193939.5</v>
      </c>
      <c r="I1762" s="188" t="str">
        <f>VLOOKUP(C1762,CATEGORIZACION!$A$1:$C$269,2,FALSE)</f>
        <v>TRANSPORTE</v>
      </c>
      <c r="J1762" s="188" t="s">
        <v>19</v>
      </c>
    </row>
    <row r="1763" spans="1:10" ht="15.75" customHeight="1" x14ac:dyDescent="0.25">
      <c r="A1763" s="1">
        <v>45199</v>
      </c>
      <c r="B1763" s="188" t="s">
        <v>1721</v>
      </c>
      <c r="C1763" s="188" t="s">
        <v>36</v>
      </c>
      <c r="D1763" s="188" t="s">
        <v>37</v>
      </c>
      <c r="E1763" s="4">
        <v>17500</v>
      </c>
      <c r="F1763" s="5">
        <v>185250</v>
      </c>
      <c r="G1763" s="4">
        <v>38902.5</v>
      </c>
      <c r="H1763" s="4">
        <v>241652.5</v>
      </c>
      <c r="I1763" s="188" t="str">
        <f>VLOOKUP(C1763,CATEGORIZACION!$A$1:$C$269,2,FALSE)</f>
        <v>TRANSPORTE</v>
      </c>
      <c r="J1763" s="188" t="s">
        <v>19</v>
      </c>
    </row>
    <row r="1764" spans="1:10" ht="15.75" customHeight="1" x14ac:dyDescent="0.25">
      <c r="A1764" s="1">
        <v>45199</v>
      </c>
      <c r="B1764" s="188" t="s">
        <v>1722</v>
      </c>
      <c r="C1764" s="188" t="s">
        <v>36</v>
      </c>
      <c r="D1764" s="188" t="s">
        <v>37</v>
      </c>
      <c r="E1764" s="4">
        <v>9200</v>
      </c>
      <c r="F1764" s="5">
        <v>79700</v>
      </c>
      <c r="G1764" s="4">
        <v>16737</v>
      </c>
      <c r="H1764" s="4">
        <v>105637</v>
      </c>
      <c r="I1764" s="188" t="str">
        <f>VLOOKUP(C1764,CATEGORIZACION!$A$1:$C$269,2,FALSE)</f>
        <v>TRANSPORTE</v>
      </c>
      <c r="J1764" s="188" t="s">
        <v>19</v>
      </c>
    </row>
    <row r="1765" spans="1:10" ht="15.75" customHeight="1" x14ac:dyDescent="0.25">
      <c r="A1765" s="1">
        <v>45199</v>
      </c>
      <c r="B1765" s="188" t="s">
        <v>1723</v>
      </c>
      <c r="C1765" s="188" t="s">
        <v>36</v>
      </c>
      <c r="D1765" s="188" t="s">
        <v>37</v>
      </c>
      <c r="E1765" s="4">
        <v>9200</v>
      </c>
      <c r="F1765" s="5">
        <v>79700</v>
      </c>
      <c r="G1765" s="4">
        <v>16737</v>
      </c>
      <c r="H1765" s="4">
        <v>105637</v>
      </c>
      <c r="I1765" s="188" t="str">
        <f>VLOOKUP(C1765,CATEGORIZACION!$A$1:$C$269,2,FALSE)</f>
        <v>TRANSPORTE</v>
      </c>
      <c r="J1765" s="188" t="s">
        <v>19</v>
      </c>
    </row>
    <row r="1766" spans="1:10" ht="15.75" customHeight="1" x14ac:dyDescent="0.25">
      <c r="A1766" s="1">
        <v>45199</v>
      </c>
      <c r="B1766" s="188" t="s">
        <v>1724</v>
      </c>
      <c r="C1766" s="188" t="s">
        <v>36</v>
      </c>
      <c r="D1766" s="188" t="s">
        <v>37</v>
      </c>
      <c r="E1766" s="4">
        <v>12500</v>
      </c>
      <c r="F1766" s="5">
        <v>209600</v>
      </c>
      <c r="G1766" s="4">
        <v>44016</v>
      </c>
      <c r="H1766" s="4">
        <v>266116</v>
      </c>
      <c r="I1766" s="188" t="str">
        <f>VLOOKUP(C1766,CATEGORIZACION!$A$1:$C$269,2,FALSE)</f>
        <v>TRANSPORTE</v>
      </c>
      <c r="J1766" s="188" t="s">
        <v>19</v>
      </c>
    </row>
    <row r="1767" spans="1:10" ht="15.75" customHeight="1" x14ac:dyDescent="0.25">
      <c r="A1767" s="1">
        <v>45199</v>
      </c>
      <c r="B1767" s="188" t="s">
        <v>1725</v>
      </c>
      <c r="C1767" s="188" t="s">
        <v>36</v>
      </c>
      <c r="D1767" s="188" t="s">
        <v>37</v>
      </c>
      <c r="E1767" s="4">
        <v>12500</v>
      </c>
      <c r="F1767" s="5">
        <v>209600</v>
      </c>
      <c r="G1767" s="4">
        <v>44016</v>
      </c>
      <c r="H1767" s="4">
        <v>266116</v>
      </c>
      <c r="I1767" s="188" t="str">
        <f>VLOOKUP(C1767,CATEGORIZACION!$A$1:$C$269,2,FALSE)</f>
        <v>TRANSPORTE</v>
      </c>
      <c r="J1767" s="188" t="s">
        <v>19</v>
      </c>
    </row>
    <row r="1768" spans="1:10" ht="15.75" customHeight="1" x14ac:dyDescent="0.25">
      <c r="A1768" s="1">
        <v>45199</v>
      </c>
      <c r="B1768" s="188" t="s">
        <v>1726</v>
      </c>
      <c r="C1768" s="188" t="s">
        <v>36</v>
      </c>
      <c r="D1768" s="188" t="s">
        <v>37</v>
      </c>
      <c r="E1768" s="4">
        <v>9200</v>
      </c>
      <c r="F1768" s="5">
        <v>79700</v>
      </c>
      <c r="G1768" s="4">
        <v>16737</v>
      </c>
      <c r="H1768" s="4">
        <v>105637</v>
      </c>
      <c r="I1768" s="188" t="str">
        <f>VLOOKUP(C1768,CATEGORIZACION!$A$1:$C$269,2,FALSE)</f>
        <v>TRANSPORTE</v>
      </c>
      <c r="J1768" s="188" t="s">
        <v>19</v>
      </c>
    </row>
    <row r="1769" spans="1:10" ht="15.75" customHeight="1" x14ac:dyDescent="0.25">
      <c r="A1769" s="1">
        <v>45199</v>
      </c>
      <c r="B1769" s="188" t="s">
        <v>1727</v>
      </c>
      <c r="C1769" s="188" t="s">
        <v>36</v>
      </c>
      <c r="D1769" s="188" t="s">
        <v>37</v>
      </c>
      <c r="E1769" s="4">
        <v>6200</v>
      </c>
      <c r="F1769" s="5">
        <v>71050</v>
      </c>
      <c r="G1769" s="4">
        <v>14920.5</v>
      </c>
      <c r="H1769" s="4">
        <v>92170.5</v>
      </c>
      <c r="I1769" s="188" t="str">
        <f>VLOOKUP(C1769,CATEGORIZACION!$A$1:$C$269,2,FALSE)</f>
        <v>TRANSPORTE</v>
      </c>
      <c r="J1769" s="188" t="s">
        <v>19</v>
      </c>
    </row>
    <row r="1770" spans="1:10" ht="15.75" customHeight="1" x14ac:dyDescent="0.25">
      <c r="A1770" s="1">
        <v>45199</v>
      </c>
      <c r="B1770" s="188" t="s">
        <v>1728</v>
      </c>
      <c r="C1770" s="188" t="s">
        <v>36</v>
      </c>
      <c r="D1770" s="188" t="s">
        <v>37</v>
      </c>
      <c r="E1770" s="4">
        <v>3500</v>
      </c>
      <c r="F1770" s="5">
        <v>65950</v>
      </c>
      <c r="G1770" s="4">
        <v>13849.5</v>
      </c>
      <c r="H1770" s="4">
        <v>83299.5</v>
      </c>
      <c r="I1770" s="188" t="str">
        <f>VLOOKUP(C1770,CATEGORIZACION!$A$1:$C$269,2,FALSE)</f>
        <v>TRANSPORTE</v>
      </c>
      <c r="J1770" s="188" t="s">
        <v>19</v>
      </c>
    </row>
    <row r="1771" spans="1:10" ht="15.75" customHeight="1" x14ac:dyDescent="0.25">
      <c r="A1771" s="1">
        <v>45199</v>
      </c>
      <c r="B1771" s="188" t="s">
        <v>1729</v>
      </c>
      <c r="C1771" s="188" t="s">
        <v>36</v>
      </c>
      <c r="D1771" s="188" t="s">
        <v>37</v>
      </c>
      <c r="E1771" s="4">
        <v>3800</v>
      </c>
      <c r="F1771" s="5">
        <v>82450</v>
      </c>
      <c r="G1771" s="4">
        <v>17314.5</v>
      </c>
      <c r="H1771" s="4">
        <v>103564.5</v>
      </c>
      <c r="I1771" s="188" t="str">
        <f>VLOOKUP(C1771,CATEGORIZACION!$A$1:$C$269,2,FALSE)</f>
        <v>TRANSPORTE</v>
      </c>
      <c r="J1771" s="188" t="s">
        <v>19</v>
      </c>
    </row>
    <row r="1772" spans="1:10" ht="15.75" customHeight="1" x14ac:dyDescent="0.25">
      <c r="A1772" s="1">
        <v>45199</v>
      </c>
      <c r="B1772" s="188" t="s">
        <v>1730</v>
      </c>
      <c r="C1772" s="188" t="s">
        <v>36</v>
      </c>
      <c r="D1772" s="188" t="s">
        <v>37</v>
      </c>
      <c r="E1772" s="4">
        <v>3500</v>
      </c>
      <c r="F1772" s="5">
        <v>65950</v>
      </c>
      <c r="G1772" s="4">
        <v>13849.5</v>
      </c>
      <c r="H1772" s="4">
        <v>83299.5</v>
      </c>
      <c r="I1772" s="188" t="str">
        <f>VLOOKUP(C1772,CATEGORIZACION!$A$1:$C$269,2,FALSE)</f>
        <v>TRANSPORTE</v>
      </c>
      <c r="J1772" s="188" t="s">
        <v>19</v>
      </c>
    </row>
    <row r="1773" spans="1:10" ht="15.75" customHeight="1" x14ac:dyDescent="0.25">
      <c r="A1773" s="1">
        <v>45199</v>
      </c>
      <c r="B1773" s="188" t="s">
        <v>1731</v>
      </c>
      <c r="C1773" s="188" t="s">
        <v>36</v>
      </c>
      <c r="D1773" s="188" t="s">
        <v>37</v>
      </c>
      <c r="E1773" s="4">
        <v>10200</v>
      </c>
      <c r="F1773" s="5">
        <v>104800</v>
      </c>
      <c r="G1773" s="4">
        <v>22008</v>
      </c>
      <c r="H1773" s="4">
        <v>137008</v>
      </c>
      <c r="I1773" s="188" t="str">
        <f>VLOOKUP(C1773,CATEGORIZACION!$A$1:$C$269,2,FALSE)</f>
        <v>TRANSPORTE</v>
      </c>
      <c r="J1773" s="188" t="s">
        <v>19</v>
      </c>
    </row>
    <row r="1774" spans="1:10" ht="15.75" customHeight="1" x14ac:dyDescent="0.25">
      <c r="A1774" s="1">
        <v>45199</v>
      </c>
      <c r="B1774" s="188" t="s">
        <v>1732</v>
      </c>
      <c r="C1774" s="188" t="s">
        <v>36</v>
      </c>
      <c r="D1774" s="188" t="s">
        <v>37</v>
      </c>
      <c r="E1774" s="4">
        <v>6000</v>
      </c>
      <c r="F1774" s="5">
        <v>179940</v>
      </c>
      <c r="G1774" s="4">
        <v>37787.4</v>
      </c>
      <c r="H1774" s="4">
        <v>223727.4</v>
      </c>
      <c r="I1774" s="188" t="str">
        <f>VLOOKUP(C1774,CATEGORIZACION!$A$1:$C$269,2,FALSE)</f>
        <v>TRANSPORTE</v>
      </c>
      <c r="J1774" s="188" t="s">
        <v>19</v>
      </c>
    </row>
    <row r="1775" spans="1:10" ht="15.75" customHeight="1" x14ac:dyDescent="0.25">
      <c r="A1775" s="1">
        <v>45199</v>
      </c>
      <c r="B1775" s="188" t="s">
        <v>1733</v>
      </c>
      <c r="C1775" s="188" t="s">
        <v>36</v>
      </c>
      <c r="D1775" s="188" t="s">
        <v>37</v>
      </c>
      <c r="E1775" s="4">
        <v>9200</v>
      </c>
      <c r="F1775" s="5">
        <v>209600</v>
      </c>
      <c r="G1775" s="4">
        <v>44016</v>
      </c>
      <c r="H1775" s="4">
        <v>262816</v>
      </c>
      <c r="I1775" s="188" t="str">
        <f>VLOOKUP(C1775,CATEGORIZACION!$A$1:$C$269,2,FALSE)</f>
        <v>TRANSPORTE</v>
      </c>
      <c r="J1775" s="188" t="s">
        <v>19</v>
      </c>
    </row>
    <row r="1776" spans="1:10" ht="15.75" customHeight="1" x14ac:dyDescent="0.25">
      <c r="A1776" s="1">
        <v>45199</v>
      </c>
      <c r="B1776" s="188" t="s">
        <v>1734</v>
      </c>
      <c r="C1776" s="188" t="s">
        <v>36</v>
      </c>
      <c r="D1776" s="188" t="s">
        <v>37</v>
      </c>
      <c r="E1776" s="4">
        <v>11000</v>
      </c>
      <c r="F1776" s="5">
        <v>189550</v>
      </c>
      <c r="G1776" s="4">
        <v>39805.5</v>
      </c>
      <c r="H1776" s="4">
        <v>240355.5</v>
      </c>
      <c r="I1776" s="188" t="str">
        <f>VLOOKUP(C1776,CATEGORIZACION!$A$1:$C$269,2,FALSE)</f>
        <v>TRANSPORTE</v>
      </c>
      <c r="J1776" s="188" t="s">
        <v>19</v>
      </c>
    </row>
    <row r="1777" spans="1:10" ht="15.75" customHeight="1" x14ac:dyDescent="0.25">
      <c r="A1777" s="1">
        <v>45199</v>
      </c>
      <c r="B1777" s="188" t="s">
        <v>1735</v>
      </c>
      <c r="C1777" s="188" t="s">
        <v>36</v>
      </c>
      <c r="D1777" s="188" t="s">
        <v>37</v>
      </c>
      <c r="E1777" s="4">
        <v>14500</v>
      </c>
      <c r="F1777" s="5">
        <v>189550</v>
      </c>
      <c r="G1777" s="4">
        <v>39805.5</v>
      </c>
      <c r="H1777" s="4">
        <v>243855.5</v>
      </c>
      <c r="I1777" s="188" t="str">
        <f>VLOOKUP(C1777,CATEGORIZACION!$A$1:$C$269,2,FALSE)</f>
        <v>TRANSPORTE</v>
      </c>
      <c r="J1777" s="188" t="s">
        <v>19</v>
      </c>
    </row>
    <row r="1778" spans="1:10" ht="15.75" customHeight="1" x14ac:dyDescent="0.25">
      <c r="A1778" s="1">
        <v>45199</v>
      </c>
      <c r="B1778" s="188" t="s">
        <v>1736</v>
      </c>
      <c r="C1778" s="188" t="s">
        <v>36</v>
      </c>
      <c r="D1778" s="188" t="s">
        <v>37</v>
      </c>
      <c r="E1778" s="4">
        <v>9200</v>
      </c>
      <c r="F1778" s="5">
        <v>79700</v>
      </c>
      <c r="G1778" s="4">
        <v>16737</v>
      </c>
      <c r="H1778" s="4">
        <v>105637</v>
      </c>
      <c r="I1778" s="188" t="str">
        <f>VLOOKUP(C1778,CATEGORIZACION!$A$1:$C$269,2,FALSE)</f>
        <v>TRANSPORTE</v>
      </c>
      <c r="J1778" s="188" t="s">
        <v>19</v>
      </c>
    </row>
    <row r="1779" spans="1:10" ht="15.75" customHeight="1" x14ac:dyDescent="0.25">
      <c r="A1779" s="1">
        <v>45199</v>
      </c>
      <c r="B1779" s="188" t="s">
        <v>1737</v>
      </c>
      <c r="C1779" s="188" t="s">
        <v>36</v>
      </c>
      <c r="D1779" s="188" t="s">
        <v>37</v>
      </c>
      <c r="E1779" s="4">
        <v>9200</v>
      </c>
      <c r="F1779" s="5">
        <v>79700</v>
      </c>
      <c r="G1779" s="4">
        <v>16737</v>
      </c>
      <c r="H1779" s="4">
        <v>105637</v>
      </c>
      <c r="I1779" s="188" t="str">
        <f>VLOOKUP(C1779,CATEGORIZACION!$A$1:$C$269,2,FALSE)</f>
        <v>TRANSPORTE</v>
      </c>
      <c r="J1779" s="188" t="s">
        <v>19</v>
      </c>
    </row>
    <row r="1780" spans="1:10" ht="15.75" customHeight="1" x14ac:dyDescent="0.25">
      <c r="A1780" s="1">
        <v>45199</v>
      </c>
      <c r="B1780" s="188" t="s">
        <v>1738</v>
      </c>
      <c r="C1780" s="188" t="s">
        <v>36</v>
      </c>
      <c r="D1780" s="188" t="s">
        <v>37</v>
      </c>
      <c r="E1780" s="4">
        <v>9200</v>
      </c>
      <c r="F1780" s="5">
        <v>79700</v>
      </c>
      <c r="G1780" s="4">
        <v>16737</v>
      </c>
      <c r="H1780" s="4">
        <v>105637</v>
      </c>
      <c r="I1780" s="188" t="str">
        <f>VLOOKUP(C1780,CATEGORIZACION!$A$1:$C$269,2,FALSE)</f>
        <v>TRANSPORTE</v>
      </c>
      <c r="J1780" s="188" t="s">
        <v>19</v>
      </c>
    </row>
    <row r="1781" spans="1:10" ht="15.75" customHeight="1" x14ac:dyDescent="0.25">
      <c r="A1781" s="1">
        <v>45199</v>
      </c>
      <c r="B1781" s="188" t="s">
        <v>1739</v>
      </c>
      <c r="C1781" s="188" t="s">
        <v>36</v>
      </c>
      <c r="D1781" s="188" t="s">
        <v>37</v>
      </c>
      <c r="E1781" s="4">
        <v>9200</v>
      </c>
      <c r="F1781" s="5">
        <v>103600</v>
      </c>
      <c r="G1781" s="4">
        <v>21756</v>
      </c>
      <c r="H1781" s="4">
        <v>134556</v>
      </c>
      <c r="I1781" s="188" t="str">
        <f>VLOOKUP(C1781,CATEGORIZACION!$A$1:$C$269,2,FALSE)</f>
        <v>TRANSPORTE</v>
      </c>
      <c r="J1781" s="188" t="s">
        <v>19</v>
      </c>
    </row>
    <row r="1782" spans="1:10" ht="15.75" customHeight="1" x14ac:dyDescent="0.25">
      <c r="A1782" s="1">
        <v>45199</v>
      </c>
      <c r="B1782" s="188" t="s">
        <v>1740</v>
      </c>
      <c r="C1782" s="188" t="s">
        <v>36</v>
      </c>
      <c r="D1782" s="188" t="s">
        <v>37</v>
      </c>
      <c r="E1782" s="4">
        <v>9200</v>
      </c>
      <c r="F1782" s="5">
        <v>103600</v>
      </c>
      <c r="G1782" s="4">
        <v>21756</v>
      </c>
      <c r="H1782" s="4">
        <v>134556</v>
      </c>
      <c r="I1782" s="188" t="str">
        <f>VLOOKUP(C1782,CATEGORIZACION!$A$1:$C$269,2,FALSE)</f>
        <v>TRANSPORTE</v>
      </c>
      <c r="J1782" s="188" t="s">
        <v>19</v>
      </c>
    </row>
    <row r="1783" spans="1:10" ht="15.75" customHeight="1" x14ac:dyDescent="0.25">
      <c r="A1783" s="1">
        <v>45199</v>
      </c>
      <c r="B1783" s="188" t="s">
        <v>1741</v>
      </c>
      <c r="C1783" s="188" t="s">
        <v>36</v>
      </c>
      <c r="D1783" s="188" t="s">
        <v>37</v>
      </c>
      <c r="E1783" s="4">
        <v>9200</v>
      </c>
      <c r="F1783" s="5">
        <v>79700</v>
      </c>
      <c r="G1783" s="4">
        <v>16737</v>
      </c>
      <c r="H1783" s="4">
        <v>105637</v>
      </c>
      <c r="I1783" s="188" t="str">
        <f>VLOOKUP(C1783,CATEGORIZACION!$A$1:$C$269,2,FALSE)</f>
        <v>TRANSPORTE</v>
      </c>
      <c r="J1783" s="188" t="s">
        <v>19</v>
      </c>
    </row>
    <row r="1784" spans="1:10" ht="15.75" customHeight="1" x14ac:dyDescent="0.25">
      <c r="A1784" s="1">
        <v>45199</v>
      </c>
      <c r="B1784" s="188" t="s">
        <v>1742</v>
      </c>
      <c r="C1784" s="188" t="s">
        <v>36</v>
      </c>
      <c r="D1784" s="188" t="s">
        <v>37</v>
      </c>
      <c r="E1784" s="4">
        <v>9200</v>
      </c>
      <c r="F1784" s="5">
        <v>79700</v>
      </c>
      <c r="G1784" s="4">
        <v>16737</v>
      </c>
      <c r="H1784" s="4">
        <v>105637</v>
      </c>
      <c r="I1784" s="188" t="str">
        <f>VLOOKUP(C1784,CATEGORIZACION!$A$1:$C$269,2,FALSE)</f>
        <v>TRANSPORTE</v>
      </c>
      <c r="J1784" s="188" t="s">
        <v>19</v>
      </c>
    </row>
    <row r="1785" spans="1:10" ht="15.75" customHeight="1" x14ac:dyDescent="0.25">
      <c r="A1785" s="1">
        <v>45199</v>
      </c>
      <c r="B1785" s="188" t="s">
        <v>1743</v>
      </c>
      <c r="C1785" s="188" t="s">
        <v>36</v>
      </c>
      <c r="D1785" s="188" t="s">
        <v>37</v>
      </c>
      <c r="E1785" s="4">
        <v>9200</v>
      </c>
      <c r="F1785" s="5">
        <v>79700</v>
      </c>
      <c r="G1785" s="4">
        <v>16737</v>
      </c>
      <c r="H1785" s="4">
        <v>105637</v>
      </c>
      <c r="I1785" s="188" t="str">
        <f>VLOOKUP(C1785,CATEGORIZACION!$A$1:$C$269,2,FALSE)</f>
        <v>TRANSPORTE</v>
      </c>
      <c r="J1785" s="188" t="s">
        <v>19</v>
      </c>
    </row>
    <row r="1786" spans="1:10" ht="15.75" customHeight="1" x14ac:dyDescent="0.25">
      <c r="A1786" s="1">
        <v>45199</v>
      </c>
      <c r="B1786" s="188" t="s">
        <v>1744</v>
      </c>
      <c r="C1786" s="188" t="s">
        <v>375</v>
      </c>
      <c r="D1786" s="188" t="s">
        <v>376</v>
      </c>
      <c r="E1786" s="4">
        <v>4792.66</v>
      </c>
      <c r="F1786" s="5">
        <v>99847.11</v>
      </c>
      <c r="G1786" s="4">
        <v>20967.89</v>
      </c>
      <c r="H1786" s="4">
        <v>125607.66</v>
      </c>
      <c r="I1786" s="188" t="str">
        <f>VLOOKUP(C1786,CATEGORIZACION!$A$1:$C$269,2,FALSE)</f>
        <v>PROOVEDORES</v>
      </c>
      <c r="J1786" s="188" t="str">
        <f>VLOOKUP(C1786,CATEGORIZACION!$A$1:$C$269,3,FALSE)</f>
        <v>LOGISTICA</v>
      </c>
    </row>
    <row r="1787" spans="1:10" ht="15.75" customHeight="1" x14ac:dyDescent="0.25">
      <c r="A1787" s="1">
        <v>45199</v>
      </c>
      <c r="B1787" s="188" t="s">
        <v>82</v>
      </c>
      <c r="C1787" s="188" t="s">
        <v>188</v>
      </c>
      <c r="D1787" s="188">
        <v>0</v>
      </c>
      <c r="E1787" s="4">
        <v>0</v>
      </c>
      <c r="F1787" s="3">
        <v>1537400</v>
      </c>
      <c r="G1787" s="4">
        <v>0</v>
      </c>
      <c r="H1787" s="4">
        <v>0</v>
      </c>
      <c r="I1787" s="188" t="str">
        <f>VLOOKUP(C1787,CATEGORIZACION!$A$1:$C$269,2,FALSE)</f>
        <v>SUELDOS</v>
      </c>
      <c r="J1787" s="188" t="s">
        <v>103</v>
      </c>
    </row>
    <row r="1788" spans="1:10" ht="15.75" customHeight="1" x14ac:dyDescent="0.25">
      <c r="A1788" s="1">
        <v>45199</v>
      </c>
      <c r="B1788" s="188" t="s">
        <v>82</v>
      </c>
      <c r="C1788" s="188" t="s">
        <v>189</v>
      </c>
      <c r="D1788" s="188">
        <v>0</v>
      </c>
      <c r="E1788" s="4">
        <v>0</v>
      </c>
      <c r="F1788" s="3">
        <v>227000</v>
      </c>
      <c r="G1788" s="4">
        <v>0</v>
      </c>
      <c r="H1788" s="4">
        <v>0</v>
      </c>
      <c r="I1788" s="188" t="str">
        <f>VLOOKUP(C1788,CATEGORIZACION!$A$1:$C$269,2,FALSE)</f>
        <v>SUELDOS</v>
      </c>
      <c r="J1788" s="188" t="s">
        <v>103</v>
      </c>
    </row>
    <row r="1789" spans="1:10" ht="15.75" customHeight="1" x14ac:dyDescent="0.25">
      <c r="A1789" s="1">
        <v>45199</v>
      </c>
      <c r="B1789" s="188" t="s">
        <v>82</v>
      </c>
      <c r="C1789" s="188" t="s">
        <v>1114</v>
      </c>
      <c r="D1789" s="188">
        <v>0</v>
      </c>
      <c r="E1789" s="4">
        <v>0</v>
      </c>
      <c r="F1789" s="3">
        <v>0</v>
      </c>
      <c r="G1789" s="4">
        <v>0</v>
      </c>
      <c r="H1789" s="4">
        <v>0</v>
      </c>
      <c r="I1789" s="188" t="str">
        <f>VLOOKUP(C1789,CATEGORIZACION!$A$1:$C$269,2,FALSE)</f>
        <v>SUELDOS</v>
      </c>
      <c r="J1789" s="188" t="s">
        <v>103</v>
      </c>
    </row>
    <row r="1790" spans="1:10" ht="15.75" customHeight="1" x14ac:dyDescent="0.25">
      <c r="A1790" s="1">
        <v>45199</v>
      </c>
      <c r="B1790" s="188" t="s">
        <v>82</v>
      </c>
      <c r="C1790" s="188" t="s">
        <v>1115</v>
      </c>
      <c r="D1790" s="188">
        <v>0</v>
      </c>
      <c r="E1790" s="4">
        <v>0</v>
      </c>
      <c r="F1790" s="5">
        <v>0</v>
      </c>
      <c r="G1790" s="4">
        <v>0</v>
      </c>
      <c r="H1790" s="4">
        <v>0</v>
      </c>
      <c r="I1790" s="188" t="str">
        <f>VLOOKUP(C1790,CATEGORIZACION!$A$1:$C$269,2,FALSE)</f>
        <v>SUELDOS</v>
      </c>
      <c r="J1790" s="188" t="s">
        <v>19</v>
      </c>
    </row>
    <row r="1791" spans="1:10" ht="15.75" customHeight="1" x14ac:dyDescent="0.25">
      <c r="A1791" s="1">
        <v>45199</v>
      </c>
      <c r="B1791" s="188" t="s">
        <v>82</v>
      </c>
      <c r="C1791" s="188" t="s">
        <v>190</v>
      </c>
      <c r="D1791" s="188">
        <v>0</v>
      </c>
      <c r="E1791" s="4">
        <v>0</v>
      </c>
      <c r="F1791" s="5">
        <v>3414050</v>
      </c>
      <c r="G1791" s="4">
        <v>0</v>
      </c>
      <c r="H1791" s="4">
        <v>0</v>
      </c>
      <c r="I1791" s="188" t="str">
        <f>VLOOKUP(C1791,CATEGORIZACION!$A$1:$C$269,2,FALSE)</f>
        <v>SUELDOS</v>
      </c>
      <c r="J1791" s="188" t="s">
        <v>19</v>
      </c>
    </row>
    <row r="1792" spans="1:10" ht="15.75" customHeight="1" x14ac:dyDescent="0.25">
      <c r="A1792" s="1">
        <v>45199</v>
      </c>
      <c r="B1792" s="188" t="s">
        <v>82</v>
      </c>
      <c r="C1792" s="188" t="s">
        <v>191</v>
      </c>
      <c r="D1792" s="188">
        <v>0</v>
      </c>
      <c r="E1792" s="4">
        <v>0</v>
      </c>
      <c r="F1792" s="5">
        <v>1186100</v>
      </c>
      <c r="G1792" s="4">
        <v>0</v>
      </c>
      <c r="H1792" s="4">
        <v>0</v>
      </c>
      <c r="I1792" s="188" t="str">
        <f>VLOOKUP(C1792,CATEGORIZACION!$A$1:$C$269,2,FALSE)</f>
        <v>SUELDOS</v>
      </c>
      <c r="J1792" s="188" t="s">
        <v>19</v>
      </c>
    </row>
    <row r="1793" spans="1:10" ht="15.75" customHeight="1" x14ac:dyDescent="0.25">
      <c r="A1793" s="1">
        <v>45199</v>
      </c>
      <c r="B1793" s="188" t="s">
        <v>82</v>
      </c>
      <c r="C1793" s="188" t="s">
        <v>192</v>
      </c>
      <c r="D1793" s="188">
        <v>0</v>
      </c>
      <c r="E1793" s="4">
        <v>0</v>
      </c>
      <c r="F1793" s="3">
        <v>0</v>
      </c>
      <c r="G1793" s="4">
        <v>0</v>
      </c>
      <c r="H1793" s="4">
        <v>0</v>
      </c>
      <c r="I1793" s="188" t="str">
        <f>VLOOKUP(C1793,CATEGORIZACION!$A$1:$C$269,2,FALSE)</f>
        <v>SUELDOS</v>
      </c>
      <c r="J1793" s="188" t="s">
        <v>103</v>
      </c>
    </row>
    <row r="1794" spans="1:10" ht="15.75" customHeight="1" x14ac:dyDescent="0.25">
      <c r="A1794" s="1">
        <v>45199</v>
      </c>
      <c r="B1794" s="188" t="s">
        <v>82</v>
      </c>
      <c r="C1794" s="188" t="s">
        <v>193</v>
      </c>
      <c r="D1794" s="188">
        <v>0</v>
      </c>
      <c r="E1794" s="4">
        <v>0</v>
      </c>
      <c r="F1794" s="5">
        <v>0</v>
      </c>
      <c r="G1794" s="4">
        <v>0</v>
      </c>
      <c r="H1794" s="4">
        <v>0</v>
      </c>
      <c r="I1794" s="188" t="str">
        <f>VLOOKUP(C1794,CATEGORIZACION!$A$1:$C$269,2,FALSE)</f>
        <v>SUELDOS</v>
      </c>
      <c r="J1794" s="188" t="s">
        <v>19</v>
      </c>
    </row>
    <row r="1795" spans="1:10" ht="15.75" customHeight="1" x14ac:dyDescent="0.25">
      <c r="A1795" s="1">
        <v>45199</v>
      </c>
      <c r="B1795" s="188" t="s">
        <v>82</v>
      </c>
      <c r="C1795" s="188" t="s">
        <v>194</v>
      </c>
      <c r="D1795" s="188">
        <v>0</v>
      </c>
      <c r="E1795" s="4">
        <v>0</v>
      </c>
      <c r="F1795" s="3">
        <v>1400625</v>
      </c>
      <c r="G1795" s="4">
        <v>0</v>
      </c>
      <c r="H1795" s="4">
        <v>0</v>
      </c>
      <c r="I1795" s="188" t="str">
        <f>VLOOKUP(C1795,CATEGORIZACION!$A$1:$C$269,2,FALSE)</f>
        <v>ALQUILER</v>
      </c>
      <c r="J1795" s="188" t="s">
        <v>103</v>
      </c>
    </row>
    <row r="1796" spans="1:10" ht="15.75" customHeight="1" x14ac:dyDescent="0.25">
      <c r="A1796" s="1">
        <v>45199</v>
      </c>
      <c r="B1796" s="188" t="s">
        <v>82</v>
      </c>
      <c r="C1796" s="188" t="s">
        <v>195</v>
      </c>
      <c r="D1796" s="188">
        <v>0</v>
      </c>
      <c r="E1796" s="4">
        <v>0</v>
      </c>
      <c r="F1796" s="3">
        <v>760438</v>
      </c>
      <c r="G1796" s="4">
        <v>0</v>
      </c>
      <c r="H1796" s="4">
        <v>0</v>
      </c>
      <c r="I1796" s="188" t="str">
        <f>VLOOKUP(C1796,CATEGORIZACION!$A$1:$C$269,2,FALSE)</f>
        <v>ALQUILER</v>
      </c>
      <c r="J1796" s="188" t="s">
        <v>103</v>
      </c>
    </row>
    <row r="1797" spans="1:10" ht="15.75" customHeight="1" x14ac:dyDescent="0.25">
      <c r="A1797" s="1">
        <v>45199</v>
      </c>
      <c r="B1797" s="188" t="s">
        <v>82</v>
      </c>
      <c r="C1797" s="188" t="s">
        <v>196</v>
      </c>
      <c r="D1797" s="188">
        <v>0</v>
      </c>
      <c r="E1797" s="4">
        <v>0</v>
      </c>
      <c r="F1797" s="3">
        <v>394186</v>
      </c>
      <c r="G1797" s="4">
        <v>0</v>
      </c>
      <c r="H1797" s="4">
        <v>0</v>
      </c>
      <c r="I1797" s="188" t="str">
        <f>VLOOKUP(C1797,CATEGORIZACION!$A$1:$C$269,2,FALSE)</f>
        <v>ALQUILER</v>
      </c>
      <c r="J1797" s="188" t="s">
        <v>103</v>
      </c>
    </row>
    <row r="1798" spans="1:10" ht="15.75" customHeight="1" x14ac:dyDescent="0.25">
      <c r="A1798" s="1">
        <v>45199</v>
      </c>
      <c r="B1798" s="188" t="s">
        <v>82</v>
      </c>
      <c r="C1798" s="188" t="s">
        <v>197</v>
      </c>
      <c r="D1798" s="188">
        <v>0</v>
      </c>
      <c r="E1798" s="4">
        <v>0</v>
      </c>
      <c r="F1798" s="3">
        <v>73063.77</v>
      </c>
      <c r="G1798" s="4">
        <v>0</v>
      </c>
      <c r="H1798" s="4">
        <v>0</v>
      </c>
      <c r="I1798" s="188" t="str">
        <f>VLOOKUP(C1798,CATEGORIZACION!$A$1:$C$269,2,FALSE)</f>
        <v>ALQUILER</v>
      </c>
      <c r="J1798" s="188" t="s">
        <v>103</v>
      </c>
    </row>
    <row r="1799" spans="1:10" ht="15.75" customHeight="1" x14ac:dyDescent="0.25">
      <c r="A1799" s="1">
        <v>45199</v>
      </c>
      <c r="B1799" s="188" t="s">
        <v>82</v>
      </c>
      <c r="C1799" s="188" t="s">
        <v>198</v>
      </c>
      <c r="D1799" s="188">
        <v>0</v>
      </c>
      <c r="E1799" s="4">
        <v>0</v>
      </c>
      <c r="F1799" s="5">
        <v>335000</v>
      </c>
      <c r="G1799" s="4">
        <v>0</v>
      </c>
      <c r="H1799" s="4">
        <v>0</v>
      </c>
      <c r="I1799" s="188" t="str">
        <f>VLOOKUP(C1799,CATEGORIZACION!$A$1:$C$269,2,FALSE)</f>
        <v>ALQUILER</v>
      </c>
      <c r="J1799" s="188" t="s">
        <v>19</v>
      </c>
    </row>
    <row r="1800" spans="1:10" ht="15.75" customHeight="1" x14ac:dyDescent="0.25">
      <c r="A1800" s="1">
        <v>45199</v>
      </c>
      <c r="B1800" s="188" t="s">
        <v>82</v>
      </c>
      <c r="C1800" s="188" t="s">
        <v>199</v>
      </c>
      <c r="D1800" s="188">
        <v>0</v>
      </c>
      <c r="E1800" s="4">
        <v>0</v>
      </c>
      <c r="F1800" s="3">
        <v>58770</v>
      </c>
      <c r="G1800" s="4">
        <v>0</v>
      </c>
      <c r="H1800" s="4">
        <v>0</v>
      </c>
      <c r="I1800" s="188" t="str">
        <f>VLOOKUP(C1800,CATEGORIZACION!$A$1:$C$269,2,FALSE)</f>
        <v>PROOVEDORES</v>
      </c>
      <c r="J1800" s="188" t="str">
        <f>VLOOKUP(C1800,CATEGORIZACION!$A$1:$C$269,3,FALSE)</f>
        <v>DEPOSITO</v>
      </c>
    </row>
    <row r="1801" spans="1:10" ht="15.75" customHeight="1" x14ac:dyDescent="0.25">
      <c r="A1801" s="1">
        <v>45199</v>
      </c>
      <c r="B1801" s="188" t="s">
        <v>82</v>
      </c>
      <c r="C1801" s="188" t="s">
        <v>200</v>
      </c>
      <c r="D1801" s="188">
        <v>0</v>
      </c>
      <c r="E1801" s="4">
        <v>0</v>
      </c>
      <c r="F1801" s="5">
        <v>0</v>
      </c>
      <c r="G1801" s="4">
        <v>0</v>
      </c>
      <c r="H1801" s="4">
        <v>0</v>
      </c>
      <c r="I1801" s="188" t="str">
        <f>VLOOKUP(C1801,CATEGORIZACION!$A$1:$C$269,2,FALSE)</f>
        <v>PROOVEDORES</v>
      </c>
      <c r="J1801" s="188" t="str">
        <f>VLOOKUP(C1801,CATEGORIZACION!$A$1:$C$269,3,FALSE)</f>
        <v>LOGISTICA</v>
      </c>
    </row>
    <row r="1802" spans="1:10" ht="15.75" customHeight="1" x14ac:dyDescent="0.25">
      <c r="A1802" s="1">
        <v>45199</v>
      </c>
      <c r="B1802" s="188" t="s">
        <v>82</v>
      </c>
      <c r="C1802" s="188" t="s">
        <v>1116</v>
      </c>
      <c r="D1802" s="188">
        <v>0</v>
      </c>
      <c r="E1802" s="4">
        <v>0</v>
      </c>
      <c r="F1802" s="5">
        <v>0</v>
      </c>
      <c r="G1802" s="4">
        <v>0</v>
      </c>
      <c r="H1802" s="4">
        <v>0</v>
      </c>
      <c r="I1802" s="188" t="str">
        <f>VLOOKUP(C1802,CATEGORIZACION!$A$1:$C$269,2,FALSE)</f>
        <v>PROOVEDORES</v>
      </c>
      <c r="J1802" s="188" t="str">
        <f>VLOOKUP(C1802,CATEGORIZACION!$A$1:$C$269,3,FALSE)</f>
        <v>LOGISTICA</v>
      </c>
    </row>
    <row r="1803" spans="1:10" ht="15.75" customHeight="1" x14ac:dyDescent="0.25">
      <c r="A1803" s="1">
        <v>45199</v>
      </c>
      <c r="B1803" s="188" t="s">
        <v>82</v>
      </c>
      <c r="C1803" s="188" t="s">
        <v>1117</v>
      </c>
      <c r="D1803" s="188">
        <v>0</v>
      </c>
      <c r="E1803" s="4">
        <v>0</v>
      </c>
      <c r="F1803" s="5">
        <v>0</v>
      </c>
      <c r="G1803" s="4">
        <v>0</v>
      </c>
      <c r="H1803" s="4">
        <v>0</v>
      </c>
      <c r="I1803" s="188" t="str">
        <f>VLOOKUP(C1803,CATEGORIZACION!$A$1:$C$269,2,FALSE)</f>
        <v>PROOVEDORES</v>
      </c>
      <c r="J1803" s="188" t="str">
        <f>VLOOKUP(C1803,CATEGORIZACION!$A$1:$C$269,3,FALSE)</f>
        <v>LOGISTICA</v>
      </c>
    </row>
    <row r="1804" spans="1:10" ht="15.75" customHeight="1" x14ac:dyDescent="0.25">
      <c r="A1804" s="1">
        <v>45199</v>
      </c>
      <c r="B1804" s="188" t="s">
        <v>82</v>
      </c>
      <c r="C1804" s="188" t="s">
        <v>363</v>
      </c>
      <c r="D1804" s="188">
        <v>0</v>
      </c>
      <c r="E1804" s="4">
        <v>0</v>
      </c>
      <c r="F1804" s="5">
        <v>0</v>
      </c>
      <c r="G1804" s="4">
        <v>0</v>
      </c>
      <c r="H1804" s="4">
        <v>0</v>
      </c>
      <c r="I1804" s="188" t="str">
        <f>VLOOKUP(C1804,CATEGORIZACION!$A$1:$C$269,2,FALSE)</f>
        <v>PROOVEDORES</v>
      </c>
      <c r="J1804" s="188" t="str">
        <f>VLOOKUP(C1804,CATEGORIZACION!$A$1:$C$269,3,FALSE)</f>
        <v>LOGISTICA</v>
      </c>
    </row>
    <row r="1805" spans="1:10" ht="15.75" customHeight="1" x14ac:dyDescent="0.25">
      <c r="A1805" s="1">
        <v>45199</v>
      </c>
      <c r="B1805" s="188" t="s">
        <v>82</v>
      </c>
      <c r="C1805" s="188" t="s">
        <v>204</v>
      </c>
      <c r="D1805" s="188">
        <v>0</v>
      </c>
      <c r="E1805" s="4">
        <v>0</v>
      </c>
      <c r="F1805" s="5">
        <v>715190</v>
      </c>
      <c r="G1805" s="4">
        <v>0</v>
      </c>
      <c r="H1805" s="4">
        <v>0</v>
      </c>
      <c r="I1805" s="188" t="str">
        <f>VLOOKUP(C1805,CATEGORIZACION!$A$1:$C$269,2,FALSE)</f>
        <v>PROOVEDORES</v>
      </c>
      <c r="J1805" s="188" t="str">
        <f>VLOOKUP(C1805,CATEGORIZACION!$A$1:$C$269,3,FALSE)</f>
        <v>LOGISTICA</v>
      </c>
    </row>
    <row r="1806" spans="1:10" ht="15.75" customHeight="1" x14ac:dyDescent="0.25">
      <c r="A1806" s="1">
        <v>45199</v>
      </c>
      <c r="B1806" s="188" t="s">
        <v>82</v>
      </c>
      <c r="C1806" s="188" t="s">
        <v>205</v>
      </c>
      <c r="D1806" s="188">
        <v>0</v>
      </c>
      <c r="E1806" s="4">
        <v>0</v>
      </c>
      <c r="F1806" s="5">
        <v>320000</v>
      </c>
      <c r="G1806" s="4">
        <v>0</v>
      </c>
      <c r="H1806" s="4">
        <v>0</v>
      </c>
      <c r="I1806" s="188" t="str">
        <f>VLOOKUP(C1806,CATEGORIZACION!$A$1:$C$269,2,FALSE)</f>
        <v>AFIP</v>
      </c>
      <c r="J1806" s="188" t="s">
        <v>19</v>
      </c>
    </row>
    <row r="1807" spans="1:10" ht="15.75" customHeight="1" x14ac:dyDescent="0.25">
      <c r="A1807" s="1">
        <v>45199</v>
      </c>
      <c r="B1807" s="188" t="s">
        <v>82</v>
      </c>
      <c r="C1807" s="188" t="s">
        <v>690</v>
      </c>
      <c r="D1807" s="188">
        <v>0</v>
      </c>
      <c r="E1807" s="4">
        <v>0</v>
      </c>
      <c r="F1807" s="3">
        <v>910278</v>
      </c>
      <c r="G1807" s="4">
        <v>0</v>
      </c>
      <c r="H1807" s="4">
        <v>0</v>
      </c>
      <c r="I1807" s="188" t="str">
        <f>VLOOKUP(C1807,CATEGORIZACION!$A$1:$C$269,2,FALSE)</f>
        <v>AFIP</v>
      </c>
      <c r="J1807" s="188" t="s">
        <v>103</v>
      </c>
    </row>
    <row r="1808" spans="1:10" ht="15.75" customHeight="1" x14ac:dyDescent="0.25">
      <c r="A1808" s="1">
        <v>45199</v>
      </c>
      <c r="B1808" s="188" t="s">
        <v>82</v>
      </c>
      <c r="C1808" s="188" t="s">
        <v>206</v>
      </c>
      <c r="D1808" s="188">
        <v>0</v>
      </c>
      <c r="E1808" s="4">
        <v>0</v>
      </c>
      <c r="F1808" s="5">
        <v>910278</v>
      </c>
      <c r="G1808" s="4">
        <v>0</v>
      </c>
      <c r="H1808" s="4">
        <v>0</v>
      </c>
      <c r="I1808" s="188" t="str">
        <f>VLOOKUP(C1808,CATEGORIZACION!$A$1:$C$269,2,FALSE)</f>
        <v>AFIP</v>
      </c>
      <c r="J1808" s="188" t="s">
        <v>19</v>
      </c>
    </row>
    <row r="1809" spans="1:10" ht="15.75" customHeight="1" x14ac:dyDescent="0.25">
      <c r="A1809" s="1">
        <v>45199</v>
      </c>
      <c r="B1809" s="188" t="s">
        <v>82</v>
      </c>
      <c r="C1809" s="188" t="s">
        <v>207</v>
      </c>
      <c r="D1809" s="188">
        <v>0</v>
      </c>
      <c r="E1809" s="4">
        <v>0</v>
      </c>
      <c r="F1809" s="5">
        <v>897899.47</v>
      </c>
      <c r="G1809" s="4">
        <v>0</v>
      </c>
      <c r="H1809" s="4">
        <v>0</v>
      </c>
      <c r="I1809" s="188" t="str">
        <f>VLOOKUP(C1809,CATEGORIZACION!$A$1:$C$269,2,FALSE)</f>
        <v>AFIP</v>
      </c>
      <c r="J1809" s="188" t="s">
        <v>19</v>
      </c>
    </row>
    <row r="1810" spans="1:10" ht="15.75" customHeight="1" x14ac:dyDescent="0.25">
      <c r="A1810" s="1">
        <v>45199</v>
      </c>
      <c r="B1810" s="188" t="s">
        <v>82</v>
      </c>
      <c r="C1810" s="188" t="s">
        <v>208</v>
      </c>
      <c r="D1810" s="188">
        <v>0</v>
      </c>
      <c r="E1810" s="4">
        <v>0</v>
      </c>
      <c r="F1810" s="5">
        <v>196225</v>
      </c>
      <c r="G1810" s="4">
        <v>0</v>
      </c>
      <c r="H1810" s="4">
        <v>0</v>
      </c>
      <c r="I1810" s="188" t="str">
        <f>VLOOKUP(C1810,CATEGORIZACION!$A$1:$C$269,2,FALSE)</f>
        <v>AFIP</v>
      </c>
      <c r="J1810" s="188" t="s">
        <v>19</v>
      </c>
    </row>
    <row r="1811" spans="1:10" ht="15.75" customHeight="1" x14ac:dyDescent="0.25">
      <c r="A1811" s="1">
        <v>45199</v>
      </c>
      <c r="B1811" s="188" t="s">
        <v>82</v>
      </c>
      <c r="C1811" s="188" t="s">
        <v>209</v>
      </c>
      <c r="D1811" s="188">
        <v>0</v>
      </c>
      <c r="E1811" s="4">
        <v>0</v>
      </c>
      <c r="F1811" s="5">
        <v>47915.746999999996</v>
      </c>
      <c r="G1811" s="4">
        <v>0</v>
      </c>
      <c r="H1811" s="4">
        <v>0</v>
      </c>
      <c r="I1811" s="188" t="str">
        <f>VLOOKUP(C1811,CATEGORIZACION!$A$1:$C$269,2,FALSE)</f>
        <v>PROOVEDORES</v>
      </c>
      <c r="J1811" s="188" t="str">
        <f>VLOOKUP(C1811,CATEGORIZACION!$A$1:$C$269,3,FALSE)</f>
        <v>LOGISTICA</v>
      </c>
    </row>
    <row r="1812" spans="1:10" ht="15.75" customHeight="1" x14ac:dyDescent="0.25">
      <c r="A1812" s="1">
        <v>45199</v>
      </c>
      <c r="B1812" s="188" t="s">
        <v>82</v>
      </c>
      <c r="C1812" s="188" t="s">
        <v>210</v>
      </c>
      <c r="D1812" s="188">
        <v>0</v>
      </c>
      <c r="E1812" s="4">
        <v>0</v>
      </c>
      <c r="F1812" s="5">
        <v>266780.79999999999</v>
      </c>
      <c r="G1812" s="4">
        <v>0</v>
      </c>
      <c r="H1812" s="4">
        <v>0</v>
      </c>
      <c r="I1812" s="188" t="str">
        <f>VLOOKUP(C1812,CATEGORIZACION!$A$1:$C$269,2,FALSE)</f>
        <v>PROOVEDORES</v>
      </c>
      <c r="J1812" s="188" t="str">
        <f>VLOOKUP(C1812,CATEGORIZACION!$A$1:$C$269,3,FALSE)</f>
        <v>LOGISTICA</v>
      </c>
    </row>
    <row r="1813" spans="1:10" ht="15.75" customHeight="1" x14ac:dyDescent="0.25">
      <c r="A1813" s="1">
        <v>45199</v>
      </c>
      <c r="B1813" s="188" t="s">
        <v>82</v>
      </c>
      <c r="C1813" s="188" t="s">
        <v>211</v>
      </c>
      <c r="D1813" s="188">
        <v>0</v>
      </c>
      <c r="E1813" s="4">
        <v>0</v>
      </c>
      <c r="F1813" s="5">
        <v>56443.596000000005</v>
      </c>
      <c r="G1813" s="4">
        <v>0</v>
      </c>
      <c r="H1813" s="4">
        <v>0</v>
      </c>
      <c r="I1813" s="188" t="str">
        <f>VLOOKUP(C1813,CATEGORIZACION!$A$1:$C$269,2,FALSE)</f>
        <v>PROOVEDORES</v>
      </c>
      <c r="J1813" s="188" t="str">
        <f>VLOOKUP(C1813,CATEGORIZACION!$A$1:$C$269,3,FALSE)</f>
        <v>LOGISTICA</v>
      </c>
    </row>
    <row r="1814" spans="1:10" ht="15.75" customHeight="1" x14ac:dyDescent="0.25">
      <c r="A1814" s="1">
        <v>45199</v>
      </c>
      <c r="B1814" s="188" t="s">
        <v>82</v>
      </c>
      <c r="C1814" s="188" t="s">
        <v>212</v>
      </c>
      <c r="D1814" s="188">
        <v>0</v>
      </c>
      <c r="E1814" s="4">
        <v>0</v>
      </c>
      <c r="F1814" s="5">
        <v>9818.6</v>
      </c>
      <c r="G1814" s="4">
        <v>0</v>
      </c>
      <c r="H1814" s="4">
        <v>0</v>
      </c>
      <c r="I1814" s="188" t="str">
        <f>VLOOKUP(C1814,CATEGORIZACION!$A$1:$C$269,2,FALSE)</f>
        <v>PROOVEDORES</v>
      </c>
      <c r="J1814" s="188" t="str">
        <f>VLOOKUP(C1814,CATEGORIZACION!$A$1:$C$269,3,FALSE)</f>
        <v>LOGISTICA</v>
      </c>
    </row>
    <row r="1815" spans="1:10" ht="15.75" customHeight="1" x14ac:dyDescent="0.25">
      <c r="A1815" s="1">
        <v>45199</v>
      </c>
      <c r="B1815" s="188" t="s">
        <v>82</v>
      </c>
      <c r="C1815" s="188" t="s">
        <v>213</v>
      </c>
      <c r="D1815" s="188">
        <v>0</v>
      </c>
      <c r="E1815" s="4">
        <v>0</v>
      </c>
      <c r="F1815" s="5">
        <v>0</v>
      </c>
      <c r="G1815" s="4">
        <v>0</v>
      </c>
      <c r="H1815" s="4">
        <v>0</v>
      </c>
      <c r="I1815" s="188" t="str">
        <f>VLOOKUP(C1815,CATEGORIZACION!$A$1:$C$269,2,FALSE)</f>
        <v>AFIP</v>
      </c>
      <c r="J1815" s="188" t="s">
        <v>19</v>
      </c>
    </row>
    <row r="1816" spans="1:10" ht="15.75" customHeight="1" x14ac:dyDescent="0.25">
      <c r="A1816" s="1">
        <v>45199</v>
      </c>
      <c r="B1816" s="188" t="s">
        <v>82</v>
      </c>
      <c r="C1816" s="188" t="s">
        <v>1118</v>
      </c>
      <c r="D1816" s="188">
        <v>0</v>
      </c>
      <c r="E1816" s="4">
        <v>0</v>
      </c>
      <c r="F1816" s="5">
        <v>0</v>
      </c>
      <c r="G1816" s="4">
        <v>0</v>
      </c>
      <c r="H1816" s="4">
        <v>0</v>
      </c>
      <c r="I1816" s="188" t="str">
        <f>VLOOKUP(C1816,CATEGORIZACION!$A$1:$C$269,2,FALSE)</f>
        <v>AFIP</v>
      </c>
      <c r="J1816" s="188" t="s">
        <v>19</v>
      </c>
    </row>
    <row r="1817" spans="1:10" ht="15.75" customHeight="1" x14ac:dyDescent="0.25">
      <c r="A1817" s="1">
        <v>45199</v>
      </c>
      <c r="B1817" s="188" t="s">
        <v>82</v>
      </c>
      <c r="C1817" s="188" t="s">
        <v>1119</v>
      </c>
      <c r="D1817" s="188">
        <v>0</v>
      </c>
      <c r="E1817" s="4">
        <v>0</v>
      </c>
      <c r="F1817" s="5">
        <v>601225</v>
      </c>
      <c r="G1817" s="4">
        <v>0</v>
      </c>
      <c r="H1817" s="4">
        <v>0</v>
      </c>
      <c r="I1817" s="188" t="str">
        <f>VLOOKUP(C1817,CATEGORIZACION!$A$1:$C$269,2,FALSE)</f>
        <v>AFIP</v>
      </c>
      <c r="J1817" s="188" t="s">
        <v>19</v>
      </c>
    </row>
    <row r="1818" spans="1:10" ht="15.75" customHeight="1" x14ac:dyDescent="0.25">
      <c r="A1818" s="1">
        <v>45200</v>
      </c>
      <c r="B1818" s="188" t="s">
        <v>1745</v>
      </c>
      <c r="C1818" s="188" t="s">
        <v>218</v>
      </c>
      <c r="D1818" s="188" t="s">
        <v>219</v>
      </c>
      <c r="E1818" s="4">
        <v>0</v>
      </c>
      <c r="F1818" s="5">
        <v>178257.59</v>
      </c>
      <c r="G1818" s="4">
        <v>37434.089999999997</v>
      </c>
      <c r="H1818" s="4">
        <v>215691.68</v>
      </c>
      <c r="I1818" s="188" t="str">
        <f>VLOOKUP(C1818,CATEGORIZACION!$A$1:$C$269,2,FALSE)</f>
        <v>PROOVEDORES</v>
      </c>
      <c r="J1818" s="188" t="str">
        <f>VLOOKUP(C1818,CATEGORIZACION!$A$1:$C$269,3,FALSE)</f>
        <v>LOGISTICA</v>
      </c>
    </row>
    <row r="1819" spans="1:10" ht="15.75" customHeight="1" x14ac:dyDescent="0.25">
      <c r="A1819" s="1">
        <v>45201</v>
      </c>
      <c r="B1819" s="188" t="s">
        <v>1746</v>
      </c>
      <c r="C1819" s="188" t="s">
        <v>441</v>
      </c>
      <c r="D1819" s="188" t="s">
        <v>442</v>
      </c>
      <c r="E1819" s="4">
        <v>0</v>
      </c>
      <c r="F1819" s="3">
        <v>661250</v>
      </c>
      <c r="G1819" s="4">
        <v>138862.5</v>
      </c>
      <c r="H1819" s="4">
        <v>800112.5</v>
      </c>
      <c r="I1819" s="188" t="str">
        <f>VLOOKUP(C1819,CATEGORIZACION!$A$1:$C$269,2,FALSE)</f>
        <v>ALQUILER</v>
      </c>
      <c r="J1819" s="188" t="s">
        <v>103</v>
      </c>
    </row>
    <row r="1820" spans="1:10" ht="15.75" customHeight="1" x14ac:dyDescent="0.25">
      <c r="A1820" s="1">
        <v>45201</v>
      </c>
      <c r="B1820" s="188" t="s">
        <v>1747</v>
      </c>
      <c r="C1820" s="188" t="s">
        <v>49</v>
      </c>
      <c r="D1820" s="188" t="s">
        <v>50</v>
      </c>
      <c r="E1820" s="4">
        <v>0</v>
      </c>
      <c r="F1820" s="3">
        <v>174975</v>
      </c>
      <c r="G1820" s="4">
        <v>36744.75</v>
      </c>
      <c r="H1820" s="4">
        <v>211719.75</v>
      </c>
      <c r="I1820" s="188" t="str">
        <f>VLOOKUP(C1820,CATEGORIZACION!$A$1:$C$269,2,FALSE)</f>
        <v>PROOVEDORES</v>
      </c>
      <c r="J1820" s="188" t="str">
        <f>VLOOKUP(C1820,CATEGORIZACION!$A$1:$C$269,3,FALSE)</f>
        <v>DEPOSITO</v>
      </c>
    </row>
    <row r="1821" spans="1:10" ht="15.75" customHeight="1" x14ac:dyDescent="0.25">
      <c r="A1821" s="1">
        <v>45201</v>
      </c>
      <c r="B1821" s="188" t="s">
        <v>1748</v>
      </c>
      <c r="C1821" s="188" t="s">
        <v>49</v>
      </c>
      <c r="D1821" s="188" t="s">
        <v>50</v>
      </c>
      <c r="E1821" s="4">
        <v>0</v>
      </c>
      <c r="F1821" s="3">
        <v>174975</v>
      </c>
      <c r="G1821" s="4">
        <v>36744.75</v>
      </c>
      <c r="H1821" s="4">
        <v>211719.75</v>
      </c>
      <c r="I1821" s="188" t="str">
        <f>VLOOKUP(C1821,CATEGORIZACION!$A$1:$C$269,2,FALSE)</f>
        <v>PROOVEDORES</v>
      </c>
      <c r="J1821" s="188" t="str">
        <f>VLOOKUP(C1821,CATEGORIZACION!$A$1:$C$269,3,FALSE)</f>
        <v>DEPOSITO</v>
      </c>
    </row>
    <row r="1822" spans="1:10" ht="15.75" customHeight="1" x14ac:dyDescent="0.25">
      <c r="A1822" s="1">
        <v>45201</v>
      </c>
      <c r="B1822" s="188" t="s">
        <v>1749</v>
      </c>
      <c r="C1822" s="188" t="s">
        <v>14</v>
      </c>
      <c r="D1822" s="188" t="s">
        <v>15</v>
      </c>
      <c r="E1822" s="4">
        <v>0</v>
      </c>
      <c r="F1822" s="3">
        <v>43860</v>
      </c>
      <c r="G1822" s="4">
        <v>9210.6</v>
      </c>
      <c r="H1822" s="4">
        <v>53070.6</v>
      </c>
      <c r="I1822" s="188" t="str">
        <f>VLOOKUP(C1822,CATEGORIZACION!$A$1:$C$269,2,FALSE)</f>
        <v>PROOVEDORES</v>
      </c>
      <c r="J1822" s="188" t="str">
        <f>VLOOKUP(C1822,CATEGORIZACION!$A$1:$C$269,3,FALSE)</f>
        <v>DEPOSITO</v>
      </c>
    </row>
    <row r="1823" spans="1:10" ht="15.75" customHeight="1" x14ac:dyDescent="0.25">
      <c r="A1823" s="1">
        <v>45201</v>
      </c>
      <c r="B1823" s="188" t="s">
        <v>1750</v>
      </c>
      <c r="C1823" s="188" t="s">
        <v>17</v>
      </c>
      <c r="D1823" s="188" t="s">
        <v>18</v>
      </c>
      <c r="E1823" s="4">
        <v>58240</v>
      </c>
      <c r="F1823" s="5">
        <v>632000</v>
      </c>
      <c r="G1823" s="4">
        <v>132720</v>
      </c>
      <c r="H1823" s="4">
        <v>822960</v>
      </c>
      <c r="I1823" s="188" t="str">
        <f>VLOOKUP(C1823,CATEGORIZACION!$A$1:$C$269,2,FALSE)</f>
        <v>TRANSPORTE</v>
      </c>
      <c r="J1823" s="188" t="s">
        <v>19</v>
      </c>
    </row>
    <row r="1824" spans="1:10" ht="15.75" customHeight="1" x14ac:dyDescent="0.25">
      <c r="A1824" s="1">
        <v>45201</v>
      </c>
      <c r="B1824" s="188" t="s">
        <v>1751</v>
      </c>
      <c r="C1824" s="188" t="s">
        <v>426</v>
      </c>
      <c r="D1824" s="188" t="s">
        <v>427</v>
      </c>
      <c r="E1824" s="4">
        <v>2495</v>
      </c>
      <c r="F1824" s="5">
        <v>32648.76</v>
      </c>
      <c r="G1824" s="4">
        <v>6856.24</v>
      </c>
      <c r="H1824" s="4">
        <v>42000</v>
      </c>
      <c r="I1824" s="188" t="str">
        <f>VLOOKUP(C1824,CATEGORIZACION!$A$1:$C$269,2,FALSE)</f>
        <v>PROOVEDORES</v>
      </c>
      <c r="J1824" s="188" t="str">
        <f>VLOOKUP(C1824,CATEGORIZACION!$A$1:$C$269,3,FALSE)</f>
        <v>LOGISTICA</v>
      </c>
    </row>
    <row r="1825" spans="1:10" ht="15.75" customHeight="1" x14ac:dyDescent="0.25">
      <c r="A1825" s="1">
        <v>45202</v>
      </c>
      <c r="B1825" s="188" t="s">
        <v>1752</v>
      </c>
      <c r="C1825" s="188" t="s">
        <v>253</v>
      </c>
      <c r="D1825" s="188" t="s">
        <v>57</v>
      </c>
      <c r="E1825" s="4">
        <v>0</v>
      </c>
      <c r="F1825" s="5">
        <v>46857.19</v>
      </c>
      <c r="G1825" s="4">
        <v>9840.01</v>
      </c>
      <c r="H1825" s="4">
        <v>56697.2</v>
      </c>
      <c r="I1825" s="188" t="str">
        <f>VLOOKUP(C1825,CATEGORIZACION!$A$1:$C$269,2,FALSE)</f>
        <v>PROOVEDORES</v>
      </c>
      <c r="J1825" s="188" t="str">
        <f>VLOOKUP(C1825,CATEGORIZACION!$A$1:$C$269,3,FALSE)</f>
        <v>LOGISTICA</v>
      </c>
    </row>
    <row r="1826" spans="1:10" ht="15.75" customHeight="1" x14ac:dyDescent="0.25">
      <c r="A1826" s="1">
        <v>45202</v>
      </c>
      <c r="B1826" s="188" t="s">
        <v>1753</v>
      </c>
      <c r="C1826" s="188" t="s">
        <v>801</v>
      </c>
      <c r="D1826" s="188" t="s">
        <v>802</v>
      </c>
      <c r="E1826" s="4">
        <v>3062.46</v>
      </c>
      <c r="F1826" s="5">
        <v>21875</v>
      </c>
      <c r="G1826" s="4">
        <v>4593.75</v>
      </c>
      <c r="H1826" s="4">
        <v>29531.21</v>
      </c>
      <c r="I1826" s="188" t="str">
        <f>VLOOKUP(C1826,CATEGORIZACION!$A$1:$C$269,2,FALSE)</f>
        <v>PROOVEDORES</v>
      </c>
      <c r="J1826" s="188" t="str">
        <f>VLOOKUP(C1826,CATEGORIZACION!$A$1:$C$269,3,FALSE)</f>
        <v>LOGISTICA</v>
      </c>
    </row>
    <row r="1827" spans="1:10" ht="15.75" customHeight="1" x14ac:dyDescent="0.25">
      <c r="A1827" s="1">
        <v>45202</v>
      </c>
      <c r="B1827" s="188" t="s">
        <v>1754</v>
      </c>
      <c r="C1827" s="188" t="s">
        <v>801</v>
      </c>
      <c r="D1827" s="188" t="s">
        <v>802</v>
      </c>
      <c r="E1827" s="4">
        <v>31669.41</v>
      </c>
      <c r="F1827" s="5">
        <v>226209</v>
      </c>
      <c r="G1827" s="4">
        <v>47503.89</v>
      </c>
      <c r="H1827" s="4">
        <v>305382.3</v>
      </c>
      <c r="I1827" s="188" t="str">
        <f>VLOOKUP(C1827,CATEGORIZACION!$A$1:$C$269,2,FALSE)</f>
        <v>PROOVEDORES</v>
      </c>
      <c r="J1827" s="188" t="str">
        <f>VLOOKUP(C1827,CATEGORIZACION!$A$1:$C$269,3,FALSE)</f>
        <v>LOGISTICA</v>
      </c>
    </row>
    <row r="1828" spans="1:10" ht="15.75" customHeight="1" x14ac:dyDescent="0.25">
      <c r="A1828" s="1">
        <v>45202</v>
      </c>
      <c r="B1828" s="188" t="s">
        <v>1755</v>
      </c>
      <c r="C1828" s="188" t="s">
        <v>918</v>
      </c>
      <c r="D1828" s="188" t="s">
        <v>919</v>
      </c>
      <c r="E1828" s="4">
        <v>0</v>
      </c>
      <c r="F1828" s="5">
        <v>495.87</v>
      </c>
      <c r="G1828" s="4">
        <v>104.13</v>
      </c>
      <c r="H1828" s="4">
        <v>600</v>
      </c>
      <c r="I1828" s="188" t="str">
        <f>VLOOKUP(C1828,CATEGORIZACION!$A$1:$C$269,2,FALSE)</f>
        <v>PROOVEDORES</v>
      </c>
      <c r="J1828" s="188" t="str">
        <f>VLOOKUP(C1828,CATEGORIZACION!$A$1:$C$269,3,FALSE)</f>
        <v>LOGISTICA</v>
      </c>
    </row>
    <row r="1829" spans="1:10" ht="15.75" customHeight="1" x14ac:dyDescent="0.25">
      <c r="A1829" s="1">
        <v>45202</v>
      </c>
      <c r="B1829" s="188" t="s">
        <v>1756</v>
      </c>
      <c r="C1829" s="188" t="s">
        <v>918</v>
      </c>
      <c r="D1829" s="188" t="s">
        <v>919</v>
      </c>
      <c r="E1829" s="4">
        <v>264.8</v>
      </c>
      <c r="F1829" s="5">
        <v>26446</v>
      </c>
      <c r="G1829" s="4">
        <v>5553.66</v>
      </c>
      <c r="H1829" s="4">
        <v>32264.46</v>
      </c>
      <c r="I1829" s="188" t="str">
        <f>VLOOKUP(C1829,CATEGORIZACION!$A$1:$C$269,2,FALSE)</f>
        <v>PROOVEDORES</v>
      </c>
      <c r="J1829" s="188" t="str">
        <f>VLOOKUP(C1829,CATEGORIZACION!$A$1:$C$269,3,FALSE)</f>
        <v>LOGISTICA</v>
      </c>
    </row>
    <row r="1830" spans="1:10" ht="15.75" customHeight="1" x14ac:dyDescent="0.25">
      <c r="A1830" s="1">
        <v>45202</v>
      </c>
      <c r="B1830" s="188" t="s">
        <v>1757</v>
      </c>
      <c r="C1830" s="188" t="s">
        <v>804</v>
      </c>
      <c r="D1830" s="188" t="s">
        <v>805</v>
      </c>
      <c r="E1830" s="4">
        <v>267.63</v>
      </c>
      <c r="F1830" s="5">
        <v>6074</v>
      </c>
      <c r="G1830" s="4">
        <v>1275.54</v>
      </c>
      <c r="H1830" s="4">
        <v>7617.17</v>
      </c>
      <c r="I1830" s="188" t="str">
        <f>VLOOKUP(C1830,CATEGORIZACION!$A$1:$C$269,2,FALSE)</f>
        <v>PROOVEDORES</v>
      </c>
      <c r="J1830" s="188" t="str">
        <f>VLOOKUP(C1830,CATEGORIZACION!$A$1:$C$269,3,FALSE)</f>
        <v>LOGISTICA</v>
      </c>
    </row>
    <row r="1831" spans="1:10" ht="15.75" customHeight="1" x14ac:dyDescent="0.25">
      <c r="A1831" s="1">
        <v>45202</v>
      </c>
      <c r="B1831" s="188" t="s">
        <v>1758</v>
      </c>
      <c r="C1831" s="188" t="s">
        <v>804</v>
      </c>
      <c r="D1831" s="188" t="s">
        <v>805</v>
      </c>
      <c r="E1831" s="4">
        <v>2540.33</v>
      </c>
      <c r="F1831" s="5">
        <v>57727</v>
      </c>
      <c r="G1831" s="4">
        <v>12122.67</v>
      </c>
      <c r="H1831" s="4">
        <v>72390</v>
      </c>
      <c r="I1831" s="188" t="str">
        <f>VLOOKUP(C1831,CATEGORIZACION!$A$1:$C$269,2,FALSE)</f>
        <v>PROOVEDORES</v>
      </c>
      <c r="J1831" s="188" t="str">
        <f>VLOOKUP(C1831,CATEGORIZACION!$A$1:$C$269,3,FALSE)</f>
        <v>LOGISTICA</v>
      </c>
    </row>
    <row r="1832" spans="1:10" ht="15.75" customHeight="1" x14ac:dyDescent="0.25">
      <c r="A1832" s="1">
        <v>45204</v>
      </c>
      <c r="B1832" s="188" t="s">
        <v>1759</v>
      </c>
      <c r="C1832" s="188" t="s">
        <v>101</v>
      </c>
      <c r="D1832" s="188" t="s">
        <v>102</v>
      </c>
      <c r="E1832" s="4">
        <v>5602.5</v>
      </c>
      <c r="F1832" s="3">
        <v>1400625</v>
      </c>
      <c r="G1832" s="4">
        <v>294131.25</v>
      </c>
      <c r="H1832" s="4">
        <v>1700358.75</v>
      </c>
      <c r="I1832" s="188" t="str">
        <f>VLOOKUP(C1832,CATEGORIZACION!$A$1:$C$269,2,FALSE)</f>
        <v>ALQUILER</v>
      </c>
      <c r="J1832" s="188" t="s">
        <v>103</v>
      </c>
    </row>
    <row r="1833" spans="1:10" ht="15.75" customHeight="1" x14ac:dyDescent="0.25">
      <c r="A1833" s="1">
        <v>45204</v>
      </c>
      <c r="B1833" s="188" t="s">
        <v>1760</v>
      </c>
      <c r="C1833" s="188" t="s">
        <v>1761</v>
      </c>
      <c r="D1833" s="188" t="s">
        <v>1762</v>
      </c>
      <c r="E1833" s="4">
        <v>0</v>
      </c>
      <c r="F1833" s="5">
        <v>3065.29</v>
      </c>
      <c r="G1833" s="4">
        <v>643.71</v>
      </c>
      <c r="H1833" s="4">
        <v>3709</v>
      </c>
      <c r="I1833" s="188" t="str">
        <f>VLOOKUP(C1833,CATEGORIZACION!$A$1:$C$269,2,FALSE)</f>
        <v>PROOVEDORES</v>
      </c>
      <c r="J1833" s="188" t="str">
        <f>VLOOKUP(C1833,CATEGORIZACION!$A$1:$C$269,3,FALSE)</f>
        <v>LOGISTICA</v>
      </c>
    </row>
    <row r="1834" spans="1:10" ht="15.75" customHeight="1" x14ac:dyDescent="0.25">
      <c r="A1834" s="1">
        <v>45206</v>
      </c>
      <c r="B1834" s="188" t="s">
        <v>1763</v>
      </c>
      <c r="C1834" s="188" t="s">
        <v>36</v>
      </c>
      <c r="D1834" s="188" t="s">
        <v>37</v>
      </c>
      <c r="E1834" s="4">
        <v>12500</v>
      </c>
      <c r="F1834" s="5">
        <v>172450</v>
      </c>
      <c r="G1834" s="4">
        <v>36214.5</v>
      </c>
      <c r="H1834" s="4">
        <v>221164.5</v>
      </c>
      <c r="I1834" s="188" t="str">
        <f>VLOOKUP(C1834,CATEGORIZACION!$A$1:$C$269,2,FALSE)</f>
        <v>TRANSPORTE</v>
      </c>
      <c r="J1834" s="188" t="s">
        <v>19</v>
      </c>
    </row>
    <row r="1835" spans="1:10" ht="15.75" customHeight="1" x14ac:dyDescent="0.25">
      <c r="A1835" s="1">
        <v>45206</v>
      </c>
      <c r="B1835" s="188" t="s">
        <v>1764</v>
      </c>
      <c r="C1835" s="188" t="s">
        <v>36</v>
      </c>
      <c r="D1835" s="188" t="s">
        <v>37</v>
      </c>
      <c r="E1835" s="4">
        <v>12500</v>
      </c>
      <c r="F1835" s="5">
        <v>120500</v>
      </c>
      <c r="G1835" s="4">
        <v>25305</v>
      </c>
      <c r="H1835" s="4">
        <v>158305</v>
      </c>
      <c r="I1835" s="188" t="str">
        <f>VLOOKUP(C1835,CATEGORIZACION!$A$1:$C$269,2,FALSE)</f>
        <v>TRANSPORTE</v>
      </c>
      <c r="J1835" s="188" t="s">
        <v>19</v>
      </c>
    </row>
    <row r="1836" spans="1:10" ht="15.75" customHeight="1" x14ac:dyDescent="0.25">
      <c r="A1836" s="1">
        <v>45206</v>
      </c>
      <c r="B1836" s="188" t="s">
        <v>1765</v>
      </c>
      <c r="C1836" s="188" t="s">
        <v>36</v>
      </c>
      <c r="D1836" s="188" t="s">
        <v>37</v>
      </c>
      <c r="E1836" s="4">
        <v>12500</v>
      </c>
      <c r="F1836" s="5">
        <v>172450</v>
      </c>
      <c r="G1836" s="4">
        <v>36214.5</v>
      </c>
      <c r="H1836" s="4">
        <v>221164.5</v>
      </c>
      <c r="I1836" s="188" t="str">
        <f>VLOOKUP(C1836,CATEGORIZACION!$A$1:$C$269,2,FALSE)</f>
        <v>TRANSPORTE</v>
      </c>
      <c r="J1836" s="188" t="s">
        <v>19</v>
      </c>
    </row>
    <row r="1837" spans="1:10" ht="15.75" customHeight="1" x14ac:dyDescent="0.25">
      <c r="A1837" s="1">
        <v>45206</v>
      </c>
      <c r="B1837" s="188" t="s">
        <v>1766</v>
      </c>
      <c r="C1837" s="188" t="s">
        <v>36</v>
      </c>
      <c r="D1837" s="188" t="s">
        <v>37</v>
      </c>
      <c r="E1837" s="4">
        <v>12500</v>
      </c>
      <c r="F1837" s="5">
        <v>172450</v>
      </c>
      <c r="G1837" s="4">
        <v>36214.5</v>
      </c>
      <c r="H1837" s="4">
        <v>221164.5</v>
      </c>
      <c r="I1837" s="188" t="str">
        <f>VLOOKUP(C1837,CATEGORIZACION!$A$1:$C$269,2,FALSE)</f>
        <v>TRANSPORTE</v>
      </c>
      <c r="J1837" s="188" t="s">
        <v>19</v>
      </c>
    </row>
    <row r="1838" spans="1:10" ht="15.75" customHeight="1" x14ac:dyDescent="0.25">
      <c r="A1838" s="1">
        <v>45206</v>
      </c>
      <c r="B1838" s="188" t="s">
        <v>1767</v>
      </c>
      <c r="C1838" s="188" t="s">
        <v>36</v>
      </c>
      <c r="D1838" s="188" t="s">
        <v>37</v>
      </c>
      <c r="E1838" s="4">
        <v>12500</v>
      </c>
      <c r="F1838" s="5">
        <v>120500</v>
      </c>
      <c r="G1838" s="4">
        <v>25305</v>
      </c>
      <c r="H1838" s="4">
        <v>158305</v>
      </c>
      <c r="I1838" s="188" t="str">
        <f>VLOOKUP(C1838,CATEGORIZACION!$A$1:$C$269,2,FALSE)</f>
        <v>TRANSPORTE</v>
      </c>
      <c r="J1838" s="188" t="s">
        <v>19</v>
      </c>
    </row>
    <row r="1839" spans="1:10" ht="15.75" customHeight="1" x14ac:dyDescent="0.25">
      <c r="A1839" s="1">
        <v>45206</v>
      </c>
      <c r="B1839" s="188" t="s">
        <v>1768</v>
      </c>
      <c r="C1839" s="188" t="s">
        <v>36</v>
      </c>
      <c r="D1839" s="188" t="s">
        <v>37</v>
      </c>
      <c r="E1839" s="4">
        <v>12500</v>
      </c>
      <c r="F1839" s="5">
        <v>294350</v>
      </c>
      <c r="G1839" s="4">
        <v>61813.5</v>
      </c>
      <c r="H1839" s="4">
        <v>368663.5</v>
      </c>
      <c r="I1839" s="188" t="str">
        <f>VLOOKUP(C1839,CATEGORIZACION!$A$1:$C$269,2,FALSE)</f>
        <v>TRANSPORTE</v>
      </c>
      <c r="J1839" s="188" t="s">
        <v>19</v>
      </c>
    </row>
    <row r="1840" spans="1:10" ht="15.75" customHeight="1" x14ac:dyDescent="0.25">
      <c r="A1840" s="1">
        <v>45206</v>
      </c>
      <c r="B1840" s="188" t="s">
        <v>1769</v>
      </c>
      <c r="C1840" s="188" t="s">
        <v>36</v>
      </c>
      <c r="D1840" s="188" t="s">
        <v>37</v>
      </c>
      <c r="E1840" s="4">
        <v>12500</v>
      </c>
      <c r="F1840" s="5">
        <v>294350</v>
      </c>
      <c r="G1840" s="4">
        <v>61813.5</v>
      </c>
      <c r="H1840" s="4">
        <v>368663.5</v>
      </c>
      <c r="I1840" s="188" t="str">
        <f>VLOOKUP(C1840,CATEGORIZACION!$A$1:$C$269,2,FALSE)</f>
        <v>TRANSPORTE</v>
      </c>
      <c r="J1840" s="188" t="s">
        <v>19</v>
      </c>
    </row>
    <row r="1841" spans="1:10" ht="15.75" customHeight="1" x14ac:dyDescent="0.25">
      <c r="A1841" s="1">
        <v>45206</v>
      </c>
      <c r="B1841" s="188" t="s">
        <v>1770</v>
      </c>
      <c r="C1841" s="188" t="s">
        <v>36</v>
      </c>
      <c r="D1841" s="188" t="s">
        <v>37</v>
      </c>
      <c r="E1841" s="4">
        <v>9200</v>
      </c>
      <c r="F1841" s="5">
        <v>79700</v>
      </c>
      <c r="G1841" s="4">
        <v>16737</v>
      </c>
      <c r="H1841" s="4">
        <v>105637</v>
      </c>
      <c r="I1841" s="188" t="str">
        <f>VLOOKUP(C1841,CATEGORIZACION!$A$1:$C$269,2,FALSE)</f>
        <v>TRANSPORTE</v>
      </c>
      <c r="J1841" s="188" t="s">
        <v>19</v>
      </c>
    </row>
    <row r="1842" spans="1:10" ht="15.75" customHeight="1" x14ac:dyDescent="0.25">
      <c r="A1842" s="1">
        <v>45206</v>
      </c>
      <c r="B1842" s="188" t="s">
        <v>1771</v>
      </c>
      <c r="C1842" s="188" t="s">
        <v>36</v>
      </c>
      <c r="D1842" s="188" t="s">
        <v>37</v>
      </c>
      <c r="E1842" s="4">
        <v>11500</v>
      </c>
      <c r="F1842" s="5">
        <v>172450</v>
      </c>
      <c r="G1842" s="4">
        <v>36214.5</v>
      </c>
      <c r="H1842" s="4">
        <v>220164.5</v>
      </c>
      <c r="I1842" s="188" t="str">
        <f>VLOOKUP(C1842,CATEGORIZACION!$A$1:$C$269,2,FALSE)</f>
        <v>TRANSPORTE</v>
      </c>
      <c r="J1842" s="188" t="s">
        <v>19</v>
      </c>
    </row>
    <row r="1843" spans="1:10" ht="15.75" customHeight="1" x14ac:dyDescent="0.25">
      <c r="A1843" s="1">
        <v>45206</v>
      </c>
      <c r="B1843" s="188" t="s">
        <v>1772</v>
      </c>
      <c r="C1843" s="188" t="s">
        <v>36</v>
      </c>
      <c r="D1843" s="188" t="s">
        <v>37</v>
      </c>
      <c r="E1843" s="4">
        <v>3500</v>
      </c>
      <c r="F1843" s="5">
        <v>65950</v>
      </c>
      <c r="G1843" s="4">
        <v>13849.5</v>
      </c>
      <c r="H1843" s="4">
        <v>83299.5</v>
      </c>
      <c r="I1843" s="188" t="str">
        <f>VLOOKUP(C1843,CATEGORIZACION!$A$1:$C$269,2,FALSE)</f>
        <v>TRANSPORTE</v>
      </c>
      <c r="J1843" s="188" t="s">
        <v>19</v>
      </c>
    </row>
    <row r="1844" spans="1:10" ht="15.75" customHeight="1" x14ac:dyDescent="0.25">
      <c r="A1844" s="1">
        <v>45206</v>
      </c>
      <c r="B1844" s="188" t="s">
        <v>1773</v>
      </c>
      <c r="C1844" s="188" t="s">
        <v>36</v>
      </c>
      <c r="D1844" s="188" t="s">
        <v>37</v>
      </c>
      <c r="E1844" s="4">
        <v>9200</v>
      </c>
      <c r="F1844" s="5">
        <v>79700</v>
      </c>
      <c r="G1844" s="4">
        <v>16737</v>
      </c>
      <c r="H1844" s="4">
        <v>105637</v>
      </c>
      <c r="I1844" s="188" t="str">
        <f>VLOOKUP(C1844,CATEGORIZACION!$A$1:$C$269,2,FALSE)</f>
        <v>TRANSPORTE</v>
      </c>
      <c r="J1844" s="188" t="s">
        <v>19</v>
      </c>
    </row>
    <row r="1845" spans="1:10" ht="15.75" customHeight="1" x14ac:dyDescent="0.25">
      <c r="A1845" s="1">
        <v>45206</v>
      </c>
      <c r="B1845" s="188" t="s">
        <v>1774</v>
      </c>
      <c r="C1845" s="188" t="s">
        <v>36</v>
      </c>
      <c r="D1845" s="188" t="s">
        <v>37</v>
      </c>
      <c r="E1845" s="4">
        <v>9200</v>
      </c>
      <c r="F1845" s="5">
        <v>79700</v>
      </c>
      <c r="G1845" s="4">
        <v>16737</v>
      </c>
      <c r="H1845" s="4">
        <v>105637</v>
      </c>
      <c r="I1845" s="188" t="str">
        <f>VLOOKUP(C1845,CATEGORIZACION!$A$1:$C$269,2,FALSE)</f>
        <v>TRANSPORTE</v>
      </c>
      <c r="J1845" s="188" t="s">
        <v>19</v>
      </c>
    </row>
    <row r="1846" spans="1:10" ht="15.75" customHeight="1" x14ac:dyDescent="0.25">
      <c r="A1846" s="1">
        <v>45206</v>
      </c>
      <c r="B1846" s="188" t="s">
        <v>1775</v>
      </c>
      <c r="C1846" s="188" t="s">
        <v>36</v>
      </c>
      <c r="D1846" s="188" t="s">
        <v>37</v>
      </c>
      <c r="E1846" s="4">
        <v>9200</v>
      </c>
      <c r="F1846" s="5">
        <v>79700</v>
      </c>
      <c r="G1846" s="4">
        <v>16737</v>
      </c>
      <c r="H1846" s="4">
        <v>105637</v>
      </c>
      <c r="I1846" s="188" t="str">
        <f>VLOOKUP(C1846,CATEGORIZACION!$A$1:$C$269,2,FALSE)</f>
        <v>TRANSPORTE</v>
      </c>
      <c r="J1846" s="188" t="s">
        <v>19</v>
      </c>
    </row>
    <row r="1847" spans="1:10" ht="15.75" customHeight="1" x14ac:dyDescent="0.25">
      <c r="A1847" s="1">
        <v>45206</v>
      </c>
      <c r="B1847" s="188" t="s">
        <v>1776</v>
      </c>
      <c r="C1847" s="188" t="s">
        <v>36</v>
      </c>
      <c r="D1847" s="188" t="s">
        <v>37</v>
      </c>
      <c r="E1847" s="4">
        <v>9200</v>
      </c>
      <c r="F1847" s="5">
        <v>79700</v>
      </c>
      <c r="G1847" s="4">
        <v>16737</v>
      </c>
      <c r="H1847" s="4">
        <v>105637</v>
      </c>
      <c r="I1847" s="188" t="str">
        <f>VLOOKUP(C1847,CATEGORIZACION!$A$1:$C$269,2,FALSE)</f>
        <v>TRANSPORTE</v>
      </c>
      <c r="J1847" s="188" t="s">
        <v>19</v>
      </c>
    </row>
    <row r="1848" spans="1:10" ht="15.75" customHeight="1" x14ac:dyDescent="0.25">
      <c r="A1848" s="1">
        <v>45206</v>
      </c>
      <c r="B1848" s="188" t="s">
        <v>1777</v>
      </c>
      <c r="C1848" s="188" t="s">
        <v>36</v>
      </c>
      <c r="D1848" s="188" t="s">
        <v>37</v>
      </c>
      <c r="E1848" s="4">
        <v>9200</v>
      </c>
      <c r="F1848" s="5">
        <v>79700</v>
      </c>
      <c r="G1848" s="4">
        <v>16737</v>
      </c>
      <c r="H1848" s="4">
        <v>105637</v>
      </c>
      <c r="I1848" s="188" t="str">
        <f>VLOOKUP(C1848,CATEGORIZACION!$A$1:$C$269,2,FALSE)</f>
        <v>TRANSPORTE</v>
      </c>
      <c r="J1848" s="188" t="s">
        <v>19</v>
      </c>
    </row>
    <row r="1849" spans="1:10" ht="15.75" customHeight="1" x14ac:dyDescent="0.25">
      <c r="A1849" s="1">
        <v>45206</v>
      </c>
      <c r="B1849" s="188" t="s">
        <v>1778</v>
      </c>
      <c r="C1849" s="188" t="s">
        <v>36</v>
      </c>
      <c r="D1849" s="188" t="s">
        <v>37</v>
      </c>
      <c r="E1849" s="4">
        <v>9200</v>
      </c>
      <c r="F1849" s="5">
        <v>127150</v>
      </c>
      <c r="G1849" s="4">
        <v>26701.5</v>
      </c>
      <c r="H1849" s="4">
        <v>163051.5</v>
      </c>
      <c r="I1849" s="188" t="str">
        <f>VLOOKUP(C1849,CATEGORIZACION!$A$1:$C$269,2,FALSE)</f>
        <v>TRANSPORTE</v>
      </c>
      <c r="J1849" s="188" t="s">
        <v>19</v>
      </c>
    </row>
    <row r="1850" spans="1:10" ht="15.75" customHeight="1" x14ac:dyDescent="0.25">
      <c r="A1850" s="1">
        <v>45206</v>
      </c>
      <c r="B1850" s="188" t="s">
        <v>1779</v>
      </c>
      <c r="C1850" s="188" t="s">
        <v>36</v>
      </c>
      <c r="D1850" s="188" t="s">
        <v>37</v>
      </c>
      <c r="E1850" s="4">
        <v>3500</v>
      </c>
      <c r="F1850" s="5">
        <v>65950</v>
      </c>
      <c r="G1850" s="4">
        <v>13849.5</v>
      </c>
      <c r="H1850" s="4">
        <v>83299.5</v>
      </c>
      <c r="I1850" s="188" t="str">
        <f>VLOOKUP(C1850,CATEGORIZACION!$A$1:$C$269,2,FALSE)</f>
        <v>TRANSPORTE</v>
      </c>
      <c r="J1850" s="188" t="s">
        <v>19</v>
      </c>
    </row>
    <row r="1851" spans="1:10" ht="15.75" customHeight="1" x14ac:dyDescent="0.25">
      <c r="A1851" s="1">
        <v>45206</v>
      </c>
      <c r="B1851" s="188" t="s">
        <v>1780</v>
      </c>
      <c r="C1851" s="188" t="s">
        <v>36</v>
      </c>
      <c r="D1851" s="188" t="s">
        <v>37</v>
      </c>
      <c r="E1851" s="4">
        <v>12500</v>
      </c>
      <c r="F1851" s="5">
        <v>241000</v>
      </c>
      <c r="G1851" s="4">
        <v>50610</v>
      </c>
      <c r="H1851" s="4">
        <v>304110</v>
      </c>
      <c r="I1851" s="188" t="str">
        <f>VLOOKUP(C1851,CATEGORIZACION!$A$1:$C$269,2,FALSE)</f>
        <v>TRANSPORTE</v>
      </c>
      <c r="J1851" s="188" t="s">
        <v>19</v>
      </c>
    </row>
    <row r="1852" spans="1:10" ht="15.75" customHeight="1" x14ac:dyDescent="0.25">
      <c r="A1852" s="1">
        <v>45206</v>
      </c>
      <c r="B1852" s="188" t="s">
        <v>1781</v>
      </c>
      <c r="C1852" s="188" t="s">
        <v>36</v>
      </c>
      <c r="D1852" s="188" t="s">
        <v>37</v>
      </c>
      <c r="E1852" s="4">
        <v>11500</v>
      </c>
      <c r="F1852" s="5">
        <v>172450</v>
      </c>
      <c r="G1852" s="4">
        <v>36214.5</v>
      </c>
      <c r="H1852" s="4">
        <v>220164.5</v>
      </c>
      <c r="I1852" s="188" t="str">
        <f>VLOOKUP(C1852,CATEGORIZACION!$A$1:$C$269,2,FALSE)</f>
        <v>TRANSPORTE</v>
      </c>
      <c r="J1852" s="188" t="s">
        <v>19</v>
      </c>
    </row>
    <row r="1853" spans="1:10" ht="15.75" customHeight="1" x14ac:dyDescent="0.25">
      <c r="A1853" s="1">
        <v>45206</v>
      </c>
      <c r="B1853" s="188" t="s">
        <v>1782</v>
      </c>
      <c r="C1853" s="188" t="s">
        <v>36</v>
      </c>
      <c r="D1853" s="188" t="s">
        <v>37</v>
      </c>
      <c r="E1853" s="4">
        <v>11500</v>
      </c>
      <c r="F1853" s="5">
        <v>172450</v>
      </c>
      <c r="G1853" s="4">
        <v>36214.5</v>
      </c>
      <c r="H1853" s="4">
        <v>220164.5</v>
      </c>
      <c r="I1853" s="188" t="str">
        <f>VLOOKUP(C1853,CATEGORIZACION!$A$1:$C$269,2,FALSE)</f>
        <v>TRANSPORTE</v>
      </c>
      <c r="J1853" s="188" t="s">
        <v>19</v>
      </c>
    </row>
    <row r="1854" spans="1:10" ht="15.75" customHeight="1" x14ac:dyDescent="0.25">
      <c r="A1854" s="1">
        <v>45206</v>
      </c>
      <c r="B1854" s="188" t="s">
        <v>1783</v>
      </c>
      <c r="C1854" s="188" t="s">
        <v>36</v>
      </c>
      <c r="D1854" s="188" t="s">
        <v>37</v>
      </c>
      <c r="E1854" s="4">
        <v>11500</v>
      </c>
      <c r="F1854" s="5">
        <v>172450</v>
      </c>
      <c r="G1854" s="4">
        <v>36214.5</v>
      </c>
      <c r="H1854" s="4">
        <v>220164.5</v>
      </c>
      <c r="I1854" s="188" t="str">
        <f>VLOOKUP(C1854,CATEGORIZACION!$A$1:$C$269,2,FALSE)</f>
        <v>TRANSPORTE</v>
      </c>
      <c r="J1854" s="188" t="s">
        <v>19</v>
      </c>
    </row>
    <row r="1855" spans="1:10" ht="15.75" customHeight="1" x14ac:dyDescent="0.25">
      <c r="A1855" s="1">
        <v>45206</v>
      </c>
      <c r="B1855" s="188" t="s">
        <v>1784</v>
      </c>
      <c r="C1855" s="188" t="s">
        <v>36</v>
      </c>
      <c r="D1855" s="188" t="s">
        <v>37</v>
      </c>
      <c r="E1855" s="4">
        <v>9000</v>
      </c>
      <c r="F1855" s="5">
        <v>120500</v>
      </c>
      <c r="G1855" s="4">
        <v>25305</v>
      </c>
      <c r="H1855" s="4">
        <v>154805</v>
      </c>
      <c r="I1855" s="188" t="str">
        <f>VLOOKUP(C1855,CATEGORIZACION!$A$1:$C$269,2,FALSE)</f>
        <v>TRANSPORTE</v>
      </c>
      <c r="J1855" s="188" t="s">
        <v>19</v>
      </c>
    </row>
    <row r="1856" spans="1:10" ht="15.75" customHeight="1" x14ac:dyDescent="0.25">
      <c r="A1856" s="1">
        <v>45206</v>
      </c>
      <c r="B1856" s="188" t="s">
        <v>1785</v>
      </c>
      <c r="C1856" s="188" t="s">
        <v>36</v>
      </c>
      <c r="D1856" s="188" t="s">
        <v>37</v>
      </c>
      <c r="E1856" s="4">
        <v>12500</v>
      </c>
      <c r="F1856" s="5">
        <v>241000</v>
      </c>
      <c r="G1856" s="4">
        <v>50610</v>
      </c>
      <c r="H1856" s="4">
        <v>304110</v>
      </c>
      <c r="I1856" s="188" t="str">
        <f>VLOOKUP(C1856,CATEGORIZACION!$A$1:$C$269,2,FALSE)</f>
        <v>TRANSPORTE</v>
      </c>
      <c r="J1856" s="188" t="s">
        <v>19</v>
      </c>
    </row>
    <row r="1857" spans="1:10" ht="15.75" customHeight="1" x14ac:dyDescent="0.25">
      <c r="A1857" s="1">
        <v>45208</v>
      </c>
      <c r="B1857" s="188" t="s">
        <v>1786</v>
      </c>
      <c r="C1857" s="188" t="s">
        <v>59</v>
      </c>
      <c r="D1857" s="188" t="s">
        <v>60</v>
      </c>
      <c r="E1857" s="4">
        <v>3.7252902984619141E-11</v>
      </c>
      <c r="F1857" s="3">
        <v>-264960</v>
      </c>
      <c r="G1857" s="4">
        <v>-55641.599999999999</v>
      </c>
      <c r="H1857" s="4">
        <v>-320601.59999999998</v>
      </c>
      <c r="I1857" s="188" t="str">
        <f>VLOOKUP(C1857,CATEGORIZACION!$A$1:$C$269,2,FALSE)</f>
        <v>PROOVEDORES</v>
      </c>
      <c r="J1857" s="188" t="str">
        <f>VLOOKUP(C1857,CATEGORIZACION!$A$1:$C$269,3,FALSE)</f>
        <v>DEPOSITO</v>
      </c>
    </row>
    <row r="1858" spans="1:10" ht="15.75" customHeight="1" x14ac:dyDescent="0.25">
      <c r="A1858" s="1">
        <v>45208</v>
      </c>
      <c r="B1858" s="188" t="s">
        <v>1787</v>
      </c>
      <c r="C1858" s="188" t="s">
        <v>1143</v>
      </c>
      <c r="D1858" s="188" t="s">
        <v>1144</v>
      </c>
      <c r="E1858" s="4">
        <v>-3.7252902984619141E-11</v>
      </c>
      <c r="F1858" s="3">
        <v>264960</v>
      </c>
      <c r="G1858" s="4">
        <v>55641.599999999999</v>
      </c>
      <c r="H1858" s="4">
        <v>320601.59999999998</v>
      </c>
      <c r="I1858" s="188" t="str">
        <f>VLOOKUP(C1858,CATEGORIZACION!$A$1:$C$269,2,FALSE)</f>
        <v>PROOVEDORES</v>
      </c>
      <c r="J1858" s="188" t="str">
        <f>VLOOKUP(C1858,CATEGORIZACION!$A$1:$C$269,3,FALSE)</f>
        <v>DEPOSITO</v>
      </c>
    </row>
    <row r="1859" spans="1:10" ht="15.75" customHeight="1" x14ac:dyDescent="0.25">
      <c r="A1859" s="1">
        <v>45208</v>
      </c>
      <c r="B1859" s="188" t="s">
        <v>1088</v>
      </c>
      <c r="C1859" s="188" t="s">
        <v>59</v>
      </c>
      <c r="D1859" s="188" t="s">
        <v>60</v>
      </c>
      <c r="E1859" s="4">
        <v>-3.7252902984619141E-11</v>
      </c>
      <c r="F1859" s="3">
        <v>264960</v>
      </c>
      <c r="G1859" s="4">
        <v>55641.599999999999</v>
      </c>
      <c r="H1859" s="4">
        <v>320601.59999999998</v>
      </c>
      <c r="I1859" s="188" t="str">
        <f>VLOOKUP(C1859,CATEGORIZACION!$A$1:$C$269,2,FALSE)</f>
        <v>PROOVEDORES</v>
      </c>
      <c r="J1859" s="188" t="str">
        <f>VLOOKUP(C1859,CATEGORIZACION!$A$1:$C$269,3,FALSE)</f>
        <v>DEPOSITO</v>
      </c>
    </row>
    <row r="1860" spans="1:10" ht="15.75" customHeight="1" x14ac:dyDescent="0.25">
      <c r="A1860" s="1">
        <v>45208</v>
      </c>
      <c r="B1860" s="188" t="s">
        <v>1788</v>
      </c>
      <c r="C1860" s="188" t="s">
        <v>52</v>
      </c>
      <c r="D1860" s="188" t="s">
        <v>53</v>
      </c>
      <c r="E1860" s="4">
        <v>9.3132257461547854E-12</v>
      </c>
      <c r="F1860" s="3">
        <v>74884.289999999994</v>
      </c>
      <c r="G1860" s="4">
        <v>15725.7</v>
      </c>
      <c r="H1860" s="4">
        <v>90609.99</v>
      </c>
      <c r="I1860" s="188" t="str">
        <f>VLOOKUP(C1860,CATEGORIZACION!$A$1:$C$269,2,FALSE)</f>
        <v>PROOVEDORES</v>
      </c>
      <c r="J1860" s="188" t="str">
        <f>VLOOKUP(C1860,CATEGORIZACION!$A$1:$C$269,3,FALSE)</f>
        <v>DEPOSITO</v>
      </c>
    </row>
    <row r="1861" spans="1:10" ht="15.75" customHeight="1" x14ac:dyDescent="0.25">
      <c r="A1861" s="1">
        <v>45208</v>
      </c>
      <c r="B1861" s="188" t="s">
        <v>1789</v>
      </c>
      <c r="C1861" s="188" t="s">
        <v>21</v>
      </c>
      <c r="D1861" s="188" t="s">
        <v>22</v>
      </c>
      <c r="E1861" s="4">
        <v>23360</v>
      </c>
      <c r="F1861" s="5">
        <v>458800</v>
      </c>
      <c r="G1861" s="4">
        <v>96348</v>
      </c>
      <c r="H1861" s="4">
        <v>578508</v>
      </c>
      <c r="I1861" s="188" t="str">
        <f>VLOOKUP(C1861,CATEGORIZACION!$A$1:$C$269,2,FALSE)</f>
        <v>TRANSPORTE</v>
      </c>
      <c r="J1861" s="188" t="s">
        <v>19</v>
      </c>
    </row>
    <row r="1862" spans="1:10" ht="15.75" customHeight="1" x14ac:dyDescent="0.25">
      <c r="A1862" s="1">
        <v>45208</v>
      </c>
      <c r="B1862" s="188" t="s">
        <v>1790</v>
      </c>
      <c r="C1862" s="188" t="s">
        <v>21</v>
      </c>
      <c r="D1862" s="188" t="s">
        <v>22</v>
      </c>
      <c r="E1862" s="4">
        <v>35040</v>
      </c>
      <c r="F1862" s="5">
        <v>608200</v>
      </c>
      <c r="G1862" s="4">
        <v>127722</v>
      </c>
      <c r="H1862" s="4">
        <v>770962</v>
      </c>
      <c r="I1862" s="188" t="str">
        <f>VLOOKUP(C1862,CATEGORIZACION!$A$1:$C$269,2,FALSE)</f>
        <v>TRANSPORTE</v>
      </c>
      <c r="J1862" s="188" t="s">
        <v>19</v>
      </c>
    </row>
    <row r="1863" spans="1:10" ht="15.75" customHeight="1" x14ac:dyDescent="0.25">
      <c r="A1863" s="1">
        <v>45208</v>
      </c>
      <c r="B1863" s="188" t="s">
        <v>1791</v>
      </c>
      <c r="C1863" s="188" t="s">
        <v>21</v>
      </c>
      <c r="D1863" s="188" t="s">
        <v>22</v>
      </c>
      <c r="E1863" s="4">
        <v>31400</v>
      </c>
      <c r="F1863" s="5">
        <v>716000</v>
      </c>
      <c r="G1863" s="4">
        <v>150360</v>
      </c>
      <c r="H1863" s="4">
        <v>897760</v>
      </c>
      <c r="I1863" s="188" t="str">
        <f>VLOOKUP(C1863,CATEGORIZACION!$A$1:$C$269,2,FALSE)</f>
        <v>TRANSPORTE</v>
      </c>
      <c r="J1863" s="188" t="s">
        <v>19</v>
      </c>
    </row>
    <row r="1864" spans="1:10" ht="15.75" customHeight="1" x14ac:dyDescent="0.25">
      <c r="A1864" s="1">
        <v>45208</v>
      </c>
      <c r="B1864" s="188" t="s">
        <v>1792</v>
      </c>
      <c r="C1864" s="188" t="s">
        <v>21</v>
      </c>
      <c r="D1864" s="188" t="s">
        <v>22</v>
      </c>
      <c r="E1864" s="4">
        <v>25120</v>
      </c>
      <c r="F1864" s="5">
        <v>413800</v>
      </c>
      <c r="G1864" s="4">
        <v>86898</v>
      </c>
      <c r="H1864" s="4">
        <v>525818</v>
      </c>
      <c r="I1864" s="188" t="str">
        <f>VLOOKUP(C1864,CATEGORIZACION!$A$1:$C$269,2,FALSE)</f>
        <v>TRANSPORTE</v>
      </c>
      <c r="J1864" s="188" t="s">
        <v>19</v>
      </c>
    </row>
    <row r="1865" spans="1:10" ht="15.75" customHeight="1" x14ac:dyDescent="0.25">
      <c r="A1865" s="1">
        <v>45208</v>
      </c>
      <c r="B1865" s="188" t="s">
        <v>1793</v>
      </c>
      <c r="C1865" s="188" t="s">
        <v>21</v>
      </c>
      <c r="D1865" s="188" t="s">
        <v>22</v>
      </c>
      <c r="E1865" s="4">
        <v>25120</v>
      </c>
      <c r="F1865" s="5">
        <v>588800</v>
      </c>
      <c r="G1865" s="4">
        <v>123648</v>
      </c>
      <c r="H1865" s="4">
        <v>737568</v>
      </c>
      <c r="I1865" s="188" t="str">
        <f>VLOOKUP(C1865,CATEGORIZACION!$A$1:$C$269,2,FALSE)</f>
        <v>TRANSPORTE</v>
      </c>
      <c r="J1865" s="188" t="s">
        <v>19</v>
      </c>
    </row>
    <row r="1866" spans="1:10" ht="15.75" customHeight="1" x14ac:dyDescent="0.25">
      <c r="A1866" s="1">
        <v>45208</v>
      </c>
      <c r="B1866" s="188" t="s">
        <v>1794</v>
      </c>
      <c r="C1866" s="188" t="s">
        <v>21</v>
      </c>
      <c r="D1866" s="188" t="s">
        <v>22</v>
      </c>
      <c r="E1866" s="4">
        <v>43960</v>
      </c>
      <c r="F1866" s="5">
        <v>1030400</v>
      </c>
      <c r="G1866" s="4">
        <v>216384</v>
      </c>
      <c r="H1866" s="4">
        <v>1290744</v>
      </c>
      <c r="I1866" s="188" t="str">
        <f>VLOOKUP(C1866,CATEGORIZACION!$A$1:$C$269,2,FALSE)</f>
        <v>TRANSPORTE</v>
      </c>
      <c r="J1866" s="188" t="s">
        <v>19</v>
      </c>
    </row>
    <row r="1867" spans="1:10" ht="15.75" customHeight="1" x14ac:dyDescent="0.25">
      <c r="A1867" s="1">
        <v>45208</v>
      </c>
      <c r="B1867" s="188" t="s">
        <v>1795</v>
      </c>
      <c r="C1867" s="188" t="s">
        <v>21</v>
      </c>
      <c r="D1867" s="188" t="s">
        <v>22</v>
      </c>
      <c r="E1867" s="4">
        <v>19920</v>
      </c>
      <c r="F1867" s="5">
        <v>381000</v>
      </c>
      <c r="G1867" s="4">
        <v>80010</v>
      </c>
      <c r="H1867" s="4">
        <v>480930</v>
      </c>
      <c r="I1867" s="188" t="str">
        <f>VLOOKUP(C1867,CATEGORIZACION!$A$1:$C$269,2,FALSE)</f>
        <v>TRANSPORTE</v>
      </c>
      <c r="J1867" s="188" t="s">
        <v>19</v>
      </c>
    </row>
    <row r="1868" spans="1:10" ht="15.75" customHeight="1" x14ac:dyDescent="0.25">
      <c r="A1868" s="1">
        <v>45208</v>
      </c>
      <c r="B1868" s="188" t="s">
        <v>1796</v>
      </c>
      <c r="C1868" s="188" t="s">
        <v>21</v>
      </c>
      <c r="D1868" s="188" t="s">
        <v>22</v>
      </c>
      <c r="E1868" s="4">
        <v>11680</v>
      </c>
      <c r="F1868" s="5">
        <v>460000</v>
      </c>
      <c r="G1868" s="4">
        <v>96600</v>
      </c>
      <c r="H1868" s="4">
        <v>568280</v>
      </c>
      <c r="I1868" s="188" t="str">
        <f>VLOOKUP(C1868,CATEGORIZACION!$A$1:$C$269,2,FALSE)</f>
        <v>TRANSPORTE</v>
      </c>
      <c r="J1868" s="188" t="s">
        <v>19</v>
      </c>
    </row>
    <row r="1869" spans="1:10" ht="15.75" customHeight="1" x14ac:dyDescent="0.25">
      <c r="A1869" s="1">
        <v>45208</v>
      </c>
      <c r="B1869" s="188" t="s">
        <v>1797</v>
      </c>
      <c r="C1869" s="188" t="s">
        <v>21</v>
      </c>
      <c r="D1869" s="188" t="s">
        <v>22</v>
      </c>
      <c r="E1869" s="4">
        <v>9040</v>
      </c>
      <c r="F1869" s="5">
        <v>294700</v>
      </c>
      <c r="G1869" s="4">
        <v>61887</v>
      </c>
      <c r="H1869" s="4">
        <v>365627</v>
      </c>
      <c r="I1869" s="188" t="str">
        <f>VLOOKUP(C1869,CATEGORIZACION!$A$1:$C$269,2,FALSE)</f>
        <v>TRANSPORTE</v>
      </c>
      <c r="J1869" s="188" t="s">
        <v>19</v>
      </c>
    </row>
    <row r="1870" spans="1:10" ht="15.75" customHeight="1" x14ac:dyDescent="0.25">
      <c r="A1870" s="1">
        <v>45208</v>
      </c>
      <c r="B1870" s="188" t="s">
        <v>1798</v>
      </c>
      <c r="C1870" s="188" t="s">
        <v>36</v>
      </c>
      <c r="D1870" s="188" t="s">
        <v>37</v>
      </c>
      <c r="E1870" s="4">
        <v>0</v>
      </c>
      <c r="F1870" s="5">
        <v>65950</v>
      </c>
      <c r="G1870" s="4">
        <v>13849.5</v>
      </c>
      <c r="H1870" s="4">
        <v>79799.5</v>
      </c>
      <c r="I1870" s="188" t="str">
        <f>VLOOKUP(C1870,CATEGORIZACION!$A$1:$C$269,2,FALSE)</f>
        <v>TRANSPORTE</v>
      </c>
      <c r="J1870" s="188" t="s">
        <v>19</v>
      </c>
    </row>
    <row r="1871" spans="1:10" ht="15.75" customHeight="1" x14ac:dyDescent="0.25">
      <c r="A1871" s="1">
        <v>45208</v>
      </c>
      <c r="B1871" s="188" t="s">
        <v>1799</v>
      </c>
      <c r="C1871" s="188" t="s">
        <v>36</v>
      </c>
      <c r="D1871" s="188" t="s">
        <v>37</v>
      </c>
      <c r="E1871" s="4">
        <v>12500</v>
      </c>
      <c r="F1871" s="5">
        <v>120500</v>
      </c>
      <c r="G1871" s="4">
        <v>25305</v>
      </c>
      <c r="H1871" s="4">
        <v>158305</v>
      </c>
      <c r="I1871" s="188" t="str">
        <f>VLOOKUP(C1871,CATEGORIZACION!$A$1:$C$269,2,FALSE)</f>
        <v>TRANSPORTE</v>
      </c>
      <c r="J1871" s="188" t="s">
        <v>19</v>
      </c>
    </row>
    <row r="1872" spans="1:10" ht="15.75" customHeight="1" x14ac:dyDescent="0.25">
      <c r="A1872" s="1">
        <v>45208</v>
      </c>
      <c r="B1872" s="188" t="s">
        <v>1800</v>
      </c>
      <c r="C1872" s="188" t="s">
        <v>36</v>
      </c>
      <c r="D1872" s="188" t="s">
        <v>37</v>
      </c>
      <c r="E1872" s="4">
        <v>5000</v>
      </c>
      <c r="F1872" s="5">
        <v>127150</v>
      </c>
      <c r="G1872" s="4">
        <v>26701.5</v>
      </c>
      <c r="H1872" s="4">
        <v>158851.5</v>
      </c>
      <c r="I1872" s="188" t="str">
        <f>VLOOKUP(C1872,CATEGORIZACION!$A$1:$C$269,2,FALSE)</f>
        <v>TRANSPORTE</v>
      </c>
      <c r="J1872" s="188" t="s">
        <v>19</v>
      </c>
    </row>
    <row r="1873" spans="1:10" ht="15.75" customHeight="1" x14ac:dyDescent="0.25">
      <c r="A1873" s="1">
        <v>45208</v>
      </c>
      <c r="B1873" s="188" t="s">
        <v>1801</v>
      </c>
      <c r="C1873" s="188" t="s">
        <v>36</v>
      </c>
      <c r="D1873" s="188" t="s">
        <v>37</v>
      </c>
      <c r="E1873" s="4">
        <v>22000</v>
      </c>
      <c r="F1873" s="5">
        <v>189450</v>
      </c>
      <c r="G1873" s="4">
        <v>39784.5</v>
      </c>
      <c r="H1873" s="4">
        <v>251234.5</v>
      </c>
      <c r="I1873" s="188" t="str">
        <f>VLOOKUP(C1873,CATEGORIZACION!$A$1:$C$269,2,FALSE)</f>
        <v>TRANSPORTE</v>
      </c>
      <c r="J1873" s="188" t="s">
        <v>19</v>
      </c>
    </row>
    <row r="1874" spans="1:10" ht="15.75" customHeight="1" x14ac:dyDescent="0.25">
      <c r="A1874" s="1">
        <v>45208</v>
      </c>
      <c r="B1874" s="188" t="s">
        <v>1802</v>
      </c>
      <c r="C1874" s="188" t="s">
        <v>36</v>
      </c>
      <c r="D1874" s="188" t="s">
        <v>37</v>
      </c>
      <c r="E1874" s="4">
        <v>22000</v>
      </c>
      <c r="F1874" s="5">
        <v>189450</v>
      </c>
      <c r="G1874" s="4">
        <v>39784.5</v>
      </c>
      <c r="H1874" s="4">
        <v>251234.5</v>
      </c>
      <c r="I1874" s="188" t="str">
        <f>VLOOKUP(C1874,CATEGORIZACION!$A$1:$C$269,2,FALSE)</f>
        <v>TRANSPORTE</v>
      </c>
      <c r="J1874" s="188" t="s">
        <v>19</v>
      </c>
    </row>
    <row r="1875" spans="1:10" ht="15.75" customHeight="1" x14ac:dyDescent="0.25">
      <c r="A1875" s="1">
        <v>45208</v>
      </c>
      <c r="B1875" s="188" t="s">
        <v>1803</v>
      </c>
      <c r="C1875" s="188" t="s">
        <v>1501</v>
      </c>
      <c r="D1875" s="188" t="s">
        <v>1502</v>
      </c>
      <c r="E1875" s="4">
        <v>480.75000000000466</v>
      </c>
      <c r="F1875" s="5">
        <v>34338.839999999997</v>
      </c>
      <c r="G1875" s="4">
        <v>7211.16</v>
      </c>
      <c r="H1875" s="4">
        <v>42030.75</v>
      </c>
      <c r="I1875" s="188" t="str">
        <f>VLOOKUP(C1875,CATEGORIZACION!$A$1:$C$269,2,FALSE)</f>
        <v>PROOVEDORES</v>
      </c>
      <c r="J1875" s="188" t="str">
        <f>VLOOKUP(C1875,CATEGORIZACION!$A$1:$C$269,3,FALSE)</f>
        <v>LOGISTICA</v>
      </c>
    </row>
    <row r="1876" spans="1:10" ht="15.75" customHeight="1" x14ac:dyDescent="0.25">
      <c r="A1876" s="1">
        <v>45208</v>
      </c>
      <c r="B1876" s="188" t="s">
        <v>1804</v>
      </c>
      <c r="C1876" s="188" t="s">
        <v>1501</v>
      </c>
      <c r="D1876" s="188" t="s">
        <v>1502</v>
      </c>
      <c r="E1876" s="4">
        <v>0</v>
      </c>
      <c r="F1876" s="5">
        <v>1983.47</v>
      </c>
      <c r="G1876" s="4">
        <v>416.53</v>
      </c>
      <c r="H1876" s="4">
        <v>2400</v>
      </c>
      <c r="I1876" s="188" t="str">
        <f>VLOOKUP(C1876,CATEGORIZACION!$A$1:$C$269,2,FALSE)</f>
        <v>PROOVEDORES</v>
      </c>
      <c r="J1876" s="188" t="str">
        <f>VLOOKUP(C1876,CATEGORIZACION!$A$1:$C$269,3,FALSE)</f>
        <v>LOGISTICA</v>
      </c>
    </row>
    <row r="1877" spans="1:10" ht="15.75" customHeight="1" x14ac:dyDescent="0.25">
      <c r="A1877" s="1">
        <v>45210</v>
      </c>
      <c r="B1877" s="188" t="s">
        <v>1805</v>
      </c>
      <c r="C1877" s="188" t="s">
        <v>1143</v>
      </c>
      <c r="D1877" s="188" t="s">
        <v>1144</v>
      </c>
      <c r="E1877" s="4">
        <v>0</v>
      </c>
      <c r="F1877" s="3">
        <v>785120</v>
      </c>
      <c r="G1877" s="4">
        <v>164875.20000000001</v>
      </c>
      <c r="H1877" s="4">
        <v>949995.2</v>
      </c>
      <c r="I1877" s="188" t="str">
        <f>VLOOKUP(C1877,CATEGORIZACION!$A$1:$C$269,2,FALSE)</f>
        <v>PROOVEDORES</v>
      </c>
      <c r="J1877" s="188" t="str">
        <f>VLOOKUP(C1877,CATEGORIZACION!$A$1:$C$269,3,FALSE)</f>
        <v>DEPOSITO</v>
      </c>
    </row>
    <row r="1878" spans="1:10" ht="15.75" customHeight="1" x14ac:dyDescent="0.25">
      <c r="A1878" s="1">
        <v>45210</v>
      </c>
      <c r="B1878" s="188" t="s">
        <v>1806</v>
      </c>
      <c r="C1878" s="188" t="s">
        <v>1143</v>
      </c>
      <c r="D1878" s="188" t="s">
        <v>1144</v>
      </c>
      <c r="E1878" s="4">
        <v>0</v>
      </c>
      <c r="F1878" s="3">
        <v>478710</v>
      </c>
      <c r="G1878" s="4">
        <v>100529.1</v>
      </c>
      <c r="H1878" s="4">
        <v>579239.1</v>
      </c>
      <c r="I1878" s="188" t="str">
        <f>VLOOKUP(C1878,CATEGORIZACION!$A$1:$C$269,2,FALSE)</f>
        <v>PROOVEDORES</v>
      </c>
      <c r="J1878" s="188" t="str">
        <f>VLOOKUP(C1878,CATEGORIZACION!$A$1:$C$269,3,FALSE)</f>
        <v>DEPOSITO</v>
      </c>
    </row>
    <row r="1879" spans="1:10" ht="15.75" customHeight="1" x14ac:dyDescent="0.25">
      <c r="A1879" s="1">
        <v>45211</v>
      </c>
      <c r="B1879" s="188" t="s">
        <v>1807</v>
      </c>
      <c r="C1879" s="188" t="s">
        <v>52</v>
      </c>
      <c r="D1879" s="188" t="s">
        <v>53</v>
      </c>
      <c r="E1879" s="4">
        <v>0</v>
      </c>
      <c r="F1879" s="3">
        <v>67859.600000000006</v>
      </c>
      <c r="G1879" s="4">
        <v>14250.52</v>
      </c>
      <c r="H1879" s="4">
        <v>82110.12</v>
      </c>
      <c r="I1879" s="188" t="str">
        <f>VLOOKUP(C1879,CATEGORIZACION!$A$1:$C$269,2,FALSE)</f>
        <v>PROOVEDORES</v>
      </c>
      <c r="J1879" s="188" t="str">
        <f>VLOOKUP(C1879,CATEGORIZACION!$A$1:$C$269,3,FALSE)</f>
        <v>DEPOSITO</v>
      </c>
    </row>
    <row r="1880" spans="1:10" ht="15.75" customHeight="1" x14ac:dyDescent="0.25">
      <c r="A1880" s="1">
        <v>45211</v>
      </c>
      <c r="B1880" s="188" t="s">
        <v>1808</v>
      </c>
      <c r="C1880" s="188" t="s">
        <v>21</v>
      </c>
      <c r="D1880" s="188" t="s">
        <v>22</v>
      </c>
      <c r="E1880" s="4">
        <v>25120</v>
      </c>
      <c r="F1880" s="5">
        <v>588800</v>
      </c>
      <c r="G1880" s="4">
        <v>123648</v>
      </c>
      <c r="H1880" s="4">
        <v>737568</v>
      </c>
      <c r="I1880" s="188" t="str">
        <f>VLOOKUP(C1880,CATEGORIZACION!$A$1:$C$269,2,FALSE)</f>
        <v>TRANSPORTE</v>
      </c>
      <c r="J1880" s="188" t="s">
        <v>19</v>
      </c>
    </row>
    <row r="1881" spans="1:10" ht="15.75" customHeight="1" x14ac:dyDescent="0.25">
      <c r="A1881" s="1">
        <v>45211</v>
      </c>
      <c r="B1881" s="188" t="s">
        <v>1809</v>
      </c>
      <c r="C1881" s="188" t="s">
        <v>21</v>
      </c>
      <c r="D1881" s="188" t="s">
        <v>22</v>
      </c>
      <c r="E1881" s="4">
        <v>37680</v>
      </c>
      <c r="F1881" s="5">
        <v>883200</v>
      </c>
      <c r="G1881" s="4">
        <v>185472</v>
      </c>
      <c r="H1881" s="4">
        <v>1106352</v>
      </c>
      <c r="I1881" s="188" t="str">
        <f>VLOOKUP(C1881,CATEGORIZACION!$A$1:$C$269,2,FALSE)</f>
        <v>TRANSPORTE</v>
      </c>
      <c r="J1881" s="188" t="s">
        <v>19</v>
      </c>
    </row>
    <row r="1882" spans="1:10" ht="15.75" customHeight="1" x14ac:dyDescent="0.25">
      <c r="A1882" s="1">
        <v>45211</v>
      </c>
      <c r="B1882" s="188" t="s">
        <v>1810</v>
      </c>
      <c r="C1882" s="188" t="s">
        <v>21</v>
      </c>
      <c r="D1882" s="188" t="s">
        <v>22</v>
      </c>
      <c r="E1882" s="4">
        <v>25120</v>
      </c>
      <c r="F1882" s="5">
        <v>368800</v>
      </c>
      <c r="G1882" s="4">
        <v>77448</v>
      </c>
      <c r="H1882" s="4">
        <v>471368</v>
      </c>
      <c r="I1882" s="188" t="str">
        <f>VLOOKUP(C1882,CATEGORIZACION!$A$1:$C$269,2,FALSE)</f>
        <v>TRANSPORTE</v>
      </c>
      <c r="J1882" s="188" t="s">
        <v>19</v>
      </c>
    </row>
    <row r="1883" spans="1:10" ht="15.75" customHeight="1" x14ac:dyDescent="0.25">
      <c r="A1883" s="1">
        <v>45211</v>
      </c>
      <c r="B1883" s="188" t="s">
        <v>1811</v>
      </c>
      <c r="C1883" s="188" t="s">
        <v>21</v>
      </c>
      <c r="D1883" s="188" t="s">
        <v>22</v>
      </c>
      <c r="E1883" s="4">
        <v>14880</v>
      </c>
      <c r="F1883" s="5">
        <v>214400</v>
      </c>
      <c r="G1883" s="4">
        <v>45024</v>
      </c>
      <c r="H1883" s="4">
        <v>274304</v>
      </c>
      <c r="I1883" s="188" t="str">
        <f>VLOOKUP(C1883,CATEGORIZACION!$A$1:$C$269,2,FALSE)</f>
        <v>TRANSPORTE</v>
      </c>
      <c r="J1883" s="188" t="s">
        <v>19</v>
      </c>
    </row>
    <row r="1884" spans="1:10" ht="15.75" customHeight="1" x14ac:dyDescent="0.25">
      <c r="A1884" s="1">
        <v>45211</v>
      </c>
      <c r="B1884" s="188" t="s">
        <v>1812</v>
      </c>
      <c r="C1884" s="188" t="s">
        <v>21</v>
      </c>
      <c r="D1884" s="188" t="s">
        <v>22</v>
      </c>
      <c r="E1884" s="4">
        <v>40880</v>
      </c>
      <c r="F1884" s="5">
        <v>735400</v>
      </c>
      <c r="G1884" s="4">
        <v>154434</v>
      </c>
      <c r="H1884" s="4">
        <v>930714</v>
      </c>
      <c r="I1884" s="188" t="str">
        <f>VLOOKUP(C1884,CATEGORIZACION!$A$1:$C$269,2,FALSE)</f>
        <v>TRANSPORTE</v>
      </c>
      <c r="J1884" s="188" t="s">
        <v>19</v>
      </c>
    </row>
    <row r="1885" spans="1:10" ht="15.75" customHeight="1" x14ac:dyDescent="0.25">
      <c r="A1885" s="1">
        <v>45211</v>
      </c>
      <c r="B1885" s="188" t="s">
        <v>1813</v>
      </c>
      <c r="C1885" s="188" t="s">
        <v>1814</v>
      </c>
      <c r="D1885" s="188" t="s">
        <v>1815</v>
      </c>
      <c r="E1885" s="4">
        <v>0</v>
      </c>
      <c r="F1885" s="3">
        <v>0</v>
      </c>
      <c r="G1885" s="2">
        <v>0</v>
      </c>
      <c r="H1885" s="2">
        <v>0</v>
      </c>
      <c r="I1885" s="188" t="s">
        <v>1816</v>
      </c>
      <c r="J1885" s="188" t="s">
        <v>19</v>
      </c>
    </row>
    <row r="1886" spans="1:10" ht="15.75" customHeight="1" x14ac:dyDescent="0.25">
      <c r="A1886" s="1">
        <v>45211</v>
      </c>
      <c r="B1886" s="188" t="s">
        <v>1817</v>
      </c>
      <c r="C1886" s="188" t="s">
        <v>1818</v>
      </c>
      <c r="D1886" s="188" t="s">
        <v>1815</v>
      </c>
      <c r="E1886" s="4">
        <v>0</v>
      </c>
      <c r="F1886" s="3">
        <v>289256.2</v>
      </c>
      <c r="G1886" s="2">
        <v>60743.8</v>
      </c>
      <c r="H1886" s="2">
        <v>350000</v>
      </c>
      <c r="I1886" s="188" t="str">
        <f>VLOOKUP(C1886,CATEGORIZACION!$A$1:$C$269,2,FALSE)</f>
        <v>PROOVEDORES</v>
      </c>
      <c r="J1886" s="188" t="str">
        <f>VLOOKUP(C1886,CATEGORIZACION!$A$1:$C$269,3,FALSE)</f>
        <v>LOGISTICA</v>
      </c>
    </row>
    <row r="1887" spans="1:10" ht="15.75" customHeight="1" x14ac:dyDescent="0.25">
      <c r="A1887" s="1">
        <v>45215</v>
      </c>
      <c r="B1887" s="188" t="s">
        <v>1819</v>
      </c>
      <c r="C1887" s="188" t="s">
        <v>84</v>
      </c>
      <c r="D1887" s="188" t="s">
        <v>85</v>
      </c>
      <c r="E1887" s="4">
        <v>48331.040000000001</v>
      </c>
      <c r="F1887" s="5">
        <v>763234.76</v>
      </c>
      <c r="G1887" s="4">
        <v>160279.29999999999</v>
      </c>
      <c r="H1887" s="4">
        <v>971845.1</v>
      </c>
      <c r="I1887" s="188" t="str">
        <f>VLOOKUP(C1887,CATEGORIZACION!$A$1:$C$269,2,FALSE)</f>
        <v>PROOVEDORES</v>
      </c>
      <c r="J1887" s="188" t="str">
        <f>VLOOKUP(C1887,CATEGORIZACION!$A$1:$C$269,3,FALSE)</f>
        <v>LOGISTICA</v>
      </c>
    </row>
    <row r="1888" spans="1:10" ht="15.75" customHeight="1" x14ac:dyDescent="0.25">
      <c r="A1888" s="1">
        <v>45215</v>
      </c>
      <c r="B1888" s="188" t="s">
        <v>1820</v>
      </c>
      <c r="C1888" s="188" t="s">
        <v>36</v>
      </c>
      <c r="D1888" s="188" t="s">
        <v>37</v>
      </c>
      <c r="E1888" s="4">
        <v>18800</v>
      </c>
      <c r="F1888" s="5">
        <v>238730</v>
      </c>
      <c r="G1888" s="4">
        <v>50133.3</v>
      </c>
      <c r="H1888" s="4">
        <v>307663.3</v>
      </c>
      <c r="I1888" s="188" t="str">
        <f>VLOOKUP(C1888,CATEGORIZACION!$A$1:$C$269,2,FALSE)</f>
        <v>TRANSPORTE</v>
      </c>
      <c r="J1888" s="188" t="s">
        <v>19</v>
      </c>
    </row>
    <row r="1889" spans="1:10" ht="15.75" customHeight="1" x14ac:dyDescent="0.25">
      <c r="A1889" s="1">
        <v>45215</v>
      </c>
      <c r="B1889" s="188" t="s">
        <v>1821</v>
      </c>
      <c r="C1889" s="188" t="s">
        <v>36</v>
      </c>
      <c r="D1889" s="188" t="s">
        <v>37</v>
      </c>
      <c r="E1889" s="4">
        <v>18800</v>
      </c>
      <c r="F1889" s="5">
        <v>238730</v>
      </c>
      <c r="G1889" s="4">
        <v>50133.3</v>
      </c>
      <c r="H1889" s="4">
        <v>307663.3</v>
      </c>
      <c r="I1889" s="188" t="str">
        <f>VLOOKUP(C1889,CATEGORIZACION!$A$1:$C$269,2,FALSE)</f>
        <v>TRANSPORTE</v>
      </c>
      <c r="J1889" s="188" t="s">
        <v>19</v>
      </c>
    </row>
    <row r="1890" spans="1:10" ht="15.75" customHeight="1" x14ac:dyDescent="0.25">
      <c r="A1890" s="1">
        <v>45215</v>
      </c>
      <c r="B1890" s="188" t="s">
        <v>1822</v>
      </c>
      <c r="C1890" s="188" t="s">
        <v>36</v>
      </c>
      <c r="D1890" s="188" t="s">
        <v>37</v>
      </c>
      <c r="E1890" s="4">
        <v>18800</v>
      </c>
      <c r="F1890" s="5">
        <v>238730</v>
      </c>
      <c r="G1890" s="4">
        <v>50133.3</v>
      </c>
      <c r="H1890" s="4">
        <v>307663.3</v>
      </c>
      <c r="I1890" s="188" t="str">
        <f>VLOOKUP(C1890,CATEGORIZACION!$A$1:$C$269,2,FALSE)</f>
        <v>TRANSPORTE</v>
      </c>
      <c r="J1890" s="188" t="s">
        <v>19</v>
      </c>
    </row>
    <row r="1891" spans="1:10" ht="15.75" customHeight="1" x14ac:dyDescent="0.25">
      <c r="A1891" s="1">
        <v>45215</v>
      </c>
      <c r="B1891" s="188" t="s">
        <v>1823</v>
      </c>
      <c r="C1891" s="188" t="s">
        <v>36</v>
      </c>
      <c r="D1891" s="188" t="s">
        <v>37</v>
      </c>
      <c r="E1891" s="4">
        <v>9200</v>
      </c>
      <c r="F1891" s="5">
        <v>79700</v>
      </c>
      <c r="G1891" s="4">
        <v>16737</v>
      </c>
      <c r="H1891" s="4">
        <v>105637</v>
      </c>
      <c r="I1891" s="188" t="str">
        <f>VLOOKUP(C1891,CATEGORIZACION!$A$1:$C$269,2,FALSE)</f>
        <v>TRANSPORTE</v>
      </c>
      <c r="J1891" s="188" t="s">
        <v>19</v>
      </c>
    </row>
    <row r="1892" spans="1:10" ht="15.75" customHeight="1" x14ac:dyDescent="0.25">
      <c r="A1892" s="1">
        <v>45215</v>
      </c>
      <c r="B1892" s="188" t="s">
        <v>1824</v>
      </c>
      <c r="C1892" s="188" t="s">
        <v>36</v>
      </c>
      <c r="D1892" s="188" t="s">
        <v>37</v>
      </c>
      <c r="E1892" s="4">
        <v>9200</v>
      </c>
      <c r="F1892" s="5">
        <v>79700</v>
      </c>
      <c r="G1892" s="4">
        <v>16737</v>
      </c>
      <c r="H1892" s="4">
        <v>105637</v>
      </c>
      <c r="I1892" s="188" t="str">
        <f>VLOOKUP(C1892,CATEGORIZACION!$A$1:$C$269,2,FALSE)</f>
        <v>TRANSPORTE</v>
      </c>
      <c r="J1892" s="188" t="s">
        <v>19</v>
      </c>
    </row>
    <row r="1893" spans="1:10" ht="15.75" customHeight="1" x14ac:dyDescent="0.25">
      <c r="A1893" s="1">
        <v>45215</v>
      </c>
      <c r="B1893" s="188" t="s">
        <v>1825</v>
      </c>
      <c r="C1893" s="188" t="s">
        <v>36</v>
      </c>
      <c r="D1893" s="188" t="s">
        <v>37</v>
      </c>
      <c r="E1893" s="4">
        <v>9200</v>
      </c>
      <c r="F1893" s="5">
        <v>79700</v>
      </c>
      <c r="G1893" s="4">
        <v>16737</v>
      </c>
      <c r="H1893" s="4">
        <v>105637</v>
      </c>
      <c r="I1893" s="188" t="str">
        <f>VLOOKUP(C1893,CATEGORIZACION!$A$1:$C$269,2,FALSE)</f>
        <v>TRANSPORTE</v>
      </c>
      <c r="J1893" s="188" t="s">
        <v>19</v>
      </c>
    </row>
    <row r="1894" spans="1:10" ht="15.75" customHeight="1" x14ac:dyDescent="0.25">
      <c r="A1894" s="1">
        <v>45215</v>
      </c>
      <c r="B1894" s="188" t="s">
        <v>1826</v>
      </c>
      <c r="C1894" s="188" t="s">
        <v>36</v>
      </c>
      <c r="D1894" s="188" t="s">
        <v>37</v>
      </c>
      <c r="E1894" s="4">
        <v>9200</v>
      </c>
      <c r="F1894" s="5">
        <v>79700</v>
      </c>
      <c r="G1894" s="4">
        <v>16737</v>
      </c>
      <c r="H1894" s="4">
        <v>105637</v>
      </c>
      <c r="I1894" s="188" t="str">
        <f>VLOOKUP(C1894,CATEGORIZACION!$A$1:$C$269,2,FALSE)</f>
        <v>TRANSPORTE</v>
      </c>
      <c r="J1894" s="188" t="s">
        <v>19</v>
      </c>
    </row>
    <row r="1895" spans="1:10" ht="15.75" customHeight="1" x14ac:dyDescent="0.25">
      <c r="A1895" s="1">
        <v>45215</v>
      </c>
      <c r="B1895" s="188" t="s">
        <v>1827</v>
      </c>
      <c r="C1895" s="188" t="s">
        <v>36</v>
      </c>
      <c r="D1895" s="188" t="s">
        <v>37</v>
      </c>
      <c r="E1895" s="4">
        <v>5000</v>
      </c>
      <c r="F1895" s="5">
        <v>110500</v>
      </c>
      <c r="G1895" s="4">
        <v>23205</v>
      </c>
      <c r="H1895" s="4">
        <v>138705</v>
      </c>
      <c r="I1895" s="188" t="str">
        <f>VLOOKUP(C1895,CATEGORIZACION!$A$1:$C$269,2,FALSE)</f>
        <v>TRANSPORTE</v>
      </c>
      <c r="J1895" s="188" t="s">
        <v>19</v>
      </c>
    </row>
    <row r="1896" spans="1:10" ht="15.75" customHeight="1" x14ac:dyDescent="0.25">
      <c r="A1896" s="1">
        <v>45215</v>
      </c>
      <c r="B1896" s="188" t="s">
        <v>1828</v>
      </c>
      <c r="C1896" s="188" t="s">
        <v>36</v>
      </c>
      <c r="D1896" s="188" t="s">
        <v>37</v>
      </c>
      <c r="E1896" s="4">
        <v>1800</v>
      </c>
      <c r="F1896" s="5">
        <v>52500</v>
      </c>
      <c r="G1896" s="4">
        <v>11025</v>
      </c>
      <c r="H1896" s="4">
        <v>65325</v>
      </c>
      <c r="I1896" s="188" t="str">
        <f>VLOOKUP(C1896,CATEGORIZACION!$A$1:$C$269,2,FALSE)</f>
        <v>TRANSPORTE</v>
      </c>
      <c r="J1896" s="188" t="s">
        <v>19</v>
      </c>
    </row>
    <row r="1897" spans="1:10" ht="15.75" customHeight="1" x14ac:dyDescent="0.25">
      <c r="A1897" s="1">
        <v>45215</v>
      </c>
      <c r="B1897" s="188" t="s">
        <v>1829</v>
      </c>
      <c r="C1897" s="188" t="s">
        <v>36</v>
      </c>
      <c r="D1897" s="188" t="s">
        <v>37</v>
      </c>
      <c r="E1897" s="4">
        <v>9200</v>
      </c>
      <c r="F1897" s="5">
        <v>119550</v>
      </c>
      <c r="G1897" s="4">
        <v>25105.5</v>
      </c>
      <c r="H1897" s="4">
        <v>153855.5</v>
      </c>
      <c r="I1897" s="188" t="str">
        <f>VLOOKUP(C1897,CATEGORIZACION!$A$1:$C$269,2,FALSE)</f>
        <v>TRANSPORTE</v>
      </c>
      <c r="J1897" s="188" t="s">
        <v>19</v>
      </c>
    </row>
    <row r="1898" spans="1:10" ht="15.75" customHeight="1" x14ac:dyDescent="0.25">
      <c r="A1898" s="1">
        <v>45215</v>
      </c>
      <c r="B1898" s="188" t="s">
        <v>1830</v>
      </c>
      <c r="C1898" s="188" t="s">
        <v>36</v>
      </c>
      <c r="D1898" s="188" t="s">
        <v>37</v>
      </c>
      <c r="E1898" s="4">
        <v>9200</v>
      </c>
      <c r="F1898" s="5">
        <v>119550</v>
      </c>
      <c r="G1898" s="4">
        <v>25105.5</v>
      </c>
      <c r="H1898" s="4">
        <v>153855.5</v>
      </c>
      <c r="I1898" s="188" t="str">
        <f>VLOOKUP(C1898,CATEGORIZACION!$A$1:$C$269,2,FALSE)</f>
        <v>TRANSPORTE</v>
      </c>
      <c r="J1898" s="188" t="s">
        <v>19</v>
      </c>
    </row>
    <row r="1899" spans="1:10" ht="15.75" customHeight="1" x14ac:dyDescent="0.25">
      <c r="A1899" s="1">
        <v>45215</v>
      </c>
      <c r="B1899" s="188" t="s">
        <v>1831</v>
      </c>
      <c r="C1899" s="188" t="s">
        <v>36</v>
      </c>
      <c r="D1899" s="188" t="s">
        <v>37</v>
      </c>
      <c r="E1899" s="4">
        <v>9200</v>
      </c>
      <c r="F1899" s="5">
        <v>103610</v>
      </c>
      <c r="G1899" s="4">
        <v>21758.1</v>
      </c>
      <c r="H1899" s="4">
        <v>134568.1</v>
      </c>
      <c r="I1899" s="188" t="str">
        <f>VLOOKUP(C1899,CATEGORIZACION!$A$1:$C$269,2,FALSE)</f>
        <v>TRANSPORTE</v>
      </c>
      <c r="J1899" s="188" t="s">
        <v>19</v>
      </c>
    </row>
    <row r="1900" spans="1:10" ht="15.75" customHeight="1" x14ac:dyDescent="0.25">
      <c r="A1900" s="1">
        <v>45215</v>
      </c>
      <c r="B1900" s="188" t="s">
        <v>1832</v>
      </c>
      <c r="C1900" s="188" t="s">
        <v>36</v>
      </c>
      <c r="D1900" s="188" t="s">
        <v>37</v>
      </c>
      <c r="E1900" s="4">
        <v>12500</v>
      </c>
      <c r="F1900" s="5">
        <v>120500</v>
      </c>
      <c r="G1900" s="4">
        <v>25305</v>
      </c>
      <c r="H1900" s="4">
        <v>158305</v>
      </c>
      <c r="I1900" s="188" t="str">
        <f>VLOOKUP(C1900,CATEGORIZACION!$A$1:$C$269,2,FALSE)</f>
        <v>TRANSPORTE</v>
      </c>
      <c r="J1900" s="188" t="s">
        <v>19</v>
      </c>
    </row>
    <row r="1901" spans="1:10" ht="15.75" customHeight="1" x14ac:dyDescent="0.25">
      <c r="A1901" s="1">
        <v>45215</v>
      </c>
      <c r="B1901" s="188" t="s">
        <v>1833</v>
      </c>
      <c r="C1901" s="188" t="s">
        <v>36</v>
      </c>
      <c r="D1901" s="188" t="s">
        <v>37</v>
      </c>
      <c r="E1901" s="4">
        <v>17000</v>
      </c>
      <c r="F1901" s="5">
        <v>154150</v>
      </c>
      <c r="G1901" s="4">
        <v>32371.5</v>
      </c>
      <c r="H1901" s="4">
        <v>203521.5</v>
      </c>
      <c r="I1901" s="188" t="str">
        <f>VLOOKUP(C1901,CATEGORIZACION!$A$1:$C$269,2,FALSE)</f>
        <v>TRANSPORTE</v>
      </c>
      <c r="J1901" s="188" t="s">
        <v>19</v>
      </c>
    </row>
    <row r="1902" spans="1:10" ht="15.75" customHeight="1" x14ac:dyDescent="0.25">
      <c r="A1902" s="1">
        <v>45215</v>
      </c>
      <c r="B1902" s="188" t="s">
        <v>1834</v>
      </c>
      <c r="C1902" s="188" t="s">
        <v>36</v>
      </c>
      <c r="D1902" s="188" t="s">
        <v>37</v>
      </c>
      <c r="E1902" s="4">
        <v>17000</v>
      </c>
      <c r="F1902" s="5">
        <v>154150</v>
      </c>
      <c r="G1902" s="4">
        <v>32371.5</v>
      </c>
      <c r="H1902" s="4">
        <v>203521.5</v>
      </c>
      <c r="I1902" s="188" t="str">
        <f>VLOOKUP(C1902,CATEGORIZACION!$A$1:$C$269,2,FALSE)</f>
        <v>TRANSPORTE</v>
      </c>
      <c r="J1902" s="188" t="s">
        <v>19</v>
      </c>
    </row>
    <row r="1903" spans="1:10" ht="15.75" customHeight="1" x14ac:dyDescent="0.25">
      <c r="A1903" s="1">
        <v>45215</v>
      </c>
      <c r="B1903" s="188" t="s">
        <v>1835</v>
      </c>
      <c r="C1903" s="188" t="s">
        <v>36</v>
      </c>
      <c r="D1903" s="188" t="s">
        <v>37</v>
      </c>
      <c r="E1903" s="4">
        <v>17000</v>
      </c>
      <c r="F1903" s="5">
        <v>154150</v>
      </c>
      <c r="G1903" s="4">
        <v>32371.5</v>
      </c>
      <c r="H1903" s="4">
        <v>203521.5</v>
      </c>
      <c r="I1903" s="188" t="str">
        <f>VLOOKUP(C1903,CATEGORIZACION!$A$1:$C$269,2,FALSE)</f>
        <v>TRANSPORTE</v>
      </c>
      <c r="J1903" s="188" t="s">
        <v>19</v>
      </c>
    </row>
    <row r="1904" spans="1:10" ht="15.75" customHeight="1" x14ac:dyDescent="0.25">
      <c r="A1904" s="1">
        <v>45215</v>
      </c>
      <c r="B1904" s="188" t="s">
        <v>1836</v>
      </c>
      <c r="C1904" s="188" t="s">
        <v>36</v>
      </c>
      <c r="D1904" s="188" t="s">
        <v>37</v>
      </c>
      <c r="E1904" s="4">
        <v>17000</v>
      </c>
      <c r="F1904" s="5">
        <v>154150</v>
      </c>
      <c r="G1904" s="4">
        <v>32371.5</v>
      </c>
      <c r="H1904" s="4">
        <v>203521.5</v>
      </c>
      <c r="I1904" s="188" t="str">
        <f>VLOOKUP(C1904,CATEGORIZACION!$A$1:$C$269,2,FALSE)</f>
        <v>TRANSPORTE</v>
      </c>
      <c r="J1904" s="188" t="s">
        <v>19</v>
      </c>
    </row>
    <row r="1905" spans="1:10" ht="15.75" customHeight="1" x14ac:dyDescent="0.25">
      <c r="A1905" s="1">
        <v>45215</v>
      </c>
      <c r="B1905" s="188" t="s">
        <v>1837</v>
      </c>
      <c r="C1905" s="188" t="s">
        <v>36</v>
      </c>
      <c r="D1905" s="188" t="s">
        <v>37</v>
      </c>
      <c r="E1905" s="4">
        <v>15000</v>
      </c>
      <c r="F1905" s="5">
        <v>206940</v>
      </c>
      <c r="G1905" s="4">
        <v>43457.4</v>
      </c>
      <c r="H1905" s="4">
        <v>265397.40000000002</v>
      </c>
      <c r="I1905" s="188" t="str">
        <f>VLOOKUP(C1905,CATEGORIZACION!$A$1:$C$269,2,FALSE)</f>
        <v>TRANSPORTE</v>
      </c>
      <c r="J1905" s="188" t="s">
        <v>19</v>
      </c>
    </row>
    <row r="1906" spans="1:10" ht="15.75" customHeight="1" x14ac:dyDescent="0.25">
      <c r="A1906" s="1">
        <v>45215</v>
      </c>
      <c r="B1906" s="188" t="s">
        <v>1838</v>
      </c>
      <c r="C1906" s="188" t="s">
        <v>36</v>
      </c>
      <c r="D1906" s="188" t="s">
        <v>37</v>
      </c>
      <c r="E1906" s="4">
        <v>15000</v>
      </c>
      <c r="F1906" s="5">
        <v>206940</v>
      </c>
      <c r="G1906" s="4">
        <v>43457.4</v>
      </c>
      <c r="H1906" s="4">
        <v>265397.40000000002</v>
      </c>
      <c r="I1906" s="188" t="str">
        <f>VLOOKUP(C1906,CATEGORIZACION!$A$1:$C$269,2,FALSE)</f>
        <v>TRANSPORTE</v>
      </c>
      <c r="J1906" s="188" t="s">
        <v>19</v>
      </c>
    </row>
    <row r="1907" spans="1:10" ht="15.75" customHeight="1" x14ac:dyDescent="0.25">
      <c r="A1907" s="1">
        <v>45215</v>
      </c>
      <c r="B1907" s="188" t="s">
        <v>1839</v>
      </c>
      <c r="C1907" s="188" t="s">
        <v>36</v>
      </c>
      <c r="D1907" s="188" t="s">
        <v>37</v>
      </c>
      <c r="E1907" s="4">
        <v>12700</v>
      </c>
      <c r="F1907" s="5">
        <v>162450</v>
      </c>
      <c r="G1907" s="4">
        <v>34114.5</v>
      </c>
      <c r="H1907" s="4">
        <v>209264.5</v>
      </c>
      <c r="I1907" s="188" t="str">
        <f>VLOOKUP(C1907,CATEGORIZACION!$A$1:$C$269,2,FALSE)</f>
        <v>TRANSPORTE</v>
      </c>
      <c r="J1907" s="188" t="s">
        <v>19</v>
      </c>
    </row>
    <row r="1908" spans="1:10" ht="15.75" customHeight="1" x14ac:dyDescent="0.25">
      <c r="A1908" s="1">
        <v>45215</v>
      </c>
      <c r="B1908" s="188" t="s">
        <v>1840</v>
      </c>
      <c r="C1908" s="188" t="s">
        <v>36</v>
      </c>
      <c r="D1908" s="188" t="s">
        <v>37</v>
      </c>
      <c r="E1908" s="4">
        <v>9500</v>
      </c>
      <c r="F1908" s="5">
        <v>120500</v>
      </c>
      <c r="G1908" s="4">
        <v>25305</v>
      </c>
      <c r="H1908" s="4">
        <v>155305</v>
      </c>
      <c r="I1908" s="188" t="str">
        <f>VLOOKUP(C1908,CATEGORIZACION!$A$1:$C$269,2,FALSE)</f>
        <v>TRANSPORTE</v>
      </c>
      <c r="J1908" s="188" t="s">
        <v>19</v>
      </c>
    </row>
    <row r="1909" spans="1:10" ht="15.75" customHeight="1" x14ac:dyDescent="0.25">
      <c r="A1909" s="1">
        <v>45215</v>
      </c>
      <c r="B1909" s="188" t="s">
        <v>1841</v>
      </c>
      <c r="C1909" s="188" t="s">
        <v>36</v>
      </c>
      <c r="D1909" s="188" t="s">
        <v>37</v>
      </c>
      <c r="E1909" s="4">
        <v>11800</v>
      </c>
      <c r="F1909" s="5">
        <v>172450</v>
      </c>
      <c r="G1909" s="4">
        <v>36214.5</v>
      </c>
      <c r="H1909" s="4">
        <v>220464.5</v>
      </c>
      <c r="I1909" s="188" t="str">
        <f>VLOOKUP(C1909,CATEGORIZACION!$A$1:$C$269,2,FALSE)</f>
        <v>TRANSPORTE</v>
      </c>
      <c r="J1909" s="188" t="s">
        <v>19</v>
      </c>
    </row>
    <row r="1910" spans="1:10" ht="15.75" customHeight="1" x14ac:dyDescent="0.25">
      <c r="A1910" s="1">
        <v>45216</v>
      </c>
      <c r="B1910" s="188" t="s">
        <v>1842</v>
      </c>
      <c r="C1910" s="188" t="s">
        <v>1143</v>
      </c>
      <c r="D1910" s="188" t="s">
        <v>1144</v>
      </c>
      <c r="E1910" s="4">
        <v>0</v>
      </c>
      <c r="F1910" s="3">
        <v>960060</v>
      </c>
      <c r="G1910" s="4">
        <v>201612.6</v>
      </c>
      <c r="H1910" s="4">
        <v>1161672.6000000001</v>
      </c>
      <c r="I1910" s="188" t="str">
        <f>VLOOKUP(C1910,CATEGORIZACION!$A$1:$C$269,2,FALSE)</f>
        <v>PROOVEDORES</v>
      </c>
      <c r="J1910" s="188" t="str">
        <f>VLOOKUP(C1910,CATEGORIZACION!$A$1:$C$269,3,FALSE)</f>
        <v>DEPOSITO</v>
      </c>
    </row>
    <row r="1911" spans="1:10" ht="15.75" customHeight="1" x14ac:dyDescent="0.25">
      <c r="A1911" s="1">
        <v>45216</v>
      </c>
      <c r="B1911" s="188" t="s">
        <v>1843</v>
      </c>
      <c r="C1911" s="188" t="s">
        <v>17</v>
      </c>
      <c r="D1911" s="188" t="s">
        <v>18</v>
      </c>
      <c r="E1911" s="4">
        <v>52560</v>
      </c>
      <c r="F1911" s="5">
        <v>501000</v>
      </c>
      <c r="G1911" s="4">
        <v>105210</v>
      </c>
      <c r="H1911" s="4">
        <v>658770</v>
      </c>
      <c r="I1911" s="188" t="str">
        <f>VLOOKUP(C1911,CATEGORIZACION!$A$1:$C$269,2,FALSE)</f>
        <v>TRANSPORTE</v>
      </c>
      <c r="J1911" s="188" t="s">
        <v>19</v>
      </c>
    </row>
    <row r="1912" spans="1:10" ht="15.75" customHeight="1" x14ac:dyDescent="0.25">
      <c r="A1912" s="1">
        <v>45216</v>
      </c>
      <c r="B1912" s="188" t="s">
        <v>1844</v>
      </c>
      <c r="C1912" s="188" t="s">
        <v>17</v>
      </c>
      <c r="D1912" s="188" t="s">
        <v>18</v>
      </c>
      <c r="E1912" s="4">
        <v>74800</v>
      </c>
      <c r="F1912" s="5">
        <v>822500</v>
      </c>
      <c r="G1912" s="4">
        <v>172725</v>
      </c>
      <c r="H1912" s="4">
        <v>1070025</v>
      </c>
      <c r="I1912" s="188" t="str">
        <f>VLOOKUP(C1912,CATEGORIZACION!$A$1:$C$269,2,FALSE)</f>
        <v>TRANSPORTE</v>
      </c>
      <c r="J1912" s="188" t="s">
        <v>19</v>
      </c>
    </row>
    <row r="1913" spans="1:10" ht="15.75" customHeight="1" x14ac:dyDescent="0.25">
      <c r="A1913" s="1">
        <v>45216</v>
      </c>
      <c r="B1913" s="188" t="s">
        <v>1845</v>
      </c>
      <c r="C1913" s="188" t="s">
        <v>17</v>
      </c>
      <c r="D1913" s="188" t="s">
        <v>18</v>
      </c>
      <c r="E1913" s="4">
        <v>45320</v>
      </c>
      <c r="F1913" s="5">
        <v>518000</v>
      </c>
      <c r="G1913" s="4">
        <v>108780</v>
      </c>
      <c r="H1913" s="4">
        <v>672100</v>
      </c>
      <c r="I1913" s="188" t="str">
        <f>VLOOKUP(C1913,CATEGORIZACION!$A$1:$C$269,2,FALSE)</f>
        <v>TRANSPORTE</v>
      </c>
      <c r="J1913" s="188" t="s">
        <v>19</v>
      </c>
    </row>
    <row r="1914" spans="1:10" ht="15.75" customHeight="1" x14ac:dyDescent="0.25">
      <c r="A1914" s="1">
        <v>45216</v>
      </c>
      <c r="B1914" s="188" t="s">
        <v>1846</v>
      </c>
      <c r="C1914" s="188" t="s">
        <v>17</v>
      </c>
      <c r="D1914" s="188" t="s">
        <v>18</v>
      </c>
      <c r="E1914" s="4">
        <v>36640</v>
      </c>
      <c r="F1914" s="5">
        <v>452000</v>
      </c>
      <c r="G1914" s="4">
        <v>94920</v>
      </c>
      <c r="H1914" s="4">
        <v>583560</v>
      </c>
      <c r="I1914" s="188" t="str">
        <f>VLOOKUP(C1914,CATEGORIZACION!$A$1:$C$269,2,FALSE)</f>
        <v>TRANSPORTE</v>
      </c>
      <c r="J1914" s="188" t="s">
        <v>19</v>
      </c>
    </row>
    <row r="1915" spans="1:10" ht="15.75" customHeight="1" x14ac:dyDescent="0.25">
      <c r="A1915" s="1">
        <v>45216</v>
      </c>
      <c r="B1915" s="188" t="s">
        <v>1847</v>
      </c>
      <c r="C1915" s="188" t="s">
        <v>337</v>
      </c>
      <c r="D1915" s="188" t="s">
        <v>174</v>
      </c>
      <c r="E1915" s="4">
        <v>0</v>
      </c>
      <c r="F1915" s="5">
        <v>138200</v>
      </c>
      <c r="G1915" s="4">
        <v>29022</v>
      </c>
      <c r="H1915" s="4">
        <v>167222</v>
      </c>
      <c r="I1915" s="188" t="str">
        <f>VLOOKUP(C1915,CATEGORIZACION!$A$1:$C$269,2,FALSE)</f>
        <v>TRANSPORTE</v>
      </c>
      <c r="J1915" s="188" t="s">
        <v>19</v>
      </c>
    </row>
    <row r="1916" spans="1:10" ht="15.75" customHeight="1" x14ac:dyDescent="0.25">
      <c r="A1916" s="1">
        <v>45216</v>
      </c>
      <c r="B1916" s="188" t="s">
        <v>1848</v>
      </c>
      <c r="C1916" s="188" t="s">
        <v>337</v>
      </c>
      <c r="D1916" s="188" t="s">
        <v>174</v>
      </c>
      <c r="E1916" s="4">
        <v>0</v>
      </c>
      <c r="F1916" s="5">
        <v>127000</v>
      </c>
      <c r="G1916" s="4">
        <v>26670</v>
      </c>
      <c r="H1916" s="4">
        <v>153670</v>
      </c>
      <c r="I1916" s="188" t="str">
        <f>VLOOKUP(C1916,CATEGORIZACION!$A$1:$C$269,2,FALSE)</f>
        <v>TRANSPORTE</v>
      </c>
      <c r="J1916" s="188" t="s">
        <v>19</v>
      </c>
    </row>
    <row r="1917" spans="1:10" ht="15.75" customHeight="1" x14ac:dyDescent="0.25">
      <c r="A1917" s="1">
        <v>45216</v>
      </c>
      <c r="B1917" s="188" t="s">
        <v>1849</v>
      </c>
      <c r="C1917" s="188" t="s">
        <v>337</v>
      </c>
      <c r="D1917" s="188" t="s">
        <v>174</v>
      </c>
      <c r="E1917" s="4">
        <v>0</v>
      </c>
      <c r="F1917" s="5">
        <v>120900</v>
      </c>
      <c r="G1917" s="4">
        <v>25389</v>
      </c>
      <c r="H1917" s="4">
        <v>146289</v>
      </c>
      <c r="I1917" s="188" t="str">
        <f>VLOOKUP(C1917,CATEGORIZACION!$A$1:$C$269,2,FALSE)</f>
        <v>TRANSPORTE</v>
      </c>
      <c r="J1917" s="188" t="s">
        <v>19</v>
      </c>
    </row>
    <row r="1918" spans="1:10" ht="15.75" customHeight="1" x14ac:dyDescent="0.25">
      <c r="A1918" s="1">
        <v>45216</v>
      </c>
      <c r="B1918" s="188" t="s">
        <v>1850</v>
      </c>
      <c r="C1918" s="188" t="s">
        <v>21</v>
      </c>
      <c r="D1918" s="188" t="s">
        <v>22</v>
      </c>
      <c r="E1918" s="4">
        <v>37680</v>
      </c>
      <c r="F1918" s="5">
        <v>883200</v>
      </c>
      <c r="G1918" s="4">
        <v>185472</v>
      </c>
      <c r="H1918" s="4">
        <v>1106352</v>
      </c>
      <c r="I1918" s="188" t="str">
        <f>VLOOKUP(C1918,CATEGORIZACION!$A$1:$C$269,2,FALSE)</f>
        <v>TRANSPORTE</v>
      </c>
      <c r="J1918" s="188" t="s">
        <v>19</v>
      </c>
    </row>
    <row r="1919" spans="1:10" ht="15.75" customHeight="1" x14ac:dyDescent="0.25">
      <c r="A1919" s="1">
        <v>45216</v>
      </c>
      <c r="B1919" s="188" t="s">
        <v>1851</v>
      </c>
      <c r="C1919" s="188" t="s">
        <v>918</v>
      </c>
      <c r="D1919" s="188" t="s">
        <v>919</v>
      </c>
      <c r="E1919" s="4">
        <v>356.8</v>
      </c>
      <c r="F1919" s="5">
        <v>35661</v>
      </c>
      <c r="G1919" s="4">
        <v>7488.81</v>
      </c>
      <c r="H1919" s="4">
        <v>43506.61</v>
      </c>
      <c r="I1919" s="188" t="str">
        <f>VLOOKUP(C1919,CATEGORIZACION!$A$1:$C$269,2,FALSE)</f>
        <v>PROOVEDORES</v>
      </c>
      <c r="J1919" s="188" t="str">
        <f>VLOOKUP(C1919,CATEGORIZACION!$A$1:$C$269,3,FALSE)</f>
        <v>LOGISTICA</v>
      </c>
    </row>
    <row r="1920" spans="1:10" ht="15.75" customHeight="1" x14ac:dyDescent="0.25">
      <c r="A1920" s="1">
        <v>45216</v>
      </c>
      <c r="B1920" s="188" t="s">
        <v>1852</v>
      </c>
      <c r="C1920" s="188" t="s">
        <v>918</v>
      </c>
      <c r="D1920" s="188" t="s">
        <v>919</v>
      </c>
      <c r="E1920" s="4">
        <v>33.06</v>
      </c>
      <c r="F1920" s="5">
        <v>3306</v>
      </c>
      <c r="G1920" s="4">
        <v>694.26</v>
      </c>
      <c r="H1920" s="4">
        <v>4033.32</v>
      </c>
      <c r="I1920" s="188" t="str">
        <f>VLOOKUP(C1920,CATEGORIZACION!$A$1:$C$269,2,FALSE)</f>
        <v>PROOVEDORES</v>
      </c>
      <c r="J1920" s="188" t="str">
        <f>VLOOKUP(C1920,CATEGORIZACION!$A$1:$C$269,3,FALSE)</f>
        <v>LOGISTICA</v>
      </c>
    </row>
    <row r="1921" spans="1:10" ht="15.75" customHeight="1" x14ac:dyDescent="0.25">
      <c r="A1921" s="1">
        <v>45216</v>
      </c>
      <c r="B1921" s="188" t="s">
        <v>1853</v>
      </c>
      <c r="C1921" s="188" t="s">
        <v>804</v>
      </c>
      <c r="D1921" s="188" t="s">
        <v>805</v>
      </c>
      <c r="E1921" s="4">
        <v>160.44</v>
      </c>
      <c r="F1921" s="5">
        <v>3636</v>
      </c>
      <c r="G1921" s="4">
        <v>763.56</v>
      </c>
      <c r="H1921" s="4">
        <v>4560</v>
      </c>
      <c r="I1921" s="188" t="str">
        <f>VLOOKUP(C1921,CATEGORIZACION!$A$1:$C$269,2,FALSE)</f>
        <v>PROOVEDORES</v>
      </c>
      <c r="J1921" s="188" t="str">
        <f>VLOOKUP(C1921,CATEGORIZACION!$A$1:$C$269,3,FALSE)</f>
        <v>LOGISTICA</v>
      </c>
    </row>
    <row r="1922" spans="1:10" ht="15.75" customHeight="1" x14ac:dyDescent="0.25">
      <c r="A1922" s="1">
        <v>45216</v>
      </c>
      <c r="B1922" s="188" t="s">
        <v>1854</v>
      </c>
      <c r="C1922" s="188" t="s">
        <v>804</v>
      </c>
      <c r="D1922" s="188" t="s">
        <v>805</v>
      </c>
      <c r="E1922" s="4">
        <v>1409.1</v>
      </c>
      <c r="F1922" s="5">
        <v>32025</v>
      </c>
      <c r="G1922" s="4">
        <v>6725.25</v>
      </c>
      <c r="H1922" s="4">
        <v>40159.35</v>
      </c>
      <c r="I1922" s="188" t="str">
        <f>VLOOKUP(C1922,CATEGORIZACION!$A$1:$C$269,2,FALSE)</f>
        <v>PROOVEDORES</v>
      </c>
      <c r="J1922" s="188" t="str">
        <f>VLOOKUP(C1922,CATEGORIZACION!$A$1:$C$269,3,FALSE)</f>
        <v>LOGISTICA</v>
      </c>
    </row>
    <row r="1923" spans="1:10" ht="15.75" customHeight="1" x14ac:dyDescent="0.25">
      <c r="A1923" s="1">
        <v>45217</v>
      </c>
      <c r="B1923" s="188" t="s">
        <v>1855</v>
      </c>
      <c r="C1923" s="188" t="s">
        <v>714</v>
      </c>
      <c r="D1923" s="188" t="s">
        <v>715</v>
      </c>
      <c r="E1923" s="4">
        <v>0</v>
      </c>
      <c r="F1923" s="3">
        <v>580087.52</v>
      </c>
      <c r="G1923" s="4">
        <v>121818.38</v>
      </c>
      <c r="H1923" s="4">
        <v>701905.9</v>
      </c>
      <c r="I1923" s="188" t="str">
        <f>VLOOKUP(C1923,CATEGORIZACION!$A$1:$C$269,2,FALSE)</f>
        <v>PROOVEDORES</v>
      </c>
      <c r="J1923" s="188" t="str">
        <f>VLOOKUP(C1923,CATEGORIZACION!$A$1:$C$269,3,FALSE)</f>
        <v>DEPOSITO</v>
      </c>
    </row>
    <row r="1924" spans="1:10" ht="15.75" customHeight="1" x14ac:dyDescent="0.25">
      <c r="A1924" s="1">
        <v>45217</v>
      </c>
      <c r="B1924" s="188" t="s">
        <v>1856</v>
      </c>
      <c r="C1924" s="188" t="s">
        <v>253</v>
      </c>
      <c r="D1924" s="188" t="s">
        <v>57</v>
      </c>
      <c r="E1924" s="4">
        <v>0</v>
      </c>
      <c r="F1924" s="5">
        <v>8359.01</v>
      </c>
      <c r="G1924" s="4">
        <v>1755.39</v>
      </c>
      <c r="H1924" s="4">
        <v>10114.4</v>
      </c>
      <c r="I1924" s="188" t="str">
        <f>VLOOKUP(C1924,CATEGORIZACION!$A$1:$C$269,2,FALSE)</f>
        <v>PROOVEDORES</v>
      </c>
      <c r="J1924" s="188" t="str">
        <f>VLOOKUP(C1924,CATEGORIZACION!$A$1:$C$269,3,FALSE)</f>
        <v>LOGISTICA</v>
      </c>
    </row>
    <row r="1925" spans="1:10" ht="15.75" customHeight="1" x14ac:dyDescent="0.25">
      <c r="A1925" s="1">
        <v>45217</v>
      </c>
      <c r="B1925" s="188" t="s">
        <v>1857</v>
      </c>
      <c r="C1925" s="188" t="s">
        <v>801</v>
      </c>
      <c r="D1925" s="188" t="s">
        <v>802</v>
      </c>
      <c r="E1925" s="4">
        <v>3291</v>
      </c>
      <c r="F1925" s="5">
        <v>23510</v>
      </c>
      <c r="G1925" s="4">
        <v>4937.1000000000004</v>
      </c>
      <c r="H1925" s="4">
        <v>31738.1</v>
      </c>
      <c r="I1925" s="188" t="str">
        <f>VLOOKUP(C1925,CATEGORIZACION!$A$1:$C$269,2,FALSE)</f>
        <v>PROOVEDORES</v>
      </c>
      <c r="J1925" s="188" t="str">
        <f>VLOOKUP(C1925,CATEGORIZACION!$A$1:$C$269,3,FALSE)</f>
        <v>LOGISTICA</v>
      </c>
    </row>
    <row r="1926" spans="1:10" ht="15.75" customHeight="1" x14ac:dyDescent="0.25">
      <c r="A1926" s="1">
        <v>45217</v>
      </c>
      <c r="B1926" s="188" t="s">
        <v>1858</v>
      </c>
      <c r="C1926" s="188" t="s">
        <v>801</v>
      </c>
      <c r="D1926" s="188" t="s">
        <v>802</v>
      </c>
      <c r="E1926" s="4">
        <v>19495.53</v>
      </c>
      <c r="F1926" s="5">
        <v>139250</v>
      </c>
      <c r="G1926" s="4">
        <v>29242.5</v>
      </c>
      <c r="H1926" s="4">
        <v>187988.03</v>
      </c>
      <c r="I1926" s="188" t="str">
        <f>VLOOKUP(C1926,CATEGORIZACION!$A$1:$C$269,2,FALSE)</f>
        <v>PROOVEDORES</v>
      </c>
      <c r="J1926" s="188" t="str">
        <f>VLOOKUP(C1926,CATEGORIZACION!$A$1:$C$269,3,FALSE)</f>
        <v>LOGISTICA</v>
      </c>
    </row>
    <row r="1927" spans="1:10" ht="15.75" customHeight="1" x14ac:dyDescent="0.25">
      <c r="A1927" s="1">
        <v>45217</v>
      </c>
      <c r="B1927" s="188" t="s">
        <v>1859</v>
      </c>
      <c r="C1927" s="188" t="s">
        <v>214</v>
      </c>
      <c r="D1927" s="188" t="s">
        <v>471</v>
      </c>
      <c r="E1927" s="4">
        <v>150000</v>
      </c>
      <c r="F1927" s="5">
        <v>0</v>
      </c>
      <c r="G1927" s="4">
        <v>0</v>
      </c>
      <c r="H1927" s="4">
        <v>150000</v>
      </c>
      <c r="I1927" s="188" t="str">
        <f>VLOOKUP(C1927,CATEGORIZACION!$A$1:$C$269,2,FALSE)</f>
        <v>PROOVEDORES</v>
      </c>
      <c r="J1927" s="188" t="str">
        <f>VLOOKUP(C1927,CATEGORIZACION!$A$1:$C$269,3,FALSE)</f>
        <v>LOGISTICA</v>
      </c>
    </row>
    <row r="1928" spans="1:10" ht="15.75" customHeight="1" x14ac:dyDescent="0.25">
      <c r="A1928" s="1">
        <v>45218</v>
      </c>
      <c r="B1928" s="188" t="s">
        <v>1860</v>
      </c>
      <c r="C1928" s="188" t="s">
        <v>21</v>
      </c>
      <c r="D1928" s="188" t="s">
        <v>22</v>
      </c>
      <c r="E1928" s="4">
        <v>13040</v>
      </c>
      <c r="F1928" s="5">
        <v>280000</v>
      </c>
      <c r="G1928" s="4">
        <v>58800</v>
      </c>
      <c r="H1928" s="4">
        <v>351840</v>
      </c>
      <c r="I1928" s="188" t="str">
        <f>VLOOKUP(C1928,CATEGORIZACION!$A$1:$C$269,2,FALSE)</f>
        <v>TRANSPORTE</v>
      </c>
      <c r="J1928" s="188" t="s">
        <v>19</v>
      </c>
    </row>
    <row r="1929" spans="1:10" ht="15.75" customHeight="1" x14ac:dyDescent="0.25">
      <c r="A1929" s="1">
        <v>45218</v>
      </c>
      <c r="B1929" s="188" t="s">
        <v>1861</v>
      </c>
      <c r="C1929" s="188" t="s">
        <v>1862</v>
      </c>
      <c r="D1929" s="188" t="s">
        <v>1863</v>
      </c>
      <c r="E1929" s="4">
        <v>0</v>
      </c>
      <c r="F1929" s="5">
        <v>3300</v>
      </c>
      <c r="G1929" s="4">
        <v>693</v>
      </c>
      <c r="H1929" s="4">
        <v>3993</v>
      </c>
      <c r="I1929" s="188" t="str">
        <f>VLOOKUP(C1929,CATEGORIZACION!$A$1:$C$269,2,FALSE)</f>
        <v>PROOVEDORES</v>
      </c>
      <c r="J1929" s="188" t="str">
        <f>VLOOKUP(C1929,CATEGORIZACION!$A$1:$C$269,3,FALSE)</f>
        <v>LOGISTICA</v>
      </c>
    </row>
    <row r="1930" spans="1:10" ht="15.75" customHeight="1" x14ac:dyDescent="0.25">
      <c r="A1930" s="1">
        <v>45218</v>
      </c>
      <c r="B1930" s="188" t="s">
        <v>1864</v>
      </c>
      <c r="C1930" s="188" t="s">
        <v>1050</v>
      </c>
      <c r="D1930" s="188" t="s">
        <v>1051</v>
      </c>
      <c r="E1930" s="4">
        <v>6685.13</v>
      </c>
      <c r="F1930" s="5">
        <v>196621.49</v>
      </c>
      <c r="G1930" s="4">
        <v>41290.51</v>
      </c>
      <c r="H1930" s="4">
        <v>244597.13</v>
      </c>
      <c r="I1930" s="188" t="str">
        <f>VLOOKUP(C1930,CATEGORIZACION!$A$1:$C$269,2,FALSE)</f>
        <v>PROOVEDORES</v>
      </c>
      <c r="J1930" s="188" t="str">
        <f>VLOOKUP(C1930,CATEGORIZACION!$A$1:$C$269,3,FALSE)</f>
        <v>LOGISTICA</v>
      </c>
    </row>
    <row r="1931" spans="1:10" ht="15.75" customHeight="1" x14ac:dyDescent="0.25">
      <c r="A1931" s="1">
        <v>45219</v>
      </c>
      <c r="B1931" s="188" t="s">
        <v>1865</v>
      </c>
      <c r="C1931" s="188" t="s">
        <v>665</v>
      </c>
      <c r="D1931" s="188" t="s">
        <v>666</v>
      </c>
      <c r="E1931" s="4">
        <v>0</v>
      </c>
      <c r="F1931" s="5">
        <v>157768.6</v>
      </c>
      <c r="G1931" s="4">
        <v>33131.410000000003</v>
      </c>
      <c r="H1931" s="4">
        <v>190900.01</v>
      </c>
      <c r="I1931" s="188" t="str">
        <f>VLOOKUP(C1931,CATEGORIZACION!$A$1:$C$269,2,FALSE)</f>
        <v>PROOVEDORES</v>
      </c>
      <c r="J1931" s="188" t="str">
        <f>VLOOKUP(C1931,CATEGORIZACION!$A$1:$C$269,3,FALSE)</f>
        <v>LOGISTICA</v>
      </c>
    </row>
    <row r="1932" spans="1:10" ht="15.75" customHeight="1" x14ac:dyDescent="0.25">
      <c r="A1932" s="1">
        <v>45219</v>
      </c>
      <c r="B1932" s="188" t="s">
        <v>1866</v>
      </c>
      <c r="C1932" s="188" t="s">
        <v>17</v>
      </c>
      <c r="D1932" s="188" t="s">
        <v>18</v>
      </c>
      <c r="E1932" s="4">
        <v>0</v>
      </c>
      <c r="F1932" s="5">
        <v>49000</v>
      </c>
      <c r="G1932" s="4">
        <v>10290</v>
      </c>
      <c r="H1932" s="4">
        <v>59290</v>
      </c>
      <c r="I1932" s="188" t="str">
        <f>VLOOKUP(C1932,CATEGORIZACION!$A$1:$C$269,2,FALSE)</f>
        <v>TRANSPORTE</v>
      </c>
      <c r="J1932" s="188" t="s">
        <v>19</v>
      </c>
    </row>
    <row r="1933" spans="1:10" ht="15.75" customHeight="1" x14ac:dyDescent="0.25">
      <c r="A1933" s="1">
        <v>45220</v>
      </c>
      <c r="B1933" s="188" t="s">
        <v>1867</v>
      </c>
      <c r="C1933" s="188" t="s">
        <v>21</v>
      </c>
      <c r="D1933" s="188" t="s">
        <v>22</v>
      </c>
      <c r="E1933" s="4">
        <v>18560</v>
      </c>
      <c r="F1933" s="5">
        <v>254000</v>
      </c>
      <c r="G1933" s="4">
        <v>53340</v>
      </c>
      <c r="H1933" s="4">
        <v>325900</v>
      </c>
      <c r="I1933" s="188" t="str">
        <f>VLOOKUP(C1933,CATEGORIZACION!$A$1:$C$269,2,FALSE)</f>
        <v>TRANSPORTE</v>
      </c>
      <c r="J1933" s="188" t="s">
        <v>19</v>
      </c>
    </row>
    <row r="1934" spans="1:10" ht="15.75" customHeight="1" x14ac:dyDescent="0.25">
      <c r="A1934" s="1">
        <v>45220</v>
      </c>
      <c r="B1934" s="188" t="s">
        <v>1868</v>
      </c>
      <c r="C1934" s="188" t="s">
        <v>21</v>
      </c>
      <c r="D1934" s="188" t="s">
        <v>22</v>
      </c>
      <c r="E1934" s="4">
        <v>8320</v>
      </c>
      <c r="F1934" s="5">
        <v>127000</v>
      </c>
      <c r="G1934" s="4">
        <v>26670</v>
      </c>
      <c r="H1934" s="4">
        <v>161990</v>
      </c>
      <c r="I1934" s="188" t="str">
        <f>VLOOKUP(C1934,CATEGORIZACION!$A$1:$C$269,2,FALSE)</f>
        <v>TRANSPORTE</v>
      </c>
      <c r="J1934" s="188" t="s">
        <v>19</v>
      </c>
    </row>
    <row r="1935" spans="1:10" ht="15.75" customHeight="1" x14ac:dyDescent="0.25">
      <c r="A1935" s="1">
        <v>45220</v>
      </c>
      <c r="B1935" s="188" t="s">
        <v>1869</v>
      </c>
      <c r="C1935" s="188" t="s">
        <v>21</v>
      </c>
      <c r="D1935" s="188" t="s">
        <v>22</v>
      </c>
      <c r="E1935" s="4">
        <v>6640</v>
      </c>
      <c r="F1935" s="5">
        <v>127000</v>
      </c>
      <c r="G1935" s="4">
        <v>26670</v>
      </c>
      <c r="H1935" s="4">
        <v>160310</v>
      </c>
      <c r="I1935" s="188" t="str">
        <f>VLOOKUP(C1935,CATEGORIZACION!$A$1:$C$269,2,FALSE)</f>
        <v>TRANSPORTE</v>
      </c>
      <c r="J1935" s="188" t="s">
        <v>19</v>
      </c>
    </row>
    <row r="1936" spans="1:10" ht="15.75" customHeight="1" x14ac:dyDescent="0.25">
      <c r="A1936" s="1">
        <v>45220</v>
      </c>
      <c r="B1936" s="188" t="s">
        <v>1870</v>
      </c>
      <c r="C1936" s="188" t="s">
        <v>21</v>
      </c>
      <c r="D1936" s="188" t="s">
        <v>22</v>
      </c>
      <c r="E1936" s="4">
        <v>18320</v>
      </c>
      <c r="F1936" s="5">
        <v>412000</v>
      </c>
      <c r="G1936" s="4">
        <v>86520</v>
      </c>
      <c r="H1936" s="4">
        <v>516840</v>
      </c>
      <c r="I1936" s="188" t="str">
        <f>VLOOKUP(C1936,CATEGORIZACION!$A$1:$C$269,2,FALSE)</f>
        <v>TRANSPORTE</v>
      </c>
      <c r="J1936" s="188" t="s">
        <v>19</v>
      </c>
    </row>
    <row r="1937" spans="1:10" ht="15.75" customHeight="1" x14ac:dyDescent="0.25">
      <c r="A1937" s="1">
        <v>45220</v>
      </c>
      <c r="B1937" s="188" t="s">
        <v>1871</v>
      </c>
      <c r="C1937" s="188" t="s">
        <v>21</v>
      </c>
      <c r="D1937" s="188" t="s">
        <v>22</v>
      </c>
      <c r="E1937" s="4">
        <v>34200</v>
      </c>
      <c r="F1937" s="5">
        <v>381000</v>
      </c>
      <c r="G1937" s="4">
        <v>80010</v>
      </c>
      <c r="H1937" s="4">
        <v>495210</v>
      </c>
      <c r="I1937" s="188" t="str">
        <f>VLOOKUP(C1937,CATEGORIZACION!$A$1:$C$269,2,FALSE)</f>
        <v>TRANSPORTE</v>
      </c>
      <c r="J1937" s="188" t="s">
        <v>19</v>
      </c>
    </row>
    <row r="1938" spans="1:10" ht="15.75" customHeight="1" x14ac:dyDescent="0.25">
      <c r="A1938" s="1">
        <v>45220</v>
      </c>
      <c r="B1938" s="188" t="s">
        <v>1872</v>
      </c>
      <c r="C1938" s="188" t="s">
        <v>21</v>
      </c>
      <c r="D1938" s="188" t="s">
        <v>22</v>
      </c>
      <c r="E1938" s="4">
        <v>33200</v>
      </c>
      <c r="F1938" s="5">
        <v>1270000</v>
      </c>
      <c r="G1938" s="4">
        <v>266700</v>
      </c>
      <c r="H1938" s="4">
        <v>1569900</v>
      </c>
      <c r="I1938" s="188" t="str">
        <f>VLOOKUP(C1938,CATEGORIZACION!$A$1:$C$269,2,FALSE)</f>
        <v>TRANSPORTE</v>
      </c>
      <c r="J1938" s="188" t="s">
        <v>19</v>
      </c>
    </row>
    <row r="1939" spans="1:10" ht="15.75" customHeight="1" x14ac:dyDescent="0.25">
      <c r="A1939" s="1">
        <v>45220</v>
      </c>
      <c r="B1939" s="188" t="s">
        <v>1873</v>
      </c>
      <c r="C1939" s="188" t="s">
        <v>21</v>
      </c>
      <c r="D1939" s="188" t="s">
        <v>22</v>
      </c>
      <c r="E1939" s="4">
        <v>0</v>
      </c>
      <c r="F1939" s="5">
        <v>370050</v>
      </c>
      <c r="G1939" s="4">
        <v>77710.5</v>
      </c>
      <c r="H1939" s="4">
        <v>447760.5</v>
      </c>
      <c r="I1939" s="188" t="str">
        <f>VLOOKUP(C1939,CATEGORIZACION!$A$1:$C$269,2,FALSE)</f>
        <v>TRANSPORTE</v>
      </c>
      <c r="J1939" s="188" t="s">
        <v>19</v>
      </c>
    </row>
    <row r="1940" spans="1:10" ht="15.75" customHeight="1" x14ac:dyDescent="0.25">
      <c r="A1940" s="1">
        <v>45220</v>
      </c>
      <c r="B1940" s="188" t="s">
        <v>1874</v>
      </c>
      <c r="C1940" s="188" t="s">
        <v>21</v>
      </c>
      <c r="D1940" s="188" t="s">
        <v>22</v>
      </c>
      <c r="E1940" s="4">
        <v>12560</v>
      </c>
      <c r="F1940" s="5">
        <v>230000</v>
      </c>
      <c r="G1940" s="4">
        <v>48300</v>
      </c>
      <c r="H1940" s="4">
        <v>290860</v>
      </c>
      <c r="I1940" s="188" t="str">
        <f>VLOOKUP(C1940,CATEGORIZACION!$A$1:$C$269,2,FALSE)</f>
        <v>TRANSPORTE</v>
      </c>
      <c r="J1940" s="188" t="s">
        <v>19</v>
      </c>
    </row>
    <row r="1941" spans="1:10" ht="15.75" customHeight="1" x14ac:dyDescent="0.25">
      <c r="A1941" s="1">
        <v>45220</v>
      </c>
      <c r="B1941" s="188" t="s">
        <v>1875</v>
      </c>
      <c r="C1941" s="188" t="s">
        <v>21</v>
      </c>
      <c r="D1941" s="188" t="s">
        <v>22</v>
      </c>
      <c r="E1941" s="4">
        <v>18840</v>
      </c>
      <c r="F1941" s="5">
        <v>712350</v>
      </c>
      <c r="G1941" s="4">
        <v>149593.5</v>
      </c>
      <c r="H1941" s="4">
        <v>880783.5</v>
      </c>
      <c r="I1941" s="188" t="str">
        <f>VLOOKUP(C1941,CATEGORIZACION!$A$1:$C$269,2,FALSE)</f>
        <v>TRANSPORTE</v>
      </c>
      <c r="J1941" s="188" t="s">
        <v>19</v>
      </c>
    </row>
    <row r="1942" spans="1:10" ht="15.75" customHeight="1" x14ac:dyDescent="0.25">
      <c r="A1942" s="1">
        <v>45221</v>
      </c>
      <c r="B1942" s="188" t="s">
        <v>1876</v>
      </c>
      <c r="C1942" s="188" t="s">
        <v>337</v>
      </c>
      <c r="D1942" s="188" t="s">
        <v>174</v>
      </c>
      <c r="E1942" s="4">
        <v>0</v>
      </c>
      <c r="F1942" s="5">
        <v>81700</v>
      </c>
      <c r="G1942" s="4">
        <v>17157</v>
      </c>
      <c r="H1942" s="4">
        <v>98857</v>
      </c>
      <c r="I1942" s="188" t="str">
        <f>VLOOKUP(C1942,CATEGORIZACION!$A$1:$C$269,2,FALSE)</f>
        <v>TRANSPORTE</v>
      </c>
      <c r="J1942" s="188" t="s">
        <v>19</v>
      </c>
    </row>
    <row r="1943" spans="1:10" ht="15.75" customHeight="1" x14ac:dyDescent="0.25">
      <c r="A1943" s="1">
        <v>45222</v>
      </c>
      <c r="B1943" s="188" t="s">
        <v>1877</v>
      </c>
      <c r="C1943" s="188" t="s">
        <v>21</v>
      </c>
      <c r="D1943" s="188" t="s">
        <v>22</v>
      </c>
      <c r="E1943" s="4">
        <v>22040</v>
      </c>
      <c r="F1943" s="5">
        <v>375000</v>
      </c>
      <c r="G1943" s="4">
        <v>78750</v>
      </c>
      <c r="H1943" s="4">
        <v>475790</v>
      </c>
      <c r="I1943" s="188" t="str">
        <f>VLOOKUP(C1943,CATEGORIZACION!$A$1:$C$269,2,FALSE)</f>
        <v>TRANSPORTE</v>
      </c>
      <c r="J1943" s="188" t="s">
        <v>19</v>
      </c>
    </row>
    <row r="1944" spans="1:10" ht="15.75" customHeight="1" x14ac:dyDescent="0.25">
      <c r="A1944" s="1">
        <v>45222</v>
      </c>
      <c r="B1944" s="188" t="s">
        <v>1878</v>
      </c>
      <c r="C1944" s="188" t="s">
        <v>21</v>
      </c>
      <c r="D1944" s="188" t="s">
        <v>22</v>
      </c>
      <c r="E1944" s="4">
        <v>30080</v>
      </c>
      <c r="F1944" s="5">
        <v>855500</v>
      </c>
      <c r="G1944" s="4">
        <v>179655</v>
      </c>
      <c r="H1944" s="4">
        <v>1065235</v>
      </c>
      <c r="I1944" s="188" t="str">
        <f>VLOOKUP(C1944,CATEGORIZACION!$A$1:$C$269,2,FALSE)</f>
        <v>TRANSPORTE</v>
      </c>
      <c r="J1944" s="188" t="s">
        <v>19</v>
      </c>
    </row>
    <row r="1945" spans="1:10" ht="15.75" customHeight="1" x14ac:dyDescent="0.25">
      <c r="A1945" s="1">
        <v>45222</v>
      </c>
      <c r="B1945" s="188" t="s">
        <v>1879</v>
      </c>
      <c r="C1945" s="188" t="s">
        <v>21</v>
      </c>
      <c r="D1945" s="188" t="s">
        <v>22</v>
      </c>
      <c r="E1945" s="4">
        <v>11680</v>
      </c>
      <c r="F1945" s="5">
        <v>287500</v>
      </c>
      <c r="G1945" s="4">
        <v>60375</v>
      </c>
      <c r="H1945" s="4">
        <v>359555</v>
      </c>
      <c r="I1945" s="188" t="str">
        <f>VLOOKUP(C1945,CATEGORIZACION!$A$1:$C$269,2,FALSE)</f>
        <v>TRANSPORTE</v>
      </c>
      <c r="J1945" s="188" t="s">
        <v>19</v>
      </c>
    </row>
    <row r="1946" spans="1:10" ht="15.75" customHeight="1" x14ac:dyDescent="0.25">
      <c r="A1946" s="1">
        <v>45222</v>
      </c>
      <c r="B1946" s="188" t="s">
        <v>1880</v>
      </c>
      <c r="C1946" s="188" t="s">
        <v>21</v>
      </c>
      <c r="D1946" s="188" t="s">
        <v>22</v>
      </c>
      <c r="E1946" s="4">
        <v>28760</v>
      </c>
      <c r="F1946" s="5">
        <v>488800</v>
      </c>
      <c r="G1946" s="4">
        <v>102648</v>
      </c>
      <c r="H1946" s="4">
        <v>620208</v>
      </c>
      <c r="I1946" s="188" t="str">
        <f>VLOOKUP(C1946,CATEGORIZACION!$A$1:$C$269,2,FALSE)</f>
        <v>TRANSPORTE</v>
      </c>
      <c r="J1946" s="188" t="s">
        <v>19</v>
      </c>
    </row>
    <row r="1947" spans="1:10" ht="15.75" customHeight="1" x14ac:dyDescent="0.25">
      <c r="A1947" s="1">
        <v>45222</v>
      </c>
      <c r="B1947" s="188" t="s">
        <v>1881</v>
      </c>
      <c r="C1947" s="188" t="s">
        <v>36</v>
      </c>
      <c r="D1947" s="188" t="s">
        <v>37</v>
      </c>
      <c r="E1947" s="4">
        <v>6500</v>
      </c>
      <c r="F1947" s="5">
        <v>206940</v>
      </c>
      <c r="G1947" s="4">
        <v>43457.4</v>
      </c>
      <c r="H1947" s="4">
        <v>256897.4</v>
      </c>
      <c r="I1947" s="188" t="str">
        <f>VLOOKUP(C1947,CATEGORIZACION!$A$1:$C$269,2,FALSE)</f>
        <v>TRANSPORTE</v>
      </c>
      <c r="J1947" s="188" t="s">
        <v>19</v>
      </c>
    </row>
    <row r="1948" spans="1:10" ht="15.75" customHeight="1" x14ac:dyDescent="0.25">
      <c r="A1948" s="1">
        <v>45223</v>
      </c>
      <c r="B1948" s="188" t="s">
        <v>1882</v>
      </c>
      <c r="C1948" s="188" t="s">
        <v>36</v>
      </c>
      <c r="D1948" s="188" t="s">
        <v>37</v>
      </c>
      <c r="E1948" s="4">
        <v>17000</v>
      </c>
      <c r="F1948" s="5">
        <v>154150</v>
      </c>
      <c r="G1948" s="4">
        <v>32371.5</v>
      </c>
      <c r="H1948" s="4">
        <v>203521.5</v>
      </c>
      <c r="I1948" s="188" t="str">
        <f>VLOOKUP(C1948,CATEGORIZACION!$A$1:$C$269,2,FALSE)</f>
        <v>TRANSPORTE</v>
      </c>
      <c r="J1948" s="188" t="s">
        <v>19</v>
      </c>
    </row>
    <row r="1949" spans="1:10" ht="15.75" customHeight="1" x14ac:dyDescent="0.25">
      <c r="A1949" s="1">
        <v>45223</v>
      </c>
      <c r="B1949" s="188" t="s">
        <v>1883</v>
      </c>
      <c r="C1949" s="188" t="s">
        <v>36</v>
      </c>
      <c r="D1949" s="188" t="s">
        <v>37</v>
      </c>
      <c r="E1949" s="4">
        <v>17000</v>
      </c>
      <c r="F1949" s="5">
        <v>154150</v>
      </c>
      <c r="G1949" s="4">
        <v>32371.5</v>
      </c>
      <c r="H1949" s="4">
        <v>203521.5</v>
      </c>
      <c r="I1949" s="188" t="str">
        <f>VLOOKUP(C1949,CATEGORIZACION!$A$1:$C$269,2,FALSE)</f>
        <v>TRANSPORTE</v>
      </c>
      <c r="J1949" s="188" t="s">
        <v>19</v>
      </c>
    </row>
    <row r="1950" spans="1:10" ht="15.75" customHeight="1" x14ac:dyDescent="0.25">
      <c r="A1950" s="1">
        <v>45223</v>
      </c>
      <c r="B1950" s="188" t="s">
        <v>1884</v>
      </c>
      <c r="C1950" s="188" t="s">
        <v>36</v>
      </c>
      <c r="D1950" s="188" t="s">
        <v>37</v>
      </c>
      <c r="E1950" s="4">
        <v>17000</v>
      </c>
      <c r="F1950" s="5">
        <v>154150</v>
      </c>
      <c r="G1950" s="4">
        <v>32371.5</v>
      </c>
      <c r="H1950" s="4">
        <v>203521.5</v>
      </c>
      <c r="I1950" s="188" t="str">
        <f>VLOOKUP(C1950,CATEGORIZACION!$A$1:$C$269,2,FALSE)</f>
        <v>TRANSPORTE</v>
      </c>
      <c r="J1950" s="188" t="s">
        <v>19</v>
      </c>
    </row>
    <row r="1951" spans="1:10" ht="15.75" customHeight="1" x14ac:dyDescent="0.25">
      <c r="A1951" s="1">
        <v>45223</v>
      </c>
      <c r="B1951" s="188" t="s">
        <v>1885</v>
      </c>
      <c r="C1951" s="188" t="s">
        <v>36</v>
      </c>
      <c r="D1951" s="188" t="s">
        <v>37</v>
      </c>
      <c r="E1951" s="4">
        <v>17000</v>
      </c>
      <c r="F1951" s="5">
        <v>154150</v>
      </c>
      <c r="G1951" s="4">
        <v>32371.5</v>
      </c>
      <c r="H1951" s="4">
        <v>203521.5</v>
      </c>
      <c r="I1951" s="188" t="str">
        <f>VLOOKUP(C1951,CATEGORIZACION!$A$1:$C$269,2,FALSE)</f>
        <v>TRANSPORTE</v>
      </c>
      <c r="J1951" s="188" t="s">
        <v>19</v>
      </c>
    </row>
    <row r="1952" spans="1:10" ht="15.75" customHeight="1" x14ac:dyDescent="0.25">
      <c r="A1952" s="1">
        <v>45223</v>
      </c>
      <c r="B1952" s="188" t="s">
        <v>1886</v>
      </c>
      <c r="C1952" s="188" t="s">
        <v>1501</v>
      </c>
      <c r="D1952" s="188" t="s">
        <v>1502</v>
      </c>
      <c r="E1952" s="4">
        <v>214.05</v>
      </c>
      <c r="F1952" s="5">
        <v>15289.26</v>
      </c>
      <c r="G1952" s="4">
        <v>3210.74</v>
      </c>
      <c r="H1952" s="4">
        <v>18714.05</v>
      </c>
      <c r="I1952" s="188" t="str">
        <f>VLOOKUP(C1952,CATEGORIZACION!$A$1:$C$269,2,FALSE)</f>
        <v>PROOVEDORES</v>
      </c>
      <c r="J1952" s="188" t="str">
        <f>VLOOKUP(C1952,CATEGORIZACION!$A$1:$C$269,3,FALSE)</f>
        <v>LOGISTICA</v>
      </c>
    </row>
    <row r="1953" spans="1:10" ht="15.75" customHeight="1" x14ac:dyDescent="0.25">
      <c r="A1953" s="1">
        <v>45223</v>
      </c>
      <c r="B1953" s="188" t="s">
        <v>1887</v>
      </c>
      <c r="C1953" s="188" t="s">
        <v>1501</v>
      </c>
      <c r="D1953" s="188" t="s">
        <v>1502</v>
      </c>
      <c r="E1953" s="4">
        <v>0</v>
      </c>
      <c r="F1953" s="5">
        <v>1735.54</v>
      </c>
      <c r="G1953" s="4">
        <v>364.46</v>
      </c>
      <c r="H1953" s="4">
        <v>2100</v>
      </c>
      <c r="I1953" s="188" t="str">
        <f>VLOOKUP(C1953,CATEGORIZACION!$A$1:$C$269,2,FALSE)</f>
        <v>PROOVEDORES</v>
      </c>
      <c r="J1953" s="188" t="str">
        <f>VLOOKUP(C1953,CATEGORIZACION!$A$1:$C$269,3,FALSE)</f>
        <v>LOGISTICA</v>
      </c>
    </row>
    <row r="1954" spans="1:10" ht="15.75" customHeight="1" x14ac:dyDescent="0.25">
      <c r="A1954" s="1">
        <v>45224</v>
      </c>
      <c r="B1954" s="188" t="s">
        <v>1888</v>
      </c>
      <c r="C1954" s="188" t="s">
        <v>21</v>
      </c>
      <c r="D1954" s="188" t="s">
        <v>22</v>
      </c>
      <c r="E1954" s="4">
        <v>26560</v>
      </c>
      <c r="F1954" s="5">
        <v>1016000</v>
      </c>
      <c r="G1954" s="4">
        <v>213360</v>
      </c>
      <c r="H1954" s="4">
        <v>1255920</v>
      </c>
      <c r="I1954" s="188" t="str">
        <f>VLOOKUP(C1954,CATEGORIZACION!$A$1:$C$269,2,FALSE)</f>
        <v>TRANSPORTE</v>
      </c>
      <c r="J1954" s="188" t="s">
        <v>19</v>
      </c>
    </row>
    <row r="1955" spans="1:10" ht="15.75" customHeight="1" x14ac:dyDescent="0.25">
      <c r="A1955" s="1">
        <v>45224</v>
      </c>
      <c r="B1955" s="188" t="s">
        <v>1889</v>
      </c>
      <c r="C1955" s="188" t="s">
        <v>21</v>
      </c>
      <c r="D1955" s="188" t="s">
        <v>22</v>
      </c>
      <c r="E1955" s="4">
        <v>6640</v>
      </c>
      <c r="F1955" s="5">
        <v>127000</v>
      </c>
      <c r="G1955" s="4">
        <v>26670</v>
      </c>
      <c r="H1955" s="4">
        <v>160310</v>
      </c>
      <c r="I1955" s="188" t="str">
        <f>VLOOKUP(C1955,CATEGORIZACION!$A$1:$C$269,2,FALSE)</f>
        <v>TRANSPORTE</v>
      </c>
      <c r="J1955" s="188" t="s">
        <v>19</v>
      </c>
    </row>
    <row r="1956" spans="1:10" ht="15.75" customHeight="1" x14ac:dyDescent="0.25">
      <c r="A1956" s="1">
        <v>45224</v>
      </c>
      <c r="B1956" s="188" t="s">
        <v>1890</v>
      </c>
      <c r="C1956" s="188" t="s">
        <v>21</v>
      </c>
      <c r="D1956" s="188" t="s">
        <v>22</v>
      </c>
      <c r="E1956" s="4">
        <v>25120</v>
      </c>
      <c r="F1956" s="5">
        <v>413800</v>
      </c>
      <c r="G1956" s="4">
        <v>86898</v>
      </c>
      <c r="H1956" s="4">
        <v>525818</v>
      </c>
      <c r="I1956" s="188" t="str">
        <f>VLOOKUP(C1956,CATEGORIZACION!$A$1:$C$269,2,FALSE)</f>
        <v>TRANSPORTE</v>
      </c>
      <c r="J1956" s="188" t="s">
        <v>19</v>
      </c>
    </row>
    <row r="1957" spans="1:10" ht="15.75" customHeight="1" x14ac:dyDescent="0.25">
      <c r="A1957" s="1">
        <v>45224</v>
      </c>
      <c r="B1957" s="188" t="s">
        <v>1891</v>
      </c>
      <c r="C1957" s="188" t="s">
        <v>153</v>
      </c>
      <c r="D1957" s="188" t="s">
        <v>154</v>
      </c>
      <c r="E1957" s="4">
        <v>161.66999999999999</v>
      </c>
      <c r="F1957" s="3">
        <v>40417.69</v>
      </c>
      <c r="G1957" s="4">
        <v>8487.7099999999991</v>
      </c>
      <c r="H1957" s="4">
        <v>49067.07</v>
      </c>
      <c r="I1957" s="188" t="str">
        <f>VLOOKUP(C1957,CATEGORIZACION!$A$1:$C$269,2,FALSE)</f>
        <v>PROOVEDORES</v>
      </c>
      <c r="J1957" s="188" t="str">
        <f>VLOOKUP(C1957,CATEGORIZACION!$A$1:$C$269,3,FALSE)</f>
        <v>DEPOSITO</v>
      </c>
    </row>
    <row r="1958" spans="1:10" ht="15.75" customHeight="1" x14ac:dyDescent="0.25">
      <c r="A1958" s="1">
        <v>45225</v>
      </c>
      <c r="B1958" s="188" t="s">
        <v>1892</v>
      </c>
      <c r="C1958" s="188" t="s">
        <v>21</v>
      </c>
      <c r="D1958" s="188" t="s">
        <v>22</v>
      </c>
      <c r="E1958" s="4">
        <v>16640</v>
      </c>
      <c r="F1958" s="5">
        <v>254000</v>
      </c>
      <c r="G1958" s="4">
        <v>53340</v>
      </c>
      <c r="H1958" s="4">
        <v>323980</v>
      </c>
      <c r="I1958" s="188" t="str">
        <f>VLOOKUP(C1958,CATEGORIZACION!$A$1:$C$269,2,FALSE)</f>
        <v>TRANSPORTE</v>
      </c>
      <c r="J1958" s="188" t="s">
        <v>19</v>
      </c>
    </row>
    <row r="1959" spans="1:10" ht="15.75" customHeight="1" x14ac:dyDescent="0.25">
      <c r="A1959" s="1">
        <v>45225</v>
      </c>
      <c r="B1959" s="188" t="s">
        <v>1893</v>
      </c>
      <c r="C1959" s="188" t="s">
        <v>21</v>
      </c>
      <c r="D1959" s="188" t="s">
        <v>22</v>
      </c>
      <c r="E1959" s="4">
        <v>24880</v>
      </c>
      <c r="F1959" s="5">
        <v>448600</v>
      </c>
      <c r="G1959" s="4">
        <v>94206</v>
      </c>
      <c r="H1959" s="4">
        <v>567686</v>
      </c>
      <c r="I1959" s="188" t="str">
        <f>VLOOKUP(C1959,CATEGORIZACION!$A$1:$C$269,2,FALSE)</f>
        <v>TRANSPORTE</v>
      </c>
      <c r="J1959" s="188" t="s">
        <v>19</v>
      </c>
    </row>
    <row r="1960" spans="1:10" ht="15.75" customHeight="1" x14ac:dyDescent="0.25">
      <c r="A1960" s="1">
        <v>45225</v>
      </c>
      <c r="B1960" s="188" t="s">
        <v>1894</v>
      </c>
      <c r="C1960" s="188" t="s">
        <v>21</v>
      </c>
      <c r="D1960" s="188" t="s">
        <v>22</v>
      </c>
      <c r="E1960" s="4">
        <v>6280</v>
      </c>
      <c r="F1960" s="5">
        <v>92200</v>
      </c>
      <c r="G1960" s="4">
        <v>19362</v>
      </c>
      <c r="H1960" s="4">
        <v>117842</v>
      </c>
      <c r="I1960" s="188" t="str">
        <f>VLOOKUP(C1960,CATEGORIZACION!$A$1:$C$269,2,FALSE)</f>
        <v>TRANSPORTE</v>
      </c>
      <c r="J1960" s="188" t="s">
        <v>19</v>
      </c>
    </row>
    <row r="1961" spans="1:10" ht="15.75" customHeight="1" x14ac:dyDescent="0.25">
      <c r="A1961" s="1">
        <v>45225</v>
      </c>
      <c r="B1961" s="188" t="s">
        <v>1895</v>
      </c>
      <c r="C1961" s="188" t="s">
        <v>21</v>
      </c>
      <c r="D1961" s="188" t="s">
        <v>22</v>
      </c>
      <c r="E1961" s="4">
        <v>35040</v>
      </c>
      <c r="F1961" s="5">
        <v>643200</v>
      </c>
      <c r="G1961" s="4">
        <v>135072</v>
      </c>
      <c r="H1961" s="4">
        <v>813312</v>
      </c>
      <c r="I1961" s="188" t="str">
        <f>VLOOKUP(C1961,CATEGORIZACION!$A$1:$C$269,2,FALSE)</f>
        <v>TRANSPORTE</v>
      </c>
      <c r="J1961" s="188" t="s">
        <v>19</v>
      </c>
    </row>
    <row r="1962" spans="1:10" ht="15.75" customHeight="1" x14ac:dyDescent="0.25">
      <c r="A1962" s="1">
        <v>45225</v>
      </c>
      <c r="B1962" s="188" t="s">
        <v>1896</v>
      </c>
      <c r="C1962" s="188" t="s">
        <v>21</v>
      </c>
      <c r="D1962" s="188" t="s">
        <v>22</v>
      </c>
      <c r="E1962" s="4">
        <v>6920</v>
      </c>
      <c r="F1962" s="5">
        <v>127000</v>
      </c>
      <c r="G1962" s="4">
        <v>26670</v>
      </c>
      <c r="H1962" s="4">
        <v>160590</v>
      </c>
      <c r="I1962" s="188" t="str">
        <f>VLOOKUP(C1962,CATEGORIZACION!$A$1:$C$269,2,FALSE)</f>
        <v>TRANSPORTE</v>
      </c>
      <c r="J1962" s="188" t="s">
        <v>19</v>
      </c>
    </row>
    <row r="1963" spans="1:10" ht="15.75" customHeight="1" x14ac:dyDescent="0.25">
      <c r="A1963" s="1">
        <v>45225</v>
      </c>
      <c r="B1963" s="188" t="s">
        <v>1897</v>
      </c>
      <c r="C1963" s="188" t="s">
        <v>21</v>
      </c>
      <c r="D1963" s="188" t="s">
        <v>22</v>
      </c>
      <c r="E1963" s="4">
        <v>12560</v>
      </c>
      <c r="F1963" s="5">
        <v>230000</v>
      </c>
      <c r="G1963" s="4">
        <v>48300</v>
      </c>
      <c r="H1963" s="4">
        <v>290860</v>
      </c>
      <c r="I1963" s="188" t="str">
        <f>VLOOKUP(C1963,CATEGORIZACION!$A$1:$C$269,2,FALSE)</f>
        <v>TRANSPORTE</v>
      </c>
      <c r="J1963" s="188" t="s">
        <v>19</v>
      </c>
    </row>
    <row r="1964" spans="1:10" ht="15.75" customHeight="1" x14ac:dyDescent="0.25">
      <c r="A1964" s="1">
        <v>45225</v>
      </c>
      <c r="B1964" s="188" t="s">
        <v>1898</v>
      </c>
      <c r="C1964" s="188" t="s">
        <v>21</v>
      </c>
      <c r="D1964" s="188" t="s">
        <v>22</v>
      </c>
      <c r="E1964" s="4">
        <v>14880</v>
      </c>
      <c r="F1964" s="5">
        <v>237200</v>
      </c>
      <c r="G1964" s="4">
        <v>49812</v>
      </c>
      <c r="H1964" s="4">
        <v>301892</v>
      </c>
      <c r="I1964" s="188" t="str">
        <f>VLOOKUP(C1964,CATEGORIZACION!$A$1:$C$269,2,FALSE)</f>
        <v>TRANSPORTE</v>
      </c>
      <c r="J1964" s="188" t="s">
        <v>19</v>
      </c>
    </row>
    <row r="1965" spans="1:10" ht="15.75" customHeight="1" x14ac:dyDescent="0.25">
      <c r="A1965" s="1">
        <v>45226</v>
      </c>
      <c r="B1965" s="188" t="s">
        <v>1899</v>
      </c>
      <c r="C1965" s="188" t="s">
        <v>84</v>
      </c>
      <c r="D1965" s="188" t="s">
        <v>85</v>
      </c>
      <c r="E1965" s="4">
        <v>67290.27</v>
      </c>
      <c r="F1965" s="5">
        <v>1101413</v>
      </c>
      <c r="G1965" s="4">
        <v>231296.73</v>
      </c>
      <c r="H1965" s="4">
        <v>1400000</v>
      </c>
      <c r="I1965" s="188" t="str">
        <f>VLOOKUP(C1965,CATEGORIZACION!$A$1:$C$269,2,FALSE)</f>
        <v>PROOVEDORES</v>
      </c>
      <c r="J1965" s="188" t="str">
        <f>VLOOKUP(C1965,CATEGORIZACION!$A$1:$C$269,3,FALSE)</f>
        <v>LOGISTICA</v>
      </c>
    </row>
    <row r="1966" spans="1:10" ht="15.75" customHeight="1" x14ac:dyDescent="0.25">
      <c r="A1966" s="1">
        <v>45226</v>
      </c>
      <c r="B1966" s="188" t="s">
        <v>1900</v>
      </c>
      <c r="C1966" s="188" t="s">
        <v>21</v>
      </c>
      <c r="D1966" s="188" t="s">
        <v>22</v>
      </c>
      <c r="E1966" s="4">
        <v>16640</v>
      </c>
      <c r="F1966" s="5">
        <v>254000</v>
      </c>
      <c r="G1966" s="4">
        <v>53340</v>
      </c>
      <c r="H1966" s="4">
        <v>323980</v>
      </c>
      <c r="I1966" s="188" t="str">
        <f>VLOOKUP(C1966,CATEGORIZACION!$A$1:$C$269,2,FALSE)</f>
        <v>TRANSPORTE</v>
      </c>
      <c r="J1966" s="188" t="s">
        <v>19</v>
      </c>
    </row>
    <row r="1967" spans="1:10" ht="15.75" customHeight="1" x14ac:dyDescent="0.25">
      <c r="A1967" s="1">
        <v>45226</v>
      </c>
      <c r="B1967" s="188" t="s">
        <v>1901</v>
      </c>
      <c r="C1967" s="188" t="s">
        <v>21</v>
      </c>
      <c r="D1967" s="188" t="s">
        <v>22</v>
      </c>
      <c r="E1967" s="4">
        <v>23080</v>
      </c>
      <c r="F1967" s="5">
        <v>449200</v>
      </c>
      <c r="G1967" s="4">
        <v>94332</v>
      </c>
      <c r="H1967" s="4">
        <v>566612</v>
      </c>
      <c r="I1967" s="188" t="str">
        <f>VLOOKUP(C1967,CATEGORIZACION!$A$1:$C$269,2,FALSE)</f>
        <v>TRANSPORTE</v>
      </c>
      <c r="J1967" s="188" t="s">
        <v>19</v>
      </c>
    </row>
    <row r="1968" spans="1:10" ht="15.75" customHeight="1" x14ac:dyDescent="0.25">
      <c r="A1968" s="1">
        <v>45226</v>
      </c>
      <c r="B1968" s="188" t="s">
        <v>1902</v>
      </c>
      <c r="C1968" s="188" t="s">
        <v>21</v>
      </c>
      <c r="D1968" s="188" t="s">
        <v>22</v>
      </c>
      <c r="E1968" s="4">
        <v>10960</v>
      </c>
      <c r="F1968" s="5">
        <v>184400</v>
      </c>
      <c r="G1968" s="4">
        <v>38724</v>
      </c>
      <c r="H1968" s="4">
        <v>234084</v>
      </c>
      <c r="I1968" s="188" t="str">
        <f>VLOOKUP(C1968,CATEGORIZACION!$A$1:$C$269,2,FALSE)</f>
        <v>TRANSPORTE</v>
      </c>
      <c r="J1968" s="188" t="s">
        <v>19</v>
      </c>
    </row>
    <row r="1969" spans="1:10" ht="15.75" customHeight="1" x14ac:dyDescent="0.25">
      <c r="A1969" s="1">
        <v>45226</v>
      </c>
      <c r="B1969" s="188" t="s">
        <v>1903</v>
      </c>
      <c r="C1969" s="188" t="s">
        <v>21</v>
      </c>
      <c r="D1969" s="188" t="s">
        <v>22</v>
      </c>
      <c r="E1969" s="4">
        <v>5480</v>
      </c>
      <c r="F1969" s="5">
        <v>115000</v>
      </c>
      <c r="G1969" s="4">
        <v>24150</v>
      </c>
      <c r="H1969" s="4">
        <v>144630</v>
      </c>
      <c r="I1969" s="188" t="str">
        <f>VLOOKUP(C1969,CATEGORIZACION!$A$1:$C$269,2,FALSE)</f>
        <v>TRANSPORTE</v>
      </c>
      <c r="J1969" s="188" t="s">
        <v>19</v>
      </c>
    </row>
    <row r="1970" spans="1:10" ht="15.75" customHeight="1" x14ac:dyDescent="0.25">
      <c r="A1970" s="1">
        <v>45226</v>
      </c>
      <c r="B1970" s="188" t="s">
        <v>1904</v>
      </c>
      <c r="C1970" s="188" t="s">
        <v>21</v>
      </c>
      <c r="D1970" s="188" t="s">
        <v>22</v>
      </c>
      <c r="E1970" s="4">
        <v>25120</v>
      </c>
      <c r="F1970" s="5">
        <v>588800</v>
      </c>
      <c r="G1970" s="4">
        <v>123648</v>
      </c>
      <c r="H1970" s="4">
        <v>737568</v>
      </c>
      <c r="I1970" s="188" t="str">
        <f>VLOOKUP(C1970,CATEGORIZACION!$A$1:$C$269,2,FALSE)</f>
        <v>TRANSPORTE</v>
      </c>
      <c r="J1970" s="188" t="s">
        <v>19</v>
      </c>
    </row>
    <row r="1971" spans="1:10" ht="15.75" customHeight="1" x14ac:dyDescent="0.25">
      <c r="A1971" s="1">
        <v>45226</v>
      </c>
      <c r="B1971" s="188" t="s">
        <v>1905</v>
      </c>
      <c r="C1971" s="188" t="s">
        <v>21</v>
      </c>
      <c r="D1971" s="188" t="s">
        <v>22</v>
      </c>
      <c r="E1971" s="4">
        <v>12120</v>
      </c>
      <c r="F1971" s="5">
        <v>334200</v>
      </c>
      <c r="G1971" s="4">
        <v>70182</v>
      </c>
      <c r="H1971" s="4">
        <v>416502</v>
      </c>
      <c r="I1971" s="188" t="str">
        <f>VLOOKUP(C1971,CATEGORIZACION!$A$1:$C$269,2,FALSE)</f>
        <v>TRANSPORTE</v>
      </c>
      <c r="J1971" s="188" t="s">
        <v>19</v>
      </c>
    </row>
    <row r="1972" spans="1:10" ht="15.75" customHeight="1" x14ac:dyDescent="0.25">
      <c r="A1972" s="1">
        <v>45226</v>
      </c>
      <c r="B1972" s="188" t="s">
        <v>1906</v>
      </c>
      <c r="C1972" s="188" t="s">
        <v>21</v>
      </c>
      <c r="D1972" s="188" t="s">
        <v>22</v>
      </c>
      <c r="E1972" s="4">
        <v>20000</v>
      </c>
      <c r="F1972" s="5">
        <v>357000</v>
      </c>
      <c r="G1972" s="4">
        <v>74970</v>
      </c>
      <c r="H1972" s="4">
        <v>451970</v>
      </c>
      <c r="I1972" s="188" t="str">
        <f>VLOOKUP(C1972,CATEGORIZACION!$A$1:$C$269,2,FALSE)</f>
        <v>TRANSPORTE</v>
      </c>
      <c r="J1972" s="188" t="s">
        <v>19</v>
      </c>
    </row>
    <row r="1973" spans="1:10" ht="15.75" customHeight="1" x14ac:dyDescent="0.25">
      <c r="A1973" s="1">
        <v>45226</v>
      </c>
      <c r="B1973" s="188" t="s">
        <v>1907</v>
      </c>
      <c r="C1973" s="188" t="s">
        <v>21</v>
      </c>
      <c r="D1973" s="188" t="s">
        <v>22</v>
      </c>
      <c r="E1973" s="4">
        <v>17680</v>
      </c>
      <c r="F1973" s="5">
        <v>855600</v>
      </c>
      <c r="G1973" s="4">
        <v>179676</v>
      </c>
      <c r="H1973" s="4">
        <v>1052956</v>
      </c>
      <c r="I1973" s="188" t="str">
        <f>VLOOKUP(C1973,CATEGORIZACION!$A$1:$C$269,2,FALSE)</f>
        <v>TRANSPORTE</v>
      </c>
      <c r="J1973" s="188" t="s">
        <v>19</v>
      </c>
    </row>
    <row r="1974" spans="1:10" ht="15.75" customHeight="1" x14ac:dyDescent="0.25">
      <c r="A1974" s="1">
        <v>45228</v>
      </c>
      <c r="B1974" s="188" t="s">
        <v>1908</v>
      </c>
      <c r="C1974" s="188" t="s">
        <v>36</v>
      </c>
      <c r="D1974" s="188" t="s">
        <v>37</v>
      </c>
      <c r="E1974" s="4">
        <v>9200</v>
      </c>
      <c r="F1974" s="5">
        <v>79700</v>
      </c>
      <c r="G1974" s="4">
        <v>16737</v>
      </c>
      <c r="H1974" s="4">
        <v>105637</v>
      </c>
      <c r="I1974" s="188" t="str">
        <f>VLOOKUP(C1974,CATEGORIZACION!$A$1:$C$269,2,FALSE)</f>
        <v>TRANSPORTE</v>
      </c>
      <c r="J1974" s="188" t="s">
        <v>19</v>
      </c>
    </row>
    <row r="1975" spans="1:10" ht="15.75" customHeight="1" x14ac:dyDescent="0.25">
      <c r="A1975" s="1">
        <v>45228</v>
      </c>
      <c r="B1975" s="188" t="s">
        <v>1909</v>
      </c>
      <c r="C1975" s="188" t="s">
        <v>36</v>
      </c>
      <c r="D1975" s="188" t="s">
        <v>37</v>
      </c>
      <c r="E1975" s="4">
        <v>17000</v>
      </c>
      <c r="F1975" s="5">
        <v>154150</v>
      </c>
      <c r="G1975" s="4">
        <v>32371.5</v>
      </c>
      <c r="H1975" s="4">
        <v>203521.5</v>
      </c>
      <c r="I1975" s="188" t="str">
        <f>VLOOKUP(C1975,CATEGORIZACION!$A$1:$C$269,2,FALSE)</f>
        <v>TRANSPORTE</v>
      </c>
      <c r="J1975" s="188" t="s">
        <v>19</v>
      </c>
    </row>
    <row r="1976" spans="1:10" ht="15.75" customHeight="1" x14ac:dyDescent="0.25">
      <c r="A1976" s="1">
        <v>45228</v>
      </c>
      <c r="B1976" s="188" t="s">
        <v>1910</v>
      </c>
      <c r="C1976" s="188" t="s">
        <v>36</v>
      </c>
      <c r="D1976" s="188" t="s">
        <v>37</v>
      </c>
      <c r="E1976" s="4">
        <v>17000</v>
      </c>
      <c r="F1976" s="5">
        <v>154150</v>
      </c>
      <c r="G1976" s="4">
        <v>32371.5</v>
      </c>
      <c r="H1976" s="4">
        <v>203521.5</v>
      </c>
      <c r="I1976" s="188" t="str">
        <f>VLOOKUP(C1976,CATEGORIZACION!$A$1:$C$269,2,FALSE)</f>
        <v>TRANSPORTE</v>
      </c>
      <c r="J1976" s="188" t="s">
        <v>19</v>
      </c>
    </row>
    <row r="1977" spans="1:10" ht="15.75" customHeight="1" x14ac:dyDescent="0.25">
      <c r="A1977" s="1">
        <v>45228</v>
      </c>
      <c r="B1977" s="188" t="s">
        <v>1911</v>
      </c>
      <c r="C1977" s="188" t="s">
        <v>36</v>
      </c>
      <c r="D1977" s="188" t="s">
        <v>37</v>
      </c>
      <c r="E1977" s="4">
        <v>9500</v>
      </c>
      <c r="F1977" s="5">
        <v>120500</v>
      </c>
      <c r="G1977" s="4">
        <v>25305</v>
      </c>
      <c r="H1977" s="4">
        <v>155305</v>
      </c>
      <c r="I1977" s="188" t="str">
        <f>VLOOKUP(C1977,CATEGORIZACION!$A$1:$C$269,2,FALSE)</f>
        <v>TRANSPORTE</v>
      </c>
      <c r="J1977" s="188" t="s">
        <v>19</v>
      </c>
    </row>
    <row r="1978" spans="1:10" ht="15.75" customHeight="1" x14ac:dyDescent="0.25">
      <c r="A1978" s="1">
        <v>45228</v>
      </c>
      <c r="B1978" s="188" t="s">
        <v>1912</v>
      </c>
      <c r="C1978" s="188" t="s">
        <v>36</v>
      </c>
      <c r="D1978" s="188" t="s">
        <v>37</v>
      </c>
      <c r="E1978" s="4">
        <v>17000</v>
      </c>
      <c r="F1978" s="5">
        <v>154150</v>
      </c>
      <c r="G1978" s="4">
        <v>32371.5</v>
      </c>
      <c r="H1978" s="4">
        <v>203521.5</v>
      </c>
      <c r="I1978" s="188" t="str">
        <f>VLOOKUP(C1978,CATEGORIZACION!$A$1:$C$269,2,FALSE)</f>
        <v>TRANSPORTE</v>
      </c>
      <c r="J1978" s="188" t="s">
        <v>19</v>
      </c>
    </row>
    <row r="1979" spans="1:10" ht="15.75" customHeight="1" x14ac:dyDescent="0.25">
      <c r="A1979" s="1">
        <v>45228</v>
      </c>
      <c r="B1979" s="188" t="s">
        <v>1913</v>
      </c>
      <c r="C1979" s="188" t="s">
        <v>36</v>
      </c>
      <c r="D1979" s="188" t="s">
        <v>37</v>
      </c>
      <c r="E1979" s="4">
        <v>17000</v>
      </c>
      <c r="F1979" s="5">
        <v>154150</v>
      </c>
      <c r="G1979" s="4">
        <v>32371.5</v>
      </c>
      <c r="H1979" s="4">
        <v>203521.5</v>
      </c>
      <c r="I1979" s="188" t="str">
        <f>VLOOKUP(C1979,CATEGORIZACION!$A$1:$C$269,2,FALSE)</f>
        <v>TRANSPORTE</v>
      </c>
      <c r="J1979" s="188" t="s">
        <v>19</v>
      </c>
    </row>
    <row r="1980" spans="1:10" ht="15.75" customHeight="1" x14ac:dyDescent="0.25">
      <c r="A1980" s="1">
        <v>45228</v>
      </c>
      <c r="B1980" s="188" t="s">
        <v>1914</v>
      </c>
      <c r="C1980" s="188" t="s">
        <v>36</v>
      </c>
      <c r="D1980" s="188" t="s">
        <v>37</v>
      </c>
      <c r="E1980" s="4">
        <v>15000</v>
      </c>
      <c r="F1980" s="5">
        <v>172450</v>
      </c>
      <c r="G1980" s="4">
        <v>36214.5</v>
      </c>
      <c r="H1980" s="4">
        <v>223664.5</v>
      </c>
      <c r="I1980" s="188" t="str">
        <f>VLOOKUP(C1980,CATEGORIZACION!$A$1:$C$269,2,FALSE)</f>
        <v>TRANSPORTE</v>
      </c>
      <c r="J1980" s="188" t="s">
        <v>19</v>
      </c>
    </row>
    <row r="1981" spans="1:10" ht="15.75" customHeight="1" x14ac:dyDescent="0.25">
      <c r="A1981" s="1">
        <v>45228</v>
      </c>
      <c r="B1981" s="188" t="s">
        <v>1915</v>
      </c>
      <c r="C1981" s="188" t="s">
        <v>36</v>
      </c>
      <c r="D1981" s="188" t="s">
        <v>37</v>
      </c>
      <c r="E1981" s="4">
        <v>12500</v>
      </c>
      <c r="F1981" s="5">
        <v>120500</v>
      </c>
      <c r="G1981" s="4">
        <v>25305</v>
      </c>
      <c r="H1981" s="4">
        <v>158305</v>
      </c>
      <c r="I1981" s="188" t="str">
        <f>VLOOKUP(C1981,CATEGORIZACION!$A$1:$C$269,2,FALSE)</f>
        <v>TRANSPORTE</v>
      </c>
      <c r="J1981" s="188" t="s">
        <v>19</v>
      </c>
    </row>
    <row r="1982" spans="1:10" ht="15.75" customHeight="1" x14ac:dyDescent="0.25">
      <c r="A1982" s="1">
        <v>45228</v>
      </c>
      <c r="B1982" s="188" t="s">
        <v>1916</v>
      </c>
      <c r="C1982" s="188" t="s">
        <v>36</v>
      </c>
      <c r="D1982" s="188" t="s">
        <v>37</v>
      </c>
      <c r="E1982" s="4">
        <v>9500</v>
      </c>
      <c r="F1982" s="5">
        <v>120500</v>
      </c>
      <c r="G1982" s="4">
        <v>25305</v>
      </c>
      <c r="H1982" s="4">
        <v>155305</v>
      </c>
      <c r="I1982" s="188" t="str">
        <f>VLOOKUP(C1982,CATEGORIZACION!$A$1:$C$269,2,FALSE)</f>
        <v>TRANSPORTE</v>
      </c>
      <c r="J1982" s="188" t="s">
        <v>19</v>
      </c>
    </row>
    <row r="1983" spans="1:10" ht="15.75" customHeight="1" x14ac:dyDescent="0.25">
      <c r="A1983" s="1">
        <v>45228</v>
      </c>
      <c r="B1983" s="188" t="s">
        <v>1917</v>
      </c>
      <c r="C1983" s="188" t="s">
        <v>36</v>
      </c>
      <c r="D1983" s="188" t="s">
        <v>37</v>
      </c>
      <c r="E1983" s="4">
        <v>4200</v>
      </c>
      <c r="F1983" s="5">
        <v>172450</v>
      </c>
      <c r="G1983" s="4">
        <v>36214.5</v>
      </c>
      <c r="H1983" s="4">
        <v>212864.5</v>
      </c>
      <c r="I1983" s="188" t="str">
        <f>VLOOKUP(C1983,CATEGORIZACION!$A$1:$C$269,2,FALSE)</f>
        <v>TRANSPORTE</v>
      </c>
      <c r="J1983" s="188" t="s">
        <v>19</v>
      </c>
    </row>
    <row r="1984" spans="1:10" ht="15.75" customHeight="1" x14ac:dyDescent="0.25">
      <c r="A1984" s="1">
        <v>45228</v>
      </c>
      <c r="B1984" s="188" t="s">
        <v>1918</v>
      </c>
      <c r="C1984" s="188" t="s">
        <v>36</v>
      </c>
      <c r="D1984" s="188" t="s">
        <v>37</v>
      </c>
      <c r="E1984" s="4">
        <v>18800</v>
      </c>
      <c r="F1984" s="5">
        <v>250940</v>
      </c>
      <c r="G1984" s="4">
        <v>52697.4</v>
      </c>
      <c r="H1984" s="4">
        <v>322437.40000000002</v>
      </c>
      <c r="I1984" s="188" t="str">
        <f>VLOOKUP(C1984,CATEGORIZACION!$A$1:$C$269,2,FALSE)</f>
        <v>TRANSPORTE</v>
      </c>
      <c r="J1984" s="188" t="s">
        <v>19</v>
      </c>
    </row>
    <row r="1985" spans="1:10" ht="15.75" customHeight="1" x14ac:dyDescent="0.25">
      <c r="A1985" s="1">
        <v>45228</v>
      </c>
      <c r="B1985" s="188" t="s">
        <v>1919</v>
      </c>
      <c r="C1985" s="188" t="s">
        <v>36</v>
      </c>
      <c r="D1985" s="188" t="s">
        <v>37</v>
      </c>
      <c r="E1985" s="4">
        <v>15000</v>
      </c>
      <c r="F1985" s="5">
        <v>206940</v>
      </c>
      <c r="G1985" s="4">
        <v>43457.4</v>
      </c>
      <c r="H1985" s="4">
        <v>265397.40000000002</v>
      </c>
      <c r="I1985" s="188" t="str">
        <f>VLOOKUP(C1985,CATEGORIZACION!$A$1:$C$269,2,FALSE)</f>
        <v>TRANSPORTE</v>
      </c>
      <c r="J1985" s="188" t="s">
        <v>19</v>
      </c>
    </row>
    <row r="1986" spans="1:10" ht="15.75" customHeight="1" x14ac:dyDescent="0.25">
      <c r="A1986" s="1">
        <v>45228</v>
      </c>
      <c r="B1986" s="188" t="s">
        <v>1920</v>
      </c>
      <c r="C1986" s="188" t="s">
        <v>36</v>
      </c>
      <c r="D1986" s="188" t="s">
        <v>37</v>
      </c>
      <c r="E1986" s="4">
        <v>4500</v>
      </c>
      <c r="F1986" s="5">
        <v>82450</v>
      </c>
      <c r="G1986" s="4">
        <v>17314.5</v>
      </c>
      <c r="H1986" s="4">
        <v>104264.5</v>
      </c>
      <c r="I1986" s="188" t="str">
        <f>VLOOKUP(C1986,CATEGORIZACION!$A$1:$C$269,2,FALSE)</f>
        <v>TRANSPORTE</v>
      </c>
      <c r="J1986" s="188" t="s">
        <v>19</v>
      </c>
    </row>
    <row r="1987" spans="1:10" ht="15.75" customHeight="1" x14ac:dyDescent="0.25">
      <c r="A1987" s="1">
        <v>45228</v>
      </c>
      <c r="B1987" s="188" t="s">
        <v>1921</v>
      </c>
      <c r="C1987" s="188" t="s">
        <v>36</v>
      </c>
      <c r="D1987" s="188" t="s">
        <v>37</v>
      </c>
      <c r="E1987" s="4">
        <v>12500</v>
      </c>
      <c r="F1987" s="5">
        <v>172450</v>
      </c>
      <c r="G1987" s="4">
        <v>36214.5</v>
      </c>
      <c r="H1987" s="4">
        <v>221164.5</v>
      </c>
      <c r="I1987" s="188" t="str">
        <f>VLOOKUP(C1987,CATEGORIZACION!$A$1:$C$269,2,FALSE)</f>
        <v>TRANSPORTE</v>
      </c>
      <c r="J1987" s="188" t="s">
        <v>19</v>
      </c>
    </row>
    <row r="1988" spans="1:10" ht="15.75" customHeight="1" x14ac:dyDescent="0.25">
      <c r="A1988" s="1">
        <v>45228</v>
      </c>
      <c r="B1988" s="188" t="s">
        <v>1922</v>
      </c>
      <c r="C1988" s="188" t="s">
        <v>36</v>
      </c>
      <c r="D1988" s="188" t="s">
        <v>37</v>
      </c>
      <c r="E1988" s="4">
        <v>17000</v>
      </c>
      <c r="F1988" s="5">
        <v>164500</v>
      </c>
      <c r="G1988" s="4">
        <v>34545</v>
      </c>
      <c r="H1988" s="4">
        <v>216045</v>
      </c>
      <c r="I1988" s="188" t="str">
        <f>VLOOKUP(C1988,CATEGORIZACION!$A$1:$C$269,2,FALSE)</f>
        <v>TRANSPORTE</v>
      </c>
      <c r="J1988" s="188" t="s">
        <v>19</v>
      </c>
    </row>
    <row r="1989" spans="1:10" ht="15.75" customHeight="1" x14ac:dyDescent="0.25">
      <c r="A1989" s="1">
        <v>45228</v>
      </c>
      <c r="B1989" s="188" t="s">
        <v>1923</v>
      </c>
      <c r="C1989" s="188" t="s">
        <v>36</v>
      </c>
      <c r="D1989" s="188" t="s">
        <v>37</v>
      </c>
      <c r="E1989" s="4">
        <v>17000</v>
      </c>
      <c r="F1989" s="5">
        <v>164500</v>
      </c>
      <c r="G1989" s="4">
        <v>34545</v>
      </c>
      <c r="H1989" s="4">
        <v>216045</v>
      </c>
      <c r="I1989" s="188" t="str">
        <f>VLOOKUP(C1989,CATEGORIZACION!$A$1:$C$269,2,FALSE)</f>
        <v>TRANSPORTE</v>
      </c>
      <c r="J1989" s="188" t="s">
        <v>19</v>
      </c>
    </row>
    <row r="1990" spans="1:10" ht="15.75" customHeight="1" x14ac:dyDescent="0.25">
      <c r="A1990" s="1">
        <v>45228</v>
      </c>
      <c r="B1990" s="188" t="s">
        <v>1924</v>
      </c>
      <c r="C1990" s="188" t="s">
        <v>36</v>
      </c>
      <c r="D1990" s="188" t="s">
        <v>37</v>
      </c>
      <c r="E1990" s="4">
        <v>4500</v>
      </c>
      <c r="F1990" s="5">
        <v>82450</v>
      </c>
      <c r="G1990" s="4">
        <v>17314.5</v>
      </c>
      <c r="H1990" s="4">
        <v>104264.5</v>
      </c>
      <c r="I1990" s="188" t="str">
        <f>VLOOKUP(C1990,CATEGORIZACION!$A$1:$C$269,2,FALSE)</f>
        <v>TRANSPORTE</v>
      </c>
      <c r="J1990" s="188" t="s">
        <v>19</v>
      </c>
    </row>
    <row r="1991" spans="1:10" ht="15.75" customHeight="1" x14ac:dyDescent="0.25">
      <c r="A1991" s="1">
        <v>45228</v>
      </c>
      <c r="B1991" s="188" t="s">
        <v>1925</v>
      </c>
      <c r="C1991" s="188" t="s">
        <v>36</v>
      </c>
      <c r="D1991" s="188" t="s">
        <v>37</v>
      </c>
      <c r="E1991" s="4">
        <v>10800</v>
      </c>
      <c r="F1991" s="5">
        <v>202500</v>
      </c>
      <c r="G1991" s="4">
        <v>42525</v>
      </c>
      <c r="H1991" s="4">
        <v>255825</v>
      </c>
      <c r="I1991" s="188" t="str">
        <f>VLOOKUP(C1991,CATEGORIZACION!$A$1:$C$269,2,FALSE)</f>
        <v>TRANSPORTE</v>
      </c>
      <c r="J1991" s="188" t="s">
        <v>19</v>
      </c>
    </row>
    <row r="1992" spans="1:10" ht="15.75" customHeight="1" x14ac:dyDescent="0.25">
      <c r="A1992" s="1">
        <v>45228</v>
      </c>
      <c r="B1992" s="188" t="s">
        <v>1926</v>
      </c>
      <c r="C1992" s="188" t="s">
        <v>36</v>
      </c>
      <c r="D1992" s="188" t="s">
        <v>37</v>
      </c>
      <c r="E1992" s="4">
        <v>10800</v>
      </c>
      <c r="F1992" s="5">
        <v>202500</v>
      </c>
      <c r="G1992" s="4">
        <v>42525</v>
      </c>
      <c r="H1992" s="4">
        <v>255825</v>
      </c>
      <c r="I1992" s="188" t="str">
        <f>VLOOKUP(C1992,CATEGORIZACION!$A$1:$C$269,2,FALSE)</f>
        <v>TRANSPORTE</v>
      </c>
      <c r="J1992" s="188" t="s">
        <v>19</v>
      </c>
    </row>
    <row r="1993" spans="1:10" ht="15.75" customHeight="1" x14ac:dyDescent="0.25">
      <c r="A1993" s="1">
        <v>45228</v>
      </c>
      <c r="B1993" s="188" t="s">
        <v>1927</v>
      </c>
      <c r="C1993" s="188" t="s">
        <v>36</v>
      </c>
      <c r="D1993" s="188" t="s">
        <v>37</v>
      </c>
      <c r="E1993" s="4">
        <v>12500</v>
      </c>
      <c r="F1993" s="5">
        <v>353400</v>
      </c>
      <c r="G1993" s="4">
        <v>74214</v>
      </c>
      <c r="H1993" s="4">
        <v>440114</v>
      </c>
      <c r="I1993" s="188" t="str">
        <f>VLOOKUP(C1993,CATEGORIZACION!$A$1:$C$269,2,FALSE)</f>
        <v>TRANSPORTE</v>
      </c>
      <c r="J1993" s="188" t="s">
        <v>19</v>
      </c>
    </row>
    <row r="1994" spans="1:10" ht="15.75" customHeight="1" x14ac:dyDescent="0.25">
      <c r="A1994" s="1">
        <v>45228</v>
      </c>
      <c r="B1994" s="188" t="s">
        <v>1928</v>
      </c>
      <c r="C1994" s="188" t="s">
        <v>36</v>
      </c>
      <c r="D1994" s="188" t="s">
        <v>37</v>
      </c>
      <c r="E1994" s="4">
        <v>18800</v>
      </c>
      <c r="F1994" s="5">
        <v>197400</v>
      </c>
      <c r="G1994" s="4">
        <v>41454</v>
      </c>
      <c r="H1994" s="4">
        <v>257654</v>
      </c>
      <c r="I1994" s="188" t="str">
        <f>VLOOKUP(C1994,CATEGORIZACION!$A$1:$C$269,2,FALSE)</f>
        <v>TRANSPORTE</v>
      </c>
      <c r="J1994" s="188" t="s">
        <v>19</v>
      </c>
    </row>
    <row r="1995" spans="1:10" ht="15.75" customHeight="1" x14ac:dyDescent="0.25">
      <c r="A1995" s="1">
        <v>45228</v>
      </c>
      <c r="B1995" s="188" t="s">
        <v>1929</v>
      </c>
      <c r="C1995" s="188" t="s">
        <v>36</v>
      </c>
      <c r="D1995" s="188" t="s">
        <v>37</v>
      </c>
      <c r="E1995" s="4">
        <v>12500</v>
      </c>
      <c r="F1995" s="5">
        <v>120500</v>
      </c>
      <c r="G1995" s="4">
        <v>25305</v>
      </c>
      <c r="H1995" s="4">
        <v>158305</v>
      </c>
      <c r="I1995" s="188" t="str">
        <f>VLOOKUP(C1995,CATEGORIZACION!$A$1:$C$269,2,FALSE)</f>
        <v>TRANSPORTE</v>
      </c>
      <c r="J1995" s="188" t="s">
        <v>19</v>
      </c>
    </row>
    <row r="1996" spans="1:10" ht="15.75" customHeight="1" x14ac:dyDescent="0.25">
      <c r="A1996" s="1">
        <v>45228</v>
      </c>
      <c r="B1996" s="188" t="s">
        <v>1930</v>
      </c>
      <c r="C1996" s="188" t="s">
        <v>36</v>
      </c>
      <c r="D1996" s="188" t="s">
        <v>37</v>
      </c>
      <c r="E1996" s="4">
        <v>9500</v>
      </c>
      <c r="F1996" s="5">
        <v>120500</v>
      </c>
      <c r="G1996" s="4">
        <v>25305</v>
      </c>
      <c r="H1996" s="4">
        <v>155305</v>
      </c>
      <c r="I1996" s="188" t="str">
        <f>VLOOKUP(C1996,CATEGORIZACION!$A$1:$C$269,2,FALSE)</f>
        <v>TRANSPORTE</v>
      </c>
      <c r="J1996" s="188" t="s">
        <v>19</v>
      </c>
    </row>
    <row r="1997" spans="1:10" ht="15.75" customHeight="1" x14ac:dyDescent="0.25">
      <c r="A1997" s="1">
        <v>45228</v>
      </c>
      <c r="B1997" s="188" t="s">
        <v>1931</v>
      </c>
      <c r="C1997" s="188" t="s">
        <v>36</v>
      </c>
      <c r="D1997" s="188" t="s">
        <v>37</v>
      </c>
      <c r="E1997" s="4">
        <v>19600</v>
      </c>
      <c r="F1997" s="5">
        <v>448400</v>
      </c>
      <c r="G1997" s="4">
        <v>94164</v>
      </c>
      <c r="H1997" s="4">
        <v>562164</v>
      </c>
      <c r="I1997" s="188" t="str">
        <f>VLOOKUP(C1997,CATEGORIZACION!$A$1:$C$269,2,FALSE)</f>
        <v>TRANSPORTE</v>
      </c>
      <c r="J1997" s="188" t="s">
        <v>19</v>
      </c>
    </row>
    <row r="1998" spans="1:10" ht="15.75" customHeight="1" x14ac:dyDescent="0.25">
      <c r="A1998" s="1">
        <v>45228</v>
      </c>
      <c r="B1998" s="188" t="s">
        <v>1932</v>
      </c>
      <c r="C1998" s="188" t="s">
        <v>36</v>
      </c>
      <c r="D1998" s="188" t="s">
        <v>37</v>
      </c>
      <c r="E1998" s="4">
        <v>1100</v>
      </c>
      <c r="F1998" s="5">
        <v>47800</v>
      </c>
      <c r="G1998" s="4">
        <v>10038</v>
      </c>
      <c r="H1998" s="4">
        <v>58938</v>
      </c>
      <c r="I1998" s="188" t="str">
        <f>VLOOKUP(C1998,CATEGORIZACION!$A$1:$C$269,2,FALSE)</f>
        <v>TRANSPORTE</v>
      </c>
      <c r="J1998" s="188" t="s">
        <v>19</v>
      </c>
    </row>
    <row r="1999" spans="1:10" ht="15.75" customHeight="1" x14ac:dyDescent="0.25">
      <c r="A1999" s="1">
        <v>45228</v>
      </c>
      <c r="B1999" s="188" t="s">
        <v>1933</v>
      </c>
      <c r="C1999" s="188" t="s">
        <v>36</v>
      </c>
      <c r="D1999" s="188" t="s">
        <v>37</v>
      </c>
      <c r="E1999" s="4">
        <v>6200</v>
      </c>
      <c r="F1999" s="5">
        <v>79400</v>
      </c>
      <c r="G1999" s="4">
        <v>16674</v>
      </c>
      <c r="H1999" s="4">
        <v>102274</v>
      </c>
      <c r="I1999" s="188" t="str">
        <f>VLOOKUP(C1999,CATEGORIZACION!$A$1:$C$269,2,FALSE)</f>
        <v>TRANSPORTE</v>
      </c>
      <c r="J1999" s="188" t="s">
        <v>19</v>
      </c>
    </row>
    <row r="2000" spans="1:10" ht="15.75" customHeight="1" x14ac:dyDescent="0.25">
      <c r="A2000" s="1">
        <v>45228</v>
      </c>
      <c r="B2000" s="188" t="s">
        <v>1934</v>
      </c>
      <c r="C2000" s="188" t="s">
        <v>36</v>
      </c>
      <c r="D2000" s="188" t="s">
        <v>37</v>
      </c>
      <c r="E2000" s="4">
        <v>9200</v>
      </c>
      <c r="F2000" s="5">
        <v>91650</v>
      </c>
      <c r="G2000" s="4">
        <v>19246.5</v>
      </c>
      <c r="H2000" s="4">
        <v>120096.5</v>
      </c>
      <c r="I2000" s="188" t="str">
        <f>VLOOKUP(C2000,CATEGORIZACION!$A$1:$C$269,2,FALSE)</f>
        <v>TRANSPORTE</v>
      </c>
      <c r="J2000" s="188" t="s">
        <v>19</v>
      </c>
    </row>
    <row r="2001" spans="1:10" ht="15.75" customHeight="1" x14ac:dyDescent="0.25">
      <c r="A2001" s="1">
        <v>45228</v>
      </c>
      <c r="B2001" s="188" t="s">
        <v>1935</v>
      </c>
      <c r="C2001" s="188" t="s">
        <v>36</v>
      </c>
      <c r="D2001" s="188" t="s">
        <v>37</v>
      </c>
      <c r="E2001" s="4">
        <v>8500</v>
      </c>
      <c r="F2001" s="5">
        <v>120500</v>
      </c>
      <c r="G2001" s="4">
        <v>25305</v>
      </c>
      <c r="H2001" s="4">
        <v>154305</v>
      </c>
      <c r="I2001" s="188" t="str">
        <f>VLOOKUP(C2001,CATEGORIZACION!$A$1:$C$269,2,FALSE)</f>
        <v>TRANSPORTE</v>
      </c>
      <c r="J2001" s="188" t="s">
        <v>19</v>
      </c>
    </row>
    <row r="2002" spans="1:10" ht="15.75" customHeight="1" x14ac:dyDescent="0.25">
      <c r="A2002" s="1">
        <v>45228</v>
      </c>
      <c r="B2002" s="188" t="s">
        <v>1936</v>
      </c>
      <c r="C2002" s="188" t="s">
        <v>36</v>
      </c>
      <c r="D2002" s="188" t="s">
        <v>37</v>
      </c>
      <c r="E2002" s="4">
        <v>14200</v>
      </c>
      <c r="F2002" s="5">
        <v>206000</v>
      </c>
      <c r="G2002" s="4">
        <v>43260</v>
      </c>
      <c r="H2002" s="4">
        <v>263460</v>
      </c>
      <c r="I2002" s="188" t="str">
        <f>VLOOKUP(C2002,CATEGORIZACION!$A$1:$C$269,2,FALSE)</f>
        <v>TRANSPORTE</v>
      </c>
      <c r="J2002" s="188" t="s">
        <v>19</v>
      </c>
    </row>
    <row r="2003" spans="1:10" ht="15.75" customHeight="1" x14ac:dyDescent="0.25">
      <c r="A2003" s="1">
        <v>45228</v>
      </c>
      <c r="B2003" s="188" t="s">
        <v>1937</v>
      </c>
      <c r="C2003" s="188" t="s">
        <v>36</v>
      </c>
      <c r="D2003" s="188" t="s">
        <v>37</v>
      </c>
      <c r="E2003" s="4">
        <v>9700</v>
      </c>
      <c r="F2003" s="5">
        <v>154500</v>
      </c>
      <c r="G2003" s="4">
        <v>32445</v>
      </c>
      <c r="H2003" s="4">
        <v>196645</v>
      </c>
      <c r="I2003" s="188" t="str">
        <f>VLOOKUP(C2003,CATEGORIZACION!$A$1:$C$269,2,FALSE)</f>
        <v>TRANSPORTE</v>
      </c>
      <c r="J2003" s="188" t="s">
        <v>19</v>
      </c>
    </row>
    <row r="2004" spans="1:10" ht="15.75" customHeight="1" x14ac:dyDescent="0.25">
      <c r="A2004" s="1">
        <v>45228</v>
      </c>
      <c r="B2004" s="188" t="s">
        <v>1938</v>
      </c>
      <c r="C2004" s="188" t="s">
        <v>36</v>
      </c>
      <c r="D2004" s="188" t="s">
        <v>37</v>
      </c>
      <c r="E2004" s="4">
        <v>11500</v>
      </c>
      <c r="F2004" s="5">
        <v>172450</v>
      </c>
      <c r="G2004" s="4">
        <v>36214.5</v>
      </c>
      <c r="H2004" s="4">
        <v>220164.5</v>
      </c>
      <c r="I2004" s="188" t="str">
        <f>VLOOKUP(C2004,CATEGORIZACION!$A$1:$C$269,2,FALSE)</f>
        <v>TRANSPORTE</v>
      </c>
      <c r="J2004" s="188" t="s">
        <v>19</v>
      </c>
    </row>
    <row r="2005" spans="1:10" ht="15.75" customHeight="1" x14ac:dyDescent="0.25">
      <c r="A2005" s="1">
        <v>45229</v>
      </c>
      <c r="B2005" s="188" t="s">
        <v>1939</v>
      </c>
      <c r="C2005" s="188" t="s">
        <v>1227</v>
      </c>
      <c r="D2005" s="188" t="s">
        <v>1228</v>
      </c>
      <c r="E2005" s="4">
        <v>0</v>
      </c>
      <c r="F2005" s="5">
        <v>50792.49</v>
      </c>
      <c r="G2005" s="4">
        <v>10666.42</v>
      </c>
      <c r="H2005" s="4">
        <v>61458.91</v>
      </c>
      <c r="I2005" s="188" t="str">
        <f>VLOOKUP(C2005,CATEGORIZACION!$A$1:$C$269,2,FALSE)</f>
        <v>PROOVEDORES</v>
      </c>
      <c r="J2005" s="188" t="str">
        <f>VLOOKUP(C2005,CATEGORIZACION!$A$1:$C$269,3,FALSE)</f>
        <v>LOGISTICA</v>
      </c>
    </row>
    <row r="2006" spans="1:10" ht="15.75" customHeight="1" x14ac:dyDescent="0.25">
      <c r="A2006" s="1">
        <v>45229</v>
      </c>
      <c r="B2006" s="188" t="s">
        <v>1940</v>
      </c>
      <c r="C2006" s="188" t="s">
        <v>36</v>
      </c>
      <c r="D2006" s="188" t="s">
        <v>37</v>
      </c>
      <c r="E2006" s="4">
        <v>6200</v>
      </c>
      <c r="F2006" s="5">
        <v>79400</v>
      </c>
      <c r="G2006" s="4">
        <v>16674</v>
      </c>
      <c r="H2006" s="4">
        <v>102274</v>
      </c>
      <c r="I2006" s="188" t="str">
        <f>VLOOKUP(C2006,CATEGORIZACION!$A$1:$C$269,2,FALSE)</f>
        <v>TRANSPORTE</v>
      </c>
      <c r="J2006" s="188" t="s">
        <v>19</v>
      </c>
    </row>
    <row r="2007" spans="1:10" ht="15.75" customHeight="1" x14ac:dyDescent="0.25">
      <c r="A2007" s="1">
        <v>45229</v>
      </c>
      <c r="B2007" s="188" t="s">
        <v>1941</v>
      </c>
      <c r="C2007" s="188" t="s">
        <v>36</v>
      </c>
      <c r="D2007" s="188" t="s">
        <v>37</v>
      </c>
      <c r="E2007" s="4">
        <v>8500</v>
      </c>
      <c r="F2007" s="5">
        <v>88000</v>
      </c>
      <c r="G2007" s="4">
        <v>18480</v>
      </c>
      <c r="H2007" s="4">
        <v>114980</v>
      </c>
      <c r="I2007" s="188" t="str">
        <f>VLOOKUP(C2007,CATEGORIZACION!$A$1:$C$269,2,FALSE)</f>
        <v>TRANSPORTE</v>
      </c>
      <c r="J2007" s="188" t="s">
        <v>19</v>
      </c>
    </row>
    <row r="2008" spans="1:10" ht="15.75" customHeight="1" x14ac:dyDescent="0.25">
      <c r="A2008" s="1">
        <v>45229</v>
      </c>
      <c r="B2008" s="188" t="s">
        <v>1942</v>
      </c>
      <c r="C2008" s="188" t="s">
        <v>36</v>
      </c>
      <c r="D2008" s="188" t="s">
        <v>37</v>
      </c>
      <c r="E2008" s="4">
        <v>2800</v>
      </c>
      <c r="F2008" s="5">
        <v>70400</v>
      </c>
      <c r="G2008" s="4">
        <v>14784</v>
      </c>
      <c r="H2008" s="4">
        <v>87984</v>
      </c>
      <c r="I2008" s="188" t="str">
        <f>VLOOKUP(C2008,CATEGORIZACION!$A$1:$C$269,2,FALSE)</f>
        <v>TRANSPORTE</v>
      </c>
      <c r="J2008" s="188" t="s">
        <v>19</v>
      </c>
    </row>
    <row r="2009" spans="1:10" ht="15.75" customHeight="1" x14ac:dyDescent="0.25">
      <c r="A2009" s="1">
        <v>45229</v>
      </c>
      <c r="B2009" s="188" t="s">
        <v>1943</v>
      </c>
      <c r="C2009" s="188" t="s">
        <v>36</v>
      </c>
      <c r="D2009" s="188" t="s">
        <v>37</v>
      </c>
      <c r="E2009" s="4">
        <v>2500</v>
      </c>
      <c r="F2009" s="5">
        <v>231750</v>
      </c>
      <c r="G2009" s="4">
        <v>48667.5</v>
      </c>
      <c r="H2009" s="4">
        <v>282917.5</v>
      </c>
      <c r="I2009" s="188" t="str">
        <f>VLOOKUP(C2009,CATEGORIZACION!$A$1:$C$269,2,FALSE)</f>
        <v>TRANSPORTE</v>
      </c>
      <c r="J2009" s="188" t="s">
        <v>19</v>
      </c>
    </row>
    <row r="2010" spans="1:10" ht="15.75" customHeight="1" x14ac:dyDescent="0.25">
      <c r="A2010" s="1">
        <v>45229</v>
      </c>
      <c r="B2010" s="188" t="s">
        <v>1944</v>
      </c>
      <c r="C2010" s="188" t="s">
        <v>36</v>
      </c>
      <c r="D2010" s="188" t="s">
        <v>37</v>
      </c>
      <c r="E2010" s="4">
        <v>11500</v>
      </c>
      <c r="F2010" s="5">
        <v>172450</v>
      </c>
      <c r="G2010" s="4">
        <v>36214.5</v>
      </c>
      <c r="H2010" s="4">
        <v>220164.5</v>
      </c>
      <c r="I2010" s="188" t="str">
        <f>VLOOKUP(C2010,CATEGORIZACION!$A$1:$C$269,2,FALSE)</f>
        <v>TRANSPORTE</v>
      </c>
      <c r="J2010" s="188" t="s">
        <v>19</v>
      </c>
    </row>
    <row r="2011" spans="1:10" ht="15.75" customHeight="1" x14ac:dyDescent="0.25">
      <c r="A2011" s="1">
        <v>45229</v>
      </c>
      <c r="B2011" s="188" t="s">
        <v>1945</v>
      </c>
      <c r="C2011" s="188" t="s">
        <v>36</v>
      </c>
      <c r="D2011" s="188" t="s">
        <v>37</v>
      </c>
      <c r="E2011" s="4">
        <v>6200</v>
      </c>
      <c r="F2011" s="5">
        <v>79400</v>
      </c>
      <c r="G2011" s="4">
        <v>16674</v>
      </c>
      <c r="H2011" s="4">
        <v>102274</v>
      </c>
      <c r="I2011" s="188" t="str">
        <f>VLOOKUP(C2011,CATEGORIZACION!$A$1:$C$269,2,FALSE)</f>
        <v>TRANSPORTE</v>
      </c>
      <c r="J2011" s="188" t="s">
        <v>19</v>
      </c>
    </row>
    <row r="2012" spans="1:10" ht="15.75" customHeight="1" x14ac:dyDescent="0.25">
      <c r="A2012" s="1">
        <v>45229</v>
      </c>
      <c r="B2012" s="188" t="s">
        <v>1946</v>
      </c>
      <c r="C2012" s="188" t="s">
        <v>36</v>
      </c>
      <c r="D2012" s="188" t="s">
        <v>37</v>
      </c>
      <c r="E2012" s="4">
        <v>6200</v>
      </c>
      <c r="F2012" s="5">
        <v>79400</v>
      </c>
      <c r="G2012" s="4">
        <v>16674</v>
      </c>
      <c r="H2012" s="4">
        <v>102274</v>
      </c>
      <c r="I2012" s="188" t="str">
        <f>VLOOKUP(C2012,CATEGORIZACION!$A$1:$C$269,2,FALSE)</f>
        <v>TRANSPORTE</v>
      </c>
      <c r="J2012" s="188" t="s">
        <v>19</v>
      </c>
    </row>
    <row r="2013" spans="1:10" ht="15.75" customHeight="1" x14ac:dyDescent="0.25">
      <c r="A2013" s="1">
        <v>45229</v>
      </c>
      <c r="B2013" s="188" t="s">
        <v>1947</v>
      </c>
      <c r="C2013" s="188" t="s">
        <v>36</v>
      </c>
      <c r="D2013" s="188" t="s">
        <v>37</v>
      </c>
      <c r="E2013" s="4">
        <v>6200</v>
      </c>
      <c r="F2013" s="5">
        <v>79400</v>
      </c>
      <c r="G2013" s="4">
        <v>16674</v>
      </c>
      <c r="H2013" s="4">
        <v>102274</v>
      </c>
      <c r="I2013" s="188" t="str">
        <f>VLOOKUP(C2013,CATEGORIZACION!$A$1:$C$269,2,FALSE)</f>
        <v>TRANSPORTE</v>
      </c>
      <c r="J2013" s="188" t="s">
        <v>19</v>
      </c>
    </row>
    <row r="2014" spans="1:10" ht="15.75" customHeight="1" x14ac:dyDescent="0.25">
      <c r="A2014" s="1">
        <v>45229</v>
      </c>
      <c r="B2014" s="188" t="s">
        <v>1948</v>
      </c>
      <c r="C2014" s="188" t="s">
        <v>36</v>
      </c>
      <c r="D2014" s="188" t="s">
        <v>37</v>
      </c>
      <c r="E2014" s="4">
        <v>9700</v>
      </c>
      <c r="F2014" s="5">
        <v>185400</v>
      </c>
      <c r="G2014" s="4">
        <v>38934</v>
      </c>
      <c r="H2014" s="4">
        <v>234034</v>
      </c>
      <c r="I2014" s="188" t="str">
        <f>VLOOKUP(C2014,CATEGORIZACION!$A$1:$C$269,2,FALSE)</f>
        <v>TRANSPORTE</v>
      </c>
      <c r="J2014" s="188" t="s">
        <v>19</v>
      </c>
    </row>
    <row r="2015" spans="1:10" ht="15.75" customHeight="1" x14ac:dyDescent="0.25">
      <c r="A2015" s="1">
        <v>45229</v>
      </c>
      <c r="B2015" s="188" t="s">
        <v>1949</v>
      </c>
      <c r="C2015" s="188" t="s">
        <v>36</v>
      </c>
      <c r="D2015" s="188" t="s">
        <v>37</v>
      </c>
      <c r="E2015" s="4">
        <v>9200</v>
      </c>
      <c r="F2015" s="5">
        <v>91650</v>
      </c>
      <c r="G2015" s="4">
        <v>19246.5</v>
      </c>
      <c r="H2015" s="4">
        <v>120096.5</v>
      </c>
      <c r="I2015" s="188" t="str">
        <f>VLOOKUP(C2015,CATEGORIZACION!$A$1:$C$269,2,FALSE)</f>
        <v>TRANSPORTE</v>
      </c>
      <c r="J2015" s="188" t="s">
        <v>19</v>
      </c>
    </row>
    <row r="2016" spans="1:10" ht="15.75" customHeight="1" x14ac:dyDescent="0.25">
      <c r="A2016" s="1">
        <v>45229</v>
      </c>
      <c r="B2016" s="188" t="s">
        <v>1950</v>
      </c>
      <c r="C2016" s="188" t="s">
        <v>36</v>
      </c>
      <c r="D2016" s="188" t="s">
        <v>37</v>
      </c>
      <c r="E2016" s="4">
        <v>6200</v>
      </c>
      <c r="F2016" s="5">
        <v>79400</v>
      </c>
      <c r="G2016" s="4">
        <v>16674</v>
      </c>
      <c r="H2016" s="4">
        <v>102274</v>
      </c>
      <c r="I2016" s="188" t="str">
        <f>VLOOKUP(C2016,CATEGORIZACION!$A$1:$C$269,2,FALSE)</f>
        <v>TRANSPORTE</v>
      </c>
      <c r="J2016" s="188" t="s">
        <v>19</v>
      </c>
    </row>
    <row r="2017" spans="1:10" ht="15.75" customHeight="1" x14ac:dyDescent="0.25">
      <c r="A2017" s="1">
        <v>45229</v>
      </c>
      <c r="B2017" s="188" t="s">
        <v>1951</v>
      </c>
      <c r="C2017" s="188" t="s">
        <v>36</v>
      </c>
      <c r="D2017" s="188" t="s">
        <v>37</v>
      </c>
      <c r="E2017" s="4">
        <v>6200</v>
      </c>
      <c r="F2017" s="5">
        <v>79400</v>
      </c>
      <c r="G2017" s="4">
        <v>16674</v>
      </c>
      <c r="H2017" s="4">
        <v>102274</v>
      </c>
      <c r="I2017" s="188" t="str">
        <f>VLOOKUP(C2017,CATEGORIZACION!$A$1:$C$269,2,FALSE)</f>
        <v>TRANSPORTE</v>
      </c>
      <c r="J2017" s="188" t="s">
        <v>19</v>
      </c>
    </row>
    <row r="2018" spans="1:10" ht="15.75" customHeight="1" x14ac:dyDescent="0.25">
      <c r="A2018" s="1">
        <v>45229</v>
      </c>
      <c r="B2018" s="188" t="s">
        <v>1952</v>
      </c>
      <c r="C2018" s="188" t="s">
        <v>36</v>
      </c>
      <c r="D2018" s="188" t="s">
        <v>37</v>
      </c>
      <c r="E2018" s="4">
        <v>12500</v>
      </c>
      <c r="F2018" s="5">
        <v>120500</v>
      </c>
      <c r="G2018" s="4">
        <v>25305</v>
      </c>
      <c r="H2018" s="4">
        <v>158305</v>
      </c>
      <c r="I2018" s="188" t="str">
        <f>VLOOKUP(C2018,CATEGORIZACION!$A$1:$C$269,2,FALSE)</f>
        <v>TRANSPORTE</v>
      </c>
      <c r="J2018" s="188" t="s">
        <v>19</v>
      </c>
    </row>
    <row r="2019" spans="1:10" ht="15.75" customHeight="1" x14ac:dyDescent="0.25">
      <c r="A2019" s="1">
        <v>45230</v>
      </c>
      <c r="B2019" s="188" t="s">
        <v>1953</v>
      </c>
      <c r="C2019" s="188" t="s">
        <v>21</v>
      </c>
      <c r="D2019" s="188" t="s">
        <v>22</v>
      </c>
      <c r="E2019" s="4">
        <v>0</v>
      </c>
      <c r="F2019" s="5">
        <v>-34800</v>
      </c>
      <c r="G2019" s="4">
        <v>-7308</v>
      </c>
      <c r="H2019" s="4">
        <v>-42108</v>
      </c>
      <c r="I2019" s="188" t="str">
        <f>VLOOKUP(C2019,CATEGORIZACION!$A$1:$C$269,2,FALSE)</f>
        <v>TRANSPORTE</v>
      </c>
      <c r="J2019" s="188" t="s">
        <v>19</v>
      </c>
    </row>
    <row r="2020" spans="1:10" ht="15.75" customHeight="1" x14ac:dyDescent="0.25">
      <c r="A2020" s="1">
        <v>45230</v>
      </c>
      <c r="B2020" s="188" t="s">
        <v>1954</v>
      </c>
      <c r="C2020" s="188" t="s">
        <v>84</v>
      </c>
      <c r="D2020" s="188" t="s">
        <v>85</v>
      </c>
      <c r="E2020" s="6">
        <v>50740.81</v>
      </c>
      <c r="F2020" s="5">
        <v>57286</v>
      </c>
      <c r="G2020" s="6">
        <v>190038.48</v>
      </c>
      <c r="H2020" s="5">
        <v>57286</v>
      </c>
      <c r="I2020" s="188" t="str">
        <f>VLOOKUP(C2020,CATEGORIZACION!$A$1:$C$269,2,FALSE)</f>
        <v>PROOVEDORES</v>
      </c>
      <c r="J2020" s="188" t="str">
        <f>VLOOKUP(C2020,CATEGORIZACION!$A$1:$C$269,3,FALSE)</f>
        <v>LOGISTICA</v>
      </c>
    </row>
    <row r="2021" spans="1:10" ht="15.75" customHeight="1" x14ac:dyDescent="0.25">
      <c r="A2021" s="1">
        <v>45230</v>
      </c>
      <c r="B2021" s="188" t="s">
        <v>1955</v>
      </c>
      <c r="C2021" s="188" t="s">
        <v>665</v>
      </c>
      <c r="D2021" s="188" t="s">
        <v>666</v>
      </c>
      <c r="E2021" s="4">
        <v>0</v>
      </c>
      <c r="F2021" s="5">
        <v>155384.35</v>
      </c>
      <c r="G2021" s="4">
        <v>32630.71</v>
      </c>
      <c r="H2021" s="4">
        <v>188015.06</v>
      </c>
      <c r="I2021" s="188" t="str">
        <f>VLOOKUP(C2021,CATEGORIZACION!$A$1:$C$269,2,FALSE)</f>
        <v>PROOVEDORES</v>
      </c>
      <c r="J2021" s="188" t="str">
        <f>VLOOKUP(C2021,CATEGORIZACION!$A$1:$C$269,3,FALSE)</f>
        <v>LOGISTICA</v>
      </c>
    </row>
    <row r="2022" spans="1:10" ht="15.75" customHeight="1" x14ac:dyDescent="0.25">
      <c r="A2022" s="1">
        <v>45230</v>
      </c>
      <c r="B2022" s="188" t="s">
        <v>1956</v>
      </c>
      <c r="C2022" s="188" t="s">
        <v>21</v>
      </c>
      <c r="D2022" s="188" t="s">
        <v>22</v>
      </c>
      <c r="E2022" s="4">
        <v>10960</v>
      </c>
      <c r="F2022" s="5">
        <v>230000</v>
      </c>
      <c r="G2022" s="4">
        <v>48300</v>
      </c>
      <c r="H2022" s="4">
        <v>289260</v>
      </c>
      <c r="I2022" s="188" t="str">
        <f>VLOOKUP(C2022,CATEGORIZACION!$A$1:$C$269,2,FALSE)</f>
        <v>TRANSPORTE</v>
      </c>
      <c r="J2022" s="188" t="s">
        <v>19</v>
      </c>
    </row>
    <row r="2023" spans="1:10" ht="15.75" customHeight="1" x14ac:dyDescent="0.25">
      <c r="A2023" s="1">
        <v>45230</v>
      </c>
      <c r="B2023" s="188" t="s">
        <v>1957</v>
      </c>
      <c r="C2023" s="188" t="s">
        <v>21</v>
      </c>
      <c r="D2023" s="188" t="s">
        <v>22</v>
      </c>
      <c r="E2023" s="4">
        <v>10960</v>
      </c>
      <c r="F2023" s="5">
        <v>230000</v>
      </c>
      <c r="G2023" s="4">
        <v>48300</v>
      </c>
      <c r="H2023" s="4">
        <v>289260</v>
      </c>
      <c r="I2023" s="188" t="str">
        <f>VLOOKUP(C2023,CATEGORIZACION!$A$1:$C$269,2,FALSE)</f>
        <v>TRANSPORTE</v>
      </c>
      <c r="J2023" s="188" t="s">
        <v>19</v>
      </c>
    </row>
    <row r="2024" spans="1:10" ht="15.75" customHeight="1" x14ac:dyDescent="0.25">
      <c r="A2024" s="1">
        <v>45230</v>
      </c>
      <c r="B2024" s="188" t="s">
        <v>1958</v>
      </c>
      <c r="C2024" s="188" t="s">
        <v>21</v>
      </c>
      <c r="D2024" s="188" t="s">
        <v>22</v>
      </c>
      <c r="E2024" s="4">
        <v>28240</v>
      </c>
      <c r="F2024" s="5">
        <v>508000</v>
      </c>
      <c r="G2024" s="4">
        <v>106680</v>
      </c>
      <c r="H2024" s="4">
        <v>642920</v>
      </c>
      <c r="I2024" s="188" t="str">
        <f>VLOOKUP(C2024,CATEGORIZACION!$A$1:$C$269,2,FALSE)</f>
        <v>TRANSPORTE</v>
      </c>
      <c r="J2024" s="188" t="s">
        <v>19</v>
      </c>
    </row>
    <row r="2025" spans="1:10" ht="15.75" customHeight="1" x14ac:dyDescent="0.25">
      <c r="A2025" s="1">
        <v>45230</v>
      </c>
      <c r="B2025" s="188" t="s">
        <v>1959</v>
      </c>
      <c r="C2025" s="188" t="s">
        <v>21</v>
      </c>
      <c r="D2025" s="188" t="s">
        <v>22</v>
      </c>
      <c r="E2025" s="4">
        <v>0</v>
      </c>
      <c r="F2025" s="5">
        <v>57500</v>
      </c>
      <c r="G2025" s="4">
        <v>12075</v>
      </c>
      <c r="H2025" s="4">
        <v>69575</v>
      </c>
      <c r="I2025" s="188" t="str">
        <f>VLOOKUP(C2025,CATEGORIZACION!$A$1:$C$269,2,FALSE)</f>
        <v>TRANSPORTE</v>
      </c>
      <c r="J2025" s="188" t="s">
        <v>19</v>
      </c>
    </row>
    <row r="2026" spans="1:10" ht="15.75" customHeight="1" x14ac:dyDescent="0.25">
      <c r="A2026" s="1">
        <v>45230</v>
      </c>
      <c r="B2026" s="188" t="s">
        <v>1960</v>
      </c>
      <c r="C2026" s="188" t="s">
        <v>36</v>
      </c>
      <c r="D2026" s="188" t="s">
        <v>37</v>
      </c>
      <c r="E2026" s="4">
        <v>12500</v>
      </c>
      <c r="F2026" s="5">
        <v>206940</v>
      </c>
      <c r="G2026" s="4">
        <v>43457.4</v>
      </c>
      <c r="H2026" s="4">
        <v>262897.40000000002</v>
      </c>
      <c r="I2026" s="188" t="str">
        <f>VLOOKUP(C2026,CATEGORIZACION!$A$1:$C$269,2,FALSE)</f>
        <v>TRANSPORTE</v>
      </c>
      <c r="J2026" s="188" t="s">
        <v>19</v>
      </c>
    </row>
    <row r="2027" spans="1:10" ht="15.75" customHeight="1" x14ac:dyDescent="0.25">
      <c r="A2027" s="1">
        <v>45230</v>
      </c>
      <c r="B2027" s="188" t="s">
        <v>1961</v>
      </c>
      <c r="C2027" s="188" t="s">
        <v>375</v>
      </c>
      <c r="D2027" s="188" t="s">
        <v>376</v>
      </c>
      <c r="E2027" s="4">
        <v>749.64000000000237</v>
      </c>
      <c r="F2027" s="5">
        <v>17037.189999999999</v>
      </c>
      <c r="G2027" s="4">
        <v>3577.81</v>
      </c>
      <c r="H2027" s="4">
        <v>21364.639999999999</v>
      </c>
      <c r="I2027" s="188" t="str">
        <f>VLOOKUP(C2027,CATEGORIZACION!$A$1:$C$269,2,FALSE)</f>
        <v>PROOVEDORES</v>
      </c>
      <c r="J2027" s="188" t="str">
        <f>VLOOKUP(C2027,CATEGORIZACION!$A$1:$C$269,3,FALSE)</f>
        <v>LOGISTICA</v>
      </c>
    </row>
    <row r="2028" spans="1:10" ht="15.75" customHeight="1" x14ac:dyDescent="0.25">
      <c r="A2028" s="1">
        <v>45230</v>
      </c>
      <c r="B2028" s="188" t="s">
        <v>1962</v>
      </c>
      <c r="C2028" s="188" t="s">
        <v>375</v>
      </c>
      <c r="D2028" s="188" t="s">
        <v>376</v>
      </c>
      <c r="E2028" s="4">
        <v>4582.37</v>
      </c>
      <c r="F2028" s="5">
        <v>104144.63</v>
      </c>
      <c r="G2028" s="4">
        <v>21870.37</v>
      </c>
      <c r="H2028" s="4">
        <v>130597.37</v>
      </c>
      <c r="I2028" s="188" t="str">
        <f>VLOOKUP(C2028,CATEGORIZACION!$A$1:$C$269,2,FALSE)</f>
        <v>PROOVEDORES</v>
      </c>
      <c r="J2028" s="188" t="str">
        <f>VLOOKUP(C2028,CATEGORIZACION!$A$1:$C$269,3,FALSE)</f>
        <v>LOGISTICA</v>
      </c>
    </row>
    <row r="2029" spans="1:10" ht="15.75" customHeight="1" x14ac:dyDescent="0.25">
      <c r="A2029" s="1">
        <v>45230</v>
      </c>
      <c r="B2029" s="188" t="s">
        <v>1963</v>
      </c>
      <c r="C2029" s="188" t="s">
        <v>1964</v>
      </c>
      <c r="D2029" s="188" t="s">
        <v>1965</v>
      </c>
      <c r="E2029" s="4">
        <v>34100</v>
      </c>
      <c r="F2029" s="5">
        <v>0</v>
      </c>
      <c r="G2029" s="4">
        <v>0</v>
      </c>
      <c r="H2029" s="4">
        <v>34100</v>
      </c>
      <c r="I2029" s="188" t="str">
        <f>VLOOKUP(C2029,CATEGORIZACION!$A$1:$C$269,2,FALSE)</f>
        <v>PROOVEDORES</v>
      </c>
      <c r="J2029" s="188" t="str">
        <f>VLOOKUP(C2029,CATEGORIZACION!$A$1:$C$269,3,FALSE)</f>
        <v>LOGISTICA</v>
      </c>
    </row>
    <row r="2030" spans="1:10" ht="15.75" customHeight="1" x14ac:dyDescent="0.25">
      <c r="A2030" s="1">
        <v>45230</v>
      </c>
      <c r="B2030" s="188" t="s">
        <v>82</v>
      </c>
      <c r="C2030" s="188" t="s">
        <v>188</v>
      </c>
      <c r="D2030" s="188">
        <v>0</v>
      </c>
      <c r="E2030" s="4">
        <v>0</v>
      </c>
      <c r="F2030" s="3">
        <v>1658000</v>
      </c>
      <c r="G2030" s="4">
        <v>0</v>
      </c>
      <c r="H2030" s="4">
        <v>0</v>
      </c>
      <c r="I2030" s="188" t="str">
        <f>VLOOKUP(C2030,CATEGORIZACION!$A$1:$C$269,2,FALSE)</f>
        <v>SUELDOS</v>
      </c>
      <c r="J2030" s="188" t="s">
        <v>103</v>
      </c>
    </row>
    <row r="2031" spans="1:10" ht="15.75" customHeight="1" x14ac:dyDescent="0.25">
      <c r="A2031" s="1">
        <v>45230</v>
      </c>
      <c r="B2031" s="188" t="s">
        <v>82</v>
      </c>
      <c r="C2031" s="188" t="s">
        <v>189</v>
      </c>
      <c r="D2031" s="188">
        <v>0</v>
      </c>
      <c r="E2031" s="4">
        <v>0</v>
      </c>
      <c r="F2031" s="3">
        <v>340000</v>
      </c>
      <c r="G2031" s="4">
        <v>0</v>
      </c>
      <c r="H2031" s="4">
        <v>0</v>
      </c>
      <c r="I2031" s="188" t="str">
        <f>VLOOKUP(C2031,CATEGORIZACION!$A$1:$C$269,2,FALSE)</f>
        <v>SUELDOS</v>
      </c>
      <c r="J2031" s="188" t="s">
        <v>103</v>
      </c>
    </row>
    <row r="2032" spans="1:10" ht="15.75" customHeight="1" x14ac:dyDescent="0.25">
      <c r="A2032" s="1">
        <v>45230</v>
      </c>
      <c r="B2032" s="188" t="s">
        <v>82</v>
      </c>
      <c r="C2032" s="188" t="s">
        <v>1114</v>
      </c>
      <c r="D2032" s="188">
        <v>0</v>
      </c>
      <c r="E2032" s="4">
        <v>0</v>
      </c>
      <c r="F2032" s="3">
        <v>0</v>
      </c>
      <c r="G2032" s="4">
        <v>0</v>
      </c>
      <c r="H2032" s="4">
        <v>0</v>
      </c>
      <c r="I2032" s="188" t="str">
        <f>VLOOKUP(C2032,CATEGORIZACION!$A$1:$C$269,2,FALSE)</f>
        <v>SUELDOS</v>
      </c>
      <c r="J2032" s="188" t="s">
        <v>103</v>
      </c>
    </row>
    <row r="2033" spans="1:10" ht="15.75" customHeight="1" x14ac:dyDescent="0.25">
      <c r="A2033" s="1">
        <v>45230</v>
      </c>
      <c r="B2033" s="188" t="s">
        <v>82</v>
      </c>
      <c r="C2033" s="188" t="s">
        <v>1115</v>
      </c>
      <c r="D2033" s="188">
        <v>0</v>
      </c>
      <c r="E2033" s="4">
        <v>0</v>
      </c>
      <c r="F2033" s="5">
        <v>0</v>
      </c>
      <c r="G2033" s="4">
        <v>0</v>
      </c>
      <c r="H2033" s="4">
        <v>0</v>
      </c>
      <c r="I2033" s="188" t="str">
        <f>VLOOKUP(C2033,CATEGORIZACION!$A$1:$C$269,2,FALSE)</f>
        <v>SUELDOS</v>
      </c>
      <c r="J2033" s="188" t="s">
        <v>19</v>
      </c>
    </row>
    <row r="2034" spans="1:10" ht="15.75" customHeight="1" x14ac:dyDescent="0.25">
      <c r="A2034" s="1">
        <v>45230</v>
      </c>
      <c r="B2034" s="188" t="s">
        <v>82</v>
      </c>
      <c r="C2034" s="188" t="s">
        <v>190</v>
      </c>
      <c r="D2034" s="188">
        <v>0</v>
      </c>
      <c r="E2034" s="4">
        <v>0</v>
      </c>
      <c r="F2034" s="5">
        <v>2962050</v>
      </c>
      <c r="G2034" s="4">
        <v>0</v>
      </c>
      <c r="H2034" s="4">
        <v>0</v>
      </c>
      <c r="I2034" s="188" t="str">
        <f>VLOOKUP(C2034,CATEGORIZACION!$A$1:$C$269,2,FALSE)</f>
        <v>SUELDOS</v>
      </c>
      <c r="J2034" s="188" t="s">
        <v>19</v>
      </c>
    </row>
    <row r="2035" spans="1:10" ht="15.75" customHeight="1" x14ac:dyDescent="0.25">
      <c r="A2035" s="1">
        <v>45230</v>
      </c>
      <c r="B2035" s="188" t="s">
        <v>82</v>
      </c>
      <c r="C2035" s="188" t="s">
        <v>191</v>
      </c>
      <c r="D2035" s="188">
        <v>0</v>
      </c>
      <c r="E2035" s="4">
        <v>0</v>
      </c>
      <c r="F2035" s="5">
        <v>1828000</v>
      </c>
      <c r="G2035" s="4">
        <v>0</v>
      </c>
      <c r="H2035" s="4">
        <v>0</v>
      </c>
      <c r="I2035" s="188" t="str">
        <f>VLOOKUP(C2035,CATEGORIZACION!$A$1:$C$269,2,FALSE)</f>
        <v>SUELDOS</v>
      </c>
      <c r="J2035" s="188" t="s">
        <v>19</v>
      </c>
    </row>
    <row r="2036" spans="1:10" ht="15.75" customHeight="1" x14ac:dyDescent="0.25">
      <c r="A2036" s="1">
        <v>45230</v>
      </c>
      <c r="B2036" s="188" t="s">
        <v>82</v>
      </c>
      <c r="C2036" s="188" t="s">
        <v>192</v>
      </c>
      <c r="D2036" s="188">
        <v>0</v>
      </c>
      <c r="E2036" s="4">
        <v>0</v>
      </c>
      <c r="F2036" s="3">
        <v>0</v>
      </c>
      <c r="G2036" s="4">
        <v>0</v>
      </c>
      <c r="H2036" s="4">
        <v>0</v>
      </c>
      <c r="I2036" s="188" t="str">
        <f>VLOOKUP(C2036,CATEGORIZACION!$A$1:$C$269,2,FALSE)</f>
        <v>SUELDOS</v>
      </c>
      <c r="J2036" s="188" t="s">
        <v>103</v>
      </c>
    </row>
    <row r="2037" spans="1:10" ht="15.75" customHeight="1" x14ac:dyDescent="0.25">
      <c r="A2037" s="1">
        <v>45230</v>
      </c>
      <c r="B2037" s="188" t="s">
        <v>82</v>
      </c>
      <c r="C2037" s="188" t="s">
        <v>193</v>
      </c>
      <c r="D2037" s="188">
        <v>0</v>
      </c>
      <c r="E2037" s="4">
        <v>0</v>
      </c>
      <c r="F2037" s="5">
        <v>0</v>
      </c>
      <c r="G2037" s="4">
        <v>0</v>
      </c>
      <c r="H2037" s="4">
        <v>0</v>
      </c>
      <c r="I2037" s="188" t="str">
        <f>VLOOKUP(C2037,CATEGORIZACION!$A$1:$C$269,2,FALSE)</f>
        <v>SUELDOS</v>
      </c>
      <c r="J2037" s="188" t="s">
        <v>19</v>
      </c>
    </row>
    <row r="2038" spans="1:10" ht="15.75" customHeight="1" x14ac:dyDescent="0.25">
      <c r="A2038" s="1">
        <v>45230</v>
      </c>
      <c r="B2038" s="188" t="s">
        <v>82</v>
      </c>
      <c r="C2038" s="188" t="s">
        <v>194</v>
      </c>
      <c r="D2038" s="188">
        <v>0</v>
      </c>
      <c r="E2038" s="4">
        <v>0</v>
      </c>
      <c r="F2038" s="3">
        <v>1400625</v>
      </c>
      <c r="G2038" s="4">
        <v>0</v>
      </c>
      <c r="H2038" s="4">
        <v>0</v>
      </c>
      <c r="I2038" s="188" t="str">
        <f>VLOOKUP(C2038,CATEGORIZACION!$A$1:$C$269,2,FALSE)</f>
        <v>ALQUILER</v>
      </c>
      <c r="J2038" s="188" t="s">
        <v>103</v>
      </c>
    </row>
    <row r="2039" spans="1:10" ht="15.75" customHeight="1" x14ac:dyDescent="0.25">
      <c r="A2039" s="1">
        <v>45230</v>
      </c>
      <c r="B2039" s="188" t="s">
        <v>82</v>
      </c>
      <c r="C2039" s="188" t="s">
        <v>195</v>
      </c>
      <c r="D2039" s="188">
        <v>0</v>
      </c>
      <c r="E2039" s="4">
        <v>0</v>
      </c>
      <c r="F2039" s="3">
        <v>1139562</v>
      </c>
      <c r="G2039" s="4">
        <v>0</v>
      </c>
      <c r="H2039" s="4">
        <v>0</v>
      </c>
      <c r="I2039" s="188" t="str">
        <f>VLOOKUP(C2039,CATEGORIZACION!$A$1:$C$269,2,FALSE)</f>
        <v>ALQUILER</v>
      </c>
      <c r="J2039" s="188" t="s">
        <v>103</v>
      </c>
    </row>
    <row r="2040" spans="1:10" ht="15.75" customHeight="1" x14ac:dyDescent="0.25">
      <c r="A2040" s="1">
        <v>45230</v>
      </c>
      <c r="B2040" s="188" t="s">
        <v>82</v>
      </c>
      <c r="C2040" s="188" t="s">
        <v>196</v>
      </c>
      <c r="D2040" s="188">
        <v>0</v>
      </c>
      <c r="E2040" s="4">
        <v>0</v>
      </c>
      <c r="F2040" s="3">
        <v>598884</v>
      </c>
      <c r="G2040" s="4">
        <v>0</v>
      </c>
      <c r="H2040" s="4">
        <v>0</v>
      </c>
      <c r="I2040" s="188" t="str">
        <f>VLOOKUP(C2040,CATEGORIZACION!$A$1:$C$269,2,FALSE)</f>
        <v>ALQUILER</v>
      </c>
      <c r="J2040" s="188" t="s">
        <v>103</v>
      </c>
    </row>
    <row r="2041" spans="1:10" ht="15.75" customHeight="1" x14ac:dyDescent="0.25">
      <c r="A2041" s="1">
        <v>45230</v>
      </c>
      <c r="B2041" s="188" t="s">
        <v>82</v>
      </c>
      <c r="C2041" s="188" t="s">
        <v>197</v>
      </c>
      <c r="D2041" s="188">
        <v>0</v>
      </c>
      <c r="E2041" s="4">
        <v>0</v>
      </c>
      <c r="F2041" s="3">
        <v>72234</v>
      </c>
      <c r="G2041" s="4">
        <v>0</v>
      </c>
      <c r="H2041" s="4">
        <v>0</v>
      </c>
      <c r="I2041" s="188" t="str">
        <f>VLOOKUP(C2041,CATEGORIZACION!$A$1:$C$269,2,FALSE)</f>
        <v>ALQUILER</v>
      </c>
      <c r="J2041" s="188" t="s">
        <v>103</v>
      </c>
    </row>
    <row r="2042" spans="1:10" ht="15.75" customHeight="1" x14ac:dyDescent="0.25">
      <c r="A2042" s="1">
        <v>45230</v>
      </c>
      <c r="B2042" s="188" t="s">
        <v>82</v>
      </c>
      <c r="C2042" s="188" t="s">
        <v>198</v>
      </c>
      <c r="D2042" s="188">
        <v>0</v>
      </c>
      <c r="E2042" s="4">
        <v>0</v>
      </c>
      <c r="F2042" s="5">
        <v>320000</v>
      </c>
      <c r="G2042" s="4">
        <v>0</v>
      </c>
      <c r="H2042" s="4">
        <v>0</v>
      </c>
      <c r="I2042" s="188" t="str">
        <f>VLOOKUP(C2042,CATEGORIZACION!$A$1:$C$269,2,FALSE)</f>
        <v>ALQUILER</v>
      </c>
      <c r="J2042" s="188" t="s">
        <v>19</v>
      </c>
    </row>
    <row r="2043" spans="1:10" ht="15.75" customHeight="1" x14ac:dyDescent="0.25">
      <c r="A2043" s="1">
        <v>45230</v>
      </c>
      <c r="B2043" s="188" t="s">
        <v>82</v>
      </c>
      <c r="C2043" s="188" t="s">
        <v>199</v>
      </c>
      <c r="D2043" s="188">
        <v>0</v>
      </c>
      <c r="E2043" s="4">
        <v>0</v>
      </c>
      <c r="F2043" s="3">
        <v>56000</v>
      </c>
      <c r="G2043" s="4">
        <v>0</v>
      </c>
      <c r="H2043" s="4">
        <v>0</v>
      </c>
      <c r="I2043" s="188" t="str">
        <f>VLOOKUP(C2043,CATEGORIZACION!$A$1:$C$269,2,FALSE)</f>
        <v>PROOVEDORES</v>
      </c>
      <c r="J2043" s="188" t="str">
        <f>VLOOKUP(C2043,CATEGORIZACION!$A$1:$C$269,3,FALSE)</f>
        <v>DEPOSITO</v>
      </c>
    </row>
    <row r="2044" spans="1:10" ht="15.75" customHeight="1" x14ac:dyDescent="0.25">
      <c r="A2044" s="1">
        <v>45230</v>
      </c>
      <c r="B2044" s="188" t="s">
        <v>82</v>
      </c>
      <c r="C2044" s="188" t="s">
        <v>200</v>
      </c>
      <c r="D2044" s="188">
        <v>0</v>
      </c>
      <c r="E2044" s="4">
        <v>0</v>
      </c>
      <c r="F2044" s="5">
        <v>177000</v>
      </c>
      <c r="G2044" s="4">
        <v>0</v>
      </c>
      <c r="H2044" s="4">
        <v>0</v>
      </c>
      <c r="I2044" s="188" t="str">
        <f>VLOOKUP(C2044,CATEGORIZACION!$A$1:$C$269,2,FALSE)</f>
        <v>PROOVEDORES</v>
      </c>
      <c r="J2044" s="188" t="str">
        <f>VLOOKUP(C2044,CATEGORIZACION!$A$1:$C$269,3,FALSE)</f>
        <v>LOGISTICA</v>
      </c>
    </row>
    <row r="2045" spans="1:10" ht="15.75" customHeight="1" x14ac:dyDescent="0.25">
      <c r="A2045" s="1">
        <v>45230</v>
      </c>
      <c r="B2045" s="188" t="s">
        <v>82</v>
      </c>
      <c r="C2045" s="188" t="s">
        <v>1116</v>
      </c>
      <c r="D2045" s="188">
        <v>0</v>
      </c>
      <c r="E2045" s="4">
        <v>0</v>
      </c>
      <c r="F2045" s="5">
        <v>0</v>
      </c>
      <c r="G2045" s="4">
        <v>0</v>
      </c>
      <c r="H2045" s="4">
        <v>0</v>
      </c>
      <c r="I2045" s="188" t="str">
        <f>VLOOKUP(C2045,CATEGORIZACION!$A$1:$C$269,2,FALSE)</f>
        <v>PROOVEDORES</v>
      </c>
      <c r="J2045" s="188" t="str">
        <f>VLOOKUP(C2045,CATEGORIZACION!$A$1:$C$269,3,FALSE)</f>
        <v>LOGISTICA</v>
      </c>
    </row>
    <row r="2046" spans="1:10" ht="15.75" customHeight="1" x14ac:dyDescent="0.25">
      <c r="A2046" s="1">
        <v>45230</v>
      </c>
      <c r="B2046" s="188" t="s">
        <v>82</v>
      </c>
      <c r="C2046" s="188" t="s">
        <v>1117</v>
      </c>
      <c r="D2046" s="188">
        <v>0</v>
      </c>
      <c r="E2046" s="4">
        <v>0</v>
      </c>
      <c r="F2046" s="5">
        <v>0</v>
      </c>
      <c r="G2046" s="4">
        <v>0</v>
      </c>
      <c r="H2046" s="4">
        <v>0</v>
      </c>
      <c r="I2046" s="188" t="str">
        <f>VLOOKUP(C2046,CATEGORIZACION!$A$1:$C$269,2,FALSE)</f>
        <v>PROOVEDORES</v>
      </c>
      <c r="J2046" s="188" t="str">
        <f>VLOOKUP(C2046,CATEGORIZACION!$A$1:$C$269,3,FALSE)</f>
        <v>LOGISTICA</v>
      </c>
    </row>
    <row r="2047" spans="1:10" ht="15.75" customHeight="1" x14ac:dyDescent="0.25">
      <c r="A2047" s="1">
        <v>45230</v>
      </c>
      <c r="B2047" s="188" t="s">
        <v>82</v>
      </c>
      <c r="C2047" s="188" t="s">
        <v>363</v>
      </c>
      <c r="D2047" s="188">
        <v>0</v>
      </c>
      <c r="E2047" s="4">
        <v>0</v>
      </c>
      <c r="F2047" s="5">
        <v>0</v>
      </c>
      <c r="G2047" s="4">
        <v>0</v>
      </c>
      <c r="H2047" s="4">
        <v>0</v>
      </c>
      <c r="I2047" s="188" t="str">
        <f>VLOOKUP(C2047,CATEGORIZACION!$A$1:$C$269,2,FALSE)</f>
        <v>PROOVEDORES</v>
      </c>
      <c r="J2047" s="188" t="str">
        <f>VLOOKUP(C2047,CATEGORIZACION!$A$1:$C$269,3,FALSE)</f>
        <v>LOGISTICA</v>
      </c>
    </row>
    <row r="2048" spans="1:10" ht="15.75" customHeight="1" x14ac:dyDescent="0.25">
      <c r="A2048" s="1">
        <v>45230</v>
      </c>
      <c r="B2048" s="188" t="s">
        <v>82</v>
      </c>
      <c r="C2048" s="188" t="s">
        <v>204</v>
      </c>
      <c r="D2048" s="188">
        <v>0</v>
      </c>
      <c r="E2048" s="4">
        <v>0</v>
      </c>
      <c r="F2048" s="5">
        <v>715180</v>
      </c>
      <c r="G2048" s="4">
        <v>0</v>
      </c>
      <c r="H2048" s="4">
        <v>0</v>
      </c>
      <c r="I2048" s="188" t="str">
        <f>VLOOKUP(C2048,CATEGORIZACION!$A$1:$C$269,2,FALSE)</f>
        <v>PROOVEDORES</v>
      </c>
      <c r="J2048" s="188" t="str">
        <f>VLOOKUP(C2048,CATEGORIZACION!$A$1:$C$269,3,FALSE)</f>
        <v>LOGISTICA</v>
      </c>
    </row>
    <row r="2049" spans="1:10" ht="15.75" customHeight="1" x14ac:dyDescent="0.25">
      <c r="A2049" s="1">
        <v>45230</v>
      </c>
      <c r="B2049" s="188" t="s">
        <v>82</v>
      </c>
      <c r="C2049" s="188" t="s">
        <v>205</v>
      </c>
      <c r="D2049" s="188">
        <v>0</v>
      </c>
      <c r="E2049" s="4">
        <v>0</v>
      </c>
      <c r="F2049" s="5">
        <v>320000</v>
      </c>
      <c r="G2049" s="4">
        <v>0</v>
      </c>
      <c r="H2049" s="4">
        <v>0</v>
      </c>
      <c r="I2049" s="188" t="str">
        <f>VLOOKUP(C2049,CATEGORIZACION!$A$1:$C$269,2,FALSE)</f>
        <v>AFIP</v>
      </c>
      <c r="J2049" s="188" t="s">
        <v>19</v>
      </c>
    </row>
    <row r="2050" spans="1:10" ht="15.75" customHeight="1" x14ac:dyDescent="0.25">
      <c r="A2050" s="1">
        <v>45230</v>
      </c>
      <c r="B2050" s="188" t="s">
        <v>82</v>
      </c>
      <c r="C2050" s="188" t="s">
        <v>690</v>
      </c>
      <c r="D2050" s="188">
        <v>0</v>
      </c>
      <c r="E2050" s="4">
        <v>0</v>
      </c>
      <c r="F2050" s="3">
        <v>910556.16000000003</v>
      </c>
      <c r="G2050" s="4">
        <v>0</v>
      </c>
      <c r="H2050" s="4">
        <v>0</v>
      </c>
      <c r="I2050" s="188" t="str">
        <f>VLOOKUP(C2050,CATEGORIZACION!$A$1:$C$269,2,FALSE)</f>
        <v>AFIP</v>
      </c>
      <c r="J2050" s="188" t="s">
        <v>103</v>
      </c>
    </row>
    <row r="2051" spans="1:10" ht="15.75" customHeight="1" x14ac:dyDescent="0.25">
      <c r="A2051" s="1">
        <v>45230</v>
      </c>
      <c r="B2051" s="188" t="s">
        <v>82</v>
      </c>
      <c r="C2051" s="188" t="s">
        <v>206</v>
      </c>
      <c r="D2051" s="188">
        <v>0</v>
      </c>
      <c r="E2051" s="4">
        <v>0</v>
      </c>
      <c r="F2051" s="5">
        <v>910556.16000000003</v>
      </c>
      <c r="G2051" s="4">
        <v>0</v>
      </c>
      <c r="H2051" s="4">
        <v>0</v>
      </c>
      <c r="I2051" s="188" t="str">
        <f>VLOOKUP(C2051,CATEGORIZACION!$A$1:$C$269,2,FALSE)</f>
        <v>AFIP</v>
      </c>
      <c r="J2051" s="188" t="s">
        <v>19</v>
      </c>
    </row>
    <row r="2052" spans="1:10" ht="15.75" customHeight="1" x14ac:dyDescent="0.25">
      <c r="A2052" s="1">
        <v>45230</v>
      </c>
      <c r="B2052" s="188" t="s">
        <v>82</v>
      </c>
      <c r="C2052" s="188" t="s">
        <v>207</v>
      </c>
      <c r="D2052" s="188">
        <v>0</v>
      </c>
      <c r="E2052" s="4">
        <v>0</v>
      </c>
      <c r="F2052" s="5">
        <v>677877.28</v>
      </c>
      <c r="G2052" s="4">
        <v>0</v>
      </c>
      <c r="H2052" s="4">
        <v>0</v>
      </c>
      <c r="I2052" s="188" t="str">
        <f>VLOOKUP(C2052,CATEGORIZACION!$A$1:$C$269,2,FALSE)</f>
        <v>AFIP</v>
      </c>
      <c r="J2052" s="188" t="s">
        <v>19</v>
      </c>
    </row>
    <row r="2053" spans="1:10" ht="15.75" customHeight="1" x14ac:dyDescent="0.25">
      <c r="A2053" s="1">
        <v>45230</v>
      </c>
      <c r="B2053" s="188" t="s">
        <v>82</v>
      </c>
      <c r="C2053" s="188" t="s">
        <v>208</v>
      </c>
      <c r="D2053" s="188">
        <v>0</v>
      </c>
      <c r="E2053" s="4">
        <v>0</v>
      </c>
      <c r="F2053" s="5">
        <v>189991</v>
      </c>
      <c r="G2053" s="4">
        <v>0</v>
      </c>
      <c r="H2053" s="4">
        <v>0</v>
      </c>
      <c r="I2053" s="188" t="str">
        <f>VLOOKUP(C2053,CATEGORIZACION!$A$1:$C$269,2,FALSE)</f>
        <v>AFIP</v>
      </c>
      <c r="J2053" s="188" t="s">
        <v>19</v>
      </c>
    </row>
    <row r="2054" spans="1:10" ht="15.75" customHeight="1" x14ac:dyDescent="0.25">
      <c r="A2054" s="1">
        <v>45230</v>
      </c>
      <c r="B2054" s="188" t="s">
        <v>82</v>
      </c>
      <c r="C2054" s="188" t="s">
        <v>209</v>
      </c>
      <c r="D2054" s="188">
        <v>0</v>
      </c>
      <c r="E2054" s="4">
        <v>0</v>
      </c>
      <c r="F2054" s="5">
        <v>36375.14</v>
      </c>
      <c r="G2054" s="4">
        <v>0</v>
      </c>
      <c r="H2054" s="4">
        <v>0</v>
      </c>
      <c r="I2054" s="188" t="str">
        <f>VLOOKUP(C2054,CATEGORIZACION!$A$1:$C$269,2,FALSE)</f>
        <v>PROOVEDORES</v>
      </c>
      <c r="J2054" s="188" t="str">
        <f>VLOOKUP(C2054,CATEGORIZACION!$A$1:$C$269,3,FALSE)</f>
        <v>LOGISTICA</v>
      </c>
    </row>
    <row r="2055" spans="1:10" ht="15.75" customHeight="1" x14ac:dyDescent="0.25">
      <c r="A2055" s="1">
        <v>45230</v>
      </c>
      <c r="B2055" s="188" t="s">
        <v>82</v>
      </c>
      <c r="C2055" s="188" t="s">
        <v>210</v>
      </c>
      <c r="D2055" s="188">
        <v>0</v>
      </c>
      <c r="E2055" s="4">
        <v>0</v>
      </c>
      <c r="F2055" s="5">
        <v>242560</v>
      </c>
      <c r="G2055" s="4">
        <v>0</v>
      </c>
      <c r="H2055" s="4">
        <v>0</v>
      </c>
      <c r="I2055" s="188" t="str">
        <f>VLOOKUP(C2055,CATEGORIZACION!$A$1:$C$269,2,FALSE)</f>
        <v>PROOVEDORES</v>
      </c>
      <c r="J2055" s="188" t="str">
        <f>VLOOKUP(C2055,CATEGORIZACION!$A$1:$C$269,3,FALSE)</f>
        <v>LOGISTICA</v>
      </c>
    </row>
    <row r="2056" spans="1:10" ht="15.75" customHeight="1" x14ac:dyDescent="0.25">
      <c r="A2056" s="1">
        <v>45230</v>
      </c>
      <c r="B2056" s="188" t="s">
        <v>82</v>
      </c>
      <c r="C2056" s="188" t="s">
        <v>211</v>
      </c>
      <c r="D2056" s="188">
        <v>0</v>
      </c>
      <c r="E2056" s="4">
        <v>0</v>
      </c>
      <c r="F2056" s="5">
        <v>11192.35</v>
      </c>
      <c r="G2056" s="4">
        <v>0</v>
      </c>
      <c r="H2056" s="4">
        <v>0</v>
      </c>
      <c r="I2056" s="188" t="str">
        <f>VLOOKUP(C2056,CATEGORIZACION!$A$1:$C$269,2,FALSE)</f>
        <v>PROOVEDORES</v>
      </c>
      <c r="J2056" s="188" t="str">
        <f>VLOOKUP(C2056,CATEGORIZACION!$A$1:$C$269,3,FALSE)</f>
        <v>LOGISTICA</v>
      </c>
    </row>
    <row r="2057" spans="1:10" ht="15.75" customHeight="1" x14ac:dyDescent="0.25">
      <c r="A2057" s="1">
        <v>45230</v>
      </c>
      <c r="B2057" s="188" t="s">
        <v>82</v>
      </c>
      <c r="C2057" s="188" t="s">
        <v>212</v>
      </c>
      <c r="D2057" s="188">
        <v>0</v>
      </c>
      <c r="E2057" s="4">
        <v>0</v>
      </c>
      <c r="F2057" s="5">
        <v>74634.070000000007</v>
      </c>
      <c r="G2057" s="4">
        <v>0</v>
      </c>
      <c r="H2057" s="4">
        <v>0</v>
      </c>
      <c r="I2057" s="188" t="str">
        <f>VLOOKUP(C2057,CATEGORIZACION!$A$1:$C$269,2,FALSE)</f>
        <v>PROOVEDORES</v>
      </c>
      <c r="J2057" s="188" t="str">
        <f>VLOOKUP(C2057,CATEGORIZACION!$A$1:$C$269,3,FALSE)</f>
        <v>LOGISTICA</v>
      </c>
    </row>
    <row r="2058" spans="1:10" ht="15.75" customHeight="1" x14ac:dyDescent="0.25">
      <c r="A2058" s="1">
        <v>45230</v>
      </c>
      <c r="B2058" s="188" t="s">
        <v>82</v>
      </c>
      <c r="C2058" s="188" t="s">
        <v>213</v>
      </c>
      <c r="D2058" s="188">
        <v>0</v>
      </c>
      <c r="E2058" s="4">
        <v>0</v>
      </c>
      <c r="F2058" s="5">
        <v>0</v>
      </c>
      <c r="G2058" s="4">
        <v>0</v>
      </c>
      <c r="H2058" s="4">
        <v>0</v>
      </c>
      <c r="I2058" s="188" t="str">
        <f>VLOOKUP(C2058,CATEGORIZACION!$A$1:$C$269,2,FALSE)</f>
        <v>AFIP</v>
      </c>
      <c r="J2058" s="188" t="s">
        <v>19</v>
      </c>
    </row>
    <row r="2059" spans="1:10" ht="15.75" customHeight="1" x14ac:dyDescent="0.25">
      <c r="A2059" s="1">
        <v>45230</v>
      </c>
      <c r="B2059" s="188" t="s">
        <v>82</v>
      </c>
      <c r="C2059" s="188" t="s">
        <v>1118</v>
      </c>
      <c r="D2059" s="188">
        <v>0</v>
      </c>
      <c r="E2059" s="4">
        <v>0</v>
      </c>
      <c r="F2059" s="5">
        <v>0</v>
      </c>
      <c r="G2059" s="4">
        <v>0</v>
      </c>
      <c r="H2059" s="4">
        <v>0</v>
      </c>
      <c r="I2059" s="188" t="str">
        <f>VLOOKUP(C2059,CATEGORIZACION!$A$1:$C$269,2,FALSE)</f>
        <v>AFIP</v>
      </c>
      <c r="J2059" s="188" t="s">
        <v>19</v>
      </c>
    </row>
    <row r="2060" spans="1:10" ht="15.75" customHeight="1" x14ac:dyDescent="0.25">
      <c r="A2060" s="1">
        <v>45230</v>
      </c>
      <c r="B2060" s="188" t="s">
        <v>82</v>
      </c>
      <c r="C2060" s="188" t="s">
        <v>1966</v>
      </c>
      <c r="D2060" s="188">
        <v>0</v>
      </c>
      <c r="E2060" s="4">
        <v>0</v>
      </c>
      <c r="F2060" s="5">
        <v>601225</v>
      </c>
      <c r="G2060" s="4">
        <v>0</v>
      </c>
      <c r="H2060" s="4">
        <v>0</v>
      </c>
      <c r="I2060" s="188" t="str">
        <f>VLOOKUP(C2060,CATEGORIZACION!$A$1:$C$269,2,FALSE)</f>
        <v>AFIP</v>
      </c>
      <c r="J2060" s="188" t="s">
        <v>19</v>
      </c>
    </row>
    <row r="2061" spans="1:10" ht="15.75" customHeight="1" x14ac:dyDescent="0.25">
      <c r="A2061" s="1">
        <v>45231</v>
      </c>
      <c r="B2061" s="188" t="s">
        <v>1967</v>
      </c>
      <c r="C2061" s="188" t="s">
        <v>14</v>
      </c>
      <c r="D2061" s="188" t="s">
        <v>15</v>
      </c>
      <c r="E2061" s="4">
        <v>0</v>
      </c>
      <c r="F2061" s="3">
        <v>43860</v>
      </c>
      <c r="G2061" s="4">
        <v>9210.6</v>
      </c>
      <c r="H2061" s="4">
        <v>53070.6</v>
      </c>
      <c r="I2061" s="188" t="str">
        <f>VLOOKUP(C2061,CATEGORIZACION!$A$1:$C$269,2,FALSE)</f>
        <v>PROOVEDORES</v>
      </c>
      <c r="J2061" s="188" t="str">
        <f>VLOOKUP(C2061,CATEGORIZACION!$A$1:$C$269,3,FALSE)</f>
        <v>DEPOSITO</v>
      </c>
    </row>
    <row r="2062" spans="1:10" ht="15.75" customHeight="1" x14ac:dyDescent="0.25">
      <c r="A2062" s="1">
        <v>45231</v>
      </c>
      <c r="B2062" s="188" t="s">
        <v>1968</v>
      </c>
      <c r="C2062" s="188" t="s">
        <v>17</v>
      </c>
      <c r="D2062" s="188" t="s">
        <v>18</v>
      </c>
      <c r="E2062" s="4">
        <v>30800</v>
      </c>
      <c r="F2062" s="5">
        <v>521000</v>
      </c>
      <c r="G2062" s="4">
        <v>109410</v>
      </c>
      <c r="H2062" s="4">
        <v>661210</v>
      </c>
      <c r="I2062" s="188" t="str">
        <f>VLOOKUP(C2062,CATEGORIZACION!$A$1:$C$269,2,FALSE)</f>
        <v>TRANSPORTE</v>
      </c>
      <c r="J2062" s="188" t="s">
        <v>19</v>
      </c>
    </row>
    <row r="2063" spans="1:10" ht="15.75" customHeight="1" x14ac:dyDescent="0.25">
      <c r="A2063" s="1">
        <v>45231</v>
      </c>
      <c r="B2063" s="188" t="s">
        <v>1969</v>
      </c>
      <c r="C2063" s="188" t="s">
        <v>17</v>
      </c>
      <c r="D2063" s="188" t="s">
        <v>18</v>
      </c>
      <c r="E2063" s="4">
        <v>34520</v>
      </c>
      <c r="F2063" s="5">
        <v>402500</v>
      </c>
      <c r="G2063" s="4">
        <v>84525</v>
      </c>
      <c r="H2063" s="4">
        <v>521545</v>
      </c>
      <c r="I2063" s="188" t="str">
        <f>VLOOKUP(C2063,CATEGORIZACION!$A$1:$C$269,2,FALSE)</f>
        <v>TRANSPORTE</v>
      </c>
      <c r="J2063" s="188" t="s">
        <v>19</v>
      </c>
    </row>
    <row r="2064" spans="1:10" ht="15.75" customHeight="1" x14ac:dyDescent="0.25">
      <c r="A2064" s="1">
        <v>45231</v>
      </c>
      <c r="B2064" s="188" t="s">
        <v>1970</v>
      </c>
      <c r="C2064" s="188" t="s">
        <v>17</v>
      </c>
      <c r="D2064" s="188" t="s">
        <v>18</v>
      </c>
      <c r="E2064" s="4">
        <v>34880</v>
      </c>
      <c r="F2064" s="5">
        <v>345000</v>
      </c>
      <c r="G2064" s="4">
        <v>72450</v>
      </c>
      <c r="H2064" s="4">
        <v>452330</v>
      </c>
      <c r="I2064" s="188" t="str">
        <f>VLOOKUP(C2064,CATEGORIZACION!$A$1:$C$269,2,FALSE)</f>
        <v>TRANSPORTE</v>
      </c>
      <c r="J2064" s="188" t="s">
        <v>19</v>
      </c>
    </row>
    <row r="2065" spans="1:10" ht="15.75" customHeight="1" x14ac:dyDescent="0.25">
      <c r="A2065" s="1">
        <v>45231</v>
      </c>
      <c r="B2065" s="188" t="s">
        <v>1971</v>
      </c>
      <c r="C2065" s="188" t="s">
        <v>59</v>
      </c>
      <c r="D2065" s="188" t="s">
        <v>60</v>
      </c>
      <c r="E2065" s="4">
        <v>0</v>
      </c>
      <c r="F2065" s="3">
        <v>199584</v>
      </c>
      <c r="G2065" s="4">
        <v>41912.639999999999</v>
      </c>
      <c r="H2065" s="4">
        <v>241496.64</v>
      </c>
      <c r="I2065" s="188" t="str">
        <f>VLOOKUP(C2065,CATEGORIZACION!$A$1:$C$269,2,FALSE)</f>
        <v>PROOVEDORES</v>
      </c>
      <c r="J2065" s="188" t="str">
        <f>VLOOKUP(C2065,CATEGORIZACION!$A$1:$C$269,3,FALSE)</f>
        <v>DEPOSITO</v>
      </c>
    </row>
    <row r="2066" spans="1:10" ht="15.75" customHeight="1" x14ac:dyDescent="0.25">
      <c r="A2066" s="1">
        <v>45231</v>
      </c>
      <c r="B2066" s="188" t="s">
        <v>1972</v>
      </c>
      <c r="C2066" s="188" t="s">
        <v>59</v>
      </c>
      <c r="D2066" s="188" t="s">
        <v>60</v>
      </c>
      <c r="E2066" s="4">
        <v>0</v>
      </c>
      <c r="F2066" s="3">
        <v>88300</v>
      </c>
      <c r="G2066" s="4">
        <v>18543</v>
      </c>
      <c r="H2066" s="4">
        <v>106843</v>
      </c>
      <c r="I2066" s="188" t="str">
        <f>VLOOKUP(C2066,CATEGORIZACION!$A$1:$C$269,2,FALSE)</f>
        <v>PROOVEDORES</v>
      </c>
      <c r="J2066" s="188" t="str">
        <f>VLOOKUP(C2066,CATEGORIZACION!$A$1:$C$269,3,FALSE)</f>
        <v>DEPOSITO</v>
      </c>
    </row>
    <row r="2067" spans="1:10" ht="15.75" customHeight="1" x14ac:dyDescent="0.25">
      <c r="A2067" s="1">
        <v>45231</v>
      </c>
      <c r="B2067" s="188" t="s">
        <v>1973</v>
      </c>
      <c r="C2067" s="188" t="s">
        <v>52</v>
      </c>
      <c r="D2067" s="188" t="s">
        <v>53</v>
      </c>
      <c r="E2067" s="4">
        <v>0</v>
      </c>
      <c r="F2067" s="3">
        <v>214797.52</v>
      </c>
      <c r="G2067" s="4">
        <v>45107.48</v>
      </c>
      <c r="H2067" s="4">
        <v>259905</v>
      </c>
      <c r="I2067" s="188" t="str">
        <f>VLOOKUP(C2067,CATEGORIZACION!$A$1:$C$269,2,FALSE)</f>
        <v>PROOVEDORES</v>
      </c>
      <c r="J2067" s="188" t="str">
        <f>VLOOKUP(C2067,CATEGORIZACION!$A$1:$C$269,3,FALSE)</f>
        <v>DEPOSITO</v>
      </c>
    </row>
    <row r="2068" spans="1:10" ht="15.75" customHeight="1" x14ac:dyDescent="0.25">
      <c r="A2068" s="1">
        <v>45231</v>
      </c>
      <c r="B2068" s="188" t="s">
        <v>1974</v>
      </c>
      <c r="C2068" s="188" t="s">
        <v>218</v>
      </c>
      <c r="D2068" s="188" t="s">
        <v>219</v>
      </c>
      <c r="E2068" s="4">
        <v>0</v>
      </c>
      <c r="F2068" s="5">
        <v>200896.29</v>
      </c>
      <c r="G2068" s="4">
        <v>42188.22</v>
      </c>
      <c r="H2068" s="4">
        <v>243084.51</v>
      </c>
      <c r="I2068" s="188" t="str">
        <f>VLOOKUP(C2068,CATEGORIZACION!$A$1:$C$269,2,FALSE)</f>
        <v>PROOVEDORES</v>
      </c>
      <c r="J2068" s="188" t="str">
        <f>VLOOKUP(C2068,CATEGORIZACION!$A$1:$C$269,3,FALSE)</f>
        <v>LOGISTICA</v>
      </c>
    </row>
    <row r="2069" spans="1:10" ht="15.75" customHeight="1" x14ac:dyDescent="0.25">
      <c r="A2069" s="1">
        <v>45232</v>
      </c>
      <c r="B2069" s="188" t="s">
        <v>1975</v>
      </c>
      <c r="C2069" s="188" t="s">
        <v>253</v>
      </c>
      <c r="D2069" s="188" t="s">
        <v>57</v>
      </c>
      <c r="E2069" s="4">
        <v>0</v>
      </c>
      <c r="F2069" s="5">
        <v>4958.68</v>
      </c>
      <c r="G2069" s="4">
        <v>1041.32</v>
      </c>
      <c r="H2069" s="4">
        <v>6000</v>
      </c>
      <c r="I2069" s="188" t="str">
        <f>VLOOKUP(C2069,CATEGORIZACION!$A$1:$C$269,2,FALSE)</f>
        <v>PROOVEDORES</v>
      </c>
      <c r="J2069" s="188" t="str">
        <f>VLOOKUP(C2069,CATEGORIZACION!$A$1:$C$269,3,FALSE)</f>
        <v>LOGISTICA</v>
      </c>
    </row>
    <row r="2070" spans="1:10" ht="15.75" customHeight="1" x14ac:dyDescent="0.25">
      <c r="A2070" s="1">
        <v>45233</v>
      </c>
      <c r="B2070" s="188" t="s">
        <v>1976</v>
      </c>
      <c r="C2070" s="188" t="s">
        <v>49</v>
      </c>
      <c r="D2070" s="188" t="s">
        <v>50</v>
      </c>
      <c r="E2070" s="4">
        <v>0</v>
      </c>
      <c r="F2070" s="3">
        <v>175050</v>
      </c>
      <c r="G2070" s="4">
        <v>36760.5</v>
      </c>
      <c r="H2070" s="4">
        <v>211810.5</v>
      </c>
      <c r="I2070" s="188" t="str">
        <f>VLOOKUP(C2070,CATEGORIZACION!$A$1:$C$269,2,FALSE)</f>
        <v>PROOVEDORES</v>
      </c>
      <c r="J2070" s="188" t="str">
        <f>VLOOKUP(C2070,CATEGORIZACION!$A$1:$C$269,3,FALSE)</f>
        <v>DEPOSITO</v>
      </c>
    </row>
    <row r="2071" spans="1:10" ht="15.75" customHeight="1" x14ac:dyDescent="0.25">
      <c r="A2071" s="1">
        <v>45233</v>
      </c>
      <c r="B2071" s="188" t="s">
        <v>1977</v>
      </c>
      <c r="C2071" s="188" t="s">
        <v>49</v>
      </c>
      <c r="D2071" s="188" t="s">
        <v>50</v>
      </c>
      <c r="E2071" s="4">
        <v>0</v>
      </c>
      <c r="F2071" s="3">
        <v>175050</v>
      </c>
      <c r="G2071" s="4">
        <v>36760.5</v>
      </c>
      <c r="H2071" s="4">
        <v>211810.5</v>
      </c>
      <c r="I2071" s="188" t="str">
        <f>VLOOKUP(C2071,CATEGORIZACION!$A$1:$C$269,2,FALSE)</f>
        <v>PROOVEDORES</v>
      </c>
      <c r="J2071" s="188" t="str">
        <f>VLOOKUP(C2071,CATEGORIZACION!$A$1:$C$269,3,FALSE)</f>
        <v>DEPOSITO</v>
      </c>
    </row>
    <row r="2072" spans="1:10" ht="15.75" customHeight="1" x14ac:dyDescent="0.25">
      <c r="A2072" s="1">
        <v>45233</v>
      </c>
      <c r="B2072" s="188" t="s">
        <v>1978</v>
      </c>
      <c r="C2072" s="188" t="s">
        <v>714</v>
      </c>
      <c r="D2072" s="188" t="s">
        <v>715</v>
      </c>
      <c r="E2072" s="4">
        <v>0.02</v>
      </c>
      <c r="F2072" s="3">
        <v>675412.47999999998</v>
      </c>
      <c r="G2072" s="4">
        <v>141836.62</v>
      </c>
      <c r="H2072" s="4">
        <v>817249.12</v>
      </c>
      <c r="I2072" s="188" t="str">
        <f>VLOOKUP(C2072,CATEGORIZACION!$A$1:$C$269,2,FALSE)</f>
        <v>PROOVEDORES</v>
      </c>
      <c r="J2072" s="188" t="str">
        <f>VLOOKUP(C2072,CATEGORIZACION!$A$1:$C$269,3,FALSE)</f>
        <v>DEPOSITO</v>
      </c>
    </row>
    <row r="2073" spans="1:10" ht="15.75" customHeight="1" x14ac:dyDescent="0.25">
      <c r="A2073" s="1">
        <v>45233</v>
      </c>
      <c r="B2073" s="188" t="s">
        <v>1979</v>
      </c>
      <c r="C2073" s="188" t="s">
        <v>801</v>
      </c>
      <c r="D2073" s="188" t="s">
        <v>802</v>
      </c>
      <c r="E2073" s="4">
        <v>3853.96</v>
      </c>
      <c r="F2073" s="5">
        <v>27526.95</v>
      </c>
      <c r="G2073" s="4">
        <v>5780.66</v>
      </c>
      <c r="H2073" s="4">
        <v>37161.57</v>
      </c>
      <c r="I2073" s="188" t="str">
        <f>VLOOKUP(C2073,CATEGORIZACION!$A$1:$C$269,2,FALSE)</f>
        <v>PROOVEDORES</v>
      </c>
      <c r="J2073" s="188" t="str">
        <f>VLOOKUP(C2073,CATEGORIZACION!$A$1:$C$269,3,FALSE)</f>
        <v>LOGISTICA</v>
      </c>
    </row>
    <row r="2074" spans="1:10" ht="15.75" customHeight="1" x14ac:dyDescent="0.25">
      <c r="A2074" s="1">
        <v>45233</v>
      </c>
      <c r="B2074" s="188" t="s">
        <v>1980</v>
      </c>
      <c r="C2074" s="188" t="s">
        <v>801</v>
      </c>
      <c r="D2074" s="188" t="s">
        <v>802</v>
      </c>
      <c r="E2074" s="4">
        <v>26634.84</v>
      </c>
      <c r="F2074" s="5">
        <v>190238.27</v>
      </c>
      <c r="G2074" s="4">
        <v>39950.04</v>
      </c>
      <c r="H2074" s="4">
        <v>256823.15</v>
      </c>
      <c r="I2074" s="188" t="str">
        <f>VLOOKUP(C2074,CATEGORIZACION!$A$1:$C$269,2,FALSE)</f>
        <v>PROOVEDORES</v>
      </c>
      <c r="J2074" s="188" t="str">
        <f>VLOOKUP(C2074,CATEGORIZACION!$A$1:$C$269,3,FALSE)</f>
        <v>LOGISTICA</v>
      </c>
    </row>
    <row r="2075" spans="1:10" ht="15.75" customHeight="1" x14ac:dyDescent="0.25">
      <c r="A2075" s="1">
        <v>45233</v>
      </c>
      <c r="B2075" s="188" t="s">
        <v>1981</v>
      </c>
      <c r="C2075" s="188" t="s">
        <v>918</v>
      </c>
      <c r="D2075" s="188" t="s">
        <v>919</v>
      </c>
      <c r="E2075" s="4">
        <v>343.64</v>
      </c>
      <c r="F2075" s="5">
        <v>24545.51</v>
      </c>
      <c r="G2075" s="4">
        <v>5154.5600000000004</v>
      </c>
      <c r="H2075" s="4">
        <v>30043.71</v>
      </c>
      <c r="I2075" s="188" t="str">
        <f>VLOOKUP(C2075,CATEGORIZACION!$A$1:$C$269,2,FALSE)</f>
        <v>PROOVEDORES</v>
      </c>
      <c r="J2075" s="188" t="str">
        <f>VLOOKUP(C2075,CATEGORIZACION!$A$1:$C$269,3,FALSE)</f>
        <v>LOGISTICA</v>
      </c>
    </row>
    <row r="2076" spans="1:10" ht="15.75" customHeight="1" x14ac:dyDescent="0.25">
      <c r="A2076" s="1">
        <v>45233</v>
      </c>
      <c r="B2076" s="188" t="s">
        <v>1982</v>
      </c>
      <c r="C2076" s="188" t="s">
        <v>918</v>
      </c>
      <c r="D2076" s="188" t="s">
        <v>919</v>
      </c>
      <c r="E2076" s="4">
        <v>55.54</v>
      </c>
      <c r="F2076" s="5">
        <v>3966.95</v>
      </c>
      <c r="G2076" s="4">
        <v>833.06</v>
      </c>
      <c r="H2076" s="4">
        <v>4855.55</v>
      </c>
      <c r="I2076" s="188" t="str">
        <f>VLOOKUP(C2076,CATEGORIZACION!$A$1:$C$269,2,FALSE)</f>
        <v>PROOVEDORES</v>
      </c>
      <c r="J2076" s="188" t="str">
        <f>VLOOKUP(C2076,CATEGORIZACION!$A$1:$C$269,3,FALSE)</f>
        <v>LOGISTICA</v>
      </c>
    </row>
    <row r="2077" spans="1:10" ht="15.75" customHeight="1" x14ac:dyDescent="0.25">
      <c r="A2077" s="1">
        <v>45233</v>
      </c>
      <c r="B2077" s="188" t="s">
        <v>1983</v>
      </c>
      <c r="C2077" s="188" t="s">
        <v>804</v>
      </c>
      <c r="D2077" s="188" t="s">
        <v>805</v>
      </c>
      <c r="E2077" s="4">
        <v>180</v>
      </c>
      <c r="F2077" s="5">
        <v>4090.92</v>
      </c>
      <c r="G2077" s="4">
        <v>859.09</v>
      </c>
      <c r="H2077" s="4">
        <v>5130.01</v>
      </c>
      <c r="I2077" s="188" t="str">
        <f>VLOOKUP(C2077,CATEGORIZACION!$A$1:$C$269,2,FALSE)</f>
        <v>PROOVEDORES</v>
      </c>
      <c r="J2077" s="188" t="str">
        <f>VLOOKUP(C2077,CATEGORIZACION!$A$1:$C$269,3,FALSE)</f>
        <v>LOGISTICA</v>
      </c>
    </row>
    <row r="2078" spans="1:10" ht="15.75" customHeight="1" x14ac:dyDescent="0.25">
      <c r="A2078" s="1">
        <v>45233</v>
      </c>
      <c r="B2078" s="188" t="s">
        <v>1984</v>
      </c>
      <c r="C2078" s="188" t="s">
        <v>804</v>
      </c>
      <c r="D2078" s="188" t="s">
        <v>805</v>
      </c>
      <c r="E2078" s="4">
        <v>2090.91</v>
      </c>
      <c r="F2078" s="5">
        <v>47520.79</v>
      </c>
      <c r="G2078" s="4">
        <v>9979.3700000000008</v>
      </c>
      <c r="H2078" s="4">
        <v>59591.07</v>
      </c>
      <c r="I2078" s="188" t="str">
        <f>VLOOKUP(C2078,CATEGORIZACION!$A$1:$C$269,2,FALSE)</f>
        <v>PROOVEDORES</v>
      </c>
      <c r="J2078" s="188" t="str">
        <f>VLOOKUP(C2078,CATEGORIZACION!$A$1:$C$269,3,FALSE)</f>
        <v>LOGISTICA</v>
      </c>
    </row>
    <row r="2079" spans="1:10" ht="15.75" customHeight="1" x14ac:dyDescent="0.25">
      <c r="A2079" s="1">
        <v>45234</v>
      </c>
      <c r="B2079" s="188" t="s">
        <v>1985</v>
      </c>
      <c r="C2079" s="188" t="s">
        <v>36</v>
      </c>
      <c r="D2079" s="188" t="s">
        <v>37</v>
      </c>
      <c r="E2079" s="4">
        <v>6200</v>
      </c>
      <c r="F2079" s="5">
        <v>79400</v>
      </c>
      <c r="G2079" s="4">
        <v>16674</v>
      </c>
      <c r="H2079" s="4">
        <v>102274</v>
      </c>
      <c r="I2079" s="188" t="str">
        <f>VLOOKUP(C2079,CATEGORIZACION!$A$1:$C$269,2,FALSE)</f>
        <v>TRANSPORTE</v>
      </c>
      <c r="J2079" s="188" t="s">
        <v>19</v>
      </c>
    </row>
    <row r="2080" spans="1:10" ht="15.75" customHeight="1" x14ac:dyDescent="0.25">
      <c r="A2080" s="1">
        <v>45234</v>
      </c>
      <c r="B2080" s="188" t="s">
        <v>1986</v>
      </c>
      <c r="C2080" s="188" t="s">
        <v>36</v>
      </c>
      <c r="D2080" s="188" t="s">
        <v>37</v>
      </c>
      <c r="E2080" s="4">
        <v>6200</v>
      </c>
      <c r="F2080" s="5">
        <v>79400</v>
      </c>
      <c r="G2080" s="4">
        <v>16674</v>
      </c>
      <c r="H2080" s="4">
        <v>102274</v>
      </c>
      <c r="I2080" s="188" t="str">
        <f>VLOOKUP(C2080,CATEGORIZACION!$A$1:$C$269,2,FALSE)</f>
        <v>TRANSPORTE</v>
      </c>
      <c r="J2080" s="188" t="s">
        <v>19</v>
      </c>
    </row>
    <row r="2081" spans="1:10" ht="15.75" customHeight="1" x14ac:dyDescent="0.25">
      <c r="A2081" s="1">
        <v>45234</v>
      </c>
      <c r="B2081" s="188" t="s">
        <v>1987</v>
      </c>
      <c r="C2081" s="188" t="s">
        <v>36</v>
      </c>
      <c r="D2081" s="188" t="s">
        <v>37</v>
      </c>
      <c r="E2081" s="4">
        <v>9200</v>
      </c>
      <c r="F2081" s="5">
        <v>169550</v>
      </c>
      <c r="G2081" s="4">
        <v>35605.5</v>
      </c>
      <c r="H2081" s="4">
        <v>214355.5</v>
      </c>
      <c r="I2081" s="188" t="str">
        <f>VLOOKUP(C2081,CATEGORIZACION!$A$1:$C$269,2,FALSE)</f>
        <v>TRANSPORTE</v>
      </c>
      <c r="J2081" s="188" t="s">
        <v>19</v>
      </c>
    </row>
    <row r="2082" spans="1:10" ht="15.75" customHeight="1" x14ac:dyDescent="0.25">
      <c r="A2082" s="1">
        <v>45234</v>
      </c>
      <c r="B2082" s="188" t="s">
        <v>1988</v>
      </c>
      <c r="C2082" s="188" t="s">
        <v>36</v>
      </c>
      <c r="D2082" s="188" t="s">
        <v>37</v>
      </c>
      <c r="E2082" s="4">
        <v>9200</v>
      </c>
      <c r="F2082" s="5">
        <v>169550</v>
      </c>
      <c r="G2082" s="4">
        <v>35605.5</v>
      </c>
      <c r="H2082" s="4">
        <v>214355.5</v>
      </c>
      <c r="I2082" s="188" t="str">
        <f>VLOOKUP(C2082,CATEGORIZACION!$A$1:$C$269,2,FALSE)</f>
        <v>TRANSPORTE</v>
      </c>
      <c r="J2082" s="188" t="s">
        <v>19</v>
      </c>
    </row>
    <row r="2083" spans="1:10" ht="15.75" customHeight="1" x14ac:dyDescent="0.25">
      <c r="A2083" s="1">
        <v>45234</v>
      </c>
      <c r="B2083" s="188" t="s">
        <v>1989</v>
      </c>
      <c r="C2083" s="188" t="s">
        <v>36</v>
      </c>
      <c r="D2083" s="188" t="s">
        <v>37</v>
      </c>
      <c r="E2083" s="4">
        <v>9200</v>
      </c>
      <c r="F2083" s="5">
        <v>169550</v>
      </c>
      <c r="G2083" s="4">
        <v>35605.5</v>
      </c>
      <c r="H2083" s="4">
        <v>214355.5</v>
      </c>
      <c r="I2083" s="188" t="str">
        <f>VLOOKUP(C2083,CATEGORIZACION!$A$1:$C$269,2,FALSE)</f>
        <v>TRANSPORTE</v>
      </c>
      <c r="J2083" s="188" t="s">
        <v>19</v>
      </c>
    </row>
    <row r="2084" spans="1:10" ht="15.75" customHeight="1" x14ac:dyDescent="0.25">
      <c r="A2084" s="1">
        <v>45234</v>
      </c>
      <c r="B2084" s="188" t="s">
        <v>1990</v>
      </c>
      <c r="C2084" s="188" t="s">
        <v>36</v>
      </c>
      <c r="D2084" s="188" t="s">
        <v>37</v>
      </c>
      <c r="E2084" s="4">
        <v>9200</v>
      </c>
      <c r="F2084" s="5">
        <v>169550</v>
      </c>
      <c r="G2084" s="4">
        <v>35605.5</v>
      </c>
      <c r="H2084" s="4">
        <v>214355.5</v>
      </c>
      <c r="I2084" s="188" t="str">
        <f>VLOOKUP(C2084,CATEGORIZACION!$A$1:$C$269,2,FALSE)</f>
        <v>TRANSPORTE</v>
      </c>
      <c r="J2084" s="188" t="s">
        <v>19</v>
      </c>
    </row>
    <row r="2085" spans="1:10" ht="15.75" customHeight="1" x14ac:dyDescent="0.25">
      <c r="A2085" s="1">
        <v>45234</v>
      </c>
      <c r="B2085" s="188" t="s">
        <v>1991</v>
      </c>
      <c r="C2085" s="188" t="s">
        <v>36</v>
      </c>
      <c r="D2085" s="188" t="s">
        <v>37</v>
      </c>
      <c r="E2085" s="4">
        <v>9200</v>
      </c>
      <c r="F2085" s="5">
        <v>169550</v>
      </c>
      <c r="G2085" s="4">
        <v>35605.5</v>
      </c>
      <c r="H2085" s="4">
        <v>214355.5</v>
      </c>
      <c r="I2085" s="188" t="str">
        <f>VLOOKUP(C2085,CATEGORIZACION!$A$1:$C$269,2,FALSE)</f>
        <v>TRANSPORTE</v>
      </c>
      <c r="J2085" s="188" t="s">
        <v>19</v>
      </c>
    </row>
    <row r="2086" spans="1:10" ht="15.75" customHeight="1" x14ac:dyDescent="0.25">
      <c r="A2086" s="1">
        <v>45234</v>
      </c>
      <c r="B2086" s="188" t="s">
        <v>1992</v>
      </c>
      <c r="C2086" s="188" t="s">
        <v>36</v>
      </c>
      <c r="D2086" s="188" t="s">
        <v>37</v>
      </c>
      <c r="E2086" s="4">
        <v>5000</v>
      </c>
      <c r="F2086" s="5">
        <v>237500</v>
      </c>
      <c r="G2086" s="4">
        <v>49875</v>
      </c>
      <c r="H2086" s="4">
        <v>292375</v>
      </c>
      <c r="I2086" s="188" t="str">
        <f>VLOOKUP(C2086,CATEGORIZACION!$A$1:$C$269,2,FALSE)</f>
        <v>TRANSPORTE</v>
      </c>
      <c r="J2086" s="188" t="s">
        <v>19</v>
      </c>
    </row>
    <row r="2087" spans="1:10" ht="15.75" customHeight="1" x14ac:dyDescent="0.25">
      <c r="A2087" s="1">
        <v>45234</v>
      </c>
      <c r="B2087" s="188" t="s">
        <v>1993</v>
      </c>
      <c r="C2087" s="188" t="s">
        <v>36</v>
      </c>
      <c r="D2087" s="188" t="s">
        <v>37</v>
      </c>
      <c r="E2087" s="4">
        <v>10500</v>
      </c>
      <c r="F2087" s="5">
        <v>237500</v>
      </c>
      <c r="G2087" s="4">
        <v>49875</v>
      </c>
      <c r="H2087" s="4">
        <v>297875</v>
      </c>
      <c r="I2087" s="188" t="str">
        <f>VLOOKUP(C2087,CATEGORIZACION!$A$1:$C$269,2,FALSE)</f>
        <v>TRANSPORTE</v>
      </c>
      <c r="J2087" s="188" t="s">
        <v>19</v>
      </c>
    </row>
    <row r="2088" spans="1:10" ht="15.75" customHeight="1" x14ac:dyDescent="0.25">
      <c r="A2088" s="1">
        <v>45234</v>
      </c>
      <c r="B2088" s="188" t="s">
        <v>1994</v>
      </c>
      <c r="C2088" s="188" t="s">
        <v>36</v>
      </c>
      <c r="D2088" s="188" t="s">
        <v>37</v>
      </c>
      <c r="E2088" s="4">
        <v>5000</v>
      </c>
      <c r="F2088" s="5">
        <v>256500</v>
      </c>
      <c r="G2088" s="4">
        <v>53865</v>
      </c>
      <c r="H2088" s="4">
        <v>315365</v>
      </c>
      <c r="I2088" s="188" t="str">
        <f>VLOOKUP(C2088,CATEGORIZACION!$A$1:$C$269,2,FALSE)</f>
        <v>TRANSPORTE</v>
      </c>
      <c r="J2088" s="188" t="s">
        <v>19</v>
      </c>
    </row>
    <row r="2089" spans="1:10" ht="15.75" customHeight="1" x14ac:dyDescent="0.25">
      <c r="A2089" s="1">
        <v>45234</v>
      </c>
      <c r="B2089" s="188" t="s">
        <v>1995</v>
      </c>
      <c r="C2089" s="188" t="s">
        <v>36</v>
      </c>
      <c r="D2089" s="188" t="s">
        <v>37</v>
      </c>
      <c r="E2089" s="4">
        <v>9200</v>
      </c>
      <c r="F2089" s="5">
        <v>91650</v>
      </c>
      <c r="G2089" s="4">
        <v>19246.5</v>
      </c>
      <c r="H2089" s="4">
        <v>120096.5</v>
      </c>
      <c r="I2089" s="188" t="str">
        <f>VLOOKUP(C2089,CATEGORIZACION!$A$1:$C$269,2,FALSE)</f>
        <v>TRANSPORTE</v>
      </c>
      <c r="J2089" s="188" t="s">
        <v>19</v>
      </c>
    </row>
    <row r="2090" spans="1:10" ht="15.75" customHeight="1" x14ac:dyDescent="0.25">
      <c r="A2090" s="1">
        <v>45234</v>
      </c>
      <c r="B2090" s="188" t="s">
        <v>1996</v>
      </c>
      <c r="C2090" s="188" t="s">
        <v>36</v>
      </c>
      <c r="D2090" s="188" t="s">
        <v>37</v>
      </c>
      <c r="E2090" s="4">
        <v>9200</v>
      </c>
      <c r="F2090" s="5">
        <v>91650</v>
      </c>
      <c r="G2090" s="4">
        <v>19246.5</v>
      </c>
      <c r="H2090" s="4">
        <v>120096.5</v>
      </c>
      <c r="I2090" s="188" t="str">
        <f>VLOOKUP(C2090,CATEGORIZACION!$A$1:$C$269,2,FALSE)</f>
        <v>TRANSPORTE</v>
      </c>
      <c r="J2090" s="188" t="s">
        <v>19</v>
      </c>
    </row>
    <row r="2091" spans="1:10" ht="15.75" customHeight="1" x14ac:dyDescent="0.25">
      <c r="A2091" s="1">
        <v>45236</v>
      </c>
      <c r="B2091" s="188" t="s">
        <v>1997</v>
      </c>
      <c r="C2091" s="188" t="s">
        <v>101</v>
      </c>
      <c r="D2091" s="188" t="s">
        <v>102</v>
      </c>
      <c r="E2091" s="4">
        <v>5602.5</v>
      </c>
      <c r="F2091" s="3">
        <v>1400625</v>
      </c>
      <c r="G2091" s="4">
        <v>294131.25</v>
      </c>
      <c r="H2091" s="4">
        <v>1700358.75</v>
      </c>
      <c r="I2091" s="188" t="str">
        <f>VLOOKUP(C2091,CATEGORIZACION!$A$1:$C$269,2,FALSE)</f>
        <v>ALQUILER</v>
      </c>
      <c r="J2091" s="188" t="s">
        <v>103</v>
      </c>
    </row>
    <row r="2092" spans="1:10" ht="15.75" customHeight="1" x14ac:dyDescent="0.25">
      <c r="A2092" s="1">
        <v>45236</v>
      </c>
      <c r="B2092" s="188" t="s">
        <v>1998</v>
      </c>
      <c r="C2092" s="188" t="s">
        <v>450</v>
      </c>
      <c r="D2092" s="188" t="s">
        <v>451</v>
      </c>
      <c r="E2092" s="4">
        <v>0</v>
      </c>
      <c r="F2092" s="3">
        <v>61460.33</v>
      </c>
      <c r="G2092" s="4">
        <v>12906.67</v>
      </c>
      <c r="H2092" s="4">
        <v>74367</v>
      </c>
      <c r="I2092" s="188" t="str">
        <f>VLOOKUP(C2092,CATEGORIZACION!$A$1:$C$269,2,FALSE)</f>
        <v>PROOVEDORES</v>
      </c>
      <c r="J2092" s="188" t="str">
        <f>VLOOKUP(C2092,CATEGORIZACION!$A$1:$C$269,3,FALSE)</f>
        <v>DEPOSITO</v>
      </c>
    </row>
    <row r="2093" spans="1:10" ht="15.75" customHeight="1" x14ac:dyDescent="0.25">
      <c r="A2093" s="1">
        <v>45236</v>
      </c>
      <c r="B2093" s="188" t="s">
        <v>1999</v>
      </c>
      <c r="C2093" s="188" t="s">
        <v>36</v>
      </c>
      <c r="D2093" s="188" t="s">
        <v>37</v>
      </c>
      <c r="E2093" s="4">
        <v>12500</v>
      </c>
      <c r="F2093" s="5">
        <v>206940</v>
      </c>
      <c r="G2093" s="4">
        <v>43457.4</v>
      </c>
      <c r="H2093" s="4">
        <v>262897.40000000002</v>
      </c>
      <c r="I2093" s="188" t="str">
        <f>VLOOKUP(C2093,CATEGORIZACION!$A$1:$C$269,2,FALSE)</f>
        <v>TRANSPORTE</v>
      </c>
      <c r="J2093" s="188" t="s">
        <v>19</v>
      </c>
    </row>
    <row r="2094" spans="1:10" ht="15.75" customHeight="1" x14ac:dyDescent="0.25">
      <c r="A2094" s="1">
        <v>45236</v>
      </c>
      <c r="B2094" s="188" t="s">
        <v>2000</v>
      </c>
      <c r="C2094" s="188" t="s">
        <v>36</v>
      </c>
      <c r="D2094" s="188" t="s">
        <v>37</v>
      </c>
      <c r="E2094" s="4">
        <v>9200</v>
      </c>
      <c r="F2094" s="5">
        <v>100800</v>
      </c>
      <c r="G2094" s="4">
        <v>21168</v>
      </c>
      <c r="H2094" s="4">
        <v>131168</v>
      </c>
      <c r="I2094" s="188" t="str">
        <f>VLOOKUP(C2094,CATEGORIZACION!$A$1:$C$269,2,FALSE)</f>
        <v>TRANSPORTE</v>
      </c>
      <c r="J2094" s="188" t="s">
        <v>19</v>
      </c>
    </row>
    <row r="2095" spans="1:10" ht="15.75" customHeight="1" x14ac:dyDescent="0.25">
      <c r="A2095" s="1">
        <v>45236</v>
      </c>
      <c r="B2095" s="188" t="s">
        <v>2001</v>
      </c>
      <c r="C2095" s="188" t="s">
        <v>36</v>
      </c>
      <c r="D2095" s="188" t="s">
        <v>37</v>
      </c>
      <c r="E2095" s="4">
        <v>6200</v>
      </c>
      <c r="F2095" s="5">
        <v>79400</v>
      </c>
      <c r="G2095" s="4">
        <v>16674</v>
      </c>
      <c r="H2095" s="4">
        <v>102274</v>
      </c>
      <c r="I2095" s="188" t="str">
        <f>VLOOKUP(C2095,CATEGORIZACION!$A$1:$C$269,2,FALSE)</f>
        <v>TRANSPORTE</v>
      </c>
      <c r="J2095" s="188" t="s">
        <v>19</v>
      </c>
    </row>
    <row r="2096" spans="1:10" ht="15.75" customHeight="1" x14ac:dyDescent="0.25">
      <c r="A2096" s="1">
        <v>45236</v>
      </c>
      <c r="B2096" s="188" t="s">
        <v>2002</v>
      </c>
      <c r="C2096" s="188" t="s">
        <v>36</v>
      </c>
      <c r="D2096" s="188" t="s">
        <v>37</v>
      </c>
      <c r="E2096" s="4">
        <v>12500</v>
      </c>
      <c r="F2096" s="5">
        <v>191400</v>
      </c>
      <c r="G2096" s="4">
        <v>40194</v>
      </c>
      <c r="H2096" s="4">
        <v>244094</v>
      </c>
      <c r="I2096" s="188" t="str">
        <f>VLOOKUP(C2096,CATEGORIZACION!$A$1:$C$269,2,FALSE)</f>
        <v>TRANSPORTE</v>
      </c>
      <c r="J2096" s="188" t="s">
        <v>19</v>
      </c>
    </row>
    <row r="2097" spans="1:10" ht="15.75" customHeight="1" x14ac:dyDescent="0.25">
      <c r="A2097" s="1">
        <v>45236</v>
      </c>
      <c r="B2097" s="188" t="s">
        <v>2003</v>
      </c>
      <c r="C2097" s="188" t="s">
        <v>36</v>
      </c>
      <c r="D2097" s="188" t="s">
        <v>37</v>
      </c>
      <c r="E2097" s="4">
        <v>1500</v>
      </c>
      <c r="F2097" s="5">
        <v>70400</v>
      </c>
      <c r="G2097" s="4">
        <v>14784</v>
      </c>
      <c r="H2097" s="4">
        <v>86684</v>
      </c>
      <c r="I2097" s="188" t="str">
        <f>VLOOKUP(C2097,CATEGORIZACION!$A$1:$C$269,2,FALSE)</f>
        <v>TRANSPORTE</v>
      </c>
      <c r="J2097" s="188" t="s">
        <v>19</v>
      </c>
    </row>
    <row r="2098" spans="1:10" ht="15.75" customHeight="1" x14ac:dyDescent="0.25">
      <c r="A2098" s="1">
        <v>45236</v>
      </c>
      <c r="B2098" s="188" t="s">
        <v>2004</v>
      </c>
      <c r="C2098" s="188" t="s">
        <v>36</v>
      </c>
      <c r="D2098" s="188" t="s">
        <v>37</v>
      </c>
      <c r="E2098" s="4">
        <v>4500</v>
      </c>
      <c r="F2098" s="5">
        <v>88000</v>
      </c>
      <c r="G2098" s="4">
        <v>18480</v>
      </c>
      <c r="H2098" s="4">
        <v>110980</v>
      </c>
      <c r="I2098" s="188" t="str">
        <f>VLOOKUP(C2098,CATEGORIZACION!$A$1:$C$269,2,FALSE)</f>
        <v>TRANSPORTE</v>
      </c>
      <c r="J2098" s="188" t="s">
        <v>19</v>
      </c>
    </row>
    <row r="2099" spans="1:10" ht="15.75" customHeight="1" x14ac:dyDescent="0.25">
      <c r="A2099" s="1">
        <v>45237</v>
      </c>
      <c r="B2099" s="188" t="s">
        <v>2005</v>
      </c>
      <c r="C2099" s="188" t="s">
        <v>2006</v>
      </c>
      <c r="D2099" s="188" t="s">
        <v>2007</v>
      </c>
      <c r="E2099" s="4">
        <v>0.02</v>
      </c>
      <c r="F2099" s="5">
        <v>49999.95</v>
      </c>
      <c r="G2099" s="4">
        <v>10499.99</v>
      </c>
      <c r="H2099" s="4">
        <v>60499.96</v>
      </c>
      <c r="I2099" s="188" t="str">
        <f>VLOOKUP(C2099,CATEGORIZACION!$A$1:$C$269,2,FALSE)</f>
        <v>AFIP</v>
      </c>
      <c r="J2099" s="188" t="s">
        <v>19</v>
      </c>
    </row>
    <row r="2100" spans="1:10" ht="15.75" customHeight="1" x14ac:dyDescent="0.25">
      <c r="A2100" s="1">
        <v>45237</v>
      </c>
      <c r="B2100" s="188" t="s">
        <v>2008</v>
      </c>
      <c r="C2100" s="188" t="s">
        <v>21</v>
      </c>
      <c r="D2100" s="188" t="s">
        <v>22</v>
      </c>
      <c r="E2100" s="4">
        <v>17680</v>
      </c>
      <c r="F2100" s="5">
        <v>855600</v>
      </c>
      <c r="G2100" s="4">
        <v>179676</v>
      </c>
      <c r="H2100" s="4">
        <v>1052956</v>
      </c>
      <c r="I2100" s="188" t="str">
        <f>VLOOKUP(C2100,CATEGORIZACION!$A$1:$C$269,2,FALSE)</f>
        <v>TRANSPORTE</v>
      </c>
      <c r="J2100" s="188" t="s">
        <v>19</v>
      </c>
    </row>
    <row r="2101" spans="1:10" ht="15.75" customHeight="1" x14ac:dyDescent="0.25">
      <c r="A2101" s="1">
        <v>45237</v>
      </c>
      <c r="B2101" s="188" t="s">
        <v>2009</v>
      </c>
      <c r="C2101" s="188" t="s">
        <v>21</v>
      </c>
      <c r="D2101" s="188" t="s">
        <v>22</v>
      </c>
      <c r="E2101" s="4">
        <v>17680</v>
      </c>
      <c r="F2101" s="5">
        <v>855600</v>
      </c>
      <c r="G2101" s="4">
        <v>179676</v>
      </c>
      <c r="H2101" s="4">
        <v>1052956</v>
      </c>
      <c r="I2101" s="188" t="str">
        <f>VLOOKUP(C2101,CATEGORIZACION!$A$1:$C$269,2,FALSE)</f>
        <v>TRANSPORTE</v>
      </c>
      <c r="J2101" s="188" t="s">
        <v>19</v>
      </c>
    </row>
    <row r="2102" spans="1:10" ht="15.75" customHeight="1" x14ac:dyDescent="0.25">
      <c r="A2102" s="1">
        <v>45237</v>
      </c>
      <c r="B2102" s="188" t="s">
        <v>2010</v>
      </c>
      <c r="C2102" s="188" t="s">
        <v>21</v>
      </c>
      <c r="D2102" s="188" t="s">
        <v>22</v>
      </c>
      <c r="E2102" s="4">
        <v>17680</v>
      </c>
      <c r="F2102" s="5">
        <v>855600</v>
      </c>
      <c r="G2102" s="4">
        <v>179676</v>
      </c>
      <c r="H2102" s="4">
        <v>1052956</v>
      </c>
      <c r="I2102" s="188" t="str">
        <f>VLOOKUP(C2102,CATEGORIZACION!$A$1:$C$269,2,FALSE)</f>
        <v>TRANSPORTE</v>
      </c>
      <c r="J2102" s="188" t="s">
        <v>19</v>
      </c>
    </row>
    <row r="2103" spans="1:10" ht="15.75" customHeight="1" x14ac:dyDescent="0.25">
      <c r="A2103" s="1">
        <v>45237</v>
      </c>
      <c r="B2103" s="188" t="s">
        <v>2011</v>
      </c>
      <c r="C2103" s="188" t="s">
        <v>21</v>
      </c>
      <c r="D2103" s="188" t="s">
        <v>22</v>
      </c>
      <c r="E2103" s="4">
        <v>23360</v>
      </c>
      <c r="F2103" s="5">
        <v>424000</v>
      </c>
      <c r="G2103" s="4">
        <v>89040</v>
      </c>
      <c r="H2103" s="4">
        <v>536400</v>
      </c>
      <c r="I2103" s="188" t="str">
        <f>VLOOKUP(C2103,CATEGORIZACION!$A$1:$C$269,2,FALSE)</f>
        <v>TRANSPORTE</v>
      </c>
      <c r="J2103" s="188" t="s">
        <v>19</v>
      </c>
    </row>
    <row r="2104" spans="1:10" ht="15.75" customHeight="1" x14ac:dyDescent="0.25">
      <c r="A2104" s="1">
        <v>45238</v>
      </c>
      <c r="B2104" s="188" t="s">
        <v>2012</v>
      </c>
      <c r="C2104" s="188" t="s">
        <v>21</v>
      </c>
      <c r="D2104" s="188" t="s">
        <v>22</v>
      </c>
      <c r="E2104" s="4">
        <v>26880</v>
      </c>
      <c r="F2104" s="5">
        <v>730000</v>
      </c>
      <c r="G2104" s="4">
        <v>153300</v>
      </c>
      <c r="H2104" s="4">
        <v>910180</v>
      </c>
      <c r="I2104" s="188" t="str">
        <f>VLOOKUP(C2104,CATEGORIZACION!$A$1:$C$269,2,FALSE)</f>
        <v>TRANSPORTE</v>
      </c>
      <c r="J2104" s="188" t="s">
        <v>19</v>
      </c>
    </row>
    <row r="2105" spans="1:10" ht="15.75" customHeight="1" x14ac:dyDescent="0.25">
      <c r="A2105" s="1">
        <v>45238</v>
      </c>
      <c r="B2105" s="188" t="s">
        <v>2013</v>
      </c>
      <c r="C2105" s="188" t="s">
        <v>21</v>
      </c>
      <c r="D2105" s="188" t="s">
        <v>22</v>
      </c>
      <c r="E2105" s="4">
        <v>22200</v>
      </c>
      <c r="F2105" s="5">
        <v>410000</v>
      </c>
      <c r="G2105" s="4">
        <v>86100</v>
      </c>
      <c r="H2105" s="4">
        <v>518300</v>
      </c>
      <c r="I2105" s="188" t="str">
        <f>VLOOKUP(C2105,CATEGORIZACION!$A$1:$C$269,2,FALSE)</f>
        <v>TRANSPORTE</v>
      </c>
      <c r="J2105" s="188" t="s">
        <v>19</v>
      </c>
    </row>
    <row r="2106" spans="1:10" ht="15.75" customHeight="1" x14ac:dyDescent="0.25">
      <c r="A2106" s="1">
        <v>45238</v>
      </c>
      <c r="B2106" s="188" t="s">
        <v>2014</v>
      </c>
      <c r="C2106" s="188" t="s">
        <v>21</v>
      </c>
      <c r="D2106" s="188" t="s">
        <v>22</v>
      </c>
      <c r="E2106" s="4">
        <v>12560</v>
      </c>
      <c r="F2106" s="5">
        <v>146000</v>
      </c>
      <c r="G2106" s="4">
        <v>30660</v>
      </c>
      <c r="H2106" s="4">
        <v>189220</v>
      </c>
      <c r="I2106" s="188" t="str">
        <f>VLOOKUP(C2106,CATEGORIZACION!$A$1:$C$269,2,FALSE)</f>
        <v>TRANSPORTE</v>
      </c>
      <c r="J2106" s="188" t="s">
        <v>19</v>
      </c>
    </row>
    <row r="2107" spans="1:10" ht="15.75" customHeight="1" x14ac:dyDescent="0.25">
      <c r="A2107" s="1">
        <v>45238</v>
      </c>
      <c r="B2107" s="188" t="s">
        <v>2015</v>
      </c>
      <c r="C2107" s="188" t="s">
        <v>21</v>
      </c>
      <c r="D2107" s="188" t="s">
        <v>22</v>
      </c>
      <c r="E2107" s="4">
        <v>17520</v>
      </c>
      <c r="F2107" s="5">
        <v>424000</v>
      </c>
      <c r="G2107" s="4">
        <v>89040</v>
      </c>
      <c r="H2107" s="4">
        <v>530560</v>
      </c>
      <c r="I2107" s="188" t="str">
        <f>VLOOKUP(C2107,CATEGORIZACION!$A$1:$C$269,2,FALSE)</f>
        <v>TRANSPORTE</v>
      </c>
      <c r="J2107" s="188" t="s">
        <v>19</v>
      </c>
    </row>
    <row r="2108" spans="1:10" ht="15.75" customHeight="1" x14ac:dyDescent="0.25">
      <c r="A2108" s="1">
        <v>45239</v>
      </c>
      <c r="B2108" s="188" t="s">
        <v>2016</v>
      </c>
      <c r="C2108" s="188" t="s">
        <v>2017</v>
      </c>
      <c r="D2108" s="188" t="s">
        <v>2018</v>
      </c>
      <c r="E2108" s="4">
        <v>0</v>
      </c>
      <c r="F2108" s="5">
        <v>500576</v>
      </c>
      <c r="G2108" s="4">
        <v>105120.96000000001</v>
      </c>
      <c r="H2108" s="4">
        <v>605696.96</v>
      </c>
      <c r="I2108" s="188" t="str">
        <f>VLOOKUP(C2108,CATEGORIZACION!$A$1:$C$269,2,FALSE)</f>
        <v>PROOVEDORES</v>
      </c>
      <c r="J2108" s="188" t="str">
        <f>VLOOKUP(C2108,CATEGORIZACION!$A$1:$C$269,3,FALSE)</f>
        <v>LOGISTICA</v>
      </c>
    </row>
    <row r="2109" spans="1:10" ht="15.75" customHeight="1" x14ac:dyDescent="0.25">
      <c r="A2109" s="1">
        <v>45239</v>
      </c>
      <c r="B2109" s="188" t="s">
        <v>2019</v>
      </c>
      <c r="C2109" s="188" t="s">
        <v>21</v>
      </c>
      <c r="D2109" s="188" t="s">
        <v>22</v>
      </c>
      <c r="E2109" s="4">
        <v>25120</v>
      </c>
      <c r="F2109" s="5">
        <v>684000</v>
      </c>
      <c r="G2109" s="4">
        <v>143640</v>
      </c>
      <c r="H2109" s="4">
        <v>852760</v>
      </c>
      <c r="I2109" s="188" t="str">
        <f>VLOOKUP(C2109,CATEGORIZACION!$A$1:$C$269,2,FALSE)</f>
        <v>TRANSPORTE</v>
      </c>
      <c r="J2109" s="188" t="s">
        <v>19</v>
      </c>
    </row>
    <row r="2110" spans="1:10" ht="15.75" customHeight="1" x14ac:dyDescent="0.25">
      <c r="A2110" s="1">
        <v>45239</v>
      </c>
      <c r="B2110" s="188" t="s">
        <v>2020</v>
      </c>
      <c r="C2110" s="188" t="s">
        <v>21</v>
      </c>
      <c r="D2110" s="188" t="s">
        <v>22</v>
      </c>
      <c r="E2110" s="4">
        <v>31400</v>
      </c>
      <c r="F2110" s="5">
        <v>855000</v>
      </c>
      <c r="G2110" s="4">
        <v>179550</v>
      </c>
      <c r="H2110" s="4">
        <v>1065950</v>
      </c>
      <c r="I2110" s="188" t="str">
        <f>VLOOKUP(C2110,CATEGORIZACION!$A$1:$C$269,2,FALSE)</f>
        <v>TRANSPORTE</v>
      </c>
      <c r="J2110" s="188" t="s">
        <v>19</v>
      </c>
    </row>
    <row r="2111" spans="1:10" ht="15.75" customHeight="1" x14ac:dyDescent="0.25">
      <c r="A2111" s="1">
        <v>45239</v>
      </c>
      <c r="B2111" s="188" t="s">
        <v>2021</v>
      </c>
      <c r="C2111" s="188" t="s">
        <v>21</v>
      </c>
      <c r="D2111" s="188" t="s">
        <v>22</v>
      </c>
      <c r="E2111" s="4">
        <v>31400</v>
      </c>
      <c r="F2111" s="5">
        <v>530000</v>
      </c>
      <c r="G2111" s="4">
        <v>111300</v>
      </c>
      <c r="H2111" s="4">
        <v>672700</v>
      </c>
      <c r="I2111" s="188" t="str">
        <f>VLOOKUP(C2111,CATEGORIZACION!$A$1:$C$269,2,FALSE)</f>
        <v>TRANSPORTE</v>
      </c>
      <c r="J2111" s="188" t="s">
        <v>19</v>
      </c>
    </row>
    <row r="2112" spans="1:10" ht="15.75" customHeight="1" x14ac:dyDescent="0.25">
      <c r="A2112" s="1">
        <v>45239</v>
      </c>
      <c r="B2112" s="188" t="s">
        <v>2022</v>
      </c>
      <c r="C2112" s="188" t="s">
        <v>1501</v>
      </c>
      <c r="D2112" s="188" t="s">
        <v>1502</v>
      </c>
      <c r="E2112" s="4">
        <v>328.59</v>
      </c>
      <c r="F2112" s="5">
        <v>23471.08</v>
      </c>
      <c r="G2112" s="4">
        <v>4928.93</v>
      </c>
      <c r="H2112" s="4">
        <v>28728.6</v>
      </c>
      <c r="I2112" s="188" t="str">
        <f>VLOOKUP(C2112,CATEGORIZACION!$A$1:$C$269,2,FALSE)</f>
        <v>PROOVEDORES</v>
      </c>
      <c r="J2112" s="188" t="str">
        <f>VLOOKUP(C2112,CATEGORIZACION!$A$1:$C$269,3,FALSE)</f>
        <v>LOGISTICA</v>
      </c>
    </row>
    <row r="2113" spans="1:10" ht="15.75" customHeight="1" x14ac:dyDescent="0.25">
      <c r="A2113" s="1">
        <v>45239</v>
      </c>
      <c r="B2113" s="188" t="s">
        <v>2023</v>
      </c>
      <c r="C2113" s="188" t="s">
        <v>1501</v>
      </c>
      <c r="D2113" s="188" t="s">
        <v>1502</v>
      </c>
      <c r="E2113" s="4">
        <v>0</v>
      </c>
      <c r="F2113" s="5">
        <v>1652.89</v>
      </c>
      <c r="G2113" s="4">
        <v>347.11</v>
      </c>
      <c r="H2113" s="4">
        <v>2000</v>
      </c>
      <c r="I2113" s="188" t="str">
        <f>VLOOKUP(C2113,CATEGORIZACION!$A$1:$C$269,2,FALSE)</f>
        <v>PROOVEDORES</v>
      </c>
      <c r="J2113" s="188" t="str">
        <f>VLOOKUP(C2113,CATEGORIZACION!$A$1:$C$269,3,FALSE)</f>
        <v>LOGISTICA</v>
      </c>
    </row>
    <row r="2114" spans="1:10" ht="15.75" customHeight="1" x14ac:dyDescent="0.25">
      <c r="A2114" s="1">
        <v>45240</v>
      </c>
      <c r="B2114" s="188" t="s">
        <v>2024</v>
      </c>
      <c r="C2114" s="188" t="s">
        <v>2025</v>
      </c>
      <c r="D2114" s="188" t="s">
        <v>2026</v>
      </c>
      <c r="E2114" s="4">
        <v>0</v>
      </c>
      <c r="F2114" s="5">
        <v>71900.83</v>
      </c>
      <c r="G2114" s="4">
        <v>15099.17</v>
      </c>
      <c r="H2114" s="4">
        <v>87000</v>
      </c>
      <c r="I2114" s="188" t="str">
        <f>VLOOKUP(C2114,CATEGORIZACION!$A$1:$C$269,2,FALSE)</f>
        <v>PROOVEDORES</v>
      </c>
      <c r="J2114" s="188" t="str">
        <f>VLOOKUP(C2114,CATEGORIZACION!$A$1:$C$269,3,FALSE)</f>
        <v>LOGISTICA</v>
      </c>
    </row>
    <row r="2115" spans="1:10" ht="15.75" customHeight="1" x14ac:dyDescent="0.25">
      <c r="A2115" s="1">
        <v>45240</v>
      </c>
      <c r="B2115" s="188" t="s">
        <v>2027</v>
      </c>
      <c r="C2115" s="188" t="s">
        <v>21</v>
      </c>
      <c r="D2115" s="188" t="s">
        <v>22</v>
      </c>
      <c r="E2115" s="4">
        <v>36160</v>
      </c>
      <c r="F2115" s="5">
        <v>809000</v>
      </c>
      <c r="G2115" s="4">
        <v>169890</v>
      </c>
      <c r="H2115" s="4">
        <v>1015050</v>
      </c>
      <c r="I2115" s="188" t="str">
        <f>VLOOKUP(C2115,CATEGORIZACION!$A$1:$C$269,2,FALSE)</f>
        <v>TRANSPORTE</v>
      </c>
      <c r="J2115" s="188" t="s">
        <v>19</v>
      </c>
    </row>
    <row r="2116" spans="1:10" ht="15.75" customHeight="1" x14ac:dyDescent="0.25">
      <c r="A2116" s="1">
        <v>45240</v>
      </c>
      <c r="B2116" s="188" t="s">
        <v>2028</v>
      </c>
      <c r="C2116" s="188" t="s">
        <v>1308</v>
      </c>
      <c r="D2116" s="188" t="s">
        <v>1309</v>
      </c>
      <c r="E2116" s="4">
        <v>176.96</v>
      </c>
      <c r="F2116" s="5">
        <v>44239.82</v>
      </c>
      <c r="G2116" s="4">
        <v>9290.36</v>
      </c>
      <c r="H2116" s="4">
        <v>53707.14</v>
      </c>
      <c r="I2116" s="188" t="str">
        <f>VLOOKUP(C2116,CATEGORIZACION!$A$1:$C$269,2,FALSE)</f>
        <v>PROOVEDORES</v>
      </c>
      <c r="J2116" s="188" t="str">
        <f>VLOOKUP(C2116,CATEGORIZACION!$A$1:$C$269,3,FALSE)</f>
        <v>LOGISTICA</v>
      </c>
    </row>
    <row r="2117" spans="1:10" ht="15.75" customHeight="1" x14ac:dyDescent="0.25">
      <c r="A2117" s="1">
        <v>45240</v>
      </c>
      <c r="B2117" s="188" t="s">
        <v>2029</v>
      </c>
      <c r="C2117" s="188" t="s">
        <v>36</v>
      </c>
      <c r="D2117" s="188" t="s">
        <v>37</v>
      </c>
      <c r="E2117" s="4">
        <v>4500</v>
      </c>
      <c r="F2117" s="5">
        <v>79000</v>
      </c>
      <c r="G2117" s="4">
        <v>16590</v>
      </c>
      <c r="H2117" s="4">
        <v>100090</v>
      </c>
      <c r="I2117" s="188" t="str">
        <f>VLOOKUP(C2117,CATEGORIZACION!$A$1:$C$269,2,FALSE)</f>
        <v>TRANSPORTE</v>
      </c>
      <c r="J2117" s="188" t="s">
        <v>19</v>
      </c>
    </row>
    <row r="2118" spans="1:10" ht="15.75" customHeight="1" x14ac:dyDescent="0.25">
      <c r="A2118" s="1">
        <v>45240</v>
      </c>
      <c r="B2118" s="188" t="s">
        <v>2030</v>
      </c>
      <c r="C2118" s="188" t="s">
        <v>426</v>
      </c>
      <c r="D2118" s="188" t="s">
        <v>427</v>
      </c>
      <c r="E2118" s="4">
        <v>2495.0000000000045</v>
      </c>
      <c r="F2118" s="5">
        <v>37773.199999999997</v>
      </c>
      <c r="G2118" s="4">
        <v>7932.37</v>
      </c>
      <c r="H2118" s="4">
        <v>48200.57</v>
      </c>
      <c r="I2118" s="188" t="str">
        <f>VLOOKUP(C2118,CATEGORIZACION!$A$1:$C$269,2,FALSE)</f>
        <v>PROOVEDORES</v>
      </c>
      <c r="J2118" s="188" t="str">
        <f>VLOOKUP(C2118,CATEGORIZACION!$A$1:$C$269,3,FALSE)</f>
        <v>LOGISTICA</v>
      </c>
    </row>
    <row r="2119" spans="1:10" ht="15.75" customHeight="1" x14ac:dyDescent="0.25">
      <c r="A2119" s="1">
        <v>45243</v>
      </c>
      <c r="B2119" s="188" t="s">
        <v>2031</v>
      </c>
      <c r="C2119" s="188" t="s">
        <v>21</v>
      </c>
      <c r="D2119" s="188" t="s">
        <v>22</v>
      </c>
      <c r="E2119" s="4">
        <v>25120</v>
      </c>
      <c r="F2119" s="5">
        <v>424000</v>
      </c>
      <c r="G2119" s="4">
        <v>89040</v>
      </c>
      <c r="H2119" s="4">
        <v>538160</v>
      </c>
      <c r="I2119" s="188" t="str">
        <f>VLOOKUP(C2119,CATEGORIZACION!$A$1:$C$269,2,FALSE)</f>
        <v>TRANSPORTE</v>
      </c>
      <c r="J2119" s="188" t="s">
        <v>19</v>
      </c>
    </row>
    <row r="2120" spans="1:10" ht="15.75" customHeight="1" x14ac:dyDescent="0.25">
      <c r="A2120" s="1">
        <v>45243</v>
      </c>
      <c r="B2120" s="188" t="s">
        <v>2032</v>
      </c>
      <c r="C2120" s="188" t="s">
        <v>21</v>
      </c>
      <c r="D2120" s="188" t="s">
        <v>22</v>
      </c>
      <c r="E2120" s="4">
        <v>37680</v>
      </c>
      <c r="F2120" s="5">
        <v>636000</v>
      </c>
      <c r="G2120" s="4">
        <v>133560</v>
      </c>
      <c r="H2120" s="4">
        <v>807240</v>
      </c>
      <c r="I2120" s="188" t="str">
        <f>VLOOKUP(C2120,CATEGORIZACION!$A$1:$C$269,2,FALSE)</f>
        <v>TRANSPORTE</v>
      </c>
      <c r="J2120" s="188" t="s">
        <v>19</v>
      </c>
    </row>
    <row r="2121" spans="1:10" ht="15.75" customHeight="1" x14ac:dyDescent="0.25">
      <c r="A2121" s="1">
        <v>45243</v>
      </c>
      <c r="B2121" s="188" t="s">
        <v>2033</v>
      </c>
      <c r="C2121" s="188" t="s">
        <v>21</v>
      </c>
      <c r="D2121" s="188" t="s">
        <v>22</v>
      </c>
      <c r="E2121" s="4">
        <v>5840</v>
      </c>
      <c r="F2121" s="5">
        <v>132000</v>
      </c>
      <c r="G2121" s="4">
        <v>27720</v>
      </c>
      <c r="H2121" s="4">
        <v>165560</v>
      </c>
      <c r="I2121" s="188" t="str">
        <f>VLOOKUP(C2121,CATEGORIZACION!$A$1:$C$269,2,FALSE)</f>
        <v>TRANSPORTE</v>
      </c>
      <c r="J2121" s="188" t="s">
        <v>19</v>
      </c>
    </row>
    <row r="2122" spans="1:10" ht="15.75" customHeight="1" x14ac:dyDescent="0.25">
      <c r="A2122" s="1">
        <v>45243</v>
      </c>
      <c r="B2122" s="188" t="s">
        <v>2034</v>
      </c>
      <c r="C2122" s="188" t="s">
        <v>21</v>
      </c>
      <c r="D2122" s="188" t="s">
        <v>22</v>
      </c>
      <c r="E2122" s="4">
        <v>11680</v>
      </c>
      <c r="F2122" s="5">
        <v>212000</v>
      </c>
      <c r="G2122" s="4">
        <v>44520</v>
      </c>
      <c r="H2122" s="4">
        <v>268200</v>
      </c>
      <c r="I2122" s="188" t="str">
        <f>VLOOKUP(C2122,CATEGORIZACION!$A$1:$C$269,2,FALSE)</f>
        <v>TRANSPORTE</v>
      </c>
      <c r="J2122" s="188" t="s">
        <v>19</v>
      </c>
    </row>
    <row r="2123" spans="1:10" ht="15.75" customHeight="1" x14ac:dyDescent="0.25">
      <c r="A2123" s="1">
        <v>45243</v>
      </c>
      <c r="B2123" s="188" t="s">
        <v>2035</v>
      </c>
      <c r="C2123" s="188" t="s">
        <v>21</v>
      </c>
      <c r="D2123" s="188" t="s">
        <v>22</v>
      </c>
      <c r="E2123" s="4">
        <v>18840</v>
      </c>
      <c r="F2123" s="5">
        <v>318000</v>
      </c>
      <c r="G2123" s="4">
        <v>66780</v>
      </c>
      <c r="H2123" s="4">
        <v>403620</v>
      </c>
      <c r="I2123" s="188" t="str">
        <f>VLOOKUP(C2123,CATEGORIZACION!$A$1:$C$269,2,FALSE)</f>
        <v>TRANSPORTE</v>
      </c>
      <c r="J2123" s="188" t="s">
        <v>19</v>
      </c>
    </row>
    <row r="2124" spans="1:10" ht="15.75" customHeight="1" x14ac:dyDescent="0.25">
      <c r="A2124" s="1">
        <v>45243</v>
      </c>
      <c r="B2124" s="188" t="s">
        <v>2036</v>
      </c>
      <c r="C2124" s="188" t="s">
        <v>21</v>
      </c>
      <c r="D2124" s="188" t="s">
        <v>22</v>
      </c>
      <c r="E2124" s="4">
        <v>26560</v>
      </c>
      <c r="F2124" s="5">
        <v>584000</v>
      </c>
      <c r="G2124" s="4">
        <v>122640</v>
      </c>
      <c r="H2124" s="4">
        <v>733200</v>
      </c>
      <c r="I2124" s="188" t="str">
        <f>VLOOKUP(C2124,CATEGORIZACION!$A$1:$C$269,2,FALSE)</f>
        <v>TRANSPORTE</v>
      </c>
      <c r="J2124" s="188" t="s">
        <v>19</v>
      </c>
    </row>
    <row r="2125" spans="1:10" ht="15.75" customHeight="1" x14ac:dyDescent="0.25">
      <c r="A2125" s="1">
        <v>45243</v>
      </c>
      <c r="B2125" s="188" t="s">
        <v>2037</v>
      </c>
      <c r="C2125" s="188" t="s">
        <v>36</v>
      </c>
      <c r="D2125" s="188" t="s">
        <v>37</v>
      </c>
      <c r="E2125" s="4">
        <v>12500</v>
      </c>
      <c r="F2125" s="5">
        <v>160500</v>
      </c>
      <c r="G2125" s="4">
        <v>33705</v>
      </c>
      <c r="H2125" s="4">
        <v>206705</v>
      </c>
      <c r="I2125" s="188" t="str">
        <f>VLOOKUP(C2125,CATEGORIZACION!$A$1:$C$269,2,FALSE)</f>
        <v>TRANSPORTE</v>
      </c>
      <c r="J2125" s="188" t="s">
        <v>19</v>
      </c>
    </row>
    <row r="2126" spans="1:10" ht="15.75" customHeight="1" x14ac:dyDescent="0.25">
      <c r="A2126" s="1">
        <v>45243</v>
      </c>
      <c r="B2126" s="188" t="s">
        <v>2038</v>
      </c>
      <c r="C2126" s="188" t="s">
        <v>36</v>
      </c>
      <c r="D2126" s="188" t="s">
        <v>37</v>
      </c>
      <c r="E2126" s="4">
        <v>2200</v>
      </c>
      <c r="F2126" s="5">
        <v>140800</v>
      </c>
      <c r="G2126" s="4">
        <v>29568</v>
      </c>
      <c r="H2126" s="4">
        <v>172568</v>
      </c>
      <c r="I2126" s="188" t="str">
        <f>VLOOKUP(C2126,CATEGORIZACION!$A$1:$C$269,2,FALSE)</f>
        <v>TRANSPORTE</v>
      </c>
      <c r="J2126" s="188" t="s">
        <v>19</v>
      </c>
    </row>
    <row r="2127" spans="1:10" ht="15.75" customHeight="1" x14ac:dyDescent="0.25">
      <c r="A2127" s="1">
        <v>45243</v>
      </c>
      <c r="B2127" s="188" t="s">
        <v>2039</v>
      </c>
      <c r="C2127" s="188" t="s">
        <v>36</v>
      </c>
      <c r="D2127" s="188" t="s">
        <v>37</v>
      </c>
      <c r="E2127" s="4">
        <v>12500</v>
      </c>
      <c r="F2127" s="5">
        <v>160500</v>
      </c>
      <c r="G2127" s="4">
        <v>33705</v>
      </c>
      <c r="H2127" s="4">
        <v>206705</v>
      </c>
      <c r="I2127" s="188" t="str">
        <f>VLOOKUP(C2127,CATEGORIZACION!$A$1:$C$269,2,FALSE)</f>
        <v>TRANSPORTE</v>
      </c>
      <c r="J2127" s="188" t="s">
        <v>19</v>
      </c>
    </row>
    <row r="2128" spans="1:10" ht="15.75" customHeight="1" x14ac:dyDescent="0.25">
      <c r="A2128" s="1">
        <v>45243</v>
      </c>
      <c r="B2128" s="188" t="s">
        <v>2040</v>
      </c>
      <c r="C2128" s="188" t="s">
        <v>36</v>
      </c>
      <c r="D2128" s="188" t="s">
        <v>37</v>
      </c>
      <c r="E2128" s="4">
        <v>5000</v>
      </c>
      <c r="F2128" s="5">
        <v>166250</v>
      </c>
      <c r="G2128" s="4">
        <v>34912.5</v>
      </c>
      <c r="H2128" s="4">
        <v>206162.5</v>
      </c>
      <c r="I2128" s="188" t="str">
        <f>VLOOKUP(C2128,CATEGORIZACION!$A$1:$C$269,2,FALSE)</f>
        <v>TRANSPORTE</v>
      </c>
      <c r="J2128" s="188" t="s">
        <v>19</v>
      </c>
    </row>
    <row r="2129" spans="1:10" ht="15.75" customHeight="1" x14ac:dyDescent="0.25">
      <c r="A2129" s="1">
        <v>45243</v>
      </c>
      <c r="B2129" s="188" t="s">
        <v>2041</v>
      </c>
      <c r="C2129" s="188" t="s">
        <v>36</v>
      </c>
      <c r="D2129" s="188" t="s">
        <v>37</v>
      </c>
      <c r="E2129" s="4">
        <v>5000</v>
      </c>
      <c r="F2129" s="5">
        <v>251750</v>
      </c>
      <c r="G2129" s="4">
        <v>52867.5</v>
      </c>
      <c r="H2129" s="4">
        <v>309617.5</v>
      </c>
      <c r="I2129" s="188" t="str">
        <f>VLOOKUP(C2129,CATEGORIZACION!$A$1:$C$269,2,FALSE)</f>
        <v>TRANSPORTE</v>
      </c>
      <c r="J2129" s="188" t="s">
        <v>19</v>
      </c>
    </row>
    <row r="2130" spans="1:10" ht="15.75" customHeight="1" x14ac:dyDescent="0.25">
      <c r="A2130" s="1">
        <v>45243</v>
      </c>
      <c r="B2130" s="188" t="s">
        <v>2042</v>
      </c>
      <c r="C2130" s="188" t="s">
        <v>36</v>
      </c>
      <c r="D2130" s="188" t="s">
        <v>37</v>
      </c>
      <c r="E2130" s="4">
        <v>7200</v>
      </c>
      <c r="F2130" s="5">
        <v>103000</v>
      </c>
      <c r="G2130" s="4">
        <v>21630</v>
      </c>
      <c r="H2130" s="4">
        <v>131830</v>
      </c>
      <c r="I2130" s="188" t="str">
        <f>VLOOKUP(C2130,CATEGORIZACION!$A$1:$C$269,2,FALSE)</f>
        <v>TRANSPORTE</v>
      </c>
      <c r="J2130" s="188" t="s">
        <v>19</v>
      </c>
    </row>
    <row r="2131" spans="1:10" ht="15.75" customHeight="1" x14ac:dyDescent="0.25">
      <c r="A2131" s="1">
        <v>45243</v>
      </c>
      <c r="B2131" s="188" t="s">
        <v>2043</v>
      </c>
      <c r="C2131" s="188" t="s">
        <v>36</v>
      </c>
      <c r="D2131" s="188" t="s">
        <v>37</v>
      </c>
      <c r="E2131" s="4">
        <v>17000</v>
      </c>
      <c r="F2131" s="5">
        <v>171200</v>
      </c>
      <c r="G2131" s="4">
        <v>35952</v>
      </c>
      <c r="H2131" s="4">
        <v>224152</v>
      </c>
      <c r="I2131" s="188" t="str">
        <f>VLOOKUP(C2131,CATEGORIZACION!$A$1:$C$269,2,FALSE)</f>
        <v>TRANSPORTE</v>
      </c>
      <c r="J2131" s="188" t="s">
        <v>19</v>
      </c>
    </row>
    <row r="2132" spans="1:10" ht="15.75" customHeight="1" x14ac:dyDescent="0.25">
      <c r="A2132" s="1">
        <v>45243</v>
      </c>
      <c r="B2132" s="188" t="s">
        <v>2044</v>
      </c>
      <c r="C2132" s="188" t="s">
        <v>36</v>
      </c>
      <c r="D2132" s="188" t="s">
        <v>37</v>
      </c>
      <c r="E2132" s="4">
        <v>0</v>
      </c>
      <c r="F2132" s="5">
        <v>191400</v>
      </c>
      <c r="G2132" s="4">
        <v>40194</v>
      </c>
      <c r="H2132" s="4">
        <v>231594</v>
      </c>
      <c r="I2132" s="188" t="str">
        <f>VLOOKUP(C2132,CATEGORIZACION!$A$1:$C$269,2,FALSE)</f>
        <v>TRANSPORTE</v>
      </c>
      <c r="J2132" s="188" t="s">
        <v>19</v>
      </c>
    </row>
    <row r="2133" spans="1:10" ht="15.75" customHeight="1" x14ac:dyDescent="0.25">
      <c r="A2133" s="1">
        <v>45243</v>
      </c>
      <c r="B2133" s="188" t="s">
        <v>2045</v>
      </c>
      <c r="C2133" s="188" t="s">
        <v>36</v>
      </c>
      <c r="D2133" s="188" t="s">
        <v>37</v>
      </c>
      <c r="E2133" s="4">
        <v>12000</v>
      </c>
      <c r="F2133" s="5">
        <v>191400</v>
      </c>
      <c r="G2133" s="4">
        <v>40194</v>
      </c>
      <c r="H2133" s="4">
        <v>243594</v>
      </c>
      <c r="I2133" s="188" t="str">
        <f>VLOOKUP(C2133,CATEGORIZACION!$A$1:$C$269,2,FALSE)</f>
        <v>TRANSPORTE</v>
      </c>
      <c r="J2133" s="188" t="s">
        <v>19</v>
      </c>
    </row>
    <row r="2134" spans="1:10" ht="15.75" customHeight="1" x14ac:dyDescent="0.25">
      <c r="A2134" s="1">
        <v>45243</v>
      </c>
      <c r="B2134" s="188" t="s">
        <v>2046</v>
      </c>
      <c r="C2134" s="188" t="s">
        <v>36</v>
      </c>
      <c r="D2134" s="188" t="s">
        <v>37</v>
      </c>
      <c r="E2134" s="4">
        <v>18300</v>
      </c>
      <c r="F2134" s="5">
        <v>300950</v>
      </c>
      <c r="G2134" s="4">
        <v>63199.5</v>
      </c>
      <c r="H2134" s="4">
        <v>382449.5</v>
      </c>
      <c r="I2134" s="188" t="str">
        <f>VLOOKUP(C2134,CATEGORIZACION!$A$1:$C$269,2,FALSE)</f>
        <v>TRANSPORTE</v>
      </c>
      <c r="J2134" s="188" t="s">
        <v>19</v>
      </c>
    </row>
    <row r="2135" spans="1:10" ht="15.75" customHeight="1" x14ac:dyDescent="0.25">
      <c r="A2135" s="1">
        <v>45243</v>
      </c>
      <c r="B2135" s="188" t="s">
        <v>2047</v>
      </c>
      <c r="C2135" s="188" t="s">
        <v>36</v>
      </c>
      <c r="D2135" s="188" t="s">
        <v>37</v>
      </c>
      <c r="E2135" s="4">
        <v>22500</v>
      </c>
      <c r="F2135" s="5">
        <v>300950</v>
      </c>
      <c r="G2135" s="4">
        <v>63199.5</v>
      </c>
      <c r="H2135" s="4">
        <v>386649.5</v>
      </c>
      <c r="I2135" s="188" t="str">
        <f>VLOOKUP(C2135,CATEGORIZACION!$A$1:$C$269,2,FALSE)</f>
        <v>TRANSPORTE</v>
      </c>
      <c r="J2135" s="188" t="s">
        <v>19</v>
      </c>
    </row>
    <row r="2136" spans="1:10" ht="15.75" customHeight="1" x14ac:dyDescent="0.25">
      <c r="A2136" s="1">
        <v>45243</v>
      </c>
      <c r="B2136" s="188" t="s">
        <v>2048</v>
      </c>
      <c r="C2136" s="188" t="s">
        <v>36</v>
      </c>
      <c r="D2136" s="188" t="s">
        <v>37</v>
      </c>
      <c r="E2136" s="4">
        <v>22500</v>
      </c>
      <c r="F2136" s="5">
        <v>300950</v>
      </c>
      <c r="G2136" s="4">
        <v>63199.5</v>
      </c>
      <c r="H2136" s="4">
        <v>386649.5</v>
      </c>
      <c r="I2136" s="188" t="str">
        <f>VLOOKUP(C2136,CATEGORIZACION!$A$1:$C$269,2,FALSE)</f>
        <v>TRANSPORTE</v>
      </c>
      <c r="J2136" s="188" t="s">
        <v>19</v>
      </c>
    </row>
    <row r="2137" spans="1:10" ht="15.75" customHeight="1" x14ac:dyDescent="0.25">
      <c r="A2137" s="1">
        <v>45243</v>
      </c>
      <c r="B2137" s="188" t="s">
        <v>2049</v>
      </c>
      <c r="C2137" s="188" t="s">
        <v>36</v>
      </c>
      <c r="D2137" s="188" t="s">
        <v>37</v>
      </c>
      <c r="E2137" s="4">
        <v>9200</v>
      </c>
      <c r="F2137" s="5">
        <v>91650</v>
      </c>
      <c r="G2137" s="4">
        <v>19246.5</v>
      </c>
      <c r="H2137" s="4">
        <v>120096.5</v>
      </c>
      <c r="I2137" s="188" t="str">
        <f>VLOOKUP(C2137,CATEGORIZACION!$A$1:$C$269,2,FALSE)</f>
        <v>TRANSPORTE</v>
      </c>
      <c r="J2137" s="188" t="s">
        <v>19</v>
      </c>
    </row>
    <row r="2138" spans="1:10" ht="15.75" customHeight="1" x14ac:dyDescent="0.25">
      <c r="A2138" s="1">
        <v>45243</v>
      </c>
      <c r="B2138" s="188" t="s">
        <v>2050</v>
      </c>
      <c r="C2138" s="188" t="s">
        <v>36</v>
      </c>
      <c r="D2138" s="188" t="s">
        <v>37</v>
      </c>
      <c r="E2138" s="4">
        <v>1500</v>
      </c>
      <c r="F2138" s="5">
        <v>70400</v>
      </c>
      <c r="G2138" s="4">
        <v>14784</v>
      </c>
      <c r="H2138" s="4">
        <v>86684</v>
      </c>
      <c r="I2138" s="188" t="str">
        <f>VLOOKUP(C2138,CATEGORIZACION!$A$1:$C$269,2,FALSE)</f>
        <v>TRANSPORTE</v>
      </c>
      <c r="J2138" s="188" t="s">
        <v>19</v>
      </c>
    </row>
    <row r="2139" spans="1:10" ht="15.75" customHeight="1" x14ac:dyDescent="0.25">
      <c r="A2139" s="1">
        <v>45243</v>
      </c>
      <c r="B2139" s="188" t="s">
        <v>2051</v>
      </c>
      <c r="C2139" s="188" t="s">
        <v>36</v>
      </c>
      <c r="D2139" s="188" t="s">
        <v>37</v>
      </c>
      <c r="E2139" s="4">
        <v>1500</v>
      </c>
      <c r="F2139" s="5">
        <v>70400</v>
      </c>
      <c r="G2139" s="4">
        <v>14784</v>
      </c>
      <c r="H2139" s="4">
        <v>86684</v>
      </c>
      <c r="I2139" s="188" t="str">
        <f>VLOOKUP(C2139,CATEGORIZACION!$A$1:$C$269,2,FALSE)</f>
        <v>TRANSPORTE</v>
      </c>
      <c r="J2139" s="188" t="s">
        <v>19</v>
      </c>
    </row>
    <row r="2140" spans="1:10" ht="15.75" customHeight="1" x14ac:dyDescent="0.25">
      <c r="A2140" s="1">
        <v>45243</v>
      </c>
      <c r="B2140" s="188" t="s">
        <v>2052</v>
      </c>
      <c r="C2140" s="188" t="s">
        <v>36</v>
      </c>
      <c r="D2140" s="188" t="s">
        <v>37</v>
      </c>
      <c r="E2140" s="4">
        <v>12000</v>
      </c>
      <c r="F2140" s="5">
        <v>191400</v>
      </c>
      <c r="G2140" s="4">
        <v>40194</v>
      </c>
      <c r="H2140" s="4">
        <v>243594</v>
      </c>
      <c r="I2140" s="188" t="str">
        <f>VLOOKUP(C2140,CATEGORIZACION!$A$1:$C$269,2,FALSE)</f>
        <v>TRANSPORTE</v>
      </c>
      <c r="J2140" s="188" t="s">
        <v>19</v>
      </c>
    </row>
    <row r="2141" spans="1:10" ht="15.75" customHeight="1" x14ac:dyDescent="0.25">
      <c r="A2141" s="1">
        <v>45243</v>
      </c>
      <c r="B2141" s="188" t="s">
        <v>2053</v>
      </c>
      <c r="C2141" s="188" t="s">
        <v>36</v>
      </c>
      <c r="D2141" s="188" t="s">
        <v>37</v>
      </c>
      <c r="E2141" s="4">
        <v>0</v>
      </c>
      <c r="F2141" s="5">
        <v>95000</v>
      </c>
      <c r="G2141" s="4">
        <v>19950</v>
      </c>
      <c r="H2141" s="4">
        <v>114950</v>
      </c>
      <c r="I2141" s="188" t="str">
        <f>VLOOKUP(C2141,CATEGORIZACION!$A$1:$C$269,2,FALSE)</f>
        <v>TRANSPORTE</v>
      </c>
      <c r="J2141" s="188" t="s">
        <v>19</v>
      </c>
    </row>
    <row r="2142" spans="1:10" ht="15.75" customHeight="1" x14ac:dyDescent="0.25">
      <c r="A2142" s="1">
        <v>45243</v>
      </c>
      <c r="B2142" s="188" t="s">
        <v>2054</v>
      </c>
      <c r="C2142" s="188" t="s">
        <v>36</v>
      </c>
      <c r="D2142" s="188" t="s">
        <v>37</v>
      </c>
      <c r="E2142" s="4">
        <v>0</v>
      </c>
      <c r="F2142" s="5">
        <v>95000</v>
      </c>
      <c r="G2142" s="4">
        <v>19950</v>
      </c>
      <c r="H2142" s="4">
        <v>114950</v>
      </c>
      <c r="I2142" s="188" t="str">
        <f>VLOOKUP(C2142,CATEGORIZACION!$A$1:$C$269,2,FALSE)</f>
        <v>TRANSPORTE</v>
      </c>
      <c r="J2142" s="188" t="s">
        <v>19</v>
      </c>
    </row>
    <row r="2143" spans="1:10" ht="15.75" customHeight="1" x14ac:dyDescent="0.25">
      <c r="A2143" s="1">
        <v>45243</v>
      </c>
      <c r="B2143" s="188" t="s">
        <v>2055</v>
      </c>
      <c r="C2143" s="188" t="s">
        <v>36</v>
      </c>
      <c r="D2143" s="188" t="s">
        <v>37</v>
      </c>
      <c r="E2143" s="4">
        <v>0</v>
      </c>
      <c r="F2143" s="5">
        <v>95000</v>
      </c>
      <c r="G2143" s="4">
        <v>19950</v>
      </c>
      <c r="H2143" s="4">
        <v>114950</v>
      </c>
      <c r="I2143" s="188" t="str">
        <f>VLOOKUP(C2143,CATEGORIZACION!$A$1:$C$269,2,FALSE)</f>
        <v>TRANSPORTE</v>
      </c>
      <c r="J2143" s="188" t="s">
        <v>19</v>
      </c>
    </row>
    <row r="2144" spans="1:10" ht="15.75" customHeight="1" x14ac:dyDescent="0.25">
      <c r="A2144" s="1">
        <v>45243</v>
      </c>
      <c r="B2144" s="188" t="s">
        <v>2056</v>
      </c>
      <c r="C2144" s="188" t="s">
        <v>2057</v>
      </c>
      <c r="D2144" s="188" t="s">
        <v>2058</v>
      </c>
      <c r="E2144" s="4">
        <v>28800</v>
      </c>
      <c r="F2144" s="5">
        <v>0</v>
      </c>
      <c r="G2144" s="4">
        <v>0</v>
      </c>
      <c r="H2144" s="4">
        <v>28800</v>
      </c>
      <c r="I2144" s="188" t="str">
        <f>VLOOKUP(C2144,CATEGORIZACION!$A$1:$C$269,2,FALSE)</f>
        <v>PROOVEDORES</v>
      </c>
      <c r="J2144" s="188" t="str">
        <f>VLOOKUP(C2144,CATEGORIZACION!$A$1:$C$269,3,FALSE)</f>
        <v>LOGISTICA</v>
      </c>
    </row>
    <row r="2145" spans="1:10" ht="15.75" customHeight="1" x14ac:dyDescent="0.25">
      <c r="A2145" s="1">
        <v>45245</v>
      </c>
      <c r="B2145" s="188" t="s">
        <v>2059</v>
      </c>
      <c r="C2145" s="188" t="s">
        <v>36</v>
      </c>
      <c r="D2145" s="188" t="s">
        <v>37</v>
      </c>
      <c r="E2145" s="4">
        <v>0</v>
      </c>
      <c r="F2145" s="5">
        <v>-191400</v>
      </c>
      <c r="G2145" s="4">
        <v>-40194</v>
      </c>
      <c r="H2145" s="4">
        <v>-231594</v>
      </c>
      <c r="I2145" s="188" t="str">
        <f>VLOOKUP(C2145,CATEGORIZACION!$A$1:$C$269,2,FALSE)</f>
        <v>TRANSPORTE</v>
      </c>
      <c r="J2145" s="188" t="s">
        <v>19</v>
      </c>
    </row>
    <row r="2146" spans="1:10" ht="15.75" customHeight="1" x14ac:dyDescent="0.25">
      <c r="A2146" s="1">
        <v>45245</v>
      </c>
      <c r="B2146" s="188" t="s">
        <v>2060</v>
      </c>
      <c r="C2146" s="188" t="s">
        <v>84</v>
      </c>
      <c r="D2146" s="188" t="s">
        <v>85</v>
      </c>
      <c r="E2146" s="4">
        <v>51541.73</v>
      </c>
      <c r="F2146" s="5">
        <v>899355.57</v>
      </c>
      <c r="G2146" s="4">
        <v>188864.67</v>
      </c>
      <c r="H2146" s="4">
        <v>1139761.97</v>
      </c>
      <c r="I2146" s="188" t="str">
        <f>VLOOKUP(C2146,CATEGORIZACION!$A$1:$C$269,2,FALSE)</f>
        <v>PROOVEDORES</v>
      </c>
      <c r="J2146" s="188" t="str">
        <f>VLOOKUP(C2146,CATEGORIZACION!$A$1:$C$269,3,FALSE)</f>
        <v>LOGISTICA</v>
      </c>
    </row>
    <row r="2147" spans="1:10" ht="15.75" customHeight="1" x14ac:dyDescent="0.25">
      <c r="A2147" s="1">
        <v>45245</v>
      </c>
      <c r="B2147" s="188" t="s">
        <v>2061</v>
      </c>
      <c r="C2147" s="188" t="s">
        <v>21</v>
      </c>
      <c r="D2147" s="188" t="s">
        <v>22</v>
      </c>
      <c r="E2147" s="4">
        <v>0</v>
      </c>
      <c r="F2147" s="5">
        <v>212000</v>
      </c>
      <c r="G2147" s="4">
        <v>44520</v>
      </c>
      <c r="H2147" s="4">
        <v>256520</v>
      </c>
      <c r="I2147" s="188" t="str">
        <f>VLOOKUP(C2147,CATEGORIZACION!$A$1:$C$269,2,FALSE)</f>
        <v>TRANSPORTE</v>
      </c>
      <c r="J2147" s="188" t="s">
        <v>19</v>
      </c>
    </row>
    <row r="2148" spans="1:10" ht="15.75" customHeight="1" x14ac:dyDescent="0.25">
      <c r="A2148" s="1">
        <v>45245</v>
      </c>
      <c r="B2148" s="188" t="s">
        <v>2062</v>
      </c>
      <c r="C2148" s="188" t="s">
        <v>21</v>
      </c>
      <c r="D2148" s="188" t="s">
        <v>22</v>
      </c>
      <c r="E2148" s="4">
        <v>23360</v>
      </c>
      <c r="F2148" s="5">
        <v>424000</v>
      </c>
      <c r="G2148" s="4">
        <v>89040</v>
      </c>
      <c r="H2148" s="4">
        <v>536400</v>
      </c>
      <c r="I2148" s="188" t="str">
        <f>VLOOKUP(C2148,CATEGORIZACION!$A$1:$C$269,2,FALSE)</f>
        <v>TRANSPORTE</v>
      </c>
      <c r="J2148" s="188" t="s">
        <v>19</v>
      </c>
    </row>
    <row r="2149" spans="1:10" ht="15.75" customHeight="1" x14ac:dyDescent="0.25">
      <c r="A2149" s="1">
        <v>45245</v>
      </c>
      <c r="B2149" s="188" t="s">
        <v>2063</v>
      </c>
      <c r="C2149" s="188" t="s">
        <v>21</v>
      </c>
      <c r="D2149" s="188" t="s">
        <v>22</v>
      </c>
      <c r="E2149" s="4">
        <v>29200</v>
      </c>
      <c r="F2149" s="5">
        <v>580000</v>
      </c>
      <c r="G2149" s="4">
        <v>121800</v>
      </c>
      <c r="H2149" s="4">
        <v>731000</v>
      </c>
      <c r="I2149" s="188" t="str">
        <f>VLOOKUP(C2149,CATEGORIZACION!$A$1:$C$269,2,FALSE)</f>
        <v>TRANSPORTE</v>
      </c>
      <c r="J2149" s="188" t="s">
        <v>19</v>
      </c>
    </row>
    <row r="2150" spans="1:10" ht="15.75" customHeight="1" x14ac:dyDescent="0.25">
      <c r="A2150" s="1">
        <v>45245</v>
      </c>
      <c r="B2150" s="188" t="s">
        <v>2064</v>
      </c>
      <c r="C2150" s="188" t="s">
        <v>21</v>
      </c>
      <c r="D2150" s="188" t="s">
        <v>22</v>
      </c>
      <c r="E2150" s="4">
        <v>0</v>
      </c>
      <c r="F2150" s="5">
        <v>1752000</v>
      </c>
      <c r="G2150" s="4">
        <v>367920</v>
      </c>
      <c r="H2150" s="4">
        <v>2119920</v>
      </c>
      <c r="I2150" s="188" t="str">
        <f>VLOOKUP(C2150,CATEGORIZACION!$A$1:$C$269,2,FALSE)</f>
        <v>TRANSPORTE</v>
      </c>
      <c r="J2150" s="188" t="s">
        <v>19</v>
      </c>
    </row>
    <row r="2151" spans="1:10" ht="15.75" customHeight="1" x14ac:dyDescent="0.25">
      <c r="A2151" s="1">
        <v>45246</v>
      </c>
      <c r="B2151" s="188" t="s">
        <v>2065</v>
      </c>
      <c r="C2151" s="188" t="s">
        <v>17</v>
      </c>
      <c r="D2151" s="188" t="s">
        <v>18</v>
      </c>
      <c r="E2151" s="4">
        <v>22480</v>
      </c>
      <c r="F2151" s="5">
        <v>333500</v>
      </c>
      <c r="G2151" s="4">
        <v>70035</v>
      </c>
      <c r="H2151" s="4">
        <v>426015</v>
      </c>
      <c r="I2151" s="188" t="str">
        <f>VLOOKUP(C2151,CATEGORIZACION!$A$1:$C$269,2,FALSE)</f>
        <v>TRANSPORTE</v>
      </c>
      <c r="J2151" s="188" t="s">
        <v>19</v>
      </c>
    </row>
    <row r="2152" spans="1:10" ht="15.75" customHeight="1" x14ac:dyDescent="0.25">
      <c r="A2152" s="1">
        <v>45247</v>
      </c>
      <c r="B2152" s="188" t="s">
        <v>2066</v>
      </c>
      <c r="C2152" s="188" t="s">
        <v>714</v>
      </c>
      <c r="D2152" s="188" t="s">
        <v>715</v>
      </c>
      <c r="E2152" s="4">
        <v>0</v>
      </c>
      <c r="F2152" s="3">
        <v>377231.24</v>
      </c>
      <c r="G2152" s="4">
        <v>79218.559999999998</v>
      </c>
      <c r="H2152" s="4">
        <v>456449.8</v>
      </c>
      <c r="I2152" s="188" t="str">
        <f>VLOOKUP(C2152,CATEGORIZACION!$A$1:$C$269,2,FALSE)</f>
        <v>PROOVEDORES</v>
      </c>
      <c r="J2152" s="188" t="str">
        <f>VLOOKUP(C2152,CATEGORIZACION!$A$1:$C$269,3,FALSE)</f>
        <v>DEPOSITO</v>
      </c>
    </row>
    <row r="2153" spans="1:10" ht="15.75" customHeight="1" x14ac:dyDescent="0.25">
      <c r="A2153" s="1">
        <v>45247</v>
      </c>
      <c r="B2153" s="188" t="s">
        <v>2067</v>
      </c>
      <c r="C2153" s="188" t="s">
        <v>21</v>
      </c>
      <c r="D2153" s="188" t="s">
        <v>22</v>
      </c>
      <c r="E2153" s="4">
        <v>17520</v>
      </c>
      <c r="F2153" s="5">
        <v>318000</v>
      </c>
      <c r="G2153" s="4">
        <v>66780</v>
      </c>
      <c r="H2153" s="4">
        <v>402300</v>
      </c>
      <c r="I2153" s="188" t="str">
        <f>VLOOKUP(C2153,CATEGORIZACION!$A$1:$C$269,2,FALSE)</f>
        <v>TRANSPORTE</v>
      </c>
      <c r="J2153" s="188" t="s">
        <v>19</v>
      </c>
    </row>
    <row r="2154" spans="1:10" ht="15.75" customHeight="1" x14ac:dyDescent="0.25">
      <c r="A2154" s="1">
        <v>45247</v>
      </c>
      <c r="B2154" s="188" t="s">
        <v>2068</v>
      </c>
      <c r="C2154" s="188" t="s">
        <v>36</v>
      </c>
      <c r="D2154" s="188" t="s">
        <v>37</v>
      </c>
      <c r="E2154" s="4">
        <v>9200</v>
      </c>
      <c r="F2154" s="5">
        <v>91650</v>
      </c>
      <c r="G2154" s="4">
        <v>19246.5</v>
      </c>
      <c r="H2154" s="4">
        <v>120096.5</v>
      </c>
      <c r="I2154" s="188" t="str">
        <f>VLOOKUP(C2154,CATEGORIZACION!$A$1:$C$269,2,FALSE)</f>
        <v>TRANSPORTE</v>
      </c>
      <c r="J2154" s="188" t="s">
        <v>19</v>
      </c>
    </row>
    <row r="2155" spans="1:10" ht="15.75" customHeight="1" x14ac:dyDescent="0.25">
      <c r="A2155" s="1">
        <v>45247</v>
      </c>
      <c r="B2155" s="188" t="s">
        <v>2069</v>
      </c>
      <c r="C2155" s="188" t="s">
        <v>36</v>
      </c>
      <c r="D2155" s="188" t="s">
        <v>37</v>
      </c>
      <c r="E2155" s="4">
        <v>16700</v>
      </c>
      <c r="F2155" s="5">
        <v>184600</v>
      </c>
      <c r="G2155" s="4">
        <v>38766</v>
      </c>
      <c r="H2155" s="4">
        <v>240066</v>
      </c>
      <c r="I2155" s="188" t="str">
        <f>VLOOKUP(C2155,CATEGORIZACION!$A$1:$C$269,2,FALSE)</f>
        <v>TRANSPORTE</v>
      </c>
      <c r="J2155" s="188" t="s">
        <v>19</v>
      </c>
    </row>
    <row r="2156" spans="1:10" ht="15.75" customHeight="1" x14ac:dyDescent="0.25">
      <c r="A2156" s="1">
        <v>45247</v>
      </c>
      <c r="B2156" s="188" t="s">
        <v>2070</v>
      </c>
      <c r="C2156" s="188" t="s">
        <v>36</v>
      </c>
      <c r="D2156" s="188" t="s">
        <v>37</v>
      </c>
      <c r="E2156" s="4">
        <v>3500</v>
      </c>
      <c r="F2156" s="5">
        <v>70400</v>
      </c>
      <c r="G2156" s="4">
        <v>14784</v>
      </c>
      <c r="H2156" s="4">
        <v>88684</v>
      </c>
      <c r="I2156" s="188" t="str">
        <f>VLOOKUP(C2156,CATEGORIZACION!$A$1:$C$269,2,FALSE)</f>
        <v>TRANSPORTE</v>
      </c>
      <c r="J2156" s="188" t="s">
        <v>19</v>
      </c>
    </row>
    <row r="2157" spans="1:10" ht="15.75" customHeight="1" x14ac:dyDescent="0.25">
      <c r="A2157" s="1">
        <v>45247</v>
      </c>
      <c r="B2157" s="188" t="s">
        <v>2071</v>
      </c>
      <c r="C2157" s="188" t="s">
        <v>36</v>
      </c>
      <c r="D2157" s="188" t="s">
        <v>37</v>
      </c>
      <c r="E2157" s="4">
        <v>9200</v>
      </c>
      <c r="F2157" s="5">
        <v>91650</v>
      </c>
      <c r="G2157" s="4">
        <v>19246.5</v>
      </c>
      <c r="H2157" s="4">
        <v>120096.5</v>
      </c>
      <c r="I2157" s="188" t="str">
        <f>VLOOKUP(C2157,CATEGORIZACION!$A$1:$C$269,2,FALSE)</f>
        <v>TRANSPORTE</v>
      </c>
      <c r="J2157" s="188" t="s">
        <v>19</v>
      </c>
    </row>
    <row r="2158" spans="1:10" ht="15.75" customHeight="1" x14ac:dyDescent="0.25">
      <c r="A2158" s="1">
        <v>45247</v>
      </c>
      <c r="B2158" s="188" t="s">
        <v>2072</v>
      </c>
      <c r="C2158" s="188" t="s">
        <v>36</v>
      </c>
      <c r="D2158" s="188" t="s">
        <v>37</v>
      </c>
      <c r="E2158" s="4">
        <v>9200</v>
      </c>
      <c r="F2158" s="5">
        <v>91650</v>
      </c>
      <c r="G2158" s="4">
        <v>19246.5</v>
      </c>
      <c r="H2158" s="4">
        <v>120096.5</v>
      </c>
      <c r="I2158" s="188" t="str">
        <f>VLOOKUP(C2158,CATEGORIZACION!$A$1:$C$269,2,FALSE)</f>
        <v>TRANSPORTE</v>
      </c>
      <c r="J2158" s="188" t="s">
        <v>19</v>
      </c>
    </row>
    <row r="2159" spans="1:10" ht="15.75" customHeight="1" x14ac:dyDescent="0.25">
      <c r="A2159" s="1">
        <v>45247</v>
      </c>
      <c r="B2159" s="188" t="s">
        <v>2073</v>
      </c>
      <c r="C2159" s="188" t="s">
        <v>36</v>
      </c>
      <c r="D2159" s="188" t="s">
        <v>37</v>
      </c>
      <c r="E2159" s="4">
        <v>9200</v>
      </c>
      <c r="F2159" s="5">
        <v>78800</v>
      </c>
      <c r="G2159" s="4">
        <v>16548</v>
      </c>
      <c r="H2159" s="4">
        <v>104548</v>
      </c>
      <c r="I2159" s="188" t="str">
        <f>VLOOKUP(C2159,CATEGORIZACION!$A$1:$C$269,2,FALSE)</f>
        <v>TRANSPORTE</v>
      </c>
      <c r="J2159" s="188" t="s">
        <v>19</v>
      </c>
    </row>
    <row r="2160" spans="1:10" ht="15.75" customHeight="1" x14ac:dyDescent="0.25">
      <c r="A2160" s="1">
        <v>45247</v>
      </c>
      <c r="B2160" s="188" t="s">
        <v>2074</v>
      </c>
      <c r="C2160" s="188" t="s">
        <v>36</v>
      </c>
      <c r="D2160" s="188" t="s">
        <v>37</v>
      </c>
      <c r="E2160" s="4">
        <v>6200</v>
      </c>
      <c r="F2160" s="5">
        <v>81800</v>
      </c>
      <c r="G2160" s="4">
        <v>17178</v>
      </c>
      <c r="H2160" s="4">
        <v>105178</v>
      </c>
      <c r="I2160" s="188" t="str">
        <f>VLOOKUP(C2160,CATEGORIZACION!$A$1:$C$269,2,FALSE)</f>
        <v>TRANSPORTE</v>
      </c>
      <c r="J2160" s="188" t="s">
        <v>19</v>
      </c>
    </row>
    <row r="2161" spans="1:10" ht="15.75" customHeight="1" x14ac:dyDescent="0.25">
      <c r="A2161" s="1">
        <v>45247</v>
      </c>
      <c r="B2161" s="188" t="s">
        <v>2075</v>
      </c>
      <c r="C2161" s="188" t="s">
        <v>36</v>
      </c>
      <c r="D2161" s="188" t="s">
        <v>37</v>
      </c>
      <c r="E2161" s="4">
        <v>9200</v>
      </c>
      <c r="F2161" s="5">
        <v>91650</v>
      </c>
      <c r="G2161" s="4">
        <v>19246.5</v>
      </c>
      <c r="H2161" s="4">
        <v>120096.5</v>
      </c>
      <c r="I2161" s="188" t="str">
        <f>VLOOKUP(C2161,CATEGORIZACION!$A$1:$C$269,2,FALSE)</f>
        <v>TRANSPORTE</v>
      </c>
      <c r="J2161" s="188" t="s">
        <v>19</v>
      </c>
    </row>
    <row r="2162" spans="1:10" ht="15.75" customHeight="1" x14ac:dyDescent="0.25">
      <c r="A2162" s="1">
        <v>45247</v>
      </c>
      <c r="B2162" s="188" t="s">
        <v>2076</v>
      </c>
      <c r="C2162" s="188" t="s">
        <v>36</v>
      </c>
      <c r="D2162" s="188" t="s">
        <v>37</v>
      </c>
      <c r="E2162" s="4">
        <v>9200</v>
      </c>
      <c r="F2162" s="5">
        <v>91650</v>
      </c>
      <c r="G2162" s="4">
        <v>19246.5</v>
      </c>
      <c r="H2162" s="4">
        <v>120096.5</v>
      </c>
      <c r="I2162" s="188" t="str">
        <f>VLOOKUP(C2162,CATEGORIZACION!$A$1:$C$269,2,FALSE)</f>
        <v>TRANSPORTE</v>
      </c>
      <c r="J2162" s="188" t="s">
        <v>19</v>
      </c>
    </row>
    <row r="2163" spans="1:10" ht="15.75" customHeight="1" x14ac:dyDescent="0.25">
      <c r="A2163" s="1">
        <v>45247</v>
      </c>
      <c r="B2163" s="188" t="s">
        <v>2077</v>
      </c>
      <c r="C2163" s="188" t="s">
        <v>36</v>
      </c>
      <c r="D2163" s="188" t="s">
        <v>37</v>
      </c>
      <c r="E2163" s="4">
        <v>9200</v>
      </c>
      <c r="F2163" s="5">
        <v>91650</v>
      </c>
      <c r="G2163" s="4">
        <v>19246.5</v>
      </c>
      <c r="H2163" s="4">
        <v>120096.5</v>
      </c>
      <c r="I2163" s="188" t="str">
        <f>VLOOKUP(C2163,CATEGORIZACION!$A$1:$C$269,2,FALSE)</f>
        <v>TRANSPORTE</v>
      </c>
      <c r="J2163" s="188" t="s">
        <v>19</v>
      </c>
    </row>
    <row r="2164" spans="1:10" ht="15.75" customHeight="1" x14ac:dyDescent="0.25">
      <c r="A2164" s="1">
        <v>45247</v>
      </c>
      <c r="B2164" s="188" t="s">
        <v>2078</v>
      </c>
      <c r="C2164" s="188" t="s">
        <v>36</v>
      </c>
      <c r="D2164" s="188" t="s">
        <v>37</v>
      </c>
      <c r="E2164" s="4">
        <v>9200</v>
      </c>
      <c r="F2164" s="5">
        <v>91650</v>
      </c>
      <c r="G2164" s="4">
        <v>19246.5</v>
      </c>
      <c r="H2164" s="4">
        <v>120096.5</v>
      </c>
      <c r="I2164" s="188" t="str">
        <f>VLOOKUP(C2164,CATEGORIZACION!$A$1:$C$269,2,FALSE)</f>
        <v>TRANSPORTE</v>
      </c>
      <c r="J2164" s="188" t="s">
        <v>19</v>
      </c>
    </row>
    <row r="2165" spans="1:10" ht="15.75" customHeight="1" x14ac:dyDescent="0.25">
      <c r="A2165" s="1">
        <v>45247</v>
      </c>
      <c r="B2165" s="188" t="s">
        <v>2079</v>
      </c>
      <c r="C2165" s="188" t="s">
        <v>529</v>
      </c>
      <c r="D2165" s="188" t="s">
        <v>530</v>
      </c>
      <c r="E2165" s="4">
        <v>0</v>
      </c>
      <c r="F2165" s="5">
        <v>10991.74</v>
      </c>
      <c r="G2165" s="4">
        <v>2308.27</v>
      </c>
      <c r="H2165" s="4">
        <v>13300.01</v>
      </c>
      <c r="I2165" s="188" t="str">
        <f>VLOOKUP(C2165,CATEGORIZACION!$A$1:$C$269,2,FALSE)</f>
        <v>PROOVEDORES</v>
      </c>
      <c r="J2165" s="188" t="str">
        <f>VLOOKUP(C2165,CATEGORIZACION!$A$1:$C$269,3,FALSE)</f>
        <v>LOGISTICA</v>
      </c>
    </row>
    <row r="2166" spans="1:10" ht="15.75" customHeight="1" x14ac:dyDescent="0.25">
      <c r="A2166" s="1">
        <v>45247</v>
      </c>
      <c r="B2166" s="188" t="s">
        <v>2080</v>
      </c>
      <c r="C2166" s="188" t="s">
        <v>801</v>
      </c>
      <c r="D2166" s="188" t="s">
        <v>802</v>
      </c>
      <c r="E2166" s="4">
        <v>1626.24</v>
      </c>
      <c r="F2166" s="5">
        <v>11615.97</v>
      </c>
      <c r="G2166" s="4">
        <v>2439.35</v>
      </c>
      <c r="H2166" s="4">
        <v>15681.56</v>
      </c>
      <c r="I2166" s="188" t="str">
        <f>VLOOKUP(C2166,CATEGORIZACION!$A$1:$C$269,2,FALSE)</f>
        <v>PROOVEDORES</v>
      </c>
      <c r="J2166" s="188" t="str">
        <f>VLOOKUP(C2166,CATEGORIZACION!$A$1:$C$269,3,FALSE)</f>
        <v>LOGISTICA</v>
      </c>
    </row>
    <row r="2167" spans="1:10" ht="15.75" customHeight="1" x14ac:dyDescent="0.25">
      <c r="A2167" s="1">
        <v>45247</v>
      </c>
      <c r="B2167" s="188" t="s">
        <v>2081</v>
      </c>
      <c r="C2167" s="188" t="s">
        <v>801</v>
      </c>
      <c r="D2167" s="188" t="s">
        <v>802</v>
      </c>
      <c r="E2167" s="4">
        <v>34183.15999999996</v>
      </c>
      <c r="F2167" s="5">
        <v>244153.26</v>
      </c>
      <c r="G2167" s="4">
        <v>51272.18</v>
      </c>
      <c r="H2167" s="4">
        <v>329608.59999999998</v>
      </c>
      <c r="I2167" s="188" t="str">
        <f>VLOOKUP(C2167,CATEGORIZACION!$A$1:$C$269,2,FALSE)</f>
        <v>PROOVEDORES</v>
      </c>
      <c r="J2167" s="188" t="str">
        <f>VLOOKUP(C2167,CATEGORIZACION!$A$1:$C$269,3,FALSE)</f>
        <v>LOGISTICA</v>
      </c>
    </row>
    <row r="2168" spans="1:10" ht="15.75" customHeight="1" x14ac:dyDescent="0.25">
      <c r="A2168" s="1">
        <v>45247</v>
      </c>
      <c r="B2168" s="188" t="s">
        <v>2082</v>
      </c>
      <c r="C2168" s="188" t="s">
        <v>918</v>
      </c>
      <c r="D2168" s="188" t="s">
        <v>919</v>
      </c>
      <c r="E2168" s="4">
        <v>355.78</v>
      </c>
      <c r="F2168" s="5">
        <v>25413.29</v>
      </c>
      <c r="G2168" s="4">
        <v>5336.79</v>
      </c>
      <c r="H2168" s="4">
        <v>31105.86</v>
      </c>
      <c r="I2168" s="188" t="str">
        <f>VLOOKUP(C2168,CATEGORIZACION!$A$1:$C$269,2,FALSE)</f>
        <v>PROOVEDORES</v>
      </c>
      <c r="J2168" s="188" t="str">
        <f>VLOOKUP(C2168,CATEGORIZACION!$A$1:$C$269,3,FALSE)</f>
        <v>LOGISTICA</v>
      </c>
    </row>
    <row r="2169" spans="1:10" ht="15.75" customHeight="1" x14ac:dyDescent="0.25">
      <c r="A2169" s="1">
        <v>45247</v>
      </c>
      <c r="B2169" s="188" t="s">
        <v>2083</v>
      </c>
      <c r="C2169" s="188" t="s">
        <v>918</v>
      </c>
      <c r="D2169" s="188" t="s">
        <v>919</v>
      </c>
      <c r="E2169" s="4">
        <v>11.16</v>
      </c>
      <c r="F2169" s="5">
        <v>1115.71</v>
      </c>
      <c r="G2169" s="4">
        <v>234.3</v>
      </c>
      <c r="H2169" s="4">
        <v>1361.17</v>
      </c>
      <c r="I2169" s="188" t="str">
        <f>VLOOKUP(C2169,CATEGORIZACION!$A$1:$C$269,2,FALSE)</f>
        <v>PROOVEDORES</v>
      </c>
      <c r="J2169" s="188" t="str">
        <f>VLOOKUP(C2169,CATEGORIZACION!$A$1:$C$269,3,FALSE)</f>
        <v>LOGISTICA</v>
      </c>
    </row>
    <row r="2170" spans="1:10" ht="15.75" customHeight="1" x14ac:dyDescent="0.25">
      <c r="A2170" s="1">
        <v>45247</v>
      </c>
      <c r="B2170" s="188" t="s">
        <v>2084</v>
      </c>
      <c r="C2170" s="188" t="s">
        <v>804</v>
      </c>
      <c r="D2170" s="188" t="s">
        <v>805</v>
      </c>
      <c r="E2170" s="4">
        <v>14.26</v>
      </c>
      <c r="F2170" s="5">
        <v>1425.62</v>
      </c>
      <c r="G2170" s="4">
        <v>299.38</v>
      </c>
      <c r="H2170" s="4">
        <v>1739.26</v>
      </c>
      <c r="I2170" s="188" t="str">
        <f>VLOOKUP(C2170,CATEGORIZACION!$A$1:$C$269,2,FALSE)</f>
        <v>PROOVEDORES</v>
      </c>
      <c r="J2170" s="188" t="str">
        <f>VLOOKUP(C2170,CATEGORIZACION!$A$1:$C$269,3,FALSE)</f>
        <v>LOGISTICA</v>
      </c>
    </row>
    <row r="2171" spans="1:10" ht="15.75" customHeight="1" x14ac:dyDescent="0.25">
      <c r="A2171" s="1">
        <v>45247</v>
      </c>
      <c r="B2171" s="188" t="s">
        <v>2085</v>
      </c>
      <c r="C2171" s="188" t="s">
        <v>804</v>
      </c>
      <c r="D2171" s="188" t="s">
        <v>805</v>
      </c>
      <c r="E2171" s="4">
        <v>2532.7399999999998</v>
      </c>
      <c r="F2171" s="5">
        <v>57562.18</v>
      </c>
      <c r="G2171" s="4">
        <v>12088.06</v>
      </c>
      <c r="H2171" s="4">
        <v>72182.98</v>
      </c>
      <c r="I2171" s="188" t="str">
        <f>VLOOKUP(C2171,CATEGORIZACION!$A$1:$C$269,2,FALSE)</f>
        <v>PROOVEDORES</v>
      </c>
      <c r="J2171" s="188" t="str">
        <f>VLOOKUP(C2171,CATEGORIZACION!$A$1:$C$269,3,FALSE)</f>
        <v>LOGISTICA</v>
      </c>
    </row>
    <row r="2172" spans="1:10" ht="15.75" customHeight="1" x14ac:dyDescent="0.25">
      <c r="A2172" s="1">
        <v>45250</v>
      </c>
      <c r="B2172" s="188" t="s">
        <v>2086</v>
      </c>
      <c r="C2172" s="188" t="s">
        <v>36</v>
      </c>
      <c r="D2172" s="188" t="s">
        <v>37</v>
      </c>
      <c r="E2172" s="4">
        <v>12000</v>
      </c>
      <c r="F2172" s="5">
        <v>191400</v>
      </c>
      <c r="G2172" s="4">
        <v>40194</v>
      </c>
      <c r="H2172" s="4">
        <v>243594</v>
      </c>
      <c r="I2172" s="188" t="str">
        <f>VLOOKUP(C2172,CATEGORIZACION!$A$1:$C$269,2,FALSE)</f>
        <v>TRANSPORTE</v>
      </c>
      <c r="J2172" s="188" t="s">
        <v>19</v>
      </c>
    </row>
    <row r="2173" spans="1:10" ht="15.75" customHeight="1" x14ac:dyDescent="0.25">
      <c r="A2173" s="1">
        <v>45250</v>
      </c>
      <c r="B2173" s="188" t="s">
        <v>2087</v>
      </c>
      <c r="C2173" s="188" t="s">
        <v>36</v>
      </c>
      <c r="D2173" s="188" t="s">
        <v>37</v>
      </c>
      <c r="E2173" s="4">
        <v>6500</v>
      </c>
      <c r="F2173" s="5">
        <v>149400</v>
      </c>
      <c r="G2173" s="4">
        <v>31374</v>
      </c>
      <c r="H2173" s="4">
        <v>187274</v>
      </c>
      <c r="I2173" s="188" t="str">
        <f>VLOOKUP(C2173,CATEGORIZACION!$A$1:$C$269,2,FALSE)</f>
        <v>TRANSPORTE</v>
      </c>
      <c r="J2173" s="188" t="s">
        <v>19</v>
      </c>
    </row>
    <row r="2174" spans="1:10" ht="15.75" customHeight="1" x14ac:dyDescent="0.25">
      <c r="A2174" s="1">
        <v>45250</v>
      </c>
      <c r="B2174" s="188" t="s">
        <v>2088</v>
      </c>
      <c r="C2174" s="188" t="s">
        <v>36</v>
      </c>
      <c r="D2174" s="188" t="s">
        <v>37</v>
      </c>
      <c r="E2174" s="4">
        <v>2500</v>
      </c>
      <c r="F2174" s="5">
        <v>90000</v>
      </c>
      <c r="G2174" s="4">
        <v>18900</v>
      </c>
      <c r="H2174" s="4">
        <v>111400</v>
      </c>
      <c r="I2174" s="188" t="str">
        <f>VLOOKUP(C2174,CATEGORIZACION!$A$1:$C$269,2,FALSE)</f>
        <v>TRANSPORTE</v>
      </c>
      <c r="J2174" s="188" t="s">
        <v>19</v>
      </c>
    </row>
    <row r="2175" spans="1:10" ht="15.75" customHeight="1" x14ac:dyDescent="0.25">
      <c r="A2175" s="1">
        <v>45250</v>
      </c>
      <c r="B2175" s="188" t="s">
        <v>2089</v>
      </c>
      <c r="C2175" s="188" t="s">
        <v>36</v>
      </c>
      <c r="D2175" s="188" t="s">
        <v>37</v>
      </c>
      <c r="E2175" s="4">
        <v>2500</v>
      </c>
      <c r="F2175" s="5">
        <v>90000</v>
      </c>
      <c r="G2175" s="4">
        <v>18900</v>
      </c>
      <c r="H2175" s="4">
        <v>111400</v>
      </c>
      <c r="I2175" s="188" t="str">
        <f>VLOOKUP(C2175,CATEGORIZACION!$A$1:$C$269,2,FALSE)</f>
        <v>TRANSPORTE</v>
      </c>
      <c r="J2175" s="188" t="s">
        <v>19</v>
      </c>
    </row>
    <row r="2176" spans="1:10" ht="15.75" customHeight="1" x14ac:dyDescent="0.25">
      <c r="A2176" s="1">
        <v>45250</v>
      </c>
      <c r="B2176" s="188" t="s">
        <v>2090</v>
      </c>
      <c r="C2176" s="188" t="s">
        <v>36</v>
      </c>
      <c r="D2176" s="188" t="s">
        <v>37</v>
      </c>
      <c r="E2176" s="4">
        <v>9200</v>
      </c>
      <c r="F2176" s="5">
        <v>100815</v>
      </c>
      <c r="G2176" s="4">
        <v>21171.15</v>
      </c>
      <c r="H2176" s="4">
        <v>131186.15</v>
      </c>
      <c r="I2176" s="188" t="str">
        <f>VLOOKUP(C2176,CATEGORIZACION!$A$1:$C$269,2,FALSE)</f>
        <v>TRANSPORTE</v>
      </c>
      <c r="J2176" s="188" t="s">
        <v>19</v>
      </c>
    </row>
    <row r="2177" spans="1:10" ht="15.75" customHeight="1" x14ac:dyDescent="0.25">
      <c r="A2177" s="1">
        <v>45250</v>
      </c>
      <c r="B2177" s="188" t="s">
        <v>2091</v>
      </c>
      <c r="C2177" s="188" t="s">
        <v>36</v>
      </c>
      <c r="D2177" s="188" t="s">
        <v>37</v>
      </c>
      <c r="E2177" s="4">
        <v>9200</v>
      </c>
      <c r="F2177" s="5">
        <v>91650</v>
      </c>
      <c r="G2177" s="4">
        <v>19246.5</v>
      </c>
      <c r="H2177" s="4">
        <v>120096.5</v>
      </c>
      <c r="I2177" s="188" t="str">
        <f>VLOOKUP(C2177,CATEGORIZACION!$A$1:$C$269,2,FALSE)</f>
        <v>TRANSPORTE</v>
      </c>
      <c r="J2177" s="188" t="s">
        <v>19</v>
      </c>
    </row>
    <row r="2178" spans="1:10" ht="15.75" customHeight="1" x14ac:dyDescent="0.25">
      <c r="A2178" s="1">
        <v>45250</v>
      </c>
      <c r="B2178" s="188" t="s">
        <v>2092</v>
      </c>
      <c r="C2178" s="188" t="s">
        <v>36</v>
      </c>
      <c r="D2178" s="188" t="s">
        <v>37</v>
      </c>
      <c r="E2178" s="4">
        <v>6200</v>
      </c>
      <c r="F2178" s="5">
        <v>81800</v>
      </c>
      <c r="G2178" s="4">
        <v>17178</v>
      </c>
      <c r="H2178" s="4">
        <v>105178</v>
      </c>
      <c r="I2178" s="188" t="str">
        <f>VLOOKUP(C2178,CATEGORIZACION!$A$1:$C$269,2,FALSE)</f>
        <v>TRANSPORTE</v>
      </c>
      <c r="J2178" s="188" t="s">
        <v>19</v>
      </c>
    </row>
    <row r="2179" spans="1:10" ht="15.75" customHeight="1" x14ac:dyDescent="0.25">
      <c r="A2179" s="1">
        <v>45250</v>
      </c>
      <c r="B2179" s="188" t="s">
        <v>2093</v>
      </c>
      <c r="C2179" s="188" t="s">
        <v>36</v>
      </c>
      <c r="D2179" s="188" t="s">
        <v>37</v>
      </c>
      <c r="E2179" s="4">
        <v>9200</v>
      </c>
      <c r="F2179" s="5">
        <v>91650</v>
      </c>
      <c r="G2179" s="4">
        <v>19246.5</v>
      </c>
      <c r="H2179" s="4">
        <v>120096.5</v>
      </c>
      <c r="I2179" s="188" t="str">
        <f>VLOOKUP(C2179,CATEGORIZACION!$A$1:$C$269,2,FALSE)</f>
        <v>TRANSPORTE</v>
      </c>
      <c r="J2179" s="188" t="s">
        <v>19</v>
      </c>
    </row>
    <row r="2180" spans="1:10" ht="15.75" customHeight="1" x14ac:dyDescent="0.25">
      <c r="A2180" s="1">
        <v>45250</v>
      </c>
      <c r="B2180" s="188" t="s">
        <v>2094</v>
      </c>
      <c r="C2180" s="188" t="s">
        <v>36</v>
      </c>
      <c r="D2180" s="188" t="s">
        <v>37</v>
      </c>
      <c r="E2180" s="4">
        <v>7500</v>
      </c>
      <c r="F2180" s="5">
        <v>145800</v>
      </c>
      <c r="G2180" s="4">
        <v>30618</v>
      </c>
      <c r="H2180" s="4">
        <v>183918</v>
      </c>
      <c r="I2180" s="188" t="str">
        <f>VLOOKUP(C2180,CATEGORIZACION!$A$1:$C$269,2,FALSE)</f>
        <v>TRANSPORTE</v>
      </c>
      <c r="J2180" s="188" t="s">
        <v>19</v>
      </c>
    </row>
    <row r="2181" spans="1:10" ht="15.75" customHeight="1" x14ac:dyDescent="0.25">
      <c r="A2181" s="1">
        <v>45250</v>
      </c>
      <c r="B2181" s="188" t="s">
        <v>2095</v>
      </c>
      <c r="C2181" s="188" t="s">
        <v>36</v>
      </c>
      <c r="D2181" s="188" t="s">
        <v>37</v>
      </c>
      <c r="E2181" s="4">
        <v>17000</v>
      </c>
      <c r="F2181" s="5">
        <v>171200</v>
      </c>
      <c r="G2181" s="4">
        <v>35952</v>
      </c>
      <c r="H2181" s="4">
        <v>224152</v>
      </c>
      <c r="I2181" s="188" t="str">
        <f>VLOOKUP(C2181,CATEGORIZACION!$A$1:$C$269,2,FALSE)</f>
        <v>TRANSPORTE</v>
      </c>
      <c r="J2181" s="188" t="s">
        <v>19</v>
      </c>
    </row>
    <row r="2182" spans="1:10" ht="15.75" customHeight="1" x14ac:dyDescent="0.25">
      <c r="A2182" s="1">
        <v>45250</v>
      </c>
      <c r="B2182" s="188" t="s">
        <v>2096</v>
      </c>
      <c r="C2182" s="188" t="s">
        <v>36</v>
      </c>
      <c r="D2182" s="188" t="s">
        <v>37</v>
      </c>
      <c r="E2182" s="4">
        <v>8500</v>
      </c>
      <c r="F2182" s="5">
        <v>267500</v>
      </c>
      <c r="G2182" s="4">
        <v>56175</v>
      </c>
      <c r="H2182" s="4">
        <v>332175</v>
      </c>
      <c r="I2182" s="188" t="str">
        <f>VLOOKUP(C2182,CATEGORIZACION!$A$1:$C$269,2,FALSE)</f>
        <v>TRANSPORTE</v>
      </c>
      <c r="J2182" s="188" t="s">
        <v>19</v>
      </c>
    </row>
    <row r="2183" spans="1:10" ht="15.75" customHeight="1" x14ac:dyDescent="0.25">
      <c r="A2183" s="1">
        <v>45250</v>
      </c>
      <c r="B2183" s="188" t="s">
        <v>2097</v>
      </c>
      <c r="C2183" s="188" t="s">
        <v>36</v>
      </c>
      <c r="D2183" s="188" t="s">
        <v>37</v>
      </c>
      <c r="E2183" s="4">
        <v>9500</v>
      </c>
      <c r="F2183" s="5">
        <v>166800</v>
      </c>
      <c r="G2183" s="4">
        <v>35028</v>
      </c>
      <c r="H2183" s="4">
        <v>211328</v>
      </c>
      <c r="I2183" s="188" t="str">
        <f>VLOOKUP(C2183,CATEGORIZACION!$A$1:$C$269,2,FALSE)</f>
        <v>TRANSPORTE</v>
      </c>
      <c r="J2183" s="188" t="s">
        <v>19</v>
      </c>
    </row>
    <row r="2184" spans="1:10" ht="15.75" customHeight="1" x14ac:dyDescent="0.25">
      <c r="A2184" s="1">
        <v>45250</v>
      </c>
      <c r="B2184" s="188" t="s">
        <v>2098</v>
      </c>
      <c r="C2184" s="188" t="s">
        <v>36</v>
      </c>
      <c r="D2184" s="188" t="s">
        <v>37</v>
      </c>
      <c r="E2184" s="4">
        <v>10500</v>
      </c>
      <c r="F2184" s="5">
        <v>133750</v>
      </c>
      <c r="G2184" s="4">
        <v>28087.5</v>
      </c>
      <c r="H2184" s="4">
        <v>172337.5</v>
      </c>
      <c r="I2184" s="188" t="str">
        <f>VLOOKUP(C2184,CATEGORIZACION!$A$1:$C$269,2,FALSE)</f>
        <v>TRANSPORTE</v>
      </c>
      <c r="J2184" s="188" t="s">
        <v>19</v>
      </c>
    </row>
    <row r="2185" spans="1:10" ht="15.75" customHeight="1" x14ac:dyDescent="0.25">
      <c r="A2185" s="1">
        <v>45250</v>
      </c>
      <c r="B2185" s="188" t="s">
        <v>2099</v>
      </c>
      <c r="C2185" s="188" t="s">
        <v>36</v>
      </c>
      <c r="D2185" s="188" t="s">
        <v>37</v>
      </c>
      <c r="E2185" s="4">
        <v>7500</v>
      </c>
      <c r="F2185" s="5">
        <v>88000</v>
      </c>
      <c r="G2185" s="4">
        <v>18480</v>
      </c>
      <c r="H2185" s="4">
        <v>113980</v>
      </c>
      <c r="I2185" s="188" t="str">
        <f>VLOOKUP(C2185,CATEGORIZACION!$A$1:$C$269,2,FALSE)</f>
        <v>TRANSPORTE</v>
      </c>
      <c r="J2185" s="188" t="s">
        <v>19</v>
      </c>
    </row>
    <row r="2186" spans="1:10" ht="15.75" customHeight="1" x14ac:dyDescent="0.25">
      <c r="A2186" s="1">
        <v>45250</v>
      </c>
      <c r="B2186" s="188" t="s">
        <v>2100</v>
      </c>
      <c r="C2186" s="188" t="s">
        <v>36</v>
      </c>
      <c r="D2186" s="188" t="s">
        <v>37</v>
      </c>
      <c r="E2186" s="4">
        <v>19500</v>
      </c>
      <c r="F2186" s="5">
        <v>300950</v>
      </c>
      <c r="G2186" s="4">
        <v>63199.5</v>
      </c>
      <c r="H2186" s="4">
        <v>383649.5</v>
      </c>
      <c r="I2186" s="188" t="str">
        <f>VLOOKUP(C2186,CATEGORIZACION!$A$1:$C$269,2,FALSE)</f>
        <v>TRANSPORTE</v>
      </c>
      <c r="J2186" s="188" t="s">
        <v>19</v>
      </c>
    </row>
    <row r="2187" spans="1:10" ht="15.75" customHeight="1" x14ac:dyDescent="0.25">
      <c r="A2187" s="1">
        <v>45250</v>
      </c>
      <c r="B2187" s="188" t="s">
        <v>2101</v>
      </c>
      <c r="C2187" s="188" t="s">
        <v>1050</v>
      </c>
      <c r="D2187" s="188" t="s">
        <v>1051</v>
      </c>
      <c r="E2187" s="4">
        <v>7657.36</v>
      </c>
      <c r="F2187" s="5">
        <v>225216.53</v>
      </c>
      <c r="G2187" s="4">
        <v>47295.47</v>
      </c>
      <c r="H2187" s="4">
        <v>280169.36</v>
      </c>
      <c r="I2187" s="188" t="str">
        <f>VLOOKUP(C2187,CATEGORIZACION!$A$1:$C$269,2,FALSE)</f>
        <v>PROOVEDORES</v>
      </c>
      <c r="J2187" s="188" t="str">
        <f>VLOOKUP(C2187,CATEGORIZACION!$A$1:$C$269,3,FALSE)</f>
        <v>LOGISTICA</v>
      </c>
    </row>
    <row r="2188" spans="1:10" ht="15.75" customHeight="1" x14ac:dyDescent="0.25">
      <c r="A2188" s="1">
        <v>45251</v>
      </c>
      <c r="B2188" s="188" t="s">
        <v>524</v>
      </c>
      <c r="C2188" s="188" t="s">
        <v>2102</v>
      </c>
      <c r="D2188" s="188" t="s">
        <v>2103</v>
      </c>
      <c r="E2188" s="4">
        <v>0</v>
      </c>
      <c r="F2188" s="5">
        <v>239668.59</v>
      </c>
      <c r="G2188" s="4">
        <v>50330.400000000001</v>
      </c>
      <c r="H2188" s="4">
        <v>289998.99</v>
      </c>
      <c r="I2188" s="188" t="str">
        <f>VLOOKUP(C2188,CATEGORIZACION!$A$1:$C$269,2,FALSE)</f>
        <v>PROOVEDORES</v>
      </c>
      <c r="J2188" s="188" t="str">
        <f>VLOOKUP(C2188,CATEGORIZACION!$A$1:$C$269,3,FALSE)</f>
        <v>LOGISTICA</v>
      </c>
    </row>
    <row r="2189" spans="1:10" ht="15.75" customHeight="1" x14ac:dyDescent="0.25">
      <c r="A2189" s="1">
        <v>45251</v>
      </c>
      <c r="B2189" s="188" t="s">
        <v>2104</v>
      </c>
      <c r="C2189" s="188" t="s">
        <v>2105</v>
      </c>
      <c r="D2189" s="188" t="s">
        <v>2106</v>
      </c>
      <c r="E2189" s="4">
        <v>0</v>
      </c>
      <c r="F2189" s="5">
        <v>300000</v>
      </c>
      <c r="G2189" s="4">
        <v>63000</v>
      </c>
      <c r="H2189" s="4">
        <v>363000</v>
      </c>
      <c r="I2189" s="188" t="str">
        <f>VLOOKUP(C2189,CATEGORIZACION!$A$1:$C$269,2,FALSE)</f>
        <v>PROOVEDORES</v>
      </c>
      <c r="J2189" s="188" t="str">
        <f>VLOOKUP(C2189,CATEGORIZACION!$A$1:$C$269,3,FALSE)</f>
        <v>LOGISTICA</v>
      </c>
    </row>
    <row r="2190" spans="1:10" ht="15.75" customHeight="1" x14ac:dyDescent="0.25">
      <c r="A2190" s="1">
        <v>45251</v>
      </c>
      <c r="B2190" s="188" t="s">
        <v>2107</v>
      </c>
      <c r="C2190" s="188" t="s">
        <v>21</v>
      </c>
      <c r="D2190" s="188" t="s">
        <v>22</v>
      </c>
      <c r="E2190" s="4">
        <v>39840</v>
      </c>
      <c r="F2190" s="5">
        <v>0</v>
      </c>
      <c r="G2190" s="4">
        <v>0</v>
      </c>
      <c r="H2190" s="4">
        <v>39840</v>
      </c>
      <c r="I2190" s="188" t="str">
        <f>VLOOKUP(C2190,CATEGORIZACION!$A$1:$C$269,2,FALSE)</f>
        <v>TRANSPORTE</v>
      </c>
      <c r="J2190" s="188" t="s">
        <v>19</v>
      </c>
    </row>
    <row r="2191" spans="1:10" ht="15.75" customHeight="1" x14ac:dyDescent="0.25">
      <c r="A2191" s="1">
        <v>45251</v>
      </c>
      <c r="B2191" s="188" t="s">
        <v>2108</v>
      </c>
      <c r="C2191" s="188" t="s">
        <v>21</v>
      </c>
      <c r="D2191" s="188" t="s">
        <v>22</v>
      </c>
      <c r="E2191" s="4">
        <v>12560</v>
      </c>
      <c r="F2191" s="5">
        <v>0</v>
      </c>
      <c r="G2191" s="4">
        <v>0</v>
      </c>
      <c r="H2191" s="4">
        <v>12560</v>
      </c>
      <c r="I2191" s="188" t="str">
        <f>VLOOKUP(C2191,CATEGORIZACION!$A$1:$C$269,2,FALSE)</f>
        <v>TRANSPORTE</v>
      </c>
      <c r="J2191" s="188" t="s">
        <v>19</v>
      </c>
    </row>
    <row r="2192" spans="1:10" ht="15.75" customHeight="1" x14ac:dyDescent="0.25">
      <c r="A2192" s="1">
        <v>45251</v>
      </c>
      <c r="B2192" s="188" t="s">
        <v>2109</v>
      </c>
      <c r="C2192" s="188" t="s">
        <v>36</v>
      </c>
      <c r="D2192" s="188" t="s">
        <v>37</v>
      </c>
      <c r="E2192" s="4">
        <v>17000</v>
      </c>
      <c r="F2192" s="5">
        <v>171200</v>
      </c>
      <c r="G2192" s="4">
        <v>35952</v>
      </c>
      <c r="H2192" s="4">
        <v>224152</v>
      </c>
      <c r="I2192" s="188" t="str">
        <f>VLOOKUP(C2192,CATEGORIZACION!$A$1:$C$269,2,FALSE)</f>
        <v>TRANSPORTE</v>
      </c>
      <c r="J2192" s="188" t="s">
        <v>19</v>
      </c>
    </row>
    <row r="2193" spans="1:10" ht="15.75" customHeight="1" x14ac:dyDescent="0.25">
      <c r="A2193" s="1">
        <v>45251</v>
      </c>
      <c r="B2193" s="188" t="s">
        <v>2110</v>
      </c>
      <c r="C2193" s="188" t="s">
        <v>36</v>
      </c>
      <c r="D2193" s="188" t="s">
        <v>37</v>
      </c>
      <c r="E2193" s="4">
        <v>9500</v>
      </c>
      <c r="F2193" s="5">
        <v>133750</v>
      </c>
      <c r="G2193" s="4">
        <v>28087.5</v>
      </c>
      <c r="H2193" s="4">
        <v>171337.5</v>
      </c>
      <c r="I2193" s="188" t="str">
        <f>VLOOKUP(C2193,CATEGORIZACION!$A$1:$C$269,2,FALSE)</f>
        <v>TRANSPORTE</v>
      </c>
      <c r="J2193" s="188" t="s">
        <v>19</v>
      </c>
    </row>
    <row r="2194" spans="1:10" ht="15.75" customHeight="1" x14ac:dyDescent="0.25">
      <c r="A2194" s="1">
        <v>45251</v>
      </c>
      <c r="B2194" s="188" t="s">
        <v>2111</v>
      </c>
      <c r="C2194" s="188" t="s">
        <v>36</v>
      </c>
      <c r="D2194" s="188" t="s">
        <v>37</v>
      </c>
      <c r="E2194" s="4">
        <v>9500</v>
      </c>
      <c r="F2194" s="5">
        <v>133750</v>
      </c>
      <c r="G2194" s="4">
        <v>28087.5</v>
      </c>
      <c r="H2194" s="4">
        <v>171337.5</v>
      </c>
      <c r="I2194" s="188" t="str">
        <f>VLOOKUP(C2194,CATEGORIZACION!$A$1:$C$269,2,FALSE)</f>
        <v>TRANSPORTE</v>
      </c>
      <c r="J2194" s="188" t="s">
        <v>19</v>
      </c>
    </row>
    <row r="2195" spans="1:10" ht="15.75" customHeight="1" x14ac:dyDescent="0.25">
      <c r="A2195" s="1">
        <v>45251</v>
      </c>
      <c r="B2195" s="188" t="s">
        <v>2112</v>
      </c>
      <c r="C2195" s="188" t="s">
        <v>36</v>
      </c>
      <c r="D2195" s="188" t="s">
        <v>37</v>
      </c>
      <c r="E2195" s="4">
        <v>12500</v>
      </c>
      <c r="F2195" s="5">
        <v>160500</v>
      </c>
      <c r="G2195" s="4">
        <v>33705</v>
      </c>
      <c r="H2195" s="4">
        <v>206705</v>
      </c>
      <c r="I2195" s="188" t="str">
        <f>VLOOKUP(C2195,CATEGORIZACION!$A$1:$C$269,2,FALSE)</f>
        <v>TRANSPORTE</v>
      </c>
      <c r="J2195" s="188" t="s">
        <v>19</v>
      </c>
    </row>
    <row r="2196" spans="1:10" ht="15.75" customHeight="1" x14ac:dyDescent="0.25">
      <c r="A2196" s="1">
        <v>45252</v>
      </c>
      <c r="B2196" s="188" t="s">
        <v>2113</v>
      </c>
      <c r="C2196" s="188" t="s">
        <v>248</v>
      </c>
      <c r="D2196" s="188" t="s">
        <v>249</v>
      </c>
      <c r="E2196" s="4">
        <v>0</v>
      </c>
      <c r="F2196" s="5">
        <v>353660</v>
      </c>
      <c r="G2196" s="4">
        <v>74268.600000000006</v>
      </c>
      <c r="H2196" s="4">
        <v>427928.6</v>
      </c>
      <c r="I2196" s="188" t="str">
        <f>VLOOKUP(C2196,CATEGORIZACION!$A$1:$C$269,2,FALSE)</f>
        <v>PROOVEDORES</v>
      </c>
      <c r="J2196" s="188" t="str">
        <f>VLOOKUP(C2196,CATEGORIZACION!$A$1:$C$269,3,FALSE)</f>
        <v>LOGISTICA</v>
      </c>
    </row>
    <row r="2197" spans="1:10" ht="15.75" customHeight="1" x14ac:dyDescent="0.25">
      <c r="A2197" s="1">
        <v>45252</v>
      </c>
      <c r="B2197" s="188" t="s">
        <v>2114</v>
      </c>
      <c r="C2197" s="188" t="s">
        <v>2025</v>
      </c>
      <c r="D2197" s="188" t="s">
        <v>2026</v>
      </c>
      <c r="E2197" s="4">
        <v>0</v>
      </c>
      <c r="F2197" s="5">
        <v>71900.83</v>
      </c>
      <c r="G2197" s="4">
        <v>15099.17</v>
      </c>
      <c r="H2197" s="4">
        <v>87000</v>
      </c>
      <c r="I2197" s="188" t="str">
        <f>VLOOKUP(C2197,CATEGORIZACION!$A$1:$C$269,2,FALSE)</f>
        <v>PROOVEDORES</v>
      </c>
      <c r="J2197" s="188" t="str">
        <f>VLOOKUP(C2197,CATEGORIZACION!$A$1:$C$269,3,FALSE)</f>
        <v>LOGISTICA</v>
      </c>
    </row>
    <row r="2198" spans="1:10" ht="15.75" customHeight="1" x14ac:dyDescent="0.25">
      <c r="A2198" s="1">
        <v>45252</v>
      </c>
      <c r="B2198" s="188" t="s">
        <v>2115</v>
      </c>
      <c r="C2198" s="188" t="s">
        <v>87</v>
      </c>
      <c r="D2198" s="188" t="s">
        <v>88</v>
      </c>
      <c r="E2198" s="4">
        <v>0</v>
      </c>
      <c r="F2198" s="5">
        <v>11086</v>
      </c>
      <c r="G2198" s="4">
        <v>2328.06</v>
      </c>
      <c r="H2198" s="4">
        <v>13414.06</v>
      </c>
      <c r="I2198" s="188" t="str">
        <f>VLOOKUP(C2198,CATEGORIZACION!$A$1:$C$269,2,FALSE)</f>
        <v>PROOVEDORES</v>
      </c>
      <c r="J2198" s="188" t="str">
        <f>VLOOKUP(C2198,CATEGORIZACION!$A$1:$C$269,3,FALSE)</f>
        <v>LOGISTICA</v>
      </c>
    </row>
    <row r="2199" spans="1:10" ht="15.75" customHeight="1" x14ac:dyDescent="0.25">
      <c r="A2199" s="1">
        <v>45253</v>
      </c>
      <c r="B2199" s="188" t="s">
        <v>1867</v>
      </c>
      <c r="C2199" s="188" t="s">
        <v>87</v>
      </c>
      <c r="D2199" s="188" t="s">
        <v>88</v>
      </c>
      <c r="E2199" s="4">
        <v>0</v>
      </c>
      <c r="F2199" s="5">
        <v>11086</v>
      </c>
      <c r="G2199" s="4">
        <v>2328.06</v>
      </c>
      <c r="H2199" s="4">
        <v>13414.06</v>
      </c>
      <c r="I2199" s="188" t="str">
        <f>VLOOKUP(C2199,CATEGORIZACION!$A$1:$C$269,2,FALSE)</f>
        <v>PROOVEDORES</v>
      </c>
      <c r="J2199" s="188" t="str">
        <f>VLOOKUP(C2199,CATEGORIZACION!$A$1:$C$269,3,FALSE)</f>
        <v>LOGISTICA</v>
      </c>
    </row>
    <row r="2200" spans="1:10" ht="15.75" customHeight="1" x14ac:dyDescent="0.25">
      <c r="A2200" s="1">
        <v>45253</v>
      </c>
      <c r="B2200" s="188" t="s">
        <v>2116</v>
      </c>
      <c r="C2200" s="188" t="s">
        <v>21</v>
      </c>
      <c r="D2200" s="188" t="s">
        <v>22</v>
      </c>
      <c r="E2200" s="4">
        <v>8320</v>
      </c>
      <c r="F2200" s="5">
        <v>128000</v>
      </c>
      <c r="G2200" s="4">
        <v>26880</v>
      </c>
      <c r="H2200" s="4">
        <v>163200</v>
      </c>
      <c r="I2200" s="188" t="str">
        <f>VLOOKUP(C2200,CATEGORIZACION!$A$1:$C$269,2,FALSE)</f>
        <v>TRANSPORTE</v>
      </c>
      <c r="J2200" s="188" t="s">
        <v>19</v>
      </c>
    </row>
    <row r="2201" spans="1:10" ht="15.75" customHeight="1" x14ac:dyDescent="0.25">
      <c r="A2201" s="1">
        <v>45253</v>
      </c>
      <c r="B2201" s="188" t="s">
        <v>2117</v>
      </c>
      <c r="C2201" s="188" t="s">
        <v>517</v>
      </c>
      <c r="D2201" s="188" t="s">
        <v>518</v>
      </c>
      <c r="E2201" s="4">
        <v>1588.72</v>
      </c>
      <c r="F2201" s="5">
        <v>397180.85</v>
      </c>
      <c r="G2201" s="4">
        <v>83407.98</v>
      </c>
      <c r="H2201" s="4">
        <v>482177.55</v>
      </c>
      <c r="I2201" s="188" t="str">
        <f>VLOOKUP(C2201,CATEGORIZACION!$A$1:$C$269,2,FALSE)</f>
        <v>PROOVEDORES</v>
      </c>
      <c r="J2201" s="188" t="str">
        <f>VLOOKUP(C2201,CATEGORIZACION!$A$1:$C$269,3,FALSE)</f>
        <v>LOGISTICA</v>
      </c>
    </row>
    <row r="2202" spans="1:10" ht="15.75" customHeight="1" x14ac:dyDescent="0.25">
      <c r="A2202" s="1">
        <v>45253</v>
      </c>
      <c r="B2202" s="188" t="s">
        <v>2118</v>
      </c>
      <c r="C2202" s="188" t="s">
        <v>426</v>
      </c>
      <c r="D2202" s="188" t="s">
        <v>427</v>
      </c>
      <c r="E2202" s="4">
        <v>2495</v>
      </c>
      <c r="F2202" s="5">
        <v>42152.89</v>
      </c>
      <c r="G2202" s="4">
        <v>8852.11</v>
      </c>
      <c r="H2202" s="4">
        <v>53500</v>
      </c>
      <c r="I2202" s="188" t="str">
        <f>VLOOKUP(C2202,CATEGORIZACION!$A$1:$C$269,2,FALSE)</f>
        <v>PROOVEDORES</v>
      </c>
      <c r="J2202" s="188" t="str">
        <f>VLOOKUP(C2202,CATEGORIZACION!$A$1:$C$269,3,FALSE)</f>
        <v>LOGISTICA</v>
      </c>
    </row>
    <row r="2203" spans="1:10" ht="15.75" customHeight="1" x14ac:dyDescent="0.25">
      <c r="A2203" s="1">
        <v>45253</v>
      </c>
      <c r="B2203" s="188" t="s">
        <v>2119</v>
      </c>
      <c r="C2203" s="188" t="s">
        <v>1501</v>
      </c>
      <c r="D2203" s="188" t="s">
        <v>1502</v>
      </c>
      <c r="E2203" s="4">
        <v>348.26</v>
      </c>
      <c r="F2203" s="5">
        <v>24876.03</v>
      </c>
      <c r="G2203" s="4">
        <v>5223.97</v>
      </c>
      <c r="H2203" s="4">
        <v>30448.26</v>
      </c>
      <c r="I2203" s="188" t="str">
        <f>VLOOKUP(C2203,CATEGORIZACION!$A$1:$C$269,2,FALSE)</f>
        <v>PROOVEDORES</v>
      </c>
      <c r="J2203" s="188" t="str">
        <f>VLOOKUP(C2203,CATEGORIZACION!$A$1:$C$269,3,FALSE)</f>
        <v>LOGISTICA</v>
      </c>
    </row>
    <row r="2204" spans="1:10" ht="15.75" customHeight="1" x14ac:dyDescent="0.25">
      <c r="A2204" s="1">
        <v>45254</v>
      </c>
      <c r="B2204" s="188" t="s">
        <v>2120</v>
      </c>
      <c r="C2204" s="188" t="s">
        <v>2121</v>
      </c>
      <c r="D2204" s="188" t="s">
        <v>2122</v>
      </c>
      <c r="E2204" s="4">
        <v>0</v>
      </c>
      <c r="F2204" s="5">
        <v>57851.24</v>
      </c>
      <c r="G2204" s="4">
        <v>12148.76</v>
      </c>
      <c r="H2204" s="4">
        <v>70000</v>
      </c>
      <c r="I2204" s="188" t="str">
        <f>VLOOKUP(C2204,CATEGORIZACION!$A$1:$C$269,2,FALSE)</f>
        <v>PROOVEDORES</v>
      </c>
      <c r="J2204" s="188" t="str">
        <f>VLOOKUP(C2204,CATEGORIZACION!$A$1:$C$269,3,FALSE)</f>
        <v>LOGISTICA</v>
      </c>
    </row>
    <row r="2205" spans="1:10" ht="15.75" customHeight="1" x14ac:dyDescent="0.25">
      <c r="A2205" s="1">
        <v>45254</v>
      </c>
      <c r="B2205" s="188" t="s">
        <v>2123</v>
      </c>
      <c r="C2205" s="188" t="s">
        <v>153</v>
      </c>
      <c r="D2205" s="188" t="s">
        <v>154</v>
      </c>
      <c r="E2205" s="4">
        <v>176.62</v>
      </c>
      <c r="F2205" s="3">
        <v>44155.87</v>
      </c>
      <c r="G2205" s="4">
        <v>9272.73</v>
      </c>
      <c r="H2205" s="4">
        <v>53605.22</v>
      </c>
      <c r="I2205" s="188" t="str">
        <f>VLOOKUP(C2205,CATEGORIZACION!$A$1:$C$269,2,FALSE)</f>
        <v>PROOVEDORES</v>
      </c>
      <c r="J2205" s="188" t="str">
        <f>VLOOKUP(C2205,CATEGORIZACION!$A$1:$C$269,3,FALSE)</f>
        <v>DEPOSITO</v>
      </c>
    </row>
    <row r="2206" spans="1:10" ht="15.75" customHeight="1" x14ac:dyDescent="0.25">
      <c r="A2206" s="1">
        <v>45254</v>
      </c>
      <c r="B2206" s="188" t="s">
        <v>2124</v>
      </c>
      <c r="C2206" s="188" t="s">
        <v>33</v>
      </c>
      <c r="D2206" s="188" t="s">
        <v>34</v>
      </c>
      <c r="E2206" s="4">
        <v>0</v>
      </c>
      <c r="F2206" s="3">
        <v>180420</v>
      </c>
      <c r="G2206" s="4">
        <v>37888.199999999997</v>
      </c>
      <c r="H2206" s="4">
        <v>218308.2</v>
      </c>
      <c r="I2206" s="188" t="str">
        <f>VLOOKUP(C2206,CATEGORIZACION!$A$1:$C$269,2,FALSE)</f>
        <v>PROOVEDORES</v>
      </c>
      <c r="J2206" s="188" t="str">
        <f>VLOOKUP(C2206,CATEGORIZACION!$A$1:$C$269,3,FALSE)</f>
        <v>DEPOSITO</v>
      </c>
    </row>
    <row r="2207" spans="1:10" ht="15.75" customHeight="1" x14ac:dyDescent="0.25">
      <c r="A2207" s="1">
        <v>45254</v>
      </c>
      <c r="B2207" s="188" t="s">
        <v>2125</v>
      </c>
      <c r="C2207" s="188" t="s">
        <v>36</v>
      </c>
      <c r="D2207" s="188" t="s">
        <v>37</v>
      </c>
      <c r="E2207" s="4">
        <v>12000</v>
      </c>
      <c r="F2207" s="5">
        <v>191400</v>
      </c>
      <c r="G2207" s="4">
        <v>40194</v>
      </c>
      <c r="H2207" s="4">
        <v>243594</v>
      </c>
      <c r="I2207" s="188" t="str">
        <f>VLOOKUP(C2207,CATEGORIZACION!$A$1:$C$269,2,FALSE)</f>
        <v>TRANSPORTE</v>
      </c>
      <c r="J2207" s="188" t="s">
        <v>19</v>
      </c>
    </row>
    <row r="2208" spans="1:10" ht="15.75" customHeight="1" x14ac:dyDescent="0.25">
      <c r="A2208" s="1">
        <v>45254</v>
      </c>
      <c r="B2208" s="188" t="s">
        <v>2126</v>
      </c>
      <c r="C2208" s="188" t="s">
        <v>36</v>
      </c>
      <c r="D2208" s="188" t="s">
        <v>37</v>
      </c>
      <c r="E2208" s="4">
        <v>9500</v>
      </c>
      <c r="F2208" s="5">
        <v>185250</v>
      </c>
      <c r="G2208" s="4">
        <v>38902.5</v>
      </c>
      <c r="H2208" s="4">
        <v>233652.5</v>
      </c>
      <c r="I2208" s="188" t="str">
        <f>VLOOKUP(C2208,CATEGORIZACION!$A$1:$C$269,2,FALSE)</f>
        <v>TRANSPORTE</v>
      </c>
      <c r="J2208" s="188" t="s">
        <v>19</v>
      </c>
    </row>
    <row r="2209" spans="1:10" ht="15.75" customHeight="1" x14ac:dyDescent="0.25">
      <c r="A2209" s="1">
        <v>45255</v>
      </c>
      <c r="B2209" s="188" t="s">
        <v>2127</v>
      </c>
      <c r="C2209" s="188" t="s">
        <v>1231</v>
      </c>
      <c r="D2209" s="188" t="s">
        <v>1232</v>
      </c>
      <c r="E2209" s="4">
        <v>0</v>
      </c>
      <c r="F2209" s="5">
        <v>6141</v>
      </c>
      <c r="G2209" s="4">
        <v>1289.6099999999999</v>
      </c>
      <c r="H2209" s="4">
        <v>7430.61</v>
      </c>
      <c r="I2209" s="188" t="str">
        <f>VLOOKUP(C2209,CATEGORIZACION!$A$1:$C$269,2,FALSE)</f>
        <v>PROOVEDORES</v>
      </c>
      <c r="J2209" s="188" t="str">
        <f>VLOOKUP(C2209,CATEGORIZACION!$A$1:$C$269,3,FALSE)</f>
        <v>LOGISTICA</v>
      </c>
    </row>
    <row r="2210" spans="1:10" ht="15.75" customHeight="1" x14ac:dyDescent="0.25">
      <c r="A2210" s="1">
        <v>45255</v>
      </c>
      <c r="B2210" s="188" t="s">
        <v>2128</v>
      </c>
      <c r="C2210" s="188" t="s">
        <v>426</v>
      </c>
      <c r="D2210" s="188" t="s">
        <v>427</v>
      </c>
      <c r="E2210" s="4">
        <v>2495</v>
      </c>
      <c r="F2210" s="5">
        <v>42152.89</v>
      </c>
      <c r="G2210" s="4">
        <v>8852.11</v>
      </c>
      <c r="H2210" s="4">
        <v>53500</v>
      </c>
      <c r="I2210" s="188" t="str">
        <f>VLOOKUP(C2210,CATEGORIZACION!$A$1:$C$269,2,FALSE)</f>
        <v>PROOVEDORES</v>
      </c>
      <c r="J2210" s="188" t="str">
        <f>VLOOKUP(C2210,CATEGORIZACION!$A$1:$C$269,3,FALSE)</f>
        <v>LOGISTICA</v>
      </c>
    </row>
    <row r="2211" spans="1:10" ht="15.75" customHeight="1" x14ac:dyDescent="0.25">
      <c r="A2211" s="1">
        <v>45257</v>
      </c>
      <c r="B2211" s="188" t="s">
        <v>2129</v>
      </c>
      <c r="C2211" s="188" t="s">
        <v>21</v>
      </c>
      <c r="D2211" s="188" t="s">
        <v>22</v>
      </c>
      <c r="E2211" s="4">
        <v>-275360</v>
      </c>
      <c r="F2211" s="5">
        <v>0</v>
      </c>
      <c r="G2211" s="4">
        <v>0</v>
      </c>
      <c r="H2211" s="4">
        <v>-275360</v>
      </c>
      <c r="I2211" s="188" t="str">
        <f>VLOOKUP(C2211,CATEGORIZACION!$A$1:$C$269,2,FALSE)</f>
        <v>TRANSPORTE</v>
      </c>
      <c r="J2211" s="188" t="s">
        <v>19</v>
      </c>
    </row>
    <row r="2212" spans="1:10" ht="15.75" customHeight="1" x14ac:dyDescent="0.25">
      <c r="A2212" s="1">
        <v>45257</v>
      </c>
      <c r="B2212" s="188" t="s">
        <v>2130</v>
      </c>
      <c r="C2212" s="188" t="s">
        <v>1143</v>
      </c>
      <c r="D2212" s="188" t="s">
        <v>1144</v>
      </c>
      <c r="E2212" s="4">
        <v>0</v>
      </c>
      <c r="F2212" s="3">
        <v>497760</v>
      </c>
      <c r="G2212" s="4">
        <v>104529.60000000001</v>
      </c>
      <c r="H2212" s="4">
        <v>602289.6</v>
      </c>
      <c r="I2212" s="188" t="str">
        <f>VLOOKUP(C2212,CATEGORIZACION!$A$1:$C$269,2,FALSE)</f>
        <v>PROOVEDORES</v>
      </c>
      <c r="J2212" s="188" t="str">
        <f>VLOOKUP(C2212,CATEGORIZACION!$A$1:$C$269,3,FALSE)</f>
        <v>DEPOSITO</v>
      </c>
    </row>
    <row r="2213" spans="1:10" ht="15.75" customHeight="1" x14ac:dyDescent="0.25">
      <c r="A2213" s="1">
        <v>45257</v>
      </c>
      <c r="B2213" s="188" t="s">
        <v>2131</v>
      </c>
      <c r="C2213" s="188" t="s">
        <v>2105</v>
      </c>
      <c r="D2213" s="188" t="s">
        <v>2106</v>
      </c>
      <c r="E2213" s="4">
        <v>0</v>
      </c>
      <c r="F2213" s="5">
        <v>285000</v>
      </c>
      <c r="G2213" s="4">
        <v>59850</v>
      </c>
      <c r="H2213" s="4">
        <v>344850</v>
      </c>
      <c r="I2213" s="188" t="str">
        <f>VLOOKUP(C2213,CATEGORIZACION!$A$1:$C$269,2,FALSE)</f>
        <v>PROOVEDORES</v>
      </c>
      <c r="J2213" s="188" t="str">
        <f>VLOOKUP(C2213,CATEGORIZACION!$A$1:$C$269,3,FALSE)</f>
        <v>LOGISTICA</v>
      </c>
    </row>
    <row r="2214" spans="1:10" ht="15.75" customHeight="1" x14ac:dyDescent="0.25">
      <c r="A2214" s="1">
        <v>45257</v>
      </c>
      <c r="B2214" s="188" t="s">
        <v>2132</v>
      </c>
      <c r="C2214" s="188" t="s">
        <v>21</v>
      </c>
      <c r="D2214" s="188" t="s">
        <v>22</v>
      </c>
      <c r="E2214" s="4">
        <v>31400</v>
      </c>
      <c r="F2214" s="5">
        <v>630000</v>
      </c>
      <c r="G2214" s="4">
        <v>132300</v>
      </c>
      <c r="H2214" s="4">
        <v>793700</v>
      </c>
      <c r="I2214" s="188" t="str">
        <f>VLOOKUP(C2214,CATEGORIZACION!$A$1:$C$269,2,FALSE)</f>
        <v>TRANSPORTE</v>
      </c>
      <c r="J2214" s="188" t="s">
        <v>19</v>
      </c>
    </row>
    <row r="2215" spans="1:10" ht="15.75" customHeight="1" x14ac:dyDescent="0.25">
      <c r="A2215" s="1">
        <v>45257</v>
      </c>
      <c r="B2215" s="188" t="s">
        <v>2133</v>
      </c>
      <c r="C2215" s="188" t="s">
        <v>21</v>
      </c>
      <c r="D2215" s="188" t="s">
        <v>22</v>
      </c>
      <c r="E2215" s="4">
        <v>29200</v>
      </c>
      <c r="F2215" s="5">
        <v>530000</v>
      </c>
      <c r="G2215" s="4">
        <v>111300</v>
      </c>
      <c r="H2215" s="4">
        <v>670500</v>
      </c>
      <c r="I2215" s="188" t="str">
        <f>VLOOKUP(C2215,CATEGORIZACION!$A$1:$C$269,2,FALSE)</f>
        <v>TRANSPORTE</v>
      </c>
      <c r="J2215" s="188" t="s">
        <v>19</v>
      </c>
    </row>
    <row r="2216" spans="1:10" ht="15.75" customHeight="1" x14ac:dyDescent="0.25">
      <c r="A2216" s="1">
        <v>45257</v>
      </c>
      <c r="B2216" s="188" t="s">
        <v>2134</v>
      </c>
      <c r="C2216" s="188" t="s">
        <v>21</v>
      </c>
      <c r="D2216" s="188" t="s">
        <v>22</v>
      </c>
      <c r="E2216" s="4">
        <v>16640</v>
      </c>
      <c r="F2216" s="5">
        <v>292000</v>
      </c>
      <c r="G2216" s="4">
        <v>61320</v>
      </c>
      <c r="H2216" s="4">
        <v>369960</v>
      </c>
      <c r="I2216" s="188" t="str">
        <f>VLOOKUP(C2216,CATEGORIZACION!$A$1:$C$269,2,FALSE)</f>
        <v>TRANSPORTE</v>
      </c>
      <c r="J2216" s="188" t="s">
        <v>19</v>
      </c>
    </row>
    <row r="2217" spans="1:10" ht="15.75" customHeight="1" x14ac:dyDescent="0.25">
      <c r="A2217" s="1">
        <v>45257</v>
      </c>
      <c r="B2217" s="188" t="s">
        <v>2135</v>
      </c>
      <c r="C2217" s="188" t="s">
        <v>21</v>
      </c>
      <c r="D2217" s="188" t="s">
        <v>22</v>
      </c>
      <c r="E2217" s="4">
        <v>12560</v>
      </c>
      <c r="F2217" s="5">
        <v>262000</v>
      </c>
      <c r="G2217" s="4">
        <v>55020</v>
      </c>
      <c r="H2217" s="4">
        <v>329580</v>
      </c>
      <c r="I2217" s="188" t="str">
        <f>VLOOKUP(C2217,CATEGORIZACION!$A$1:$C$269,2,FALSE)</f>
        <v>TRANSPORTE</v>
      </c>
      <c r="J2217" s="188" t="s">
        <v>19</v>
      </c>
    </row>
    <row r="2218" spans="1:10" ht="15.75" customHeight="1" x14ac:dyDescent="0.25">
      <c r="A2218" s="1">
        <v>45257</v>
      </c>
      <c r="B2218" s="188" t="s">
        <v>2136</v>
      </c>
      <c r="C2218" s="188" t="s">
        <v>21</v>
      </c>
      <c r="D2218" s="188" t="s">
        <v>22</v>
      </c>
      <c r="E2218" s="4">
        <v>11680</v>
      </c>
      <c r="F2218" s="5">
        <v>264000</v>
      </c>
      <c r="G2218" s="4">
        <v>55440</v>
      </c>
      <c r="H2218" s="4">
        <v>331120</v>
      </c>
      <c r="I2218" s="188" t="str">
        <f>VLOOKUP(C2218,CATEGORIZACION!$A$1:$C$269,2,FALSE)</f>
        <v>TRANSPORTE</v>
      </c>
      <c r="J2218" s="188" t="s">
        <v>19</v>
      </c>
    </row>
    <row r="2219" spans="1:10" ht="15.75" customHeight="1" x14ac:dyDescent="0.25">
      <c r="A2219" s="1">
        <v>45257</v>
      </c>
      <c r="B2219" s="188" t="s">
        <v>2137</v>
      </c>
      <c r="C2219" s="188" t="s">
        <v>21</v>
      </c>
      <c r="D2219" s="188" t="s">
        <v>22</v>
      </c>
      <c r="E2219" s="4">
        <v>16960</v>
      </c>
      <c r="F2219" s="5">
        <v>292000</v>
      </c>
      <c r="G2219" s="4">
        <v>61320</v>
      </c>
      <c r="H2219" s="4">
        <v>370280</v>
      </c>
      <c r="I2219" s="188" t="str">
        <f>VLOOKUP(C2219,CATEGORIZACION!$A$1:$C$269,2,FALSE)</f>
        <v>TRANSPORTE</v>
      </c>
      <c r="J2219" s="188" t="s">
        <v>19</v>
      </c>
    </row>
    <row r="2220" spans="1:10" ht="15.75" customHeight="1" x14ac:dyDescent="0.25">
      <c r="A2220" s="1">
        <v>45257</v>
      </c>
      <c r="B2220" s="188" t="s">
        <v>2138</v>
      </c>
      <c r="C2220" s="188" t="s">
        <v>21</v>
      </c>
      <c r="D2220" s="188" t="s">
        <v>22</v>
      </c>
      <c r="E2220" s="4">
        <v>25120</v>
      </c>
      <c r="F2220" s="5">
        <v>574000</v>
      </c>
      <c r="G2220" s="4">
        <v>120540</v>
      </c>
      <c r="H2220" s="4">
        <v>719660</v>
      </c>
      <c r="I2220" s="188" t="str">
        <f>VLOOKUP(C2220,CATEGORIZACION!$A$1:$C$269,2,FALSE)</f>
        <v>TRANSPORTE</v>
      </c>
      <c r="J2220" s="188" t="s">
        <v>19</v>
      </c>
    </row>
    <row r="2221" spans="1:10" ht="15.75" customHeight="1" x14ac:dyDescent="0.25">
      <c r="A2221" s="1">
        <v>45257</v>
      </c>
      <c r="B2221" s="188" t="s">
        <v>2139</v>
      </c>
      <c r="C2221" s="188" t="s">
        <v>21</v>
      </c>
      <c r="D2221" s="188" t="s">
        <v>22</v>
      </c>
      <c r="E2221" s="4">
        <v>0</v>
      </c>
      <c r="F2221" s="5">
        <v>218000</v>
      </c>
      <c r="G2221" s="4">
        <v>45780</v>
      </c>
      <c r="H2221" s="4">
        <v>263780</v>
      </c>
      <c r="I2221" s="188" t="str">
        <f>VLOOKUP(C2221,CATEGORIZACION!$A$1:$C$269,2,FALSE)</f>
        <v>TRANSPORTE</v>
      </c>
      <c r="J2221" s="188" t="s">
        <v>19</v>
      </c>
    </row>
    <row r="2222" spans="1:10" ht="15.75" customHeight="1" x14ac:dyDescent="0.25">
      <c r="A2222" s="1">
        <v>45257</v>
      </c>
      <c r="B2222" s="188" t="s">
        <v>2140</v>
      </c>
      <c r="C2222" s="188" t="s">
        <v>21</v>
      </c>
      <c r="D2222" s="188" t="s">
        <v>22</v>
      </c>
      <c r="E2222" s="4">
        <v>12560</v>
      </c>
      <c r="F2222" s="5">
        <v>312000</v>
      </c>
      <c r="G2222" s="4">
        <v>65520</v>
      </c>
      <c r="H2222" s="4">
        <v>390080</v>
      </c>
      <c r="I2222" s="188" t="str">
        <f>VLOOKUP(C2222,CATEGORIZACION!$A$1:$C$269,2,FALSE)</f>
        <v>TRANSPORTE</v>
      </c>
      <c r="J2222" s="188" t="s">
        <v>19</v>
      </c>
    </row>
    <row r="2223" spans="1:10" ht="15.75" customHeight="1" x14ac:dyDescent="0.25">
      <c r="A2223" s="1">
        <v>45257</v>
      </c>
      <c r="B2223" s="188" t="s">
        <v>2141</v>
      </c>
      <c r="C2223" s="188" t="s">
        <v>339</v>
      </c>
      <c r="D2223" s="188" t="s">
        <v>340</v>
      </c>
      <c r="E2223" s="4">
        <v>1.8626451492309571E-11</v>
      </c>
      <c r="F2223" s="5">
        <v>138858.57999999999</v>
      </c>
      <c r="G2223" s="4">
        <v>29160.3</v>
      </c>
      <c r="H2223" s="4">
        <v>168018.88</v>
      </c>
      <c r="I2223" s="188" t="str">
        <f>VLOOKUP(C2223,CATEGORIZACION!$A$1:$C$269,2,FALSE)</f>
        <v>PROOVEDORES</v>
      </c>
      <c r="J2223" s="188" t="str">
        <f>VLOOKUP(C2223,CATEGORIZACION!$A$1:$C$269,3,FALSE)</f>
        <v>LOGISTICA</v>
      </c>
    </row>
    <row r="2224" spans="1:10" ht="15.75" customHeight="1" x14ac:dyDescent="0.25">
      <c r="A2224" s="1">
        <v>45257</v>
      </c>
      <c r="B2224" s="188" t="s">
        <v>2142</v>
      </c>
      <c r="C2224" s="188" t="s">
        <v>36</v>
      </c>
      <c r="D2224" s="188" t="s">
        <v>37</v>
      </c>
      <c r="E2224" s="4">
        <v>5000</v>
      </c>
      <c r="F2224" s="5">
        <v>154500</v>
      </c>
      <c r="G2224" s="4">
        <v>32445</v>
      </c>
      <c r="H2224" s="4">
        <v>191945</v>
      </c>
      <c r="I2224" s="188" t="str">
        <f>VLOOKUP(C2224,CATEGORIZACION!$A$1:$C$269,2,FALSE)</f>
        <v>TRANSPORTE</v>
      </c>
      <c r="J2224" s="188" t="s">
        <v>19</v>
      </c>
    </row>
    <row r="2225" spans="1:10" ht="15.75" customHeight="1" x14ac:dyDescent="0.25">
      <c r="A2225" s="1">
        <v>45257</v>
      </c>
      <c r="B2225" s="188" t="s">
        <v>2143</v>
      </c>
      <c r="C2225" s="188" t="s">
        <v>36</v>
      </c>
      <c r="D2225" s="188" t="s">
        <v>37</v>
      </c>
      <c r="E2225" s="4">
        <v>12000</v>
      </c>
      <c r="F2225" s="5">
        <v>191400</v>
      </c>
      <c r="G2225" s="4">
        <v>40194</v>
      </c>
      <c r="H2225" s="4">
        <v>243594</v>
      </c>
      <c r="I2225" s="188" t="str">
        <f>VLOOKUP(C2225,CATEGORIZACION!$A$1:$C$269,2,FALSE)</f>
        <v>TRANSPORTE</v>
      </c>
      <c r="J2225" s="188" t="s">
        <v>19</v>
      </c>
    </row>
    <row r="2226" spans="1:10" ht="15.75" customHeight="1" x14ac:dyDescent="0.25">
      <c r="A2226" s="1">
        <v>45257</v>
      </c>
      <c r="B2226" s="188" t="s">
        <v>2144</v>
      </c>
      <c r="C2226" s="188" t="s">
        <v>36</v>
      </c>
      <c r="D2226" s="188" t="s">
        <v>37</v>
      </c>
      <c r="E2226" s="4">
        <v>5000</v>
      </c>
      <c r="F2226" s="5">
        <v>154500</v>
      </c>
      <c r="G2226" s="4">
        <v>32445</v>
      </c>
      <c r="H2226" s="4">
        <v>191945</v>
      </c>
      <c r="I2226" s="188" t="str">
        <f>VLOOKUP(C2226,CATEGORIZACION!$A$1:$C$269,2,FALSE)</f>
        <v>TRANSPORTE</v>
      </c>
      <c r="J2226" s="188" t="s">
        <v>19</v>
      </c>
    </row>
    <row r="2227" spans="1:10" ht="15.75" customHeight="1" x14ac:dyDescent="0.25">
      <c r="A2227" s="1">
        <v>45257</v>
      </c>
      <c r="B2227" s="188" t="s">
        <v>2145</v>
      </c>
      <c r="C2227" s="188" t="s">
        <v>36</v>
      </c>
      <c r="D2227" s="188" t="s">
        <v>37</v>
      </c>
      <c r="E2227" s="4">
        <v>12000</v>
      </c>
      <c r="F2227" s="5">
        <v>191400</v>
      </c>
      <c r="G2227" s="4">
        <v>40194</v>
      </c>
      <c r="H2227" s="4">
        <v>243594</v>
      </c>
      <c r="I2227" s="188" t="str">
        <f>VLOOKUP(C2227,CATEGORIZACION!$A$1:$C$269,2,FALSE)</f>
        <v>TRANSPORTE</v>
      </c>
      <c r="J2227" s="188" t="s">
        <v>19</v>
      </c>
    </row>
    <row r="2228" spans="1:10" ht="15.75" customHeight="1" x14ac:dyDescent="0.25">
      <c r="A2228" s="1">
        <v>45257</v>
      </c>
      <c r="B2228" s="188" t="s">
        <v>2146</v>
      </c>
      <c r="C2228" s="188" t="s">
        <v>36</v>
      </c>
      <c r="D2228" s="188" t="s">
        <v>37</v>
      </c>
      <c r="E2228" s="4">
        <v>20700</v>
      </c>
      <c r="F2228" s="5">
        <v>218150</v>
      </c>
      <c r="G2228" s="4">
        <v>45811.5</v>
      </c>
      <c r="H2228" s="4">
        <v>284661.5</v>
      </c>
      <c r="I2228" s="188" t="str">
        <f>VLOOKUP(C2228,CATEGORIZACION!$A$1:$C$269,2,FALSE)</f>
        <v>TRANSPORTE</v>
      </c>
      <c r="J2228" s="188" t="s">
        <v>19</v>
      </c>
    </row>
    <row r="2229" spans="1:10" ht="15.75" customHeight="1" x14ac:dyDescent="0.25">
      <c r="A2229" s="1">
        <v>45257</v>
      </c>
      <c r="B2229" s="188" t="s">
        <v>2147</v>
      </c>
      <c r="C2229" s="188" t="s">
        <v>36</v>
      </c>
      <c r="D2229" s="188" t="s">
        <v>37</v>
      </c>
      <c r="E2229" s="4">
        <v>20700</v>
      </c>
      <c r="F2229" s="5">
        <v>218150</v>
      </c>
      <c r="G2229" s="4">
        <v>45811.5</v>
      </c>
      <c r="H2229" s="4">
        <v>284661.5</v>
      </c>
      <c r="I2229" s="188" t="str">
        <f>VLOOKUP(C2229,CATEGORIZACION!$A$1:$C$269,2,FALSE)</f>
        <v>TRANSPORTE</v>
      </c>
      <c r="J2229" s="188" t="s">
        <v>19</v>
      </c>
    </row>
    <row r="2230" spans="1:10" ht="15.75" customHeight="1" x14ac:dyDescent="0.25">
      <c r="A2230" s="1">
        <v>45257</v>
      </c>
      <c r="B2230" s="188" t="s">
        <v>2148</v>
      </c>
      <c r="C2230" s="188" t="s">
        <v>36</v>
      </c>
      <c r="D2230" s="188" t="s">
        <v>37</v>
      </c>
      <c r="E2230" s="4">
        <v>3800</v>
      </c>
      <c r="F2230" s="5">
        <v>79000</v>
      </c>
      <c r="G2230" s="4">
        <v>16590</v>
      </c>
      <c r="H2230" s="4">
        <v>99390</v>
      </c>
      <c r="I2230" s="188" t="str">
        <f>VLOOKUP(C2230,CATEGORIZACION!$A$1:$C$269,2,FALSE)</f>
        <v>TRANSPORTE</v>
      </c>
      <c r="J2230" s="188" t="s">
        <v>19</v>
      </c>
    </row>
    <row r="2231" spans="1:10" ht="15.75" customHeight="1" x14ac:dyDescent="0.25">
      <c r="A2231" s="1">
        <v>45257</v>
      </c>
      <c r="B2231" s="188" t="s">
        <v>2149</v>
      </c>
      <c r="C2231" s="188" t="s">
        <v>36</v>
      </c>
      <c r="D2231" s="188" t="s">
        <v>37</v>
      </c>
      <c r="E2231" s="4">
        <v>9800</v>
      </c>
      <c r="F2231" s="5">
        <v>133750</v>
      </c>
      <c r="G2231" s="4">
        <v>28087.5</v>
      </c>
      <c r="H2231" s="4">
        <v>171637.5</v>
      </c>
      <c r="I2231" s="188" t="str">
        <f>VLOOKUP(C2231,CATEGORIZACION!$A$1:$C$269,2,FALSE)</f>
        <v>TRANSPORTE</v>
      </c>
      <c r="J2231" s="188" t="s">
        <v>19</v>
      </c>
    </row>
    <row r="2232" spans="1:10" ht="15.75" customHeight="1" x14ac:dyDescent="0.25">
      <c r="A2232" s="1">
        <v>45257</v>
      </c>
      <c r="B2232" s="188" t="s">
        <v>2150</v>
      </c>
      <c r="C2232" s="188" t="s">
        <v>36</v>
      </c>
      <c r="D2232" s="188" t="s">
        <v>37</v>
      </c>
      <c r="E2232" s="4">
        <v>15000</v>
      </c>
      <c r="F2232" s="5">
        <v>229700</v>
      </c>
      <c r="G2232" s="4">
        <v>48237</v>
      </c>
      <c r="H2232" s="4">
        <v>292937</v>
      </c>
      <c r="I2232" s="188" t="str">
        <f>VLOOKUP(C2232,CATEGORIZACION!$A$1:$C$269,2,FALSE)</f>
        <v>TRANSPORTE</v>
      </c>
      <c r="J2232" s="188" t="s">
        <v>19</v>
      </c>
    </row>
    <row r="2233" spans="1:10" ht="15.75" customHeight="1" x14ac:dyDescent="0.25">
      <c r="A2233" s="1">
        <v>45257</v>
      </c>
      <c r="B2233" s="188" t="s">
        <v>2151</v>
      </c>
      <c r="C2233" s="188" t="s">
        <v>36</v>
      </c>
      <c r="D2233" s="188" t="s">
        <v>37</v>
      </c>
      <c r="E2233" s="4">
        <v>12500</v>
      </c>
      <c r="F2233" s="5">
        <v>160500</v>
      </c>
      <c r="G2233" s="4">
        <v>33705</v>
      </c>
      <c r="H2233" s="4">
        <v>206705</v>
      </c>
      <c r="I2233" s="188" t="str">
        <f>VLOOKUP(C2233,CATEGORIZACION!$A$1:$C$269,2,FALSE)</f>
        <v>TRANSPORTE</v>
      </c>
      <c r="J2233" s="188" t="s">
        <v>19</v>
      </c>
    </row>
    <row r="2234" spans="1:10" ht="15.75" customHeight="1" x14ac:dyDescent="0.25">
      <c r="A2234" s="1">
        <v>45257</v>
      </c>
      <c r="B2234" s="188" t="s">
        <v>2152</v>
      </c>
      <c r="C2234" s="188" t="s">
        <v>36</v>
      </c>
      <c r="D2234" s="188" t="s">
        <v>37</v>
      </c>
      <c r="E2234" s="4">
        <v>0</v>
      </c>
      <c r="F2234" s="5">
        <v>79000</v>
      </c>
      <c r="G2234" s="4">
        <v>16590</v>
      </c>
      <c r="H2234" s="4">
        <v>95590</v>
      </c>
      <c r="I2234" s="188" t="str">
        <f>VLOOKUP(C2234,CATEGORIZACION!$A$1:$C$269,2,FALSE)</f>
        <v>TRANSPORTE</v>
      </c>
      <c r="J2234" s="188" t="s">
        <v>19</v>
      </c>
    </row>
    <row r="2235" spans="1:10" ht="15.75" customHeight="1" x14ac:dyDescent="0.25">
      <c r="A2235" s="1">
        <v>45257</v>
      </c>
      <c r="B2235" s="188" t="s">
        <v>2153</v>
      </c>
      <c r="C2235" s="188" t="s">
        <v>36</v>
      </c>
      <c r="D2235" s="188" t="s">
        <v>37</v>
      </c>
      <c r="E2235" s="4">
        <v>0</v>
      </c>
      <c r="F2235" s="5">
        <v>79000</v>
      </c>
      <c r="G2235" s="4">
        <v>16590</v>
      </c>
      <c r="H2235" s="4">
        <v>95590</v>
      </c>
      <c r="I2235" s="188" t="str">
        <f>VLOOKUP(C2235,CATEGORIZACION!$A$1:$C$269,2,FALSE)</f>
        <v>TRANSPORTE</v>
      </c>
      <c r="J2235" s="188" t="s">
        <v>19</v>
      </c>
    </row>
    <row r="2236" spans="1:10" ht="15.75" customHeight="1" x14ac:dyDescent="0.25">
      <c r="A2236" s="1">
        <v>45258</v>
      </c>
      <c r="B2236" s="188" t="s">
        <v>2154</v>
      </c>
      <c r="C2236" s="188" t="s">
        <v>1143</v>
      </c>
      <c r="D2236" s="188" t="s">
        <v>1144</v>
      </c>
      <c r="E2236" s="4">
        <v>0</v>
      </c>
      <c r="F2236" s="3">
        <v>1405872</v>
      </c>
      <c r="G2236" s="4">
        <v>295233.12</v>
      </c>
      <c r="H2236" s="4">
        <v>1701105.12</v>
      </c>
      <c r="I2236" s="188" t="str">
        <f>VLOOKUP(C2236,CATEGORIZACION!$A$1:$C$269,2,FALSE)</f>
        <v>PROOVEDORES</v>
      </c>
      <c r="J2236" s="188" t="str">
        <f>VLOOKUP(C2236,CATEGORIZACION!$A$1:$C$269,3,FALSE)</f>
        <v>DEPOSITO</v>
      </c>
    </row>
    <row r="2237" spans="1:10" ht="15.75" customHeight="1" x14ac:dyDescent="0.25">
      <c r="A2237" s="1">
        <v>45258</v>
      </c>
      <c r="B2237" s="188" t="s">
        <v>2155</v>
      </c>
      <c r="C2237" s="188" t="s">
        <v>714</v>
      </c>
      <c r="D2237" s="188" t="s">
        <v>715</v>
      </c>
      <c r="E2237" s="4">
        <v>0</v>
      </c>
      <c r="F2237" s="3">
        <v>153450</v>
      </c>
      <c r="G2237" s="4">
        <v>32224.5</v>
      </c>
      <c r="H2237" s="4">
        <v>185674.5</v>
      </c>
      <c r="I2237" s="188" t="str">
        <f>VLOOKUP(C2237,CATEGORIZACION!$A$1:$C$269,2,FALSE)</f>
        <v>PROOVEDORES</v>
      </c>
      <c r="J2237" s="188" t="str">
        <f>VLOOKUP(C2237,CATEGORIZACION!$A$1:$C$269,3,FALSE)</f>
        <v>DEPOSITO</v>
      </c>
    </row>
    <row r="2238" spans="1:10" ht="15.75" customHeight="1" x14ac:dyDescent="0.25">
      <c r="A2238" s="1">
        <v>45259</v>
      </c>
      <c r="B2238" s="188" t="s">
        <v>2156</v>
      </c>
      <c r="C2238" s="188" t="s">
        <v>1143</v>
      </c>
      <c r="D2238" s="188" t="s">
        <v>1144</v>
      </c>
      <c r="E2238" s="4">
        <v>0</v>
      </c>
      <c r="F2238" s="3">
        <v>187200</v>
      </c>
      <c r="G2238" s="4">
        <v>39312</v>
      </c>
      <c r="H2238" s="4">
        <v>226512</v>
      </c>
      <c r="I2238" s="188" t="str">
        <f>VLOOKUP(C2238,CATEGORIZACION!$A$1:$C$269,2,FALSE)</f>
        <v>PROOVEDORES</v>
      </c>
      <c r="J2238" s="188" t="str">
        <f>VLOOKUP(C2238,CATEGORIZACION!$A$1:$C$269,3,FALSE)</f>
        <v>DEPOSITO</v>
      </c>
    </row>
    <row r="2239" spans="1:10" ht="15.75" customHeight="1" x14ac:dyDescent="0.25">
      <c r="A2239" s="1">
        <v>45259</v>
      </c>
      <c r="B2239" s="188" t="s">
        <v>2157</v>
      </c>
      <c r="C2239" s="188" t="s">
        <v>84</v>
      </c>
      <c r="D2239" s="188" t="s">
        <v>85</v>
      </c>
      <c r="E2239" s="4">
        <v>56376.480000000003</v>
      </c>
      <c r="F2239" s="5">
        <v>1110432.68</v>
      </c>
      <c r="G2239" s="4">
        <v>233190.86</v>
      </c>
      <c r="H2239" s="4">
        <v>1400000.02</v>
      </c>
      <c r="I2239" s="188" t="str">
        <f>VLOOKUP(C2239,CATEGORIZACION!$A$1:$C$269,2,FALSE)</f>
        <v>PROOVEDORES</v>
      </c>
      <c r="J2239" s="188" t="str">
        <f>VLOOKUP(C2239,CATEGORIZACION!$A$1:$C$269,3,FALSE)</f>
        <v>LOGISTICA</v>
      </c>
    </row>
    <row r="2240" spans="1:10" ht="15.75" customHeight="1" x14ac:dyDescent="0.25">
      <c r="A2240" s="1">
        <v>45259</v>
      </c>
      <c r="B2240" s="188" t="s">
        <v>2158</v>
      </c>
      <c r="C2240" s="188" t="s">
        <v>84</v>
      </c>
      <c r="D2240" s="188"/>
      <c r="E2240" s="5">
        <v>53189.730000000149</v>
      </c>
      <c r="F2240" s="5">
        <v>116594</v>
      </c>
      <c r="G2240" s="7">
        <v>226502.41</v>
      </c>
      <c r="H2240" s="5">
        <v>116594</v>
      </c>
      <c r="I2240" s="188" t="str">
        <f>VLOOKUP(C2240,CATEGORIZACION!$A$1:$C$269,2,FALSE)</f>
        <v>PROOVEDORES</v>
      </c>
      <c r="J2240" s="188" t="str">
        <f>VLOOKUP(C2240,CATEGORIZACION!$A$1:$C$269,3,FALSE)</f>
        <v>LOGISTICA</v>
      </c>
    </row>
    <row r="2241" spans="1:10" ht="15.75" customHeight="1" x14ac:dyDescent="0.25">
      <c r="A2241" s="1">
        <v>45259</v>
      </c>
      <c r="B2241" s="188" t="s">
        <v>2159</v>
      </c>
      <c r="C2241" s="188" t="s">
        <v>337</v>
      </c>
      <c r="D2241" s="188" t="s">
        <v>174</v>
      </c>
      <c r="E2241" s="4">
        <v>0</v>
      </c>
      <c r="F2241" s="5">
        <v>124600</v>
      </c>
      <c r="G2241" s="4">
        <v>26166</v>
      </c>
      <c r="H2241" s="4">
        <v>150766</v>
      </c>
      <c r="I2241" s="188" t="str">
        <f>VLOOKUP(C2241,CATEGORIZACION!$A$1:$C$269,2,FALSE)</f>
        <v>TRANSPORTE</v>
      </c>
      <c r="J2241" s="188" t="s">
        <v>19</v>
      </c>
    </row>
    <row r="2242" spans="1:10" ht="15.75" customHeight="1" x14ac:dyDescent="0.25">
      <c r="A2242" s="1">
        <v>45259</v>
      </c>
      <c r="B2242" s="188" t="s">
        <v>2160</v>
      </c>
      <c r="C2242" s="188" t="s">
        <v>337</v>
      </c>
      <c r="D2242" s="188" t="s">
        <v>174</v>
      </c>
      <c r="E2242" s="4">
        <v>0</v>
      </c>
      <c r="F2242" s="5">
        <v>121000</v>
      </c>
      <c r="G2242" s="4">
        <v>25410</v>
      </c>
      <c r="H2242" s="4">
        <v>146410</v>
      </c>
      <c r="I2242" s="188" t="str">
        <f>VLOOKUP(C2242,CATEGORIZACION!$A$1:$C$269,2,FALSE)</f>
        <v>TRANSPORTE</v>
      </c>
      <c r="J2242" s="188" t="s">
        <v>19</v>
      </c>
    </row>
    <row r="2243" spans="1:10" ht="15.75" customHeight="1" x14ac:dyDescent="0.25">
      <c r="A2243" s="1">
        <v>45259</v>
      </c>
      <c r="B2243" s="188" t="s">
        <v>2161</v>
      </c>
      <c r="C2243" s="188" t="s">
        <v>337</v>
      </c>
      <c r="D2243" s="188" t="s">
        <v>174</v>
      </c>
      <c r="E2243" s="4">
        <v>0</v>
      </c>
      <c r="F2243" s="5">
        <v>95800</v>
      </c>
      <c r="G2243" s="4">
        <v>20118</v>
      </c>
      <c r="H2243" s="4">
        <v>115918</v>
      </c>
      <c r="I2243" s="188" t="str">
        <f>VLOOKUP(C2243,CATEGORIZACION!$A$1:$C$269,2,FALSE)</f>
        <v>TRANSPORTE</v>
      </c>
      <c r="J2243" s="188" t="s">
        <v>19</v>
      </c>
    </row>
    <row r="2244" spans="1:10" ht="15.75" customHeight="1" x14ac:dyDescent="0.25">
      <c r="A2244" s="1">
        <v>45259</v>
      </c>
      <c r="B2244" s="188" t="s">
        <v>2162</v>
      </c>
      <c r="C2244" s="188" t="s">
        <v>36</v>
      </c>
      <c r="D2244" s="188" t="s">
        <v>37</v>
      </c>
      <c r="E2244" s="4">
        <v>5000</v>
      </c>
      <c r="F2244" s="5">
        <v>995000</v>
      </c>
      <c r="G2244" s="4">
        <v>208950</v>
      </c>
      <c r="H2244" s="4">
        <v>1208950</v>
      </c>
      <c r="I2244" s="188" t="str">
        <f>VLOOKUP(C2244,CATEGORIZACION!$A$1:$C$269,2,FALSE)</f>
        <v>TRANSPORTE</v>
      </c>
      <c r="J2244" s="188" t="s">
        <v>19</v>
      </c>
    </row>
    <row r="2245" spans="1:10" ht="15.75" customHeight="1" x14ac:dyDescent="0.25">
      <c r="A2245" s="1">
        <v>45259</v>
      </c>
      <c r="B2245" s="188" t="s">
        <v>2163</v>
      </c>
      <c r="C2245" s="188" t="s">
        <v>36</v>
      </c>
      <c r="D2245" s="188" t="s">
        <v>37</v>
      </c>
      <c r="E2245" s="4">
        <v>12500</v>
      </c>
      <c r="F2245" s="5">
        <v>133750</v>
      </c>
      <c r="G2245" s="4">
        <v>28087.5</v>
      </c>
      <c r="H2245" s="4">
        <v>174337.5</v>
      </c>
      <c r="I2245" s="188" t="str">
        <f>VLOOKUP(C2245,CATEGORIZACION!$A$1:$C$269,2,FALSE)</f>
        <v>TRANSPORTE</v>
      </c>
      <c r="J2245" s="188" t="s">
        <v>19</v>
      </c>
    </row>
    <row r="2246" spans="1:10" ht="15.75" customHeight="1" x14ac:dyDescent="0.25">
      <c r="A2246" s="1">
        <v>45259</v>
      </c>
      <c r="B2246" s="188" t="s">
        <v>2164</v>
      </c>
      <c r="C2246" s="188" t="s">
        <v>36</v>
      </c>
      <c r="D2246" s="188" t="s">
        <v>37</v>
      </c>
      <c r="E2246" s="4">
        <v>12500</v>
      </c>
      <c r="F2246" s="5">
        <v>133750</v>
      </c>
      <c r="G2246" s="4">
        <v>28087.5</v>
      </c>
      <c r="H2246" s="4">
        <v>174337.5</v>
      </c>
      <c r="I2246" s="188" t="str">
        <f>VLOOKUP(C2246,CATEGORIZACION!$A$1:$C$269,2,FALSE)</f>
        <v>TRANSPORTE</v>
      </c>
      <c r="J2246" s="188" t="s">
        <v>19</v>
      </c>
    </row>
    <row r="2247" spans="1:10" ht="15.75" customHeight="1" x14ac:dyDescent="0.25">
      <c r="A2247" s="1">
        <v>45260</v>
      </c>
      <c r="B2247" s="188" t="s">
        <v>2165</v>
      </c>
      <c r="C2247" s="188" t="s">
        <v>248</v>
      </c>
      <c r="D2247" s="188" t="s">
        <v>249</v>
      </c>
      <c r="E2247" s="4">
        <v>0</v>
      </c>
      <c r="F2247" s="5">
        <v>72953</v>
      </c>
      <c r="G2247" s="4">
        <v>15320.13</v>
      </c>
      <c r="H2247" s="4">
        <v>88273.13</v>
      </c>
      <c r="I2247" s="188" t="str">
        <f>VLOOKUP(C2247,CATEGORIZACION!$A$1:$C$269,2,FALSE)</f>
        <v>PROOVEDORES</v>
      </c>
      <c r="J2247" s="188" t="str">
        <f>VLOOKUP(C2247,CATEGORIZACION!$A$1:$C$269,3,FALSE)</f>
        <v>LOGISTICA</v>
      </c>
    </row>
    <row r="2248" spans="1:10" ht="15.75" customHeight="1" x14ac:dyDescent="0.25">
      <c r="A2248" s="1">
        <v>45260</v>
      </c>
      <c r="B2248" s="188" t="s">
        <v>2166</v>
      </c>
      <c r="C2248" s="188" t="s">
        <v>665</v>
      </c>
      <c r="D2248" s="188" t="s">
        <v>666</v>
      </c>
      <c r="E2248" s="4">
        <v>0</v>
      </c>
      <c r="F2248" s="5">
        <v>52892.57</v>
      </c>
      <c r="G2248" s="4">
        <v>11107.44</v>
      </c>
      <c r="H2248" s="4">
        <v>64000.01</v>
      </c>
      <c r="I2248" s="188" t="str">
        <f>VLOOKUP(C2248,CATEGORIZACION!$A$1:$C$269,2,FALSE)</f>
        <v>PROOVEDORES</v>
      </c>
      <c r="J2248" s="188" t="str">
        <f>VLOOKUP(C2248,CATEGORIZACION!$A$1:$C$269,3,FALSE)</f>
        <v>LOGISTICA</v>
      </c>
    </row>
    <row r="2249" spans="1:10" ht="15.75" customHeight="1" x14ac:dyDescent="0.25">
      <c r="A2249" s="1">
        <v>45260</v>
      </c>
      <c r="B2249" s="188" t="s">
        <v>2167</v>
      </c>
      <c r="C2249" s="188" t="s">
        <v>21</v>
      </c>
      <c r="D2249" s="188" t="s">
        <v>22</v>
      </c>
      <c r="E2249" s="4">
        <v>6640</v>
      </c>
      <c r="F2249" s="5">
        <v>132000</v>
      </c>
      <c r="G2249" s="4">
        <v>27720</v>
      </c>
      <c r="H2249" s="4">
        <v>166360</v>
      </c>
      <c r="I2249" s="188" t="str">
        <f>VLOOKUP(C2249,CATEGORIZACION!$A$1:$C$269,2,FALSE)</f>
        <v>TRANSPORTE</v>
      </c>
      <c r="J2249" s="188" t="s">
        <v>19</v>
      </c>
    </row>
    <row r="2250" spans="1:10" ht="15.75" customHeight="1" x14ac:dyDescent="0.25">
      <c r="A2250" s="1">
        <v>45260</v>
      </c>
      <c r="B2250" s="188" t="s">
        <v>2168</v>
      </c>
      <c r="C2250" s="188" t="s">
        <v>21</v>
      </c>
      <c r="D2250" s="188" t="s">
        <v>22</v>
      </c>
      <c r="E2250" s="4">
        <v>6640</v>
      </c>
      <c r="F2250" s="5">
        <v>106000</v>
      </c>
      <c r="G2250" s="4">
        <v>22260</v>
      </c>
      <c r="H2250" s="4">
        <v>134900</v>
      </c>
      <c r="I2250" s="188" t="str">
        <f>VLOOKUP(C2250,CATEGORIZACION!$A$1:$C$269,2,FALSE)</f>
        <v>TRANSPORTE</v>
      </c>
      <c r="J2250" s="188" t="s">
        <v>19</v>
      </c>
    </row>
    <row r="2251" spans="1:10" ht="15.75" customHeight="1" x14ac:dyDescent="0.25">
      <c r="A2251" s="1">
        <v>45260</v>
      </c>
      <c r="B2251" s="188" t="s">
        <v>2169</v>
      </c>
      <c r="C2251" s="188" t="s">
        <v>21</v>
      </c>
      <c r="D2251" s="188" t="s">
        <v>22</v>
      </c>
      <c r="E2251" s="4">
        <v>39840</v>
      </c>
      <c r="F2251" s="5">
        <v>786000</v>
      </c>
      <c r="G2251" s="4">
        <v>165060</v>
      </c>
      <c r="H2251" s="4">
        <v>990900</v>
      </c>
      <c r="I2251" s="188" t="str">
        <f>VLOOKUP(C2251,CATEGORIZACION!$A$1:$C$269,2,FALSE)</f>
        <v>TRANSPORTE</v>
      </c>
      <c r="J2251" s="188" t="s">
        <v>19</v>
      </c>
    </row>
    <row r="2252" spans="1:10" ht="15.75" customHeight="1" x14ac:dyDescent="0.25">
      <c r="A2252" s="1">
        <v>45260</v>
      </c>
      <c r="B2252" s="188" t="s">
        <v>2170</v>
      </c>
      <c r="C2252" s="188" t="s">
        <v>21</v>
      </c>
      <c r="D2252" s="188" t="s">
        <v>22</v>
      </c>
      <c r="E2252" s="4">
        <v>22500</v>
      </c>
      <c r="F2252" s="5">
        <v>1476200</v>
      </c>
      <c r="G2252" s="4">
        <v>310002</v>
      </c>
      <c r="H2252" s="4">
        <v>1808702</v>
      </c>
      <c r="I2252" s="188" t="str">
        <f>VLOOKUP(C2252,CATEGORIZACION!$A$1:$C$269,2,FALSE)</f>
        <v>TRANSPORTE</v>
      </c>
      <c r="J2252" s="188" t="s">
        <v>19</v>
      </c>
    </row>
    <row r="2253" spans="1:10" ht="15.75" customHeight="1" x14ac:dyDescent="0.25">
      <c r="A2253" s="1">
        <v>45260</v>
      </c>
      <c r="B2253" s="188" t="s">
        <v>2171</v>
      </c>
      <c r="C2253" s="188" t="s">
        <v>36</v>
      </c>
      <c r="D2253" s="188" t="s">
        <v>37</v>
      </c>
      <c r="E2253" s="4">
        <v>12500</v>
      </c>
      <c r="F2253" s="5">
        <v>133750</v>
      </c>
      <c r="G2253" s="4">
        <v>28087.5</v>
      </c>
      <c r="H2253" s="4">
        <v>174337.5</v>
      </c>
      <c r="I2253" s="188" t="str">
        <f>VLOOKUP(C2253,CATEGORIZACION!$A$1:$C$269,2,FALSE)</f>
        <v>TRANSPORTE</v>
      </c>
      <c r="J2253" s="188" t="s">
        <v>19</v>
      </c>
    </row>
    <row r="2254" spans="1:10" ht="15.75" customHeight="1" x14ac:dyDescent="0.25">
      <c r="A2254" s="1">
        <v>45260</v>
      </c>
      <c r="B2254" s="188" t="s">
        <v>2172</v>
      </c>
      <c r="C2254" s="188" t="s">
        <v>375</v>
      </c>
      <c r="D2254" s="188" t="s">
        <v>376</v>
      </c>
      <c r="E2254" s="4">
        <v>5095.1000000000004</v>
      </c>
      <c r="F2254" s="5">
        <v>115797.52</v>
      </c>
      <c r="G2254" s="4">
        <v>24317.48</v>
      </c>
      <c r="H2254" s="4">
        <v>145210.1</v>
      </c>
      <c r="I2254" s="188" t="str">
        <f>VLOOKUP(C2254,CATEGORIZACION!$A$1:$C$269,2,FALSE)</f>
        <v>PROOVEDORES</v>
      </c>
      <c r="J2254" s="188" t="str">
        <f>VLOOKUP(C2254,CATEGORIZACION!$A$1:$C$269,3,FALSE)</f>
        <v>LOGISTICA</v>
      </c>
    </row>
    <row r="2255" spans="1:10" ht="15.75" customHeight="1" x14ac:dyDescent="0.25">
      <c r="A2255" s="1">
        <v>45260</v>
      </c>
      <c r="B2255" s="188" t="s">
        <v>2173</v>
      </c>
      <c r="C2255" s="188" t="s">
        <v>1346</v>
      </c>
      <c r="D2255" s="188" t="s">
        <v>1347</v>
      </c>
      <c r="E2255" s="4">
        <v>181500</v>
      </c>
      <c r="F2255" s="5">
        <v>0</v>
      </c>
      <c r="G2255" s="4">
        <v>0</v>
      </c>
      <c r="H2255" s="4">
        <v>181500</v>
      </c>
      <c r="I2255" s="188" t="str">
        <f>VLOOKUP(C2255,CATEGORIZACION!$A$1:$C$269,2,FALSE)</f>
        <v>PROOVEDORES</v>
      </c>
      <c r="J2255" s="188" t="str">
        <f>VLOOKUP(C2255,CATEGORIZACION!$A$1:$C$269,3,FALSE)</f>
        <v>LOGISTICA</v>
      </c>
    </row>
    <row r="2256" spans="1:10" ht="15.75" customHeight="1" x14ac:dyDescent="0.25">
      <c r="A2256" s="1">
        <v>45260</v>
      </c>
      <c r="B2256" s="188" t="s">
        <v>82</v>
      </c>
      <c r="C2256" s="188" t="s">
        <v>188</v>
      </c>
      <c r="D2256" s="188">
        <v>0</v>
      </c>
      <c r="E2256" s="4">
        <v>0</v>
      </c>
      <c r="F2256" s="3">
        <v>1658000</v>
      </c>
      <c r="G2256" s="4">
        <v>0</v>
      </c>
      <c r="H2256" s="4">
        <v>0</v>
      </c>
      <c r="I2256" s="188" t="str">
        <f>VLOOKUP(C2256,CATEGORIZACION!$A$1:$C$269,2,FALSE)</f>
        <v>SUELDOS</v>
      </c>
      <c r="J2256" s="188" t="s">
        <v>103</v>
      </c>
    </row>
    <row r="2257" spans="1:10" ht="15.75" customHeight="1" x14ac:dyDescent="0.25">
      <c r="A2257" s="1">
        <v>45260</v>
      </c>
      <c r="B2257" s="188" t="s">
        <v>82</v>
      </c>
      <c r="C2257" s="188" t="s">
        <v>189</v>
      </c>
      <c r="D2257" s="188">
        <v>0</v>
      </c>
      <c r="E2257" s="4">
        <v>0</v>
      </c>
      <c r="F2257" s="3">
        <v>1060000</v>
      </c>
      <c r="G2257" s="4">
        <v>0</v>
      </c>
      <c r="H2257" s="4">
        <v>0</v>
      </c>
      <c r="I2257" s="188" t="str">
        <f>VLOOKUP(C2257,CATEGORIZACION!$A$1:$C$269,2,FALSE)</f>
        <v>SUELDOS</v>
      </c>
      <c r="J2257" s="188" t="s">
        <v>103</v>
      </c>
    </row>
    <row r="2258" spans="1:10" ht="15.75" customHeight="1" x14ac:dyDescent="0.25">
      <c r="A2258" s="1">
        <v>45260</v>
      </c>
      <c r="B2258" s="188" t="s">
        <v>82</v>
      </c>
      <c r="C2258" s="188" t="s">
        <v>1114</v>
      </c>
      <c r="D2258" s="188">
        <v>0</v>
      </c>
      <c r="E2258" s="4">
        <v>0</v>
      </c>
      <c r="F2258" s="3">
        <v>0</v>
      </c>
      <c r="G2258" s="4">
        <v>0</v>
      </c>
      <c r="H2258" s="4">
        <v>0</v>
      </c>
      <c r="I2258" s="188" t="str">
        <f>VLOOKUP(C2258,CATEGORIZACION!$A$1:$C$269,2,FALSE)</f>
        <v>SUELDOS</v>
      </c>
      <c r="J2258" s="188" t="s">
        <v>103</v>
      </c>
    </row>
    <row r="2259" spans="1:10" ht="15.75" customHeight="1" x14ac:dyDescent="0.25">
      <c r="A2259" s="1">
        <v>45260</v>
      </c>
      <c r="B2259" s="188" t="s">
        <v>82</v>
      </c>
      <c r="C2259" s="188" t="s">
        <v>1115</v>
      </c>
      <c r="D2259" s="188">
        <v>0</v>
      </c>
      <c r="E2259" s="4">
        <v>0</v>
      </c>
      <c r="F2259" s="5">
        <v>0</v>
      </c>
      <c r="G2259" s="4">
        <v>0</v>
      </c>
      <c r="H2259" s="4">
        <v>0</v>
      </c>
      <c r="I2259" s="188" t="str">
        <f>VLOOKUP(C2259,CATEGORIZACION!$A$1:$C$269,2,FALSE)</f>
        <v>SUELDOS</v>
      </c>
      <c r="J2259" s="188" t="s">
        <v>19</v>
      </c>
    </row>
    <row r="2260" spans="1:10" ht="15.75" customHeight="1" x14ac:dyDescent="0.25">
      <c r="A2260" s="1">
        <v>45260</v>
      </c>
      <c r="B2260" s="188" t="s">
        <v>82</v>
      </c>
      <c r="C2260" s="188" t="s">
        <v>190</v>
      </c>
      <c r="D2260" s="188">
        <v>0</v>
      </c>
      <c r="E2260" s="4">
        <v>0</v>
      </c>
      <c r="F2260" s="5">
        <v>3362050</v>
      </c>
      <c r="G2260" s="4">
        <v>0</v>
      </c>
      <c r="H2260" s="4">
        <v>0</v>
      </c>
      <c r="I2260" s="188" t="str">
        <f>VLOOKUP(C2260,CATEGORIZACION!$A$1:$C$269,2,FALSE)</f>
        <v>SUELDOS</v>
      </c>
      <c r="J2260" s="188" t="s">
        <v>19</v>
      </c>
    </row>
    <row r="2261" spans="1:10" ht="15.75" customHeight="1" x14ac:dyDescent="0.25">
      <c r="A2261" s="1">
        <v>45260</v>
      </c>
      <c r="B2261" s="188" t="s">
        <v>82</v>
      </c>
      <c r="C2261" s="188" t="s">
        <v>191</v>
      </c>
      <c r="D2261" s="188">
        <v>0</v>
      </c>
      <c r="E2261" s="4">
        <v>0</v>
      </c>
      <c r="F2261" s="5">
        <v>1853000</v>
      </c>
      <c r="G2261" s="4">
        <v>0</v>
      </c>
      <c r="H2261" s="4">
        <v>0</v>
      </c>
      <c r="I2261" s="188" t="str">
        <f>VLOOKUP(C2261,CATEGORIZACION!$A$1:$C$269,2,FALSE)</f>
        <v>SUELDOS</v>
      </c>
      <c r="J2261" s="188" t="s">
        <v>19</v>
      </c>
    </row>
    <row r="2262" spans="1:10" ht="15.75" customHeight="1" x14ac:dyDescent="0.25">
      <c r="A2262" s="1">
        <v>45260</v>
      </c>
      <c r="B2262" s="188" t="s">
        <v>82</v>
      </c>
      <c r="C2262" s="188" t="s">
        <v>192</v>
      </c>
      <c r="D2262" s="188">
        <v>0</v>
      </c>
      <c r="E2262" s="4">
        <v>0</v>
      </c>
      <c r="F2262" s="3">
        <v>0</v>
      </c>
      <c r="G2262" s="4">
        <v>0</v>
      </c>
      <c r="H2262" s="4">
        <v>0</v>
      </c>
      <c r="I2262" s="188" t="str">
        <f>VLOOKUP(C2262,CATEGORIZACION!$A$1:$C$269,2,FALSE)</f>
        <v>SUELDOS</v>
      </c>
      <c r="J2262" s="188" t="s">
        <v>103</v>
      </c>
    </row>
    <row r="2263" spans="1:10" ht="15.75" customHeight="1" x14ac:dyDescent="0.25">
      <c r="A2263" s="1">
        <v>45260</v>
      </c>
      <c r="B2263" s="188" t="s">
        <v>82</v>
      </c>
      <c r="C2263" s="188" t="s">
        <v>193</v>
      </c>
      <c r="D2263" s="188">
        <v>0</v>
      </c>
      <c r="E2263" s="4">
        <v>0</v>
      </c>
      <c r="F2263" s="5">
        <v>0</v>
      </c>
      <c r="G2263" s="4">
        <v>0</v>
      </c>
      <c r="H2263" s="4">
        <v>0</v>
      </c>
      <c r="I2263" s="188" t="str">
        <f>VLOOKUP(C2263,CATEGORIZACION!$A$1:$C$269,2,FALSE)</f>
        <v>SUELDOS</v>
      </c>
      <c r="J2263" s="188" t="s">
        <v>19</v>
      </c>
    </row>
    <row r="2264" spans="1:10" ht="15.75" customHeight="1" x14ac:dyDescent="0.25">
      <c r="A2264" s="1">
        <v>45260</v>
      </c>
      <c r="B2264" s="188" t="s">
        <v>82</v>
      </c>
      <c r="C2264" s="188" t="s">
        <v>194</v>
      </c>
      <c r="D2264" s="188">
        <v>0</v>
      </c>
      <c r="E2264" s="4">
        <v>0</v>
      </c>
      <c r="F2264" s="3">
        <v>1400625</v>
      </c>
      <c r="G2264" s="4">
        <v>0</v>
      </c>
      <c r="H2264" s="4">
        <v>0</v>
      </c>
      <c r="I2264" s="188" t="str">
        <f>VLOOKUP(C2264,CATEGORIZACION!$A$1:$C$269,2,FALSE)</f>
        <v>ALQUILER</v>
      </c>
      <c r="J2264" s="188" t="s">
        <v>103</v>
      </c>
    </row>
    <row r="2265" spans="1:10" ht="15.75" customHeight="1" x14ac:dyDescent="0.25">
      <c r="A2265" s="94">
        <v>45260</v>
      </c>
      <c r="B2265" s="95" t="s">
        <v>82</v>
      </c>
      <c r="C2265" s="95" t="s">
        <v>441</v>
      </c>
      <c r="D2265" s="95">
        <v>0</v>
      </c>
      <c r="E2265" s="96">
        <v>0</v>
      </c>
      <c r="F2265" s="202">
        <v>760438</v>
      </c>
      <c r="G2265" s="96">
        <v>159691.98000000001</v>
      </c>
      <c r="H2265" s="96">
        <v>920129.98</v>
      </c>
      <c r="I2265" s="188" t="str">
        <f>VLOOKUP(C2265,CATEGORIZACION!$A$1:$C$269,2,FALSE)</f>
        <v>ALQUILER</v>
      </c>
      <c r="J2265" s="95" t="s">
        <v>103</v>
      </c>
    </row>
    <row r="2266" spans="1:10" ht="15.75" customHeight="1" x14ac:dyDescent="0.25">
      <c r="A2266" s="1">
        <v>45260</v>
      </c>
      <c r="B2266" s="188" t="s">
        <v>82</v>
      </c>
      <c r="C2266" s="188" t="s">
        <v>196</v>
      </c>
      <c r="D2266" s="188">
        <v>0</v>
      </c>
      <c r="E2266" s="4">
        <v>0</v>
      </c>
      <c r="F2266" s="3">
        <v>474211</v>
      </c>
      <c r="G2266" s="4">
        <v>0</v>
      </c>
      <c r="H2266" s="4">
        <v>0</v>
      </c>
      <c r="I2266" s="188" t="str">
        <f>VLOOKUP(C2266,CATEGORIZACION!$A$1:$C$269,2,FALSE)</f>
        <v>ALQUILER</v>
      </c>
      <c r="J2266" s="188" t="s">
        <v>103</v>
      </c>
    </row>
    <row r="2267" spans="1:10" ht="15.75" customHeight="1" x14ac:dyDescent="0.25">
      <c r="A2267" s="1">
        <v>45260</v>
      </c>
      <c r="B2267" s="188" t="s">
        <v>82</v>
      </c>
      <c r="C2267" s="188" t="s">
        <v>197</v>
      </c>
      <c r="D2267" s="188">
        <v>0</v>
      </c>
      <c r="E2267" s="4">
        <v>0</v>
      </c>
      <c r="F2267" s="3">
        <v>71061.77</v>
      </c>
      <c r="G2267" s="4">
        <v>0</v>
      </c>
      <c r="H2267" s="4">
        <v>0</v>
      </c>
      <c r="I2267" s="188" t="str">
        <f>VLOOKUP(C2267,CATEGORIZACION!$A$1:$C$269,2,FALSE)</f>
        <v>ALQUILER</v>
      </c>
      <c r="J2267" s="188" t="s">
        <v>103</v>
      </c>
    </row>
    <row r="2268" spans="1:10" ht="15.75" customHeight="1" x14ac:dyDescent="0.25">
      <c r="A2268" s="1">
        <v>45260</v>
      </c>
      <c r="B2268" s="188" t="s">
        <v>82</v>
      </c>
      <c r="C2268" s="188" t="s">
        <v>198</v>
      </c>
      <c r="D2268" s="188">
        <v>0</v>
      </c>
      <c r="E2268" s="4">
        <v>0</v>
      </c>
      <c r="F2268" s="5">
        <v>335000</v>
      </c>
      <c r="G2268" s="4">
        <v>0</v>
      </c>
      <c r="H2268" s="4">
        <v>0</v>
      </c>
      <c r="I2268" s="188" t="str">
        <f>VLOOKUP(C2268,CATEGORIZACION!$A$1:$C$269,2,FALSE)</f>
        <v>ALQUILER</v>
      </c>
      <c r="J2268" s="188" t="s">
        <v>19</v>
      </c>
    </row>
    <row r="2269" spans="1:10" ht="15.75" customHeight="1" x14ac:dyDescent="0.25">
      <c r="A2269" s="1">
        <v>45260</v>
      </c>
      <c r="B2269" s="188" t="s">
        <v>82</v>
      </c>
      <c r="C2269" s="188" t="s">
        <v>199</v>
      </c>
      <c r="D2269" s="188">
        <v>0</v>
      </c>
      <c r="E2269" s="4">
        <v>0</v>
      </c>
      <c r="F2269" s="3">
        <v>239440</v>
      </c>
      <c r="G2269" s="4">
        <v>0</v>
      </c>
      <c r="H2269" s="4">
        <v>0</v>
      </c>
      <c r="I2269" s="188" t="str">
        <f>VLOOKUP(C2269,CATEGORIZACION!$A$1:$C$269,2,FALSE)</f>
        <v>PROOVEDORES</v>
      </c>
      <c r="J2269" s="188" t="str">
        <f>VLOOKUP(C2269,CATEGORIZACION!$A$1:$C$269,3,FALSE)</f>
        <v>DEPOSITO</v>
      </c>
    </row>
    <row r="2270" spans="1:10" ht="15.75" customHeight="1" x14ac:dyDescent="0.25">
      <c r="A2270" s="1">
        <v>45260</v>
      </c>
      <c r="B2270" s="188" t="s">
        <v>82</v>
      </c>
      <c r="C2270" s="188" t="s">
        <v>200</v>
      </c>
      <c r="D2270" s="188">
        <v>0</v>
      </c>
      <c r="E2270" s="4">
        <v>0</v>
      </c>
      <c r="F2270" s="5">
        <v>529030</v>
      </c>
      <c r="G2270" s="4">
        <v>0</v>
      </c>
      <c r="H2270" s="4">
        <v>0</v>
      </c>
      <c r="I2270" s="188" t="str">
        <f>VLOOKUP(C2270,CATEGORIZACION!$A$1:$C$269,2,FALSE)</f>
        <v>PROOVEDORES</v>
      </c>
      <c r="J2270" s="188" t="str">
        <f>VLOOKUP(C2270,CATEGORIZACION!$A$1:$C$269,3,FALSE)</f>
        <v>LOGISTICA</v>
      </c>
    </row>
    <row r="2271" spans="1:10" ht="15.75" customHeight="1" x14ac:dyDescent="0.25">
      <c r="A2271" s="1">
        <v>45260</v>
      </c>
      <c r="B2271" s="188" t="s">
        <v>82</v>
      </c>
      <c r="C2271" s="188" t="s">
        <v>203</v>
      </c>
      <c r="D2271" s="188">
        <v>0</v>
      </c>
      <c r="E2271" s="4">
        <v>0</v>
      </c>
      <c r="F2271" s="5">
        <v>0</v>
      </c>
      <c r="G2271" s="4">
        <v>0</v>
      </c>
      <c r="H2271" s="4">
        <v>0</v>
      </c>
      <c r="I2271" s="188" t="str">
        <f>VLOOKUP(C2271,CATEGORIZACION!$A$1:$C$269,2,FALSE)</f>
        <v>PROOVEDORES</v>
      </c>
      <c r="J2271" s="188" t="str">
        <f>VLOOKUP(C2271,CATEGORIZACION!$A$1:$C$269,3,FALSE)</f>
        <v>LOGISTICA</v>
      </c>
    </row>
    <row r="2272" spans="1:10" ht="15.75" customHeight="1" x14ac:dyDescent="0.25">
      <c r="A2272" s="1">
        <v>45260</v>
      </c>
      <c r="B2272" s="188" t="s">
        <v>82</v>
      </c>
      <c r="C2272" s="188" t="s">
        <v>204</v>
      </c>
      <c r="D2272" s="188">
        <v>0</v>
      </c>
      <c r="E2272" s="4">
        <v>0</v>
      </c>
      <c r="F2272" s="5">
        <v>730000</v>
      </c>
      <c r="G2272" s="4">
        <v>0</v>
      </c>
      <c r="H2272" s="4">
        <v>0</v>
      </c>
      <c r="I2272" s="188" t="str">
        <f>VLOOKUP(C2272,CATEGORIZACION!$A$1:$C$269,2,FALSE)</f>
        <v>PROOVEDORES</v>
      </c>
      <c r="J2272" s="188" t="str">
        <f>VLOOKUP(C2272,CATEGORIZACION!$A$1:$C$269,3,FALSE)</f>
        <v>LOGISTICA</v>
      </c>
    </row>
    <row r="2273" spans="1:10" ht="15.75" customHeight="1" x14ac:dyDescent="0.25">
      <c r="A2273" s="1">
        <v>45260</v>
      </c>
      <c r="B2273" s="188" t="s">
        <v>82</v>
      </c>
      <c r="C2273" s="188" t="s">
        <v>205</v>
      </c>
      <c r="D2273" s="188">
        <v>0</v>
      </c>
      <c r="E2273" s="4">
        <v>0</v>
      </c>
      <c r="F2273" s="5">
        <v>372780</v>
      </c>
      <c r="G2273" s="4">
        <v>0</v>
      </c>
      <c r="H2273" s="4">
        <v>0</v>
      </c>
      <c r="I2273" s="188" t="str">
        <f>VLOOKUP(C2273,CATEGORIZACION!$A$1:$C$269,2,FALSE)</f>
        <v>AFIP</v>
      </c>
      <c r="J2273" s="188" t="s">
        <v>19</v>
      </c>
    </row>
    <row r="2274" spans="1:10" ht="15.75" customHeight="1" x14ac:dyDescent="0.25">
      <c r="A2274" s="1">
        <v>45260</v>
      </c>
      <c r="B2274" s="188" t="s">
        <v>82</v>
      </c>
      <c r="C2274" s="188" t="s">
        <v>690</v>
      </c>
      <c r="D2274" s="188">
        <v>0</v>
      </c>
      <c r="E2274" s="4">
        <v>0</v>
      </c>
      <c r="F2274" s="3">
        <v>720757.6</v>
      </c>
      <c r="G2274" s="4">
        <v>0</v>
      </c>
      <c r="H2274" s="4">
        <v>0</v>
      </c>
      <c r="I2274" s="188" t="str">
        <f>VLOOKUP(C2274,CATEGORIZACION!$A$1:$C$269,2,FALSE)</f>
        <v>AFIP</v>
      </c>
      <c r="J2274" s="188" t="s">
        <v>103</v>
      </c>
    </row>
    <row r="2275" spans="1:10" ht="15.75" customHeight="1" x14ac:dyDescent="0.25">
      <c r="A2275" s="1">
        <v>45260</v>
      </c>
      <c r="B2275" s="188" t="s">
        <v>82</v>
      </c>
      <c r="C2275" s="188" t="s">
        <v>206</v>
      </c>
      <c r="D2275" s="188">
        <v>0</v>
      </c>
      <c r="E2275" s="4">
        <v>0</v>
      </c>
      <c r="F2275" s="5">
        <v>1081136.94</v>
      </c>
      <c r="G2275" s="4">
        <v>0</v>
      </c>
      <c r="H2275" s="4">
        <v>0</v>
      </c>
      <c r="I2275" s="188" t="str">
        <f>VLOOKUP(C2275,CATEGORIZACION!$A$1:$C$269,2,FALSE)</f>
        <v>AFIP</v>
      </c>
      <c r="J2275" s="188" t="s">
        <v>19</v>
      </c>
    </row>
    <row r="2276" spans="1:10" ht="15.75" customHeight="1" x14ac:dyDescent="0.25">
      <c r="A2276" s="1">
        <v>45260</v>
      </c>
      <c r="B2276" s="188" t="s">
        <v>82</v>
      </c>
      <c r="C2276" s="188" t="s">
        <v>207</v>
      </c>
      <c r="D2276" s="188">
        <v>0</v>
      </c>
      <c r="E2276" s="4">
        <v>0</v>
      </c>
      <c r="F2276" s="5">
        <v>1248146.27</v>
      </c>
      <c r="G2276" s="4">
        <v>0</v>
      </c>
      <c r="H2276" s="4">
        <v>0</v>
      </c>
      <c r="I2276" s="188" t="str">
        <f>VLOOKUP(C2276,CATEGORIZACION!$A$1:$C$269,2,FALSE)</f>
        <v>AFIP</v>
      </c>
      <c r="J2276" s="188" t="s">
        <v>19</v>
      </c>
    </row>
    <row r="2277" spans="1:10" ht="15.75" customHeight="1" x14ac:dyDescent="0.25">
      <c r="A2277" s="1">
        <v>45260</v>
      </c>
      <c r="B2277" s="188" t="s">
        <v>82</v>
      </c>
      <c r="C2277" s="188" t="s">
        <v>208</v>
      </c>
      <c r="D2277" s="188">
        <v>0</v>
      </c>
      <c r="E2277" s="4">
        <v>0</v>
      </c>
      <c r="F2277" s="5">
        <v>187500</v>
      </c>
      <c r="G2277" s="4">
        <v>0</v>
      </c>
      <c r="H2277" s="4">
        <v>0</v>
      </c>
      <c r="I2277" s="188" t="str">
        <f>VLOOKUP(C2277,CATEGORIZACION!$A$1:$C$269,2,FALSE)</f>
        <v>AFIP</v>
      </c>
      <c r="J2277" s="188" t="s">
        <v>19</v>
      </c>
    </row>
    <row r="2278" spans="1:10" ht="15.75" customHeight="1" x14ac:dyDescent="0.25">
      <c r="A2278" s="1">
        <v>45260</v>
      </c>
      <c r="B2278" s="188" t="s">
        <v>82</v>
      </c>
      <c r="C2278" s="188" t="s">
        <v>209</v>
      </c>
      <c r="D2278" s="188">
        <v>0</v>
      </c>
      <c r="E2278" s="4">
        <v>0</v>
      </c>
      <c r="F2278" s="5">
        <v>36375.14</v>
      </c>
      <c r="G2278" s="4">
        <v>0</v>
      </c>
      <c r="H2278" s="4">
        <v>0</v>
      </c>
      <c r="I2278" s="188" t="str">
        <f>VLOOKUP(C2278,CATEGORIZACION!$A$1:$C$269,2,FALSE)</f>
        <v>PROOVEDORES</v>
      </c>
      <c r="J2278" s="188" t="str">
        <f>VLOOKUP(C2278,CATEGORIZACION!$A$1:$C$269,3,FALSE)</f>
        <v>LOGISTICA</v>
      </c>
    </row>
    <row r="2279" spans="1:10" ht="15.75" customHeight="1" x14ac:dyDescent="0.25">
      <c r="A2279" s="1">
        <v>45260</v>
      </c>
      <c r="B2279" s="188" t="s">
        <v>82</v>
      </c>
      <c r="C2279" s="188" t="s">
        <v>210</v>
      </c>
      <c r="D2279" s="188">
        <v>0</v>
      </c>
      <c r="E2279" s="4">
        <v>0</v>
      </c>
      <c r="F2279" s="5">
        <v>242560.7</v>
      </c>
      <c r="G2279" s="4">
        <v>0</v>
      </c>
      <c r="H2279" s="4">
        <v>0</v>
      </c>
      <c r="I2279" s="188" t="str">
        <f>VLOOKUP(C2279,CATEGORIZACION!$A$1:$C$269,2,FALSE)</f>
        <v>PROOVEDORES</v>
      </c>
      <c r="J2279" s="188" t="str">
        <f>VLOOKUP(C2279,CATEGORIZACION!$A$1:$C$269,3,FALSE)</f>
        <v>LOGISTICA</v>
      </c>
    </row>
    <row r="2280" spans="1:10" ht="15.75" customHeight="1" x14ac:dyDescent="0.25">
      <c r="A2280" s="1">
        <v>45260</v>
      </c>
      <c r="B2280" s="188" t="s">
        <v>82</v>
      </c>
      <c r="C2280" s="188" t="s">
        <v>211</v>
      </c>
      <c r="D2280" s="188">
        <v>0</v>
      </c>
      <c r="E2280" s="4">
        <v>0</v>
      </c>
      <c r="F2280" s="5">
        <v>0</v>
      </c>
      <c r="G2280" s="4">
        <v>0</v>
      </c>
      <c r="H2280" s="4">
        <v>0</v>
      </c>
      <c r="I2280" s="188" t="str">
        <f>VLOOKUP(C2280,CATEGORIZACION!$A$1:$C$269,2,FALSE)</f>
        <v>PROOVEDORES</v>
      </c>
      <c r="J2280" s="188" t="str">
        <f>VLOOKUP(C2280,CATEGORIZACION!$A$1:$C$269,3,FALSE)</f>
        <v>LOGISTICA</v>
      </c>
    </row>
    <row r="2281" spans="1:10" ht="15.75" customHeight="1" x14ac:dyDescent="0.25">
      <c r="A2281" s="1">
        <v>45260</v>
      </c>
      <c r="B2281" s="188" t="s">
        <v>82</v>
      </c>
      <c r="C2281" s="188" t="s">
        <v>2174</v>
      </c>
      <c r="D2281" s="188">
        <v>0</v>
      </c>
      <c r="E2281" s="4">
        <v>0</v>
      </c>
      <c r="F2281" s="5">
        <v>0</v>
      </c>
      <c r="G2281" s="4">
        <v>0</v>
      </c>
      <c r="H2281" s="4">
        <v>0</v>
      </c>
      <c r="I2281" s="188" t="str">
        <f>VLOOKUP(C2281,CATEGORIZACION!$A$1:$C$269,2,FALSE)</f>
        <v>PROOVEDORES</v>
      </c>
      <c r="J2281" s="188" t="str">
        <f>VLOOKUP(C2281,CATEGORIZACION!$A$1:$C$269,3,FALSE)</f>
        <v>LOGISTICA</v>
      </c>
    </row>
    <row r="2282" spans="1:10" ht="15.75" customHeight="1" x14ac:dyDescent="0.25">
      <c r="A2282" s="1">
        <v>45260</v>
      </c>
      <c r="B2282" s="188" t="s">
        <v>82</v>
      </c>
      <c r="C2282" s="188" t="s">
        <v>1966</v>
      </c>
      <c r="D2282" s="188">
        <v>0</v>
      </c>
      <c r="E2282" s="4">
        <v>0</v>
      </c>
      <c r="F2282" s="5">
        <v>601225</v>
      </c>
      <c r="G2282" s="4">
        <v>0</v>
      </c>
      <c r="H2282" s="4">
        <v>0</v>
      </c>
      <c r="I2282" s="188" t="str">
        <f>VLOOKUP(C2282,CATEGORIZACION!$A$1:$C$269,2,FALSE)</f>
        <v>AFIP</v>
      </c>
      <c r="J2282" s="188" t="s">
        <v>19</v>
      </c>
    </row>
    <row r="2283" spans="1:10" ht="15.75" customHeight="1" x14ac:dyDescent="0.25">
      <c r="A2283" s="1">
        <v>45260</v>
      </c>
      <c r="B2283" s="188" t="s">
        <v>82</v>
      </c>
      <c r="C2283" s="188" t="s">
        <v>2175</v>
      </c>
      <c r="D2283" s="188">
        <v>0</v>
      </c>
      <c r="E2283" s="4">
        <v>0</v>
      </c>
      <c r="F2283" s="3">
        <v>3650000</v>
      </c>
      <c r="G2283" s="4">
        <v>0</v>
      </c>
      <c r="H2283" s="4">
        <v>0</v>
      </c>
      <c r="I2283" s="188" t="str">
        <f>VLOOKUP(C2283,CATEGORIZACION!$A$1:$C$269,2,FALSE)</f>
        <v>PROOVEDORES</v>
      </c>
      <c r="J2283" s="188" t="str">
        <f>VLOOKUP(C2283,CATEGORIZACION!$A$1:$C$269,3,FALSE)</f>
        <v>LOGISTICA</v>
      </c>
    </row>
    <row r="2284" spans="1:10" ht="15.75" customHeight="1" x14ac:dyDescent="0.25">
      <c r="A2284" s="1">
        <v>45260</v>
      </c>
      <c r="B2284" s="188" t="s">
        <v>82</v>
      </c>
      <c r="C2284" s="188" t="s">
        <v>213</v>
      </c>
      <c r="D2284" s="188">
        <v>0</v>
      </c>
      <c r="E2284" s="4">
        <v>0</v>
      </c>
      <c r="F2284" s="5">
        <v>69819</v>
      </c>
      <c r="G2284" s="4">
        <v>0</v>
      </c>
      <c r="H2284" s="4">
        <v>0</v>
      </c>
      <c r="I2284" s="188" t="str">
        <f>VLOOKUP(C2284,CATEGORIZACION!$A$1:$C$269,2,FALSE)</f>
        <v>AFIP</v>
      </c>
      <c r="J2284" s="188" t="s">
        <v>19</v>
      </c>
    </row>
    <row r="2285" spans="1:10" ht="15.75" customHeight="1" x14ac:dyDescent="0.25">
      <c r="A2285" s="1">
        <v>45261</v>
      </c>
      <c r="B2285" s="188" t="s">
        <v>1246</v>
      </c>
      <c r="C2285" s="188" t="s">
        <v>441</v>
      </c>
      <c r="D2285" s="188" t="s">
        <v>442</v>
      </c>
      <c r="E2285" s="4">
        <v>0</v>
      </c>
      <c r="F2285" s="3">
        <v>760438</v>
      </c>
      <c r="G2285" s="4">
        <v>159691.98000000001</v>
      </c>
      <c r="H2285" s="4">
        <v>920129.98</v>
      </c>
      <c r="I2285" s="188" t="str">
        <f>VLOOKUP(C2285,CATEGORIZACION!$A$1:$C$269,2,FALSE)</f>
        <v>ALQUILER</v>
      </c>
      <c r="J2285" s="188" t="s">
        <v>103</v>
      </c>
    </row>
    <row r="2286" spans="1:10" ht="15.75" customHeight="1" x14ac:dyDescent="0.25">
      <c r="A2286" s="1">
        <v>45261</v>
      </c>
      <c r="B2286" s="188" t="s">
        <v>2176</v>
      </c>
      <c r="C2286" s="188" t="s">
        <v>746</v>
      </c>
      <c r="D2286" s="188" t="s">
        <v>747</v>
      </c>
      <c r="E2286" s="4">
        <v>0</v>
      </c>
      <c r="F2286" s="5">
        <v>239800</v>
      </c>
      <c r="G2286" s="4">
        <v>50358</v>
      </c>
      <c r="H2286" s="4">
        <v>290158</v>
      </c>
      <c r="I2286" s="188" t="str">
        <f>VLOOKUP(C2286,CATEGORIZACION!$A$1:$C$269,2,FALSE)</f>
        <v>PROOVEDORES</v>
      </c>
      <c r="J2286" s="188" t="str">
        <f>VLOOKUP(C2286,CATEGORIZACION!$A$1:$C$269,3,FALSE)</f>
        <v>LOGISTICA</v>
      </c>
    </row>
    <row r="2287" spans="1:10" ht="15.75" customHeight="1" x14ac:dyDescent="0.25">
      <c r="A2287" s="1">
        <v>45261</v>
      </c>
      <c r="B2287" s="188" t="s">
        <v>2177</v>
      </c>
      <c r="C2287" s="188" t="s">
        <v>14</v>
      </c>
      <c r="D2287" s="188" t="s">
        <v>15</v>
      </c>
      <c r="E2287" s="4">
        <v>0</v>
      </c>
      <c r="F2287" s="3">
        <v>45180</v>
      </c>
      <c r="G2287" s="4">
        <v>9487.7999999999993</v>
      </c>
      <c r="H2287" s="4">
        <v>54667.8</v>
      </c>
      <c r="I2287" s="188" t="str">
        <f>VLOOKUP(C2287,CATEGORIZACION!$A$1:$C$269,2,FALSE)</f>
        <v>PROOVEDORES</v>
      </c>
      <c r="J2287" s="188" t="str">
        <f>VLOOKUP(C2287,CATEGORIZACION!$A$1:$C$269,3,FALSE)</f>
        <v>DEPOSITO</v>
      </c>
    </row>
    <row r="2288" spans="1:10" ht="15.75" customHeight="1" x14ac:dyDescent="0.25">
      <c r="A2288" s="1">
        <v>45261</v>
      </c>
      <c r="B2288" s="188" t="s">
        <v>2178</v>
      </c>
      <c r="C2288" s="188" t="s">
        <v>17</v>
      </c>
      <c r="D2288" s="188" t="s">
        <v>18</v>
      </c>
      <c r="E2288" s="4">
        <v>28625</v>
      </c>
      <c r="F2288" s="5">
        <v>571000</v>
      </c>
      <c r="G2288" s="4">
        <v>119910</v>
      </c>
      <c r="H2288" s="4">
        <v>719535</v>
      </c>
      <c r="I2288" s="188" t="str">
        <f>VLOOKUP(C2288,CATEGORIZACION!$A$1:$C$269,2,FALSE)</f>
        <v>TRANSPORTE</v>
      </c>
      <c r="J2288" s="188" t="s">
        <v>19</v>
      </c>
    </row>
    <row r="2289" spans="1:10" ht="15.75" customHeight="1" x14ac:dyDescent="0.25">
      <c r="A2289" s="1">
        <v>45261</v>
      </c>
      <c r="B2289" s="188" t="s">
        <v>2179</v>
      </c>
      <c r="C2289" s="188" t="s">
        <v>218</v>
      </c>
      <c r="D2289" s="188" t="s">
        <v>219</v>
      </c>
      <c r="E2289" s="4">
        <v>0</v>
      </c>
      <c r="F2289" s="5">
        <v>217972.53</v>
      </c>
      <c r="G2289" s="4">
        <v>45774.23</v>
      </c>
      <c r="H2289" s="4">
        <v>263746.76</v>
      </c>
      <c r="I2289" s="188" t="str">
        <f>VLOOKUP(C2289,CATEGORIZACION!$A$1:$C$269,2,FALSE)</f>
        <v>PROOVEDORES</v>
      </c>
      <c r="J2289" s="188" t="str">
        <f>VLOOKUP(C2289,CATEGORIZACION!$A$1:$C$269,3,FALSE)</f>
        <v>LOGISTICA</v>
      </c>
    </row>
    <row r="2290" spans="1:10" ht="15.75" customHeight="1" x14ac:dyDescent="0.25">
      <c r="A2290" s="1">
        <v>45264</v>
      </c>
      <c r="B2290" s="188" t="s">
        <v>2180</v>
      </c>
      <c r="C2290" s="188" t="s">
        <v>1333</v>
      </c>
      <c r="D2290" s="188" t="s">
        <v>1334</v>
      </c>
      <c r="E2290" s="4">
        <v>0</v>
      </c>
      <c r="F2290" s="5">
        <v>12193.64</v>
      </c>
      <c r="G2290" s="4">
        <v>2560.66</v>
      </c>
      <c r="H2290" s="4">
        <v>14754.3</v>
      </c>
      <c r="I2290" s="188" t="str">
        <f>VLOOKUP(C2290,CATEGORIZACION!$A$1:$C$269,2,FALSE)</f>
        <v>PROOVEDORES</v>
      </c>
      <c r="J2290" s="188" t="str">
        <f>VLOOKUP(C2290,CATEGORIZACION!$A$1:$C$269,3,FALSE)</f>
        <v>LOGISTICA</v>
      </c>
    </row>
    <row r="2291" spans="1:10" ht="15.75" customHeight="1" x14ac:dyDescent="0.25">
      <c r="A2291" s="1">
        <v>45264</v>
      </c>
      <c r="B2291" s="188" t="s">
        <v>2181</v>
      </c>
      <c r="C2291" s="188" t="s">
        <v>36</v>
      </c>
      <c r="D2291" s="188" t="s">
        <v>37</v>
      </c>
      <c r="E2291" s="4">
        <v>9200</v>
      </c>
      <c r="F2291" s="5">
        <v>91650</v>
      </c>
      <c r="G2291" s="4">
        <v>19246.5</v>
      </c>
      <c r="H2291" s="4">
        <v>120096.5</v>
      </c>
      <c r="I2291" s="188" t="str">
        <f>VLOOKUP(C2291,CATEGORIZACION!$A$1:$C$269,2,FALSE)</f>
        <v>TRANSPORTE</v>
      </c>
      <c r="J2291" s="188" t="s">
        <v>19</v>
      </c>
    </row>
    <row r="2292" spans="1:10" ht="15.75" customHeight="1" x14ac:dyDescent="0.25">
      <c r="A2292" s="1">
        <v>45264</v>
      </c>
      <c r="B2292" s="188" t="s">
        <v>2182</v>
      </c>
      <c r="C2292" s="188" t="s">
        <v>36</v>
      </c>
      <c r="D2292" s="188" t="s">
        <v>37</v>
      </c>
      <c r="E2292" s="4">
        <v>6500</v>
      </c>
      <c r="F2292" s="5">
        <v>105600</v>
      </c>
      <c r="G2292" s="4">
        <v>22176</v>
      </c>
      <c r="H2292" s="4">
        <v>134276</v>
      </c>
      <c r="I2292" s="188" t="str">
        <f>VLOOKUP(C2292,CATEGORIZACION!$A$1:$C$269,2,FALSE)</f>
        <v>TRANSPORTE</v>
      </c>
      <c r="J2292" s="188" t="s">
        <v>19</v>
      </c>
    </row>
    <row r="2293" spans="1:10" ht="15.75" customHeight="1" x14ac:dyDescent="0.25">
      <c r="A2293" s="1">
        <v>45264</v>
      </c>
      <c r="B2293" s="188" t="s">
        <v>2183</v>
      </c>
      <c r="C2293" s="188" t="s">
        <v>36</v>
      </c>
      <c r="D2293" s="188" t="s">
        <v>37</v>
      </c>
      <c r="E2293" s="4">
        <v>3500</v>
      </c>
      <c r="F2293" s="5">
        <v>70400</v>
      </c>
      <c r="G2293" s="4">
        <v>14784</v>
      </c>
      <c r="H2293" s="4">
        <v>88684</v>
      </c>
      <c r="I2293" s="188" t="str">
        <f>VLOOKUP(C2293,CATEGORIZACION!$A$1:$C$269,2,FALSE)</f>
        <v>TRANSPORTE</v>
      </c>
      <c r="J2293" s="188" t="s">
        <v>19</v>
      </c>
    </row>
    <row r="2294" spans="1:10" ht="15.75" customHeight="1" x14ac:dyDescent="0.25">
      <c r="A2294" s="1">
        <v>45264</v>
      </c>
      <c r="B2294" s="188" t="s">
        <v>2184</v>
      </c>
      <c r="C2294" s="188" t="s">
        <v>36</v>
      </c>
      <c r="D2294" s="188" t="s">
        <v>37</v>
      </c>
      <c r="E2294" s="4">
        <v>12500</v>
      </c>
      <c r="F2294" s="5">
        <v>133750</v>
      </c>
      <c r="G2294" s="4">
        <v>28087.5</v>
      </c>
      <c r="H2294" s="4">
        <v>174337.5</v>
      </c>
      <c r="I2294" s="188" t="str">
        <f>VLOOKUP(C2294,CATEGORIZACION!$A$1:$C$269,2,FALSE)</f>
        <v>TRANSPORTE</v>
      </c>
      <c r="J2294" s="188" t="s">
        <v>19</v>
      </c>
    </row>
    <row r="2295" spans="1:10" ht="15.75" customHeight="1" x14ac:dyDescent="0.25">
      <c r="A2295" s="1">
        <v>45264</v>
      </c>
      <c r="B2295" s="188" t="s">
        <v>2185</v>
      </c>
      <c r="C2295" s="188" t="s">
        <v>36</v>
      </c>
      <c r="D2295" s="188" t="s">
        <v>37</v>
      </c>
      <c r="E2295" s="4">
        <v>12500</v>
      </c>
      <c r="F2295" s="5">
        <v>133750</v>
      </c>
      <c r="G2295" s="4">
        <v>28087.5</v>
      </c>
      <c r="H2295" s="4">
        <v>174337.5</v>
      </c>
      <c r="I2295" s="188" t="str">
        <f>VLOOKUP(C2295,CATEGORIZACION!$A$1:$C$269,2,FALSE)</f>
        <v>TRANSPORTE</v>
      </c>
      <c r="J2295" s="188" t="s">
        <v>19</v>
      </c>
    </row>
    <row r="2296" spans="1:10" ht="15.75" customHeight="1" x14ac:dyDescent="0.25">
      <c r="A2296" s="1">
        <v>45264</v>
      </c>
      <c r="B2296" s="188" t="s">
        <v>2186</v>
      </c>
      <c r="C2296" s="188" t="s">
        <v>36</v>
      </c>
      <c r="D2296" s="188" t="s">
        <v>37</v>
      </c>
      <c r="E2296" s="4">
        <v>19500</v>
      </c>
      <c r="F2296" s="5">
        <v>192600</v>
      </c>
      <c r="G2296" s="4">
        <v>40446</v>
      </c>
      <c r="H2296" s="4">
        <v>252546</v>
      </c>
      <c r="I2296" s="188" t="str">
        <f>VLOOKUP(C2296,CATEGORIZACION!$A$1:$C$269,2,FALSE)</f>
        <v>TRANSPORTE</v>
      </c>
      <c r="J2296" s="188" t="s">
        <v>19</v>
      </c>
    </row>
    <row r="2297" spans="1:10" ht="15.75" customHeight="1" x14ac:dyDescent="0.25">
      <c r="A2297" s="1">
        <v>45264</v>
      </c>
      <c r="B2297" s="188" t="s">
        <v>2187</v>
      </c>
      <c r="C2297" s="188" t="s">
        <v>36</v>
      </c>
      <c r="D2297" s="188" t="s">
        <v>37</v>
      </c>
      <c r="E2297" s="4">
        <v>12500</v>
      </c>
      <c r="F2297" s="5">
        <v>191400</v>
      </c>
      <c r="G2297" s="4">
        <v>40194</v>
      </c>
      <c r="H2297" s="4">
        <v>244094</v>
      </c>
      <c r="I2297" s="188" t="str">
        <f>VLOOKUP(C2297,CATEGORIZACION!$A$1:$C$269,2,FALSE)</f>
        <v>TRANSPORTE</v>
      </c>
      <c r="J2297" s="188" t="s">
        <v>19</v>
      </c>
    </row>
    <row r="2298" spans="1:10" ht="15.75" customHeight="1" x14ac:dyDescent="0.25">
      <c r="A2298" s="1">
        <v>45264</v>
      </c>
      <c r="B2298" s="188" t="s">
        <v>2188</v>
      </c>
      <c r="C2298" s="188" t="s">
        <v>36</v>
      </c>
      <c r="D2298" s="188" t="s">
        <v>37</v>
      </c>
      <c r="E2298" s="4">
        <v>9200</v>
      </c>
      <c r="F2298" s="5">
        <v>91650</v>
      </c>
      <c r="G2298" s="4">
        <v>19246.5</v>
      </c>
      <c r="H2298" s="4">
        <v>120096.5</v>
      </c>
      <c r="I2298" s="188" t="str">
        <f>VLOOKUP(C2298,CATEGORIZACION!$A$1:$C$269,2,FALSE)</f>
        <v>TRANSPORTE</v>
      </c>
      <c r="J2298" s="188" t="s">
        <v>19</v>
      </c>
    </row>
    <row r="2299" spans="1:10" ht="15.75" customHeight="1" x14ac:dyDescent="0.25">
      <c r="A2299" s="1">
        <v>45265</v>
      </c>
      <c r="B2299" s="188" t="s">
        <v>2189</v>
      </c>
      <c r="C2299" s="188" t="s">
        <v>36</v>
      </c>
      <c r="D2299" s="188" t="s">
        <v>37</v>
      </c>
      <c r="E2299" s="4">
        <v>-5000</v>
      </c>
      <c r="F2299" s="5">
        <v>-995000</v>
      </c>
      <c r="G2299" s="4">
        <v>-208950</v>
      </c>
      <c r="H2299" s="4">
        <v>-1208950</v>
      </c>
      <c r="I2299" s="188" t="str">
        <f>VLOOKUP(C2299,CATEGORIZACION!$A$1:$C$269,2,FALSE)</f>
        <v>TRANSPORTE</v>
      </c>
      <c r="J2299" s="188" t="s">
        <v>19</v>
      </c>
    </row>
    <row r="2300" spans="1:10" ht="15.75" customHeight="1" x14ac:dyDescent="0.25">
      <c r="A2300" s="1">
        <v>45265</v>
      </c>
      <c r="B2300" s="188" t="s">
        <v>2190</v>
      </c>
      <c r="C2300" s="188" t="s">
        <v>101</v>
      </c>
      <c r="D2300" s="188" t="s">
        <v>102</v>
      </c>
      <c r="E2300" s="4">
        <v>5602.5</v>
      </c>
      <c r="F2300" s="3">
        <v>1400625</v>
      </c>
      <c r="G2300" s="4">
        <v>294131.25</v>
      </c>
      <c r="H2300" s="4">
        <v>1700358.75</v>
      </c>
      <c r="I2300" s="188" t="str">
        <f>VLOOKUP(C2300,CATEGORIZACION!$A$1:$C$269,2,FALSE)</f>
        <v>ALQUILER</v>
      </c>
      <c r="J2300" s="188" t="s">
        <v>103</v>
      </c>
    </row>
    <row r="2301" spans="1:10" ht="15.75" customHeight="1" x14ac:dyDescent="0.25">
      <c r="A2301" s="1">
        <v>45265</v>
      </c>
      <c r="B2301" s="188" t="s">
        <v>2191</v>
      </c>
      <c r="C2301" s="188" t="s">
        <v>49</v>
      </c>
      <c r="D2301" s="188" t="s">
        <v>50</v>
      </c>
      <c r="E2301" s="4">
        <v>0</v>
      </c>
      <c r="F2301" s="3">
        <v>181225</v>
      </c>
      <c r="G2301" s="4">
        <v>38057.25</v>
      </c>
      <c r="H2301" s="4">
        <v>219282.25</v>
      </c>
      <c r="I2301" s="188" t="str">
        <f>VLOOKUP(C2301,CATEGORIZACION!$A$1:$C$269,2,FALSE)</f>
        <v>PROOVEDORES</v>
      </c>
      <c r="J2301" s="188" t="str">
        <f>VLOOKUP(C2301,CATEGORIZACION!$A$1:$C$269,3,FALSE)</f>
        <v>DEPOSITO</v>
      </c>
    </row>
    <row r="2302" spans="1:10" ht="15.75" customHeight="1" x14ac:dyDescent="0.25">
      <c r="A2302" s="1">
        <v>45265</v>
      </c>
      <c r="B2302" s="188" t="s">
        <v>2192</v>
      </c>
      <c r="C2302" s="188" t="s">
        <v>49</v>
      </c>
      <c r="D2302" s="188" t="s">
        <v>50</v>
      </c>
      <c r="E2302" s="4">
        <v>0</v>
      </c>
      <c r="F2302" s="3">
        <v>181225</v>
      </c>
      <c r="G2302" s="4">
        <v>38057.25</v>
      </c>
      <c r="H2302" s="4">
        <v>219282.25</v>
      </c>
      <c r="I2302" s="188" t="str">
        <f>VLOOKUP(C2302,CATEGORIZACION!$A$1:$C$269,2,FALSE)</f>
        <v>PROOVEDORES</v>
      </c>
      <c r="J2302" s="188" t="str">
        <f>VLOOKUP(C2302,CATEGORIZACION!$A$1:$C$269,3,FALSE)</f>
        <v>DEPOSITO</v>
      </c>
    </row>
    <row r="2303" spans="1:10" ht="15.75" customHeight="1" x14ac:dyDescent="0.25">
      <c r="A2303" s="1">
        <v>45265</v>
      </c>
      <c r="B2303" s="188" t="s">
        <v>2193</v>
      </c>
      <c r="C2303" s="188" t="s">
        <v>17</v>
      </c>
      <c r="D2303" s="188" t="s">
        <v>18</v>
      </c>
      <c r="E2303" s="4">
        <v>8240</v>
      </c>
      <c r="F2303" s="5">
        <v>97000</v>
      </c>
      <c r="G2303" s="4">
        <v>20370</v>
      </c>
      <c r="H2303" s="4">
        <v>125610</v>
      </c>
      <c r="I2303" s="188" t="str">
        <f>VLOOKUP(C2303,CATEGORIZACION!$A$1:$C$269,2,FALSE)</f>
        <v>TRANSPORTE</v>
      </c>
      <c r="J2303" s="188" t="s">
        <v>19</v>
      </c>
    </row>
    <row r="2304" spans="1:10" ht="15.75" customHeight="1" x14ac:dyDescent="0.25">
      <c r="A2304" s="1">
        <v>45265</v>
      </c>
      <c r="B2304" s="188" t="s">
        <v>2194</v>
      </c>
      <c r="C2304" s="188" t="s">
        <v>36</v>
      </c>
      <c r="D2304" s="188" t="s">
        <v>37</v>
      </c>
      <c r="E2304" s="4">
        <v>5000</v>
      </c>
      <c r="F2304" s="5">
        <v>95000</v>
      </c>
      <c r="G2304" s="4">
        <v>19950</v>
      </c>
      <c r="H2304" s="4">
        <v>119950</v>
      </c>
      <c r="I2304" s="188" t="str">
        <f>VLOOKUP(C2304,CATEGORIZACION!$A$1:$C$269,2,FALSE)</f>
        <v>TRANSPORTE</v>
      </c>
      <c r="J2304" s="188" t="s">
        <v>19</v>
      </c>
    </row>
    <row r="2305" spans="1:10" ht="15.75" customHeight="1" x14ac:dyDescent="0.25">
      <c r="A2305" s="1">
        <v>45265</v>
      </c>
      <c r="B2305" s="188" t="s">
        <v>2195</v>
      </c>
      <c r="C2305" s="188" t="s">
        <v>253</v>
      </c>
      <c r="D2305" s="188" t="s">
        <v>57</v>
      </c>
      <c r="E2305" s="4">
        <v>0</v>
      </c>
      <c r="F2305" s="5">
        <v>161739.01</v>
      </c>
      <c r="G2305" s="4">
        <v>33965.19</v>
      </c>
      <c r="H2305" s="4">
        <v>195704.2</v>
      </c>
      <c r="I2305" s="188" t="str">
        <f>VLOOKUP(C2305,CATEGORIZACION!$A$1:$C$269,2,FALSE)</f>
        <v>PROOVEDORES</v>
      </c>
      <c r="J2305" s="188" t="str">
        <f>VLOOKUP(C2305,CATEGORIZACION!$A$1:$C$269,3,FALSE)</f>
        <v>LOGISTICA</v>
      </c>
    </row>
    <row r="2306" spans="1:10" ht="15.75" customHeight="1" x14ac:dyDescent="0.25">
      <c r="A2306" s="1">
        <v>45267</v>
      </c>
      <c r="B2306" s="188" t="s">
        <v>2196</v>
      </c>
      <c r="C2306" s="188" t="s">
        <v>2017</v>
      </c>
      <c r="D2306" s="188" t="s">
        <v>2018</v>
      </c>
      <c r="E2306" s="4">
        <v>0</v>
      </c>
      <c r="F2306" s="5">
        <v>1229100</v>
      </c>
      <c r="G2306" s="4">
        <v>258111</v>
      </c>
      <c r="H2306" s="4">
        <v>1487211</v>
      </c>
      <c r="I2306" s="188" t="str">
        <f>VLOOKUP(C2306,CATEGORIZACION!$A$1:$C$269,2,FALSE)</f>
        <v>PROOVEDORES</v>
      </c>
      <c r="J2306" s="188" t="str">
        <f>VLOOKUP(C2306,CATEGORIZACION!$A$1:$C$269,3,FALSE)</f>
        <v>LOGISTICA</v>
      </c>
    </row>
    <row r="2307" spans="1:10" ht="15.75" customHeight="1" x14ac:dyDescent="0.25">
      <c r="A2307" s="1">
        <v>45267</v>
      </c>
      <c r="B2307" s="188" t="s">
        <v>2197</v>
      </c>
      <c r="C2307" s="188" t="s">
        <v>2025</v>
      </c>
      <c r="D2307" s="188" t="s">
        <v>2026</v>
      </c>
      <c r="E2307" s="4">
        <v>0</v>
      </c>
      <c r="F2307" s="5">
        <v>74380.17</v>
      </c>
      <c r="G2307" s="4">
        <v>15619.84</v>
      </c>
      <c r="H2307" s="4">
        <v>90000.01</v>
      </c>
      <c r="I2307" s="188" t="str">
        <f>VLOOKUP(C2307,CATEGORIZACION!$A$1:$C$269,2,FALSE)</f>
        <v>PROOVEDORES</v>
      </c>
      <c r="J2307" s="188" t="str">
        <f>VLOOKUP(C2307,CATEGORIZACION!$A$1:$C$269,3,FALSE)</f>
        <v>LOGISTICA</v>
      </c>
    </row>
    <row r="2308" spans="1:10" ht="15.75" customHeight="1" x14ac:dyDescent="0.25">
      <c r="A2308" s="1">
        <v>45267</v>
      </c>
      <c r="B2308" s="188" t="s">
        <v>2198</v>
      </c>
      <c r="C2308" s="188" t="s">
        <v>52</v>
      </c>
      <c r="D2308" s="188" t="s">
        <v>53</v>
      </c>
      <c r="E2308" s="4">
        <v>0</v>
      </c>
      <c r="F2308" s="3">
        <v>154694.24</v>
      </c>
      <c r="G2308" s="4">
        <v>32485.79</v>
      </c>
      <c r="H2308" s="4">
        <v>187180.03</v>
      </c>
      <c r="I2308" s="188" t="str">
        <f>VLOOKUP(C2308,CATEGORIZACION!$A$1:$C$269,2,FALSE)</f>
        <v>PROOVEDORES</v>
      </c>
      <c r="J2308" s="188" t="str">
        <f>VLOOKUP(C2308,CATEGORIZACION!$A$1:$C$269,3,FALSE)</f>
        <v>DEPOSITO</v>
      </c>
    </row>
    <row r="2309" spans="1:10" ht="15.75" customHeight="1" x14ac:dyDescent="0.25">
      <c r="A2309" s="1">
        <v>45267</v>
      </c>
      <c r="B2309" s="188" t="s">
        <v>2199</v>
      </c>
      <c r="C2309" s="188" t="s">
        <v>52</v>
      </c>
      <c r="D2309" s="188" t="s">
        <v>53</v>
      </c>
      <c r="E2309" s="4">
        <v>0</v>
      </c>
      <c r="F2309" s="3">
        <v>63371.9</v>
      </c>
      <c r="G2309" s="4">
        <v>13308.1</v>
      </c>
      <c r="H2309" s="4">
        <v>76680</v>
      </c>
      <c r="I2309" s="188" t="str">
        <f>VLOOKUP(C2309,CATEGORIZACION!$A$1:$C$269,2,FALSE)</f>
        <v>PROOVEDORES</v>
      </c>
      <c r="J2309" s="188" t="str">
        <f>VLOOKUP(C2309,CATEGORIZACION!$A$1:$C$269,3,FALSE)</f>
        <v>DEPOSITO</v>
      </c>
    </row>
    <row r="2310" spans="1:10" ht="15.75" customHeight="1" x14ac:dyDescent="0.25">
      <c r="A2310" s="1">
        <v>45267</v>
      </c>
      <c r="B2310" s="188" t="s">
        <v>2200</v>
      </c>
      <c r="C2310" s="188" t="s">
        <v>21</v>
      </c>
      <c r="D2310" s="188" t="s">
        <v>22</v>
      </c>
      <c r="E2310" s="4">
        <v>33200</v>
      </c>
      <c r="F2310" s="5">
        <v>530000</v>
      </c>
      <c r="G2310" s="4">
        <v>111300</v>
      </c>
      <c r="H2310" s="4">
        <v>674500</v>
      </c>
      <c r="I2310" s="188" t="str">
        <f>VLOOKUP(C2310,CATEGORIZACION!$A$1:$C$269,2,FALSE)</f>
        <v>TRANSPORTE</v>
      </c>
      <c r="J2310" s="188" t="s">
        <v>19</v>
      </c>
    </row>
    <row r="2311" spans="1:10" ht="15.75" customHeight="1" x14ac:dyDescent="0.25">
      <c r="A2311" s="1">
        <v>45267</v>
      </c>
      <c r="B2311" s="188" t="s">
        <v>2201</v>
      </c>
      <c r="C2311" s="188" t="s">
        <v>21</v>
      </c>
      <c r="D2311" s="188" t="s">
        <v>22</v>
      </c>
      <c r="E2311" s="4">
        <v>8720</v>
      </c>
      <c r="F2311" s="5">
        <v>146000</v>
      </c>
      <c r="G2311" s="4">
        <v>30660</v>
      </c>
      <c r="H2311" s="4">
        <v>185380</v>
      </c>
      <c r="I2311" s="188" t="str">
        <f>VLOOKUP(C2311,CATEGORIZACION!$A$1:$C$269,2,FALSE)</f>
        <v>TRANSPORTE</v>
      </c>
      <c r="J2311" s="188" t="s">
        <v>19</v>
      </c>
    </row>
    <row r="2312" spans="1:10" ht="15.75" customHeight="1" x14ac:dyDescent="0.25">
      <c r="A2312" s="1">
        <v>45267</v>
      </c>
      <c r="B2312" s="188" t="s">
        <v>2202</v>
      </c>
      <c r="C2312" s="188" t="s">
        <v>21</v>
      </c>
      <c r="D2312" s="188" t="s">
        <v>22</v>
      </c>
      <c r="E2312" s="4">
        <v>8800</v>
      </c>
      <c r="F2312" s="5">
        <v>292000</v>
      </c>
      <c r="G2312" s="4">
        <v>61320</v>
      </c>
      <c r="H2312" s="4">
        <v>362120</v>
      </c>
      <c r="I2312" s="188" t="str">
        <f>VLOOKUP(C2312,CATEGORIZACION!$A$1:$C$269,2,FALSE)</f>
        <v>TRANSPORTE</v>
      </c>
      <c r="J2312" s="188" t="s">
        <v>19</v>
      </c>
    </row>
    <row r="2313" spans="1:10" ht="15.75" customHeight="1" x14ac:dyDescent="0.25">
      <c r="A2313" s="1">
        <v>45267</v>
      </c>
      <c r="B2313" s="188" t="s">
        <v>2203</v>
      </c>
      <c r="C2313" s="188" t="s">
        <v>21</v>
      </c>
      <c r="D2313" s="188" t="s">
        <v>22</v>
      </c>
      <c r="E2313" s="4">
        <v>8720</v>
      </c>
      <c r="F2313" s="5">
        <v>146000</v>
      </c>
      <c r="G2313" s="4">
        <v>30660</v>
      </c>
      <c r="H2313" s="4">
        <v>185380</v>
      </c>
      <c r="I2313" s="188" t="str">
        <f>VLOOKUP(C2313,CATEGORIZACION!$A$1:$C$269,2,FALSE)</f>
        <v>TRANSPORTE</v>
      </c>
      <c r="J2313" s="188" t="s">
        <v>19</v>
      </c>
    </row>
    <row r="2314" spans="1:10" ht="15.75" customHeight="1" x14ac:dyDescent="0.25">
      <c r="A2314" s="1">
        <v>45267</v>
      </c>
      <c r="B2314" s="188" t="s">
        <v>2204</v>
      </c>
      <c r="C2314" s="188" t="s">
        <v>21</v>
      </c>
      <c r="D2314" s="188" t="s">
        <v>22</v>
      </c>
      <c r="E2314" s="4">
        <v>26160</v>
      </c>
      <c r="F2314" s="5">
        <v>420000</v>
      </c>
      <c r="G2314" s="4">
        <v>88200</v>
      </c>
      <c r="H2314" s="4">
        <v>534360</v>
      </c>
      <c r="I2314" s="188" t="str">
        <f>VLOOKUP(C2314,CATEGORIZACION!$A$1:$C$269,2,FALSE)</f>
        <v>TRANSPORTE</v>
      </c>
      <c r="J2314" s="188" t="s">
        <v>19</v>
      </c>
    </row>
    <row r="2315" spans="1:10" ht="15.75" customHeight="1" x14ac:dyDescent="0.25">
      <c r="A2315" s="1">
        <v>45267</v>
      </c>
      <c r="B2315" s="188" t="s">
        <v>2205</v>
      </c>
      <c r="C2315" s="188" t="s">
        <v>426</v>
      </c>
      <c r="D2315" s="188" t="s">
        <v>427</v>
      </c>
      <c r="E2315" s="4">
        <v>2495</v>
      </c>
      <c r="F2315" s="5">
        <v>44798.7</v>
      </c>
      <c r="G2315" s="4">
        <v>9407.73</v>
      </c>
      <c r="H2315" s="4">
        <v>56701.43</v>
      </c>
      <c r="I2315" s="188" t="str">
        <f>VLOOKUP(C2315,CATEGORIZACION!$A$1:$C$269,2,FALSE)</f>
        <v>PROOVEDORES</v>
      </c>
      <c r="J2315" s="188" t="str">
        <f>VLOOKUP(C2315,CATEGORIZACION!$A$1:$C$269,3,FALSE)</f>
        <v>LOGISTICA</v>
      </c>
    </row>
    <row r="2316" spans="1:10" ht="15.75" customHeight="1" x14ac:dyDescent="0.25">
      <c r="A2316" s="1">
        <v>45267</v>
      </c>
      <c r="B2316" s="188" t="s">
        <v>2206</v>
      </c>
      <c r="C2316" s="188" t="s">
        <v>426</v>
      </c>
      <c r="D2316" s="188" t="s">
        <v>427</v>
      </c>
      <c r="E2316" s="4">
        <v>2495</v>
      </c>
      <c r="F2316" s="5">
        <v>44798.7</v>
      </c>
      <c r="G2316" s="4">
        <v>9407.73</v>
      </c>
      <c r="H2316" s="4">
        <v>56701.43</v>
      </c>
      <c r="I2316" s="188" t="str">
        <f>VLOOKUP(C2316,CATEGORIZACION!$A$1:$C$269,2,FALSE)</f>
        <v>PROOVEDORES</v>
      </c>
      <c r="J2316" s="188" t="str">
        <f>VLOOKUP(C2316,CATEGORIZACION!$A$1:$C$269,3,FALSE)</f>
        <v>LOGISTICA</v>
      </c>
    </row>
    <row r="2317" spans="1:10" ht="15.75" customHeight="1" x14ac:dyDescent="0.25">
      <c r="A2317" s="1">
        <v>45267</v>
      </c>
      <c r="B2317" s="188" t="s">
        <v>2207</v>
      </c>
      <c r="C2317" s="188" t="s">
        <v>214</v>
      </c>
      <c r="D2317" s="188" t="s">
        <v>471</v>
      </c>
      <c r="E2317" s="4">
        <v>315000</v>
      </c>
      <c r="F2317" s="5">
        <v>0</v>
      </c>
      <c r="G2317" s="4">
        <v>0</v>
      </c>
      <c r="H2317" s="4">
        <v>315000</v>
      </c>
      <c r="I2317" s="188" t="str">
        <f>VLOOKUP(C2317,CATEGORIZACION!$A$1:$C$269,2,FALSE)</f>
        <v>PROOVEDORES</v>
      </c>
      <c r="J2317" s="188" t="str">
        <f>VLOOKUP(C2317,CATEGORIZACION!$A$1:$C$269,3,FALSE)</f>
        <v>LOGISTICA</v>
      </c>
    </row>
    <row r="2318" spans="1:10" ht="15.75" customHeight="1" x14ac:dyDescent="0.25">
      <c r="A2318" s="1">
        <v>45271</v>
      </c>
      <c r="B2318" s="188" t="s">
        <v>2208</v>
      </c>
      <c r="C2318" s="188" t="s">
        <v>337</v>
      </c>
      <c r="D2318" s="188" t="s">
        <v>174</v>
      </c>
      <c r="E2318" s="4">
        <v>0</v>
      </c>
      <c r="F2318" s="5">
        <v>141600</v>
      </c>
      <c r="G2318" s="4">
        <v>29736</v>
      </c>
      <c r="H2318" s="4">
        <v>171336</v>
      </c>
      <c r="I2318" s="188" t="str">
        <f>VLOOKUP(C2318,CATEGORIZACION!$A$1:$C$269,2,FALSE)</f>
        <v>TRANSPORTE</v>
      </c>
      <c r="J2318" s="188" t="s">
        <v>19</v>
      </c>
    </row>
    <row r="2319" spans="1:10" ht="15.75" customHeight="1" x14ac:dyDescent="0.25">
      <c r="A2319" s="1">
        <v>45271</v>
      </c>
      <c r="B2319" s="188" t="s">
        <v>2209</v>
      </c>
      <c r="C2319" s="188" t="s">
        <v>2210</v>
      </c>
      <c r="D2319" s="188" t="s">
        <v>2211</v>
      </c>
      <c r="E2319" s="4">
        <v>0</v>
      </c>
      <c r="F2319" s="3">
        <v>30876.71</v>
      </c>
      <c r="G2319" s="4">
        <v>6484.11</v>
      </c>
      <c r="H2319" s="4">
        <v>37360.82</v>
      </c>
      <c r="I2319" s="188" t="str">
        <f>VLOOKUP(C2319,CATEGORIZACION!$A$1:$C$269,2,FALSE)</f>
        <v>PROOVEDORES</v>
      </c>
      <c r="J2319" s="188" t="str">
        <f>VLOOKUP(C2319,CATEGORIZACION!$A$1:$C$269,3,FALSE)</f>
        <v>DEPOSITO</v>
      </c>
    </row>
    <row r="2320" spans="1:10" ht="15.75" customHeight="1" x14ac:dyDescent="0.25">
      <c r="A2320" s="1">
        <v>45271</v>
      </c>
      <c r="B2320" s="188" t="s">
        <v>2212</v>
      </c>
      <c r="C2320" s="188" t="s">
        <v>21</v>
      </c>
      <c r="D2320" s="188" t="s">
        <v>22</v>
      </c>
      <c r="E2320" s="4">
        <v>8720</v>
      </c>
      <c r="F2320" s="5">
        <v>146000</v>
      </c>
      <c r="G2320" s="4">
        <v>30660</v>
      </c>
      <c r="H2320" s="4">
        <v>185380</v>
      </c>
      <c r="I2320" s="188" t="str">
        <f>VLOOKUP(C2320,CATEGORIZACION!$A$1:$C$269,2,FALSE)</f>
        <v>TRANSPORTE</v>
      </c>
      <c r="J2320" s="188" t="s">
        <v>19</v>
      </c>
    </row>
    <row r="2321" spans="1:10" ht="15.75" customHeight="1" x14ac:dyDescent="0.25">
      <c r="A2321" s="1">
        <v>45271</v>
      </c>
      <c r="B2321" s="188" t="s">
        <v>2213</v>
      </c>
      <c r="C2321" s="188" t="s">
        <v>36</v>
      </c>
      <c r="D2321" s="188" t="s">
        <v>37</v>
      </c>
      <c r="E2321" s="4">
        <v>7500</v>
      </c>
      <c r="F2321" s="5">
        <v>88000</v>
      </c>
      <c r="G2321" s="4">
        <v>18480</v>
      </c>
      <c r="H2321" s="4">
        <v>113980</v>
      </c>
      <c r="I2321" s="188" t="str">
        <f>VLOOKUP(C2321,CATEGORIZACION!$A$1:$C$269,2,FALSE)</f>
        <v>TRANSPORTE</v>
      </c>
      <c r="J2321" s="188" t="s">
        <v>19</v>
      </c>
    </row>
    <row r="2322" spans="1:10" ht="15.75" customHeight="1" x14ac:dyDescent="0.25">
      <c r="A2322" s="1">
        <v>45271</v>
      </c>
      <c r="B2322" s="188" t="s">
        <v>2214</v>
      </c>
      <c r="C2322" s="188" t="s">
        <v>36</v>
      </c>
      <c r="D2322" s="188" t="s">
        <v>37</v>
      </c>
      <c r="E2322" s="4">
        <v>12500</v>
      </c>
      <c r="F2322" s="5">
        <v>220100</v>
      </c>
      <c r="G2322" s="4">
        <v>46221</v>
      </c>
      <c r="H2322" s="4">
        <v>278821</v>
      </c>
      <c r="I2322" s="188" t="str">
        <f>VLOOKUP(C2322,CATEGORIZACION!$A$1:$C$269,2,FALSE)</f>
        <v>TRANSPORTE</v>
      </c>
      <c r="J2322" s="188" t="s">
        <v>19</v>
      </c>
    </row>
    <row r="2323" spans="1:10" ht="15.75" customHeight="1" x14ac:dyDescent="0.25">
      <c r="A2323" s="1">
        <v>45271</v>
      </c>
      <c r="B2323" s="188" t="s">
        <v>2215</v>
      </c>
      <c r="C2323" s="188" t="s">
        <v>36</v>
      </c>
      <c r="D2323" s="188" t="s">
        <v>37</v>
      </c>
      <c r="E2323" s="4">
        <v>12500</v>
      </c>
      <c r="F2323" s="5">
        <v>220100</v>
      </c>
      <c r="G2323" s="4">
        <v>46221</v>
      </c>
      <c r="H2323" s="4">
        <v>278821</v>
      </c>
      <c r="I2323" s="188" t="str">
        <f>VLOOKUP(C2323,CATEGORIZACION!$A$1:$C$269,2,FALSE)</f>
        <v>TRANSPORTE</v>
      </c>
      <c r="J2323" s="188" t="s">
        <v>19</v>
      </c>
    </row>
    <row r="2324" spans="1:10" ht="15.75" customHeight="1" x14ac:dyDescent="0.25">
      <c r="A2324" s="1">
        <v>45271</v>
      </c>
      <c r="B2324" s="188" t="s">
        <v>2216</v>
      </c>
      <c r="C2324" s="188" t="s">
        <v>36</v>
      </c>
      <c r="D2324" s="188" t="s">
        <v>37</v>
      </c>
      <c r="E2324" s="4">
        <v>12500</v>
      </c>
      <c r="F2324" s="5">
        <v>184560</v>
      </c>
      <c r="G2324" s="4">
        <v>38757.599999999999</v>
      </c>
      <c r="H2324" s="4">
        <v>235817.60000000001</v>
      </c>
      <c r="I2324" s="188" t="str">
        <f>VLOOKUP(C2324,CATEGORIZACION!$A$1:$C$269,2,FALSE)</f>
        <v>TRANSPORTE</v>
      </c>
      <c r="J2324" s="188" t="s">
        <v>19</v>
      </c>
    </row>
    <row r="2325" spans="1:10" ht="15.75" customHeight="1" x14ac:dyDescent="0.25">
      <c r="A2325" s="1">
        <v>45271</v>
      </c>
      <c r="B2325" s="188" t="s">
        <v>2217</v>
      </c>
      <c r="C2325" s="188" t="s">
        <v>36</v>
      </c>
      <c r="D2325" s="188" t="s">
        <v>37</v>
      </c>
      <c r="E2325" s="4">
        <v>12500</v>
      </c>
      <c r="F2325" s="5">
        <v>184560</v>
      </c>
      <c r="G2325" s="4">
        <v>38757.599999999999</v>
      </c>
      <c r="H2325" s="4">
        <v>235817.60000000001</v>
      </c>
      <c r="I2325" s="188" t="str">
        <f>VLOOKUP(C2325,CATEGORIZACION!$A$1:$C$269,2,FALSE)</f>
        <v>TRANSPORTE</v>
      </c>
      <c r="J2325" s="188" t="s">
        <v>19</v>
      </c>
    </row>
    <row r="2326" spans="1:10" ht="15.75" customHeight="1" x14ac:dyDescent="0.25">
      <c r="A2326" s="1">
        <v>45271</v>
      </c>
      <c r="B2326" s="188" t="s">
        <v>2218</v>
      </c>
      <c r="C2326" s="188" t="s">
        <v>36</v>
      </c>
      <c r="D2326" s="188" t="s">
        <v>37</v>
      </c>
      <c r="E2326" s="4">
        <v>4200</v>
      </c>
      <c r="F2326" s="5">
        <v>79000</v>
      </c>
      <c r="G2326" s="4">
        <v>16590</v>
      </c>
      <c r="H2326" s="4">
        <v>99790</v>
      </c>
      <c r="I2326" s="188" t="str">
        <f>VLOOKUP(C2326,CATEGORIZACION!$A$1:$C$269,2,FALSE)</f>
        <v>TRANSPORTE</v>
      </c>
      <c r="J2326" s="188" t="s">
        <v>19</v>
      </c>
    </row>
    <row r="2327" spans="1:10" ht="15.75" customHeight="1" x14ac:dyDescent="0.25">
      <c r="A2327" s="1">
        <v>45271</v>
      </c>
      <c r="B2327" s="188" t="s">
        <v>2219</v>
      </c>
      <c r="C2327" s="188" t="s">
        <v>36</v>
      </c>
      <c r="D2327" s="188" t="s">
        <v>37</v>
      </c>
      <c r="E2327" s="4">
        <v>12500</v>
      </c>
      <c r="F2327" s="5">
        <v>264120</v>
      </c>
      <c r="G2327" s="4">
        <v>55465.2</v>
      </c>
      <c r="H2327" s="4">
        <v>332085.2</v>
      </c>
      <c r="I2327" s="188" t="str">
        <f>VLOOKUP(C2327,CATEGORIZACION!$A$1:$C$269,2,FALSE)</f>
        <v>TRANSPORTE</v>
      </c>
      <c r="J2327" s="188" t="s">
        <v>19</v>
      </c>
    </row>
    <row r="2328" spans="1:10" ht="15.75" customHeight="1" x14ac:dyDescent="0.25">
      <c r="A2328" s="1">
        <v>45271</v>
      </c>
      <c r="B2328" s="188" t="s">
        <v>2220</v>
      </c>
      <c r="C2328" s="188" t="s">
        <v>36</v>
      </c>
      <c r="D2328" s="188" t="s">
        <v>37</v>
      </c>
      <c r="E2328" s="4">
        <v>7500</v>
      </c>
      <c r="F2328" s="5">
        <v>88000</v>
      </c>
      <c r="G2328" s="4">
        <v>18480</v>
      </c>
      <c r="H2328" s="4">
        <v>113980</v>
      </c>
      <c r="I2328" s="188" t="str">
        <f>VLOOKUP(C2328,CATEGORIZACION!$A$1:$C$269,2,FALSE)</f>
        <v>TRANSPORTE</v>
      </c>
      <c r="J2328" s="188" t="s">
        <v>19</v>
      </c>
    </row>
    <row r="2329" spans="1:10" ht="15.75" customHeight="1" x14ac:dyDescent="0.25">
      <c r="A2329" s="1">
        <v>45271</v>
      </c>
      <c r="B2329" s="188" t="s">
        <v>2221</v>
      </c>
      <c r="C2329" s="188" t="s">
        <v>36</v>
      </c>
      <c r="D2329" s="188" t="s">
        <v>37</v>
      </c>
      <c r="E2329" s="4">
        <v>6200</v>
      </c>
      <c r="F2329" s="5">
        <v>81800</v>
      </c>
      <c r="G2329" s="4">
        <v>17178</v>
      </c>
      <c r="H2329" s="4">
        <v>105178</v>
      </c>
      <c r="I2329" s="188" t="str">
        <f>VLOOKUP(C2329,CATEGORIZACION!$A$1:$C$269,2,FALSE)</f>
        <v>TRANSPORTE</v>
      </c>
      <c r="J2329" s="188" t="s">
        <v>19</v>
      </c>
    </row>
    <row r="2330" spans="1:10" ht="15.75" customHeight="1" x14ac:dyDescent="0.25">
      <c r="A2330" s="1">
        <v>45271</v>
      </c>
      <c r="B2330" s="188" t="s">
        <v>2222</v>
      </c>
      <c r="C2330" s="188" t="s">
        <v>36</v>
      </c>
      <c r="D2330" s="188" t="s">
        <v>37</v>
      </c>
      <c r="E2330" s="4">
        <v>9200</v>
      </c>
      <c r="F2330" s="5">
        <v>119150</v>
      </c>
      <c r="G2330" s="4">
        <v>25021.5</v>
      </c>
      <c r="H2330" s="4">
        <v>153371.5</v>
      </c>
      <c r="I2330" s="188" t="str">
        <f>VLOOKUP(C2330,CATEGORIZACION!$A$1:$C$269,2,FALSE)</f>
        <v>TRANSPORTE</v>
      </c>
      <c r="J2330" s="188" t="s">
        <v>19</v>
      </c>
    </row>
    <row r="2331" spans="1:10" ht="15.75" customHeight="1" x14ac:dyDescent="0.25">
      <c r="A2331" s="1">
        <v>45271</v>
      </c>
      <c r="B2331" s="188" t="s">
        <v>2223</v>
      </c>
      <c r="C2331" s="188" t="s">
        <v>36</v>
      </c>
      <c r="D2331" s="188" t="s">
        <v>37</v>
      </c>
      <c r="E2331" s="4">
        <v>9200</v>
      </c>
      <c r="F2331" s="5">
        <v>119150</v>
      </c>
      <c r="G2331" s="4">
        <v>25021.5</v>
      </c>
      <c r="H2331" s="4">
        <v>153371.5</v>
      </c>
      <c r="I2331" s="188" t="str">
        <f>VLOOKUP(C2331,CATEGORIZACION!$A$1:$C$269,2,FALSE)</f>
        <v>TRANSPORTE</v>
      </c>
      <c r="J2331" s="188" t="s">
        <v>19</v>
      </c>
    </row>
    <row r="2332" spans="1:10" ht="15.75" customHeight="1" x14ac:dyDescent="0.25">
      <c r="A2332" s="1">
        <v>45271</v>
      </c>
      <c r="B2332" s="188" t="s">
        <v>2224</v>
      </c>
      <c r="C2332" s="188" t="s">
        <v>36</v>
      </c>
      <c r="D2332" s="188" t="s">
        <v>37</v>
      </c>
      <c r="E2332" s="4">
        <v>3800</v>
      </c>
      <c r="F2332" s="5">
        <v>70400</v>
      </c>
      <c r="G2332" s="4">
        <v>14784</v>
      </c>
      <c r="H2332" s="4">
        <v>88984</v>
      </c>
      <c r="I2332" s="188" t="str">
        <f>VLOOKUP(C2332,CATEGORIZACION!$A$1:$C$269,2,FALSE)</f>
        <v>TRANSPORTE</v>
      </c>
      <c r="J2332" s="188" t="s">
        <v>19</v>
      </c>
    </row>
    <row r="2333" spans="1:10" ht="15.75" customHeight="1" x14ac:dyDescent="0.25">
      <c r="A2333" s="1">
        <v>45271</v>
      </c>
      <c r="B2333" s="188" t="s">
        <v>2225</v>
      </c>
      <c r="C2333" s="188" t="s">
        <v>36</v>
      </c>
      <c r="D2333" s="188" t="s">
        <v>37</v>
      </c>
      <c r="E2333" s="4">
        <v>7500</v>
      </c>
      <c r="F2333" s="5">
        <v>88000</v>
      </c>
      <c r="G2333" s="4">
        <v>18480</v>
      </c>
      <c r="H2333" s="4">
        <v>113980</v>
      </c>
      <c r="I2333" s="188" t="str">
        <f>VLOOKUP(C2333,CATEGORIZACION!$A$1:$C$269,2,FALSE)</f>
        <v>TRANSPORTE</v>
      </c>
      <c r="J2333" s="188" t="s">
        <v>19</v>
      </c>
    </row>
    <row r="2334" spans="1:10" ht="15.75" customHeight="1" x14ac:dyDescent="0.25">
      <c r="A2334" s="1">
        <v>45271</v>
      </c>
      <c r="B2334" s="188" t="s">
        <v>2226</v>
      </c>
      <c r="C2334" s="188" t="s">
        <v>36</v>
      </c>
      <c r="D2334" s="188" t="s">
        <v>37</v>
      </c>
      <c r="E2334" s="4">
        <v>23200</v>
      </c>
      <c r="F2334" s="5">
        <v>307600</v>
      </c>
      <c r="G2334" s="4">
        <v>64596</v>
      </c>
      <c r="H2334" s="4">
        <v>395396</v>
      </c>
      <c r="I2334" s="188" t="str">
        <f>VLOOKUP(C2334,CATEGORIZACION!$A$1:$C$269,2,FALSE)</f>
        <v>TRANSPORTE</v>
      </c>
      <c r="J2334" s="188" t="s">
        <v>19</v>
      </c>
    </row>
    <row r="2335" spans="1:10" ht="15.75" customHeight="1" x14ac:dyDescent="0.25">
      <c r="A2335" s="1">
        <v>45271</v>
      </c>
      <c r="B2335" s="188" t="s">
        <v>2227</v>
      </c>
      <c r="C2335" s="188" t="s">
        <v>36</v>
      </c>
      <c r="D2335" s="188" t="s">
        <v>37</v>
      </c>
      <c r="E2335" s="4">
        <v>6800</v>
      </c>
      <c r="F2335" s="5">
        <v>88000</v>
      </c>
      <c r="G2335" s="4">
        <v>18480</v>
      </c>
      <c r="H2335" s="4">
        <v>113280</v>
      </c>
      <c r="I2335" s="188" t="str">
        <f>VLOOKUP(C2335,CATEGORIZACION!$A$1:$C$269,2,FALSE)</f>
        <v>TRANSPORTE</v>
      </c>
      <c r="J2335" s="188" t="s">
        <v>19</v>
      </c>
    </row>
    <row r="2336" spans="1:10" ht="15.75" customHeight="1" x14ac:dyDescent="0.25">
      <c r="A2336" s="1">
        <v>45271</v>
      </c>
      <c r="B2336" s="188" t="s">
        <v>2228</v>
      </c>
      <c r="C2336" s="188" t="s">
        <v>36</v>
      </c>
      <c r="D2336" s="188" t="s">
        <v>37</v>
      </c>
      <c r="E2336" s="4">
        <v>7500</v>
      </c>
      <c r="F2336" s="5">
        <v>105600</v>
      </c>
      <c r="G2336" s="4">
        <v>22176</v>
      </c>
      <c r="H2336" s="4">
        <v>135276</v>
      </c>
      <c r="I2336" s="188" t="str">
        <f>VLOOKUP(C2336,CATEGORIZACION!$A$1:$C$269,2,FALSE)</f>
        <v>TRANSPORTE</v>
      </c>
      <c r="J2336" s="188" t="s">
        <v>19</v>
      </c>
    </row>
    <row r="2337" spans="1:10" ht="15.75" customHeight="1" x14ac:dyDescent="0.25">
      <c r="A2337" s="1">
        <v>45271</v>
      </c>
      <c r="B2337" s="188" t="s">
        <v>2229</v>
      </c>
      <c r="C2337" s="188" t="s">
        <v>36</v>
      </c>
      <c r="D2337" s="188" t="s">
        <v>37</v>
      </c>
      <c r="E2337" s="4">
        <v>18500</v>
      </c>
      <c r="F2337" s="5">
        <v>268950</v>
      </c>
      <c r="G2337" s="4">
        <v>56479.5</v>
      </c>
      <c r="H2337" s="4">
        <v>343929.5</v>
      </c>
      <c r="I2337" s="188" t="str">
        <f>VLOOKUP(C2337,CATEGORIZACION!$A$1:$C$269,2,FALSE)</f>
        <v>TRANSPORTE</v>
      </c>
      <c r="J2337" s="188" t="s">
        <v>19</v>
      </c>
    </row>
    <row r="2338" spans="1:10" ht="15.75" customHeight="1" x14ac:dyDescent="0.25">
      <c r="A2338" s="1">
        <v>45271</v>
      </c>
      <c r="B2338" s="188" t="s">
        <v>2230</v>
      </c>
      <c r="C2338" s="188" t="s">
        <v>36</v>
      </c>
      <c r="D2338" s="188" t="s">
        <v>37</v>
      </c>
      <c r="E2338" s="4">
        <v>18000</v>
      </c>
      <c r="F2338" s="5">
        <v>268950</v>
      </c>
      <c r="G2338" s="4">
        <v>56479.5</v>
      </c>
      <c r="H2338" s="4">
        <v>343429.5</v>
      </c>
      <c r="I2338" s="188" t="str">
        <f>VLOOKUP(C2338,CATEGORIZACION!$A$1:$C$269,2,FALSE)</f>
        <v>TRANSPORTE</v>
      </c>
      <c r="J2338" s="188" t="s">
        <v>19</v>
      </c>
    </row>
    <row r="2339" spans="1:10" ht="15.75" customHeight="1" x14ac:dyDescent="0.25">
      <c r="A2339" s="1">
        <v>45271</v>
      </c>
      <c r="B2339" s="188" t="s">
        <v>2231</v>
      </c>
      <c r="C2339" s="188" t="s">
        <v>36</v>
      </c>
      <c r="D2339" s="188" t="s">
        <v>37</v>
      </c>
      <c r="E2339" s="4">
        <v>9200</v>
      </c>
      <c r="F2339" s="5">
        <v>119150</v>
      </c>
      <c r="G2339" s="4">
        <v>25021.5</v>
      </c>
      <c r="H2339" s="4">
        <v>153371.5</v>
      </c>
      <c r="I2339" s="188" t="str">
        <f>VLOOKUP(C2339,CATEGORIZACION!$A$1:$C$269,2,FALSE)</f>
        <v>TRANSPORTE</v>
      </c>
      <c r="J2339" s="188" t="s">
        <v>19</v>
      </c>
    </row>
    <row r="2340" spans="1:10" ht="15.75" customHeight="1" x14ac:dyDescent="0.25">
      <c r="A2340" s="1">
        <v>45271</v>
      </c>
      <c r="B2340" s="188" t="s">
        <v>2232</v>
      </c>
      <c r="C2340" s="188" t="s">
        <v>36</v>
      </c>
      <c r="D2340" s="188" t="s">
        <v>37</v>
      </c>
      <c r="E2340" s="4">
        <v>9200</v>
      </c>
      <c r="F2340" s="5">
        <v>119150</v>
      </c>
      <c r="G2340" s="4">
        <v>25021.5</v>
      </c>
      <c r="H2340" s="4">
        <v>153371.5</v>
      </c>
      <c r="I2340" s="188" t="str">
        <f>VLOOKUP(C2340,CATEGORIZACION!$A$1:$C$269,2,FALSE)</f>
        <v>TRANSPORTE</v>
      </c>
      <c r="J2340" s="188" t="s">
        <v>19</v>
      </c>
    </row>
    <row r="2341" spans="1:10" ht="15.75" customHeight="1" x14ac:dyDescent="0.25">
      <c r="A2341" s="1">
        <v>45272</v>
      </c>
      <c r="B2341" s="188" t="s">
        <v>1162</v>
      </c>
      <c r="C2341" s="188" t="s">
        <v>2017</v>
      </c>
      <c r="D2341" s="188" t="s">
        <v>2018</v>
      </c>
      <c r="E2341" s="4">
        <v>-3.7252902984619141E-11</v>
      </c>
      <c r="F2341" s="5">
        <v>261360</v>
      </c>
      <c r="G2341" s="4">
        <v>54885.599999999999</v>
      </c>
      <c r="H2341" s="4">
        <v>316245.59999999998</v>
      </c>
      <c r="I2341" s="188" t="str">
        <f>VLOOKUP(C2341,CATEGORIZACION!$A$1:$C$269,2,FALSE)</f>
        <v>PROOVEDORES</v>
      </c>
      <c r="J2341" s="188" t="str">
        <f>VLOOKUP(C2341,CATEGORIZACION!$A$1:$C$269,3,FALSE)</f>
        <v>LOGISTICA</v>
      </c>
    </row>
    <row r="2342" spans="1:10" ht="15.75" customHeight="1" x14ac:dyDescent="0.25">
      <c r="A2342" s="1">
        <v>45272</v>
      </c>
      <c r="B2342" s="188" t="s">
        <v>2233</v>
      </c>
      <c r="C2342" s="188" t="s">
        <v>21</v>
      </c>
      <c r="D2342" s="188" t="s">
        <v>22</v>
      </c>
      <c r="E2342" s="4">
        <v>8720</v>
      </c>
      <c r="F2342" s="5">
        <v>146000</v>
      </c>
      <c r="G2342" s="4">
        <v>30660</v>
      </c>
      <c r="H2342" s="4">
        <v>185380</v>
      </c>
      <c r="I2342" s="188" t="str">
        <f>VLOOKUP(C2342,CATEGORIZACION!$A$1:$C$269,2,FALSE)</f>
        <v>TRANSPORTE</v>
      </c>
      <c r="J2342" s="188" t="s">
        <v>19</v>
      </c>
    </row>
    <row r="2343" spans="1:10" ht="15.75" customHeight="1" x14ac:dyDescent="0.25">
      <c r="A2343" s="1">
        <v>45273</v>
      </c>
      <c r="B2343" s="188" t="s">
        <v>2234</v>
      </c>
      <c r="C2343" s="188" t="s">
        <v>36</v>
      </c>
      <c r="D2343" s="188" t="s">
        <v>37</v>
      </c>
      <c r="E2343" s="4">
        <v>-9200</v>
      </c>
      <c r="F2343" s="5">
        <v>-119150</v>
      </c>
      <c r="G2343" s="4">
        <v>-25021.5</v>
      </c>
      <c r="H2343" s="4">
        <v>-153371.5</v>
      </c>
      <c r="I2343" s="188" t="str">
        <f>VLOOKUP(C2343,CATEGORIZACION!$A$1:$C$269,2,FALSE)</f>
        <v>TRANSPORTE</v>
      </c>
      <c r="J2343" s="188" t="s">
        <v>19</v>
      </c>
    </row>
    <row r="2344" spans="1:10" ht="15.75" customHeight="1" x14ac:dyDescent="0.25">
      <c r="A2344" s="1">
        <v>45273</v>
      </c>
      <c r="B2344" s="188" t="s">
        <v>2235</v>
      </c>
      <c r="C2344" s="188" t="s">
        <v>36</v>
      </c>
      <c r="D2344" s="188" t="s">
        <v>37</v>
      </c>
      <c r="E2344" s="4">
        <v>261054</v>
      </c>
      <c r="F2344" s="5">
        <v>0</v>
      </c>
      <c r="G2344" s="4">
        <v>0</v>
      </c>
      <c r="H2344" s="4">
        <v>261054</v>
      </c>
      <c r="I2344" s="188" t="str">
        <f>VLOOKUP(C2344,CATEGORIZACION!$A$1:$C$269,2,FALSE)</f>
        <v>TRANSPORTE</v>
      </c>
      <c r="J2344" s="188" t="s">
        <v>19</v>
      </c>
    </row>
    <row r="2345" spans="1:10" ht="15.75" customHeight="1" x14ac:dyDescent="0.25">
      <c r="A2345" s="1">
        <v>45273</v>
      </c>
      <c r="B2345" s="188" t="s">
        <v>1717</v>
      </c>
      <c r="C2345" s="188" t="s">
        <v>2236</v>
      </c>
      <c r="D2345" s="188" t="s">
        <v>2237</v>
      </c>
      <c r="E2345" s="4">
        <v>-1.8626451492309571E-11</v>
      </c>
      <c r="F2345" s="5">
        <v>127933.9</v>
      </c>
      <c r="G2345" s="4">
        <v>26866.12</v>
      </c>
      <c r="H2345" s="4">
        <v>154800.01999999999</v>
      </c>
      <c r="I2345" s="188" t="str">
        <f>VLOOKUP(C2345,CATEGORIZACION!$A$1:$C$269,2,FALSE)</f>
        <v>PROOVEDORES</v>
      </c>
      <c r="J2345" s="188" t="str">
        <f>VLOOKUP(C2345,CATEGORIZACION!$A$1:$C$269,3,FALSE)</f>
        <v>LOGISTICA</v>
      </c>
    </row>
    <row r="2346" spans="1:10" ht="15.75" customHeight="1" x14ac:dyDescent="0.25">
      <c r="A2346" s="1">
        <v>45273</v>
      </c>
      <c r="B2346" s="188" t="s">
        <v>2238</v>
      </c>
      <c r="C2346" s="188" t="s">
        <v>21</v>
      </c>
      <c r="D2346" s="188" t="s">
        <v>22</v>
      </c>
      <c r="E2346" s="4">
        <v>5440</v>
      </c>
      <c r="F2346" s="5">
        <v>212000</v>
      </c>
      <c r="G2346" s="4">
        <v>44520</v>
      </c>
      <c r="H2346" s="4">
        <v>261960</v>
      </c>
      <c r="I2346" s="188" t="str">
        <f>VLOOKUP(C2346,CATEGORIZACION!$A$1:$C$269,2,FALSE)</f>
        <v>TRANSPORTE</v>
      </c>
      <c r="J2346" s="188" t="s">
        <v>19</v>
      </c>
    </row>
    <row r="2347" spans="1:10" ht="15.75" customHeight="1" x14ac:dyDescent="0.25">
      <c r="A2347" s="1">
        <v>45273</v>
      </c>
      <c r="B2347" s="188" t="s">
        <v>2239</v>
      </c>
      <c r="C2347" s="188" t="s">
        <v>21</v>
      </c>
      <c r="D2347" s="188" t="s">
        <v>22</v>
      </c>
      <c r="E2347" s="4">
        <v>6470</v>
      </c>
      <c r="F2347" s="5">
        <v>128000</v>
      </c>
      <c r="G2347" s="4">
        <v>26880</v>
      </c>
      <c r="H2347" s="4">
        <v>161350</v>
      </c>
      <c r="I2347" s="188" t="str">
        <f>VLOOKUP(C2347,CATEGORIZACION!$A$1:$C$269,2,FALSE)</f>
        <v>TRANSPORTE</v>
      </c>
      <c r="J2347" s="188" t="s">
        <v>19</v>
      </c>
    </row>
    <row r="2348" spans="1:10" ht="15.75" customHeight="1" x14ac:dyDescent="0.25">
      <c r="A2348" s="1">
        <v>45273</v>
      </c>
      <c r="B2348" s="188" t="s">
        <v>2240</v>
      </c>
      <c r="C2348" s="188" t="s">
        <v>21</v>
      </c>
      <c r="D2348" s="188" t="s">
        <v>22</v>
      </c>
      <c r="E2348" s="4">
        <v>112400</v>
      </c>
      <c r="F2348" s="5">
        <v>5433700</v>
      </c>
      <c r="G2348" s="4">
        <v>1141077</v>
      </c>
      <c r="H2348" s="4">
        <v>6687177</v>
      </c>
      <c r="I2348" s="188" t="str">
        <f>VLOOKUP(C2348,CATEGORIZACION!$A$1:$C$269,2,FALSE)</f>
        <v>TRANSPORTE</v>
      </c>
      <c r="J2348" s="188" t="s">
        <v>19</v>
      </c>
    </row>
    <row r="2349" spans="1:10" ht="15.75" customHeight="1" x14ac:dyDescent="0.25">
      <c r="A2349" s="1">
        <v>45273</v>
      </c>
      <c r="B2349" s="188" t="s">
        <v>2241</v>
      </c>
      <c r="C2349" s="188" t="s">
        <v>36</v>
      </c>
      <c r="D2349" s="188" t="s">
        <v>37</v>
      </c>
      <c r="E2349" s="4">
        <v>9200</v>
      </c>
      <c r="F2349" s="5">
        <v>78800</v>
      </c>
      <c r="G2349" s="4">
        <v>16548</v>
      </c>
      <c r="H2349" s="4">
        <v>104548</v>
      </c>
      <c r="I2349" s="188" t="str">
        <f>VLOOKUP(C2349,CATEGORIZACION!$A$1:$C$269,2,FALSE)</f>
        <v>TRANSPORTE</v>
      </c>
      <c r="J2349" s="188" t="s">
        <v>19</v>
      </c>
    </row>
    <row r="2350" spans="1:10" ht="15.75" customHeight="1" x14ac:dyDescent="0.25">
      <c r="A2350" s="1">
        <v>45273</v>
      </c>
      <c r="B2350" s="188" t="s">
        <v>2242</v>
      </c>
      <c r="C2350" s="188" t="s">
        <v>21</v>
      </c>
      <c r="D2350" s="188" t="s">
        <v>22</v>
      </c>
      <c r="E2350" s="4">
        <v>5440</v>
      </c>
      <c r="F2350" s="5">
        <v>212000</v>
      </c>
      <c r="G2350" s="4">
        <v>44520</v>
      </c>
      <c r="H2350" s="4">
        <v>261960</v>
      </c>
      <c r="I2350" s="188" t="str">
        <f>VLOOKUP(C2350,CATEGORIZACION!$A$1:$C$269,2,FALSE)</f>
        <v>TRANSPORTE</v>
      </c>
      <c r="J2350" s="188" t="s">
        <v>19</v>
      </c>
    </row>
    <row r="2351" spans="1:10" ht="15.75" customHeight="1" x14ac:dyDescent="0.25">
      <c r="A2351" s="1">
        <v>45274</v>
      </c>
      <c r="B2351" s="188" t="s">
        <v>2243</v>
      </c>
      <c r="C2351" s="188" t="s">
        <v>21</v>
      </c>
      <c r="D2351" s="188" t="s">
        <v>22</v>
      </c>
      <c r="E2351" s="4">
        <v>13360</v>
      </c>
      <c r="F2351" s="5">
        <v>212000</v>
      </c>
      <c r="G2351" s="4">
        <v>44520</v>
      </c>
      <c r="H2351" s="4">
        <v>269880</v>
      </c>
      <c r="I2351" s="188" t="str">
        <f>VLOOKUP(C2351,CATEGORIZACION!$A$1:$C$269,2,FALSE)</f>
        <v>TRANSPORTE</v>
      </c>
      <c r="J2351" s="188" t="s">
        <v>19</v>
      </c>
    </row>
    <row r="2352" spans="1:10" ht="15.75" customHeight="1" x14ac:dyDescent="0.25">
      <c r="A2352" s="1">
        <v>45274</v>
      </c>
      <c r="B2352" s="188" t="s">
        <v>2244</v>
      </c>
      <c r="C2352" s="188" t="s">
        <v>21</v>
      </c>
      <c r="D2352" s="188" t="s">
        <v>22</v>
      </c>
      <c r="E2352" s="4">
        <v>21760</v>
      </c>
      <c r="F2352" s="5">
        <v>424000</v>
      </c>
      <c r="G2352" s="4">
        <v>89040</v>
      </c>
      <c r="H2352" s="4">
        <v>534800</v>
      </c>
      <c r="I2352" s="188" t="str">
        <f>VLOOKUP(C2352,CATEGORIZACION!$A$1:$C$269,2,FALSE)</f>
        <v>TRANSPORTE</v>
      </c>
      <c r="J2352" s="188" t="s">
        <v>19</v>
      </c>
    </row>
    <row r="2353" spans="1:10" ht="15.75" customHeight="1" x14ac:dyDescent="0.25">
      <c r="A2353" s="1">
        <v>45275</v>
      </c>
      <c r="B2353" s="188" t="s">
        <v>2245</v>
      </c>
      <c r="C2353" s="188" t="s">
        <v>21</v>
      </c>
      <c r="D2353" s="188" t="s">
        <v>22</v>
      </c>
      <c r="E2353" s="4">
        <v>10880</v>
      </c>
      <c r="F2353" s="5">
        <v>528000</v>
      </c>
      <c r="G2353" s="4">
        <v>110880</v>
      </c>
      <c r="H2353" s="4">
        <v>649760</v>
      </c>
      <c r="I2353" s="188" t="str">
        <f>VLOOKUP(C2353,CATEGORIZACION!$A$1:$C$269,2,FALSE)</f>
        <v>TRANSPORTE</v>
      </c>
      <c r="J2353" s="188" t="s">
        <v>19</v>
      </c>
    </row>
    <row r="2354" spans="1:10" ht="15.75" customHeight="1" x14ac:dyDescent="0.25">
      <c r="A2354" s="1">
        <v>45275</v>
      </c>
      <c r="B2354" s="188" t="s">
        <v>2246</v>
      </c>
      <c r="C2354" s="188" t="s">
        <v>21</v>
      </c>
      <c r="D2354" s="188" t="s">
        <v>22</v>
      </c>
      <c r="E2354" s="4">
        <v>8720</v>
      </c>
      <c r="F2354" s="5">
        <v>146000</v>
      </c>
      <c r="G2354" s="4">
        <v>30660</v>
      </c>
      <c r="H2354" s="4">
        <v>185380</v>
      </c>
      <c r="I2354" s="188" t="str">
        <f>VLOOKUP(C2354,CATEGORIZACION!$A$1:$C$269,2,FALSE)</f>
        <v>TRANSPORTE</v>
      </c>
      <c r="J2354" s="188" t="s">
        <v>19</v>
      </c>
    </row>
    <row r="2355" spans="1:10" ht="15.75" customHeight="1" x14ac:dyDescent="0.25">
      <c r="A2355" s="1">
        <v>45275</v>
      </c>
      <c r="B2355" s="188" t="s">
        <v>2247</v>
      </c>
      <c r="C2355" s="188" t="s">
        <v>2248</v>
      </c>
      <c r="D2355" s="188" t="s">
        <v>2249</v>
      </c>
      <c r="E2355" s="4">
        <v>58215</v>
      </c>
      <c r="F2355" s="5">
        <v>0</v>
      </c>
      <c r="G2355" s="4">
        <v>0</v>
      </c>
      <c r="H2355" s="4">
        <v>58215</v>
      </c>
      <c r="I2355" s="188" t="str">
        <f>VLOOKUP(C2355,CATEGORIZACION!$A$1:$C$269,2,FALSE)</f>
        <v>PROOVEDORES</v>
      </c>
      <c r="J2355" s="188" t="str">
        <f>VLOOKUP(C2355,CATEGORIZACION!$A$1:$C$269,3,FALSE)</f>
        <v>LOGISTICA</v>
      </c>
    </row>
    <row r="2356" spans="1:10" ht="15.75" customHeight="1" x14ac:dyDescent="0.25">
      <c r="A2356" s="1">
        <v>45275</v>
      </c>
      <c r="B2356" s="188" t="s">
        <v>2250</v>
      </c>
      <c r="C2356" s="188" t="s">
        <v>2251</v>
      </c>
      <c r="D2356" s="188" t="s">
        <v>2252</v>
      </c>
      <c r="E2356" s="4">
        <v>174645</v>
      </c>
      <c r="F2356" s="5">
        <v>0</v>
      </c>
      <c r="G2356" s="4">
        <v>0</v>
      </c>
      <c r="H2356" s="4">
        <v>174645</v>
      </c>
      <c r="I2356" s="188" t="str">
        <f>VLOOKUP(C2356,CATEGORIZACION!$A$1:$C$269,2,FALSE)</f>
        <v>PROOVEDORES</v>
      </c>
      <c r="J2356" s="188" t="str">
        <f>VLOOKUP(C2356,CATEGORIZACION!$A$1:$C$269,3,FALSE)</f>
        <v>LOGISTICA</v>
      </c>
    </row>
    <row r="2357" spans="1:10" ht="15.75" customHeight="1" x14ac:dyDescent="0.25">
      <c r="A2357" s="1">
        <v>45278</v>
      </c>
      <c r="B2357" s="188" t="s">
        <v>2253</v>
      </c>
      <c r="C2357" s="188" t="s">
        <v>714</v>
      </c>
      <c r="D2357" s="188" t="s">
        <v>715</v>
      </c>
      <c r="E2357" s="4">
        <v>0</v>
      </c>
      <c r="F2357" s="3">
        <v>644100</v>
      </c>
      <c r="G2357" s="4">
        <v>135261</v>
      </c>
      <c r="H2357" s="4">
        <v>779361</v>
      </c>
      <c r="I2357" s="188" t="str">
        <f>VLOOKUP(C2357,CATEGORIZACION!$A$1:$C$269,2,FALSE)</f>
        <v>PROOVEDORES</v>
      </c>
      <c r="J2357" s="188" t="str">
        <f>VLOOKUP(C2357,CATEGORIZACION!$A$1:$C$269,3,FALSE)</f>
        <v>DEPOSITO</v>
      </c>
    </row>
    <row r="2358" spans="1:10" ht="15.75" customHeight="1" x14ac:dyDescent="0.25">
      <c r="A2358" s="1">
        <v>45278</v>
      </c>
      <c r="B2358" s="188" t="s">
        <v>2254</v>
      </c>
      <c r="C2358" s="188" t="s">
        <v>21</v>
      </c>
      <c r="D2358" s="188" t="s">
        <v>22</v>
      </c>
      <c r="E2358" s="4">
        <v>16960</v>
      </c>
      <c r="F2358" s="5">
        <v>330000</v>
      </c>
      <c r="G2358" s="4">
        <v>69300</v>
      </c>
      <c r="H2358" s="4">
        <v>416260</v>
      </c>
      <c r="I2358" s="188" t="str">
        <f>VLOOKUP(C2358,CATEGORIZACION!$A$1:$C$269,2,FALSE)</f>
        <v>TRANSPORTE</v>
      </c>
      <c r="J2358" s="188" t="s">
        <v>19</v>
      </c>
    </row>
    <row r="2359" spans="1:10" ht="15.75" customHeight="1" x14ac:dyDescent="0.25">
      <c r="A2359" s="1">
        <v>45279</v>
      </c>
      <c r="B2359" s="188" t="s">
        <v>2255</v>
      </c>
      <c r="C2359" s="188" t="s">
        <v>21</v>
      </c>
      <c r="D2359" s="188" t="s">
        <v>22</v>
      </c>
      <c r="E2359" s="4">
        <v>26720</v>
      </c>
      <c r="F2359" s="5">
        <v>424000</v>
      </c>
      <c r="G2359" s="4">
        <v>89040</v>
      </c>
      <c r="H2359" s="4">
        <v>539760</v>
      </c>
      <c r="I2359" s="188" t="str">
        <f>VLOOKUP(C2359,CATEGORIZACION!$A$1:$C$269,2,FALSE)</f>
        <v>TRANSPORTE</v>
      </c>
      <c r="J2359" s="188" t="s">
        <v>19</v>
      </c>
    </row>
    <row r="2360" spans="1:10" ht="15.75" customHeight="1" x14ac:dyDescent="0.25">
      <c r="A2360" s="1">
        <v>45279</v>
      </c>
      <c r="B2360" s="188" t="s">
        <v>2256</v>
      </c>
      <c r="C2360" s="188" t="s">
        <v>21</v>
      </c>
      <c r="D2360" s="188" t="s">
        <v>22</v>
      </c>
      <c r="E2360" s="4">
        <v>46760</v>
      </c>
      <c r="F2360" s="5">
        <v>1197000</v>
      </c>
      <c r="G2360" s="4">
        <v>251370</v>
      </c>
      <c r="H2360" s="4">
        <v>1495130</v>
      </c>
      <c r="I2360" s="188" t="str">
        <f>VLOOKUP(C2360,CATEGORIZACION!$A$1:$C$269,2,FALSE)</f>
        <v>TRANSPORTE</v>
      </c>
      <c r="J2360" s="188" t="s">
        <v>19</v>
      </c>
    </row>
    <row r="2361" spans="1:10" ht="15.75" customHeight="1" x14ac:dyDescent="0.25">
      <c r="A2361" s="1">
        <v>45279</v>
      </c>
      <c r="B2361" s="188" t="s">
        <v>2257</v>
      </c>
      <c r="C2361" s="188" t="s">
        <v>253</v>
      </c>
      <c r="D2361" s="188" t="s">
        <v>57</v>
      </c>
      <c r="E2361" s="4">
        <v>0.01</v>
      </c>
      <c r="F2361" s="5">
        <v>49371.07</v>
      </c>
      <c r="G2361" s="4">
        <v>10367.92</v>
      </c>
      <c r="H2361" s="4">
        <v>59739</v>
      </c>
      <c r="I2361" s="188" t="str">
        <f>VLOOKUP(C2361,CATEGORIZACION!$A$1:$C$269,2,FALSE)</f>
        <v>PROOVEDORES</v>
      </c>
      <c r="J2361" s="188" t="str">
        <f>VLOOKUP(C2361,CATEGORIZACION!$A$1:$C$269,3,FALSE)</f>
        <v>LOGISTICA</v>
      </c>
    </row>
    <row r="2362" spans="1:10" ht="15.75" customHeight="1" x14ac:dyDescent="0.25">
      <c r="A2362" s="1">
        <v>45280</v>
      </c>
      <c r="B2362" s="188" t="s">
        <v>2258</v>
      </c>
      <c r="C2362" s="188" t="s">
        <v>517</v>
      </c>
      <c r="D2362" s="188" t="s">
        <v>518</v>
      </c>
      <c r="E2362" s="4">
        <v>0</v>
      </c>
      <c r="F2362" s="5">
        <v>-23909.63</v>
      </c>
      <c r="G2362" s="4">
        <v>-5021.0200000000004</v>
      </c>
      <c r="H2362" s="4">
        <v>-28930.65</v>
      </c>
      <c r="I2362" s="188" t="str">
        <f>VLOOKUP(C2362,CATEGORIZACION!$A$1:$C$269,2,FALSE)</f>
        <v>PROOVEDORES</v>
      </c>
      <c r="J2362" s="188" t="str">
        <f>VLOOKUP(C2362,CATEGORIZACION!$A$1:$C$269,3,FALSE)</f>
        <v>LOGISTICA</v>
      </c>
    </row>
    <row r="2363" spans="1:10" ht="15.75" customHeight="1" x14ac:dyDescent="0.25">
      <c r="A2363" s="1">
        <v>45280</v>
      </c>
      <c r="B2363" s="188" t="s">
        <v>2259</v>
      </c>
      <c r="C2363" s="188" t="s">
        <v>2236</v>
      </c>
      <c r="D2363" s="188" t="s">
        <v>2237</v>
      </c>
      <c r="E2363" s="4">
        <v>0.03</v>
      </c>
      <c r="F2363" s="5">
        <v>18842.95</v>
      </c>
      <c r="G2363" s="4">
        <v>3957.02</v>
      </c>
      <c r="H2363" s="4">
        <v>22800</v>
      </c>
      <c r="I2363" s="188" t="str">
        <f>VLOOKUP(C2363,CATEGORIZACION!$A$1:$C$269,2,FALSE)</f>
        <v>PROOVEDORES</v>
      </c>
      <c r="J2363" s="188" t="str">
        <f>VLOOKUP(C2363,CATEGORIZACION!$A$1:$C$269,3,FALSE)</f>
        <v>LOGISTICA</v>
      </c>
    </row>
    <row r="2364" spans="1:10" ht="15.75" customHeight="1" x14ac:dyDescent="0.25">
      <c r="A2364" s="1">
        <v>45280</v>
      </c>
      <c r="B2364" s="188" t="s">
        <v>2260</v>
      </c>
      <c r="C2364" s="188" t="s">
        <v>21</v>
      </c>
      <c r="D2364" s="188" t="s">
        <v>22</v>
      </c>
      <c r="E2364" s="4">
        <v>21760</v>
      </c>
      <c r="F2364" s="5">
        <v>424000</v>
      </c>
      <c r="G2364" s="4">
        <v>89040</v>
      </c>
      <c r="H2364" s="4">
        <v>534800</v>
      </c>
      <c r="I2364" s="188" t="str">
        <f>VLOOKUP(C2364,CATEGORIZACION!$A$1:$C$269,2,FALSE)</f>
        <v>TRANSPORTE</v>
      </c>
      <c r="J2364" s="188" t="s">
        <v>19</v>
      </c>
    </row>
    <row r="2365" spans="1:10" ht="15.75" customHeight="1" x14ac:dyDescent="0.25">
      <c r="A2365" s="1">
        <v>45280</v>
      </c>
      <c r="B2365" s="188" t="s">
        <v>2261</v>
      </c>
      <c r="C2365" s="188" t="s">
        <v>1050</v>
      </c>
      <c r="D2365" s="188" t="s">
        <v>1051</v>
      </c>
      <c r="E2365" s="4">
        <v>64.459999999999994</v>
      </c>
      <c r="F2365" s="5">
        <v>2148.7600000000002</v>
      </c>
      <c r="G2365" s="4">
        <v>451.24</v>
      </c>
      <c r="H2365" s="4">
        <v>2664.46</v>
      </c>
      <c r="I2365" s="188" t="str">
        <f>VLOOKUP(C2365,CATEGORIZACION!$A$1:$C$269,2,FALSE)</f>
        <v>PROOVEDORES</v>
      </c>
      <c r="J2365" s="188" t="str">
        <f>VLOOKUP(C2365,CATEGORIZACION!$A$1:$C$269,3,FALSE)</f>
        <v>LOGISTICA</v>
      </c>
    </row>
    <row r="2366" spans="1:10" ht="15.75" customHeight="1" x14ac:dyDescent="0.25">
      <c r="A2366" s="1">
        <v>45281</v>
      </c>
      <c r="B2366" s="188" t="s">
        <v>2262</v>
      </c>
      <c r="C2366" s="188" t="s">
        <v>1143</v>
      </c>
      <c r="D2366" s="188" t="s">
        <v>1144</v>
      </c>
      <c r="E2366" s="4">
        <v>0</v>
      </c>
      <c r="F2366" s="3">
        <v>1165788</v>
      </c>
      <c r="G2366" s="4">
        <v>244815.48</v>
      </c>
      <c r="H2366" s="4">
        <v>1410603.48</v>
      </c>
      <c r="I2366" s="188" t="str">
        <f>VLOOKUP(C2366,CATEGORIZACION!$A$1:$C$269,2,FALSE)</f>
        <v>PROOVEDORES</v>
      </c>
      <c r="J2366" s="188" t="str">
        <f>VLOOKUP(C2366,CATEGORIZACION!$A$1:$C$269,3,FALSE)</f>
        <v>DEPOSITO</v>
      </c>
    </row>
    <row r="2367" spans="1:10" ht="15.75" customHeight="1" x14ac:dyDescent="0.25">
      <c r="A2367" s="1">
        <v>45281</v>
      </c>
      <c r="B2367" s="188" t="s">
        <v>701</v>
      </c>
      <c r="C2367" s="188" t="s">
        <v>1143</v>
      </c>
      <c r="D2367" s="188" t="s">
        <v>1144</v>
      </c>
      <c r="E2367" s="4">
        <v>0</v>
      </c>
      <c r="F2367" s="3">
        <v>448380</v>
      </c>
      <c r="G2367" s="4">
        <v>94159.8</v>
      </c>
      <c r="H2367" s="4">
        <v>542539.80000000005</v>
      </c>
      <c r="I2367" s="188" t="str">
        <f>VLOOKUP(C2367,CATEGORIZACION!$A$1:$C$269,2,FALSE)</f>
        <v>PROOVEDORES</v>
      </c>
      <c r="J2367" s="188" t="str">
        <f>VLOOKUP(C2367,CATEGORIZACION!$A$1:$C$269,3,FALSE)</f>
        <v>DEPOSITO</v>
      </c>
    </row>
    <row r="2368" spans="1:10" ht="15.75" customHeight="1" x14ac:dyDescent="0.25">
      <c r="A2368" s="1">
        <v>45281</v>
      </c>
      <c r="B2368" s="188" t="s">
        <v>2263</v>
      </c>
      <c r="C2368" s="188" t="s">
        <v>2264</v>
      </c>
      <c r="D2368" s="188" t="s">
        <v>2265</v>
      </c>
      <c r="E2368" s="4">
        <v>0</v>
      </c>
      <c r="F2368" s="5">
        <v>59730</v>
      </c>
      <c r="G2368" s="4">
        <v>12543.3</v>
      </c>
      <c r="H2368" s="4">
        <v>72273.3</v>
      </c>
      <c r="I2368" s="188" t="str">
        <f>VLOOKUP(C2368,CATEGORIZACION!$A$1:$C$269,2,FALSE)</f>
        <v>PROOVEDORES</v>
      </c>
      <c r="J2368" s="188" t="str">
        <f>VLOOKUP(C2368,CATEGORIZACION!$A$1:$C$269,3,FALSE)</f>
        <v>LOGISTICA</v>
      </c>
    </row>
    <row r="2369" spans="1:10" ht="15.75" customHeight="1" x14ac:dyDescent="0.25">
      <c r="A2369" s="1">
        <v>45281</v>
      </c>
      <c r="B2369" s="188" t="s">
        <v>2266</v>
      </c>
      <c r="C2369" s="188" t="s">
        <v>36</v>
      </c>
      <c r="D2369" s="188" t="s">
        <v>37</v>
      </c>
      <c r="E2369" s="4">
        <v>0</v>
      </c>
      <c r="F2369" s="5">
        <v>84500</v>
      </c>
      <c r="G2369" s="4">
        <v>17745</v>
      </c>
      <c r="H2369" s="4">
        <v>102245</v>
      </c>
      <c r="I2369" s="188" t="str">
        <f>VLOOKUP(C2369,CATEGORIZACION!$A$1:$C$269,2,FALSE)</f>
        <v>TRANSPORTE</v>
      </c>
      <c r="J2369" s="188" t="s">
        <v>19</v>
      </c>
    </row>
    <row r="2370" spans="1:10" ht="15.75" customHeight="1" x14ac:dyDescent="0.25">
      <c r="A2370" s="1">
        <v>45281</v>
      </c>
      <c r="B2370" s="188" t="s">
        <v>2267</v>
      </c>
      <c r="C2370" s="188" t="s">
        <v>36</v>
      </c>
      <c r="D2370" s="188" t="s">
        <v>37</v>
      </c>
      <c r="E2370" s="4">
        <v>6200</v>
      </c>
      <c r="F2370" s="5">
        <v>81800</v>
      </c>
      <c r="G2370" s="4">
        <v>17178</v>
      </c>
      <c r="H2370" s="4">
        <v>105178</v>
      </c>
      <c r="I2370" s="188" t="str">
        <f>VLOOKUP(C2370,CATEGORIZACION!$A$1:$C$269,2,FALSE)</f>
        <v>TRANSPORTE</v>
      </c>
      <c r="J2370" s="188" t="s">
        <v>19</v>
      </c>
    </row>
    <row r="2371" spans="1:10" ht="15.75" customHeight="1" x14ac:dyDescent="0.25">
      <c r="A2371" s="1">
        <v>45281</v>
      </c>
      <c r="B2371" s="188" t="s">
        <v>2268</v>
      </c>
      <c r="C2371" s="188" t="s">
        <v>36</v>
      </c>
      <c r="D2371" s="188" t="s">
        <v>37</v>
      </c>
      <c r="E2371" s="4">
        <v>13000</v>
      </c>
      <c r="F2371" s="5">
        <v>193600</v>
      </c>
      <c r="G2371" s="4">
        <v>40656</v>
      </c>
      <c r="H2371" s="4">
        <v>247256</v>
      </c>
      <c r="I2371" s="188" t="str">
        <f>VLOOKUP(C2371,CATEGORIZACION!$A$1:$C$269,2,FALSE)</f>
        <v>TRANSPORTE</v>
      </c>
      <c r="J2371" s="188" t="s">
        <v>19</v>
      </c>
    </row>
    <row r="2372" spans="1:10" ht="15.75" customHeight="1" x14ac:dyDescent="0.25">
      <c r="A2372" s="1">
        <v>45281</v>
      </c>
      <c r="B2372" s="188" t="s">
        <v>2269</v>
      </c>
      <c r="C2372" s="188" t="s">
        <v>36</v>
      </c>
      <c r="D2372" s="188" t="s">
        <v>37</v>
      </c>
      <c r="E2372" s="4">
        <v>21500</v>
      </c>
      <c r="F2372" s="5">
        <v>489900</v>
      </c>
      <c r="G2372" s="4">
        <v>102879</v>
      </c>
      <c r="H2372" s="4">
        <v>614279</v>
      </c>
      <c r="I2372" s="188" t="str">
        <f>VLOOKUP(C2372,CATEGORIZACION!$A$1:$C$269,2,FALSE)</f>
        <v>TRANSPORTE</v>
      </c>
      <c r="J2372" s="188" t="s">
        <v>19</v>
      </c>
    </row>
    <row r="2373" spans="1:10" ht="15.75" customHeight="1" x14ac:dyDescent="0.25">
      <c r="A2373" s="1">
        <v>45281</v>
      </c>
      <c r="B2373" s="188" t="s">
        <v>2270</v>
      </c>
      <c r="C2373" s="188" t="s">
        <v>36</v>
      </c>
      <c r="D2373" s="188" t="s">
        <v>37</v>
      </c>
      <c r="E2373" s="4">
        <v>10500</v>
      </c>
      <c r="F2373" s="5">
        <v>162850</v>
      </c>
      <c r="G2373" s="4">
        <v>34198.5</v>
      </c>
      <c r="H2373" s="4">
        <v>207548.5</v>
      </c>
      <c r="I2373" s="188" t="str">
        <f>VLOOKUP(C2373,CATEGORIZACION!$A$1:$C$269,2,FALSE)</f>
        <v>TRANSPORTE</v>
      </c>
      <c r="J2373" s="188" t="s">
        <v>19</v>
      </c>
    </row>
    <row r="2374" spans="1:10" ht="15.75" customHeight="1" x14ac:dyDescent="0.25">
      <c r="A2374" s="1">
        <v>45281</v>
      </c>
      <c r="B2374" s="188" t="s">
        <v>2271</v>
      </c>
      <c r="C2374" s="188" t="s">
        <v>36</v>
      </c>
      <c r="D2374" s="188" t="s">
        <v>37</v>
      </c>
      <c r="E2374" s="4">
        <v>12500</v>
      </c>
      <c r="F2374" s="5">
        <v>153800</v>
      </c>
      <c r="G2374" s="4">
        <v>32298</v>
      </c>
      <c r="H2374" s="4">
        <v>198598</v>
      </c>
      <c r="I2374" s="188" t="str">
        <f>VLOOKUP(C2374,CATEGORIZACION!$A$1:$C$269,2,FALSE)</f>
        <v>TRANSPORTE</v>
      </c>
      <c r="J2374" s="188" t="s">
        <v>19</v>
      </c>
    </row>
    <row r="2375" spans="1:10" ht="15.75" customHeight="1" x14ac:dyDescent="0.25">
      <c r="A2375" s="1">
        <v>45281</v>
      </c>
      <c r="B2375" s="188" t="s">
        <v>2272</v>
      </c>
      <c r="C2375" s="188" t="s">
        <v>36</v>
      </c>
      <c r="D2375" s="188" t="s">
        <v>37</v>
      </c>
      <c r="E2375" s="4">
        <v>6200</v>
      </c>
      <c r="F2375" s="5">
        <v>91600</v>
      </c>
      <c r="G2375" s="4">
        <v>19236</v>
      </c>
      <c r="H2375" s="4">
        <v>117036</v>
      </c>
      <c r="I2375" s="188" t="str">
        <f>VLOOKUP(C2375,CATEGORIZACION!$A$1:$C$269,2,FALSE)</f>
        <v>TRANSPORTE</v>
      </c>
      <c r="J2375" s="188" t="s">
        <v>19</v>
      </c>
    </row>
    <row r="2376" spans="1:10" ht="15.75" customHeight="1" x14ac:dyDescent="0.25">
      <c r="A2376" s="1">
        <v>45281</v>
      </c>
      <c r="B2376" s="188" t="s">
        <v>2273</v>
      </c>
      <c r="C2376" s="188" t="s">
        <v>36</v>
      </c>
      <c r="D2376" s="188" t="s">
        <v>37</v>
      </c>
      <c r="E2376" s="4">
        <v>23900</v>
      </c>
      <c r="F2376" s="5">
        <v>370500</v>
      </c>
      <c r="G2376" s="4">
        <v>77805</v>
      </c>
      <c r="H2376" s="4">
        <v>472205</v>
      </c>
      <c r="I2376" s="188" t="str">
        <f>VLOOKUP(C2376,CATEGORIZACION!$A$1:$C$269,2,FALSE)</f>
        <v>TRANSPORTE</v>
      </c>
      <c r="J2376" s="188" t="s">
        <v>19</v>
      </c>
    </row>
    <row r="2377" spans="1:10" ht="15.75" customHeight="1" x14ac:dyDescent="0.25">
      <c r="A2377" s="1">
        <v>45281</v>
      </c>
      <c r="B2377" s="188" t="s">
        <v>2274</v>
      </c>
      <c r="C2377" s="188" t="s">
        <v>36</v>
      </c>
      <c r="D2377" s="188" t="s">
        <v>37</v>
      </c>
      <c r="E2377" s="4">
        <v>21400</v>
      </c>
      <c r="F2377" s="5">
        <v>171000</v>
      </c>
      <c r="G2377" s="4">
        <v>35910</v>
      </c>
      <c r="H2377" s="4">
        <v>228310</v>
      </c>
      <c r="I2377" s="188" t="str">
        <f>VLOOKUP(C2377,CATEGORIZACION!$A$1:$C$269,2,FALSE)</f>
        <v>TRANSPORTE</v>
      </c>
      <c r="J2377" s="188" t="s">
        <v>19</v>
      </c>
    </row>
    <row r="2378" spans="1:10" ht="15.75" customHeight="1" x14ac:dyDescent="0.25">
      <c r="A2378" s="1">
        <v>45281</v>
      </c>
      <c r="B2378" s="188" t="s">
        <v>2275</v>
      </c>
      <c r="C2378" s="188" t="s">
        <v>36</v>
      </c>
      <c r="D2378" s="188" t="s">
        <v>37</v>
      </c>
      <c r="E2378" s="4">
        <v>12500</v>
      </c>
      <c r="F2378" s="5">
        <v>153500</v>
      </c>
      <c r="G2378" s="4">
        <v>32235</v>
      </c>
      <c r="H2378" s="4">
        <v>198235</v>
      </c>
      <c r="I2378" s="188" t="str">
        <f>VLOOKUP(C2378,CATEGORIZACION!$A$1:$C$269,2,FALSE)</f>
        <v>TRANSPORTE</v>
      </c>
      <c r="J2378" s="188" t="s">
        <v>19</v>
      </c>
    </row>
    <row r="2379" spans="1:10" ht="15.75" customHeight="1" x14ac:dyDescent="0.25">
      <c r="A2379" s="1">
        <v>45281</v>
      </c>
      <c r="B2379" s="188" t="s">
        <v>2276</v>
      </c>
      <c r="C2379" s="188" t="s">
        <v>36</v>
      </c>
      <c r="D2379" s="188" t="s">
        <v>37</v>
      </c>
      <c r="E2379" s="4">
        <v>13200</v>
      </c>
      <c r="F2379" s="5">
        <v>137400</v>
      </c>
      <c r="G2379" s="4">
        <v>28854</v>
      </c>
      <c r="H2379" s="4">
        <v>179454</v>
      </c>
      <c r="I2379" s="188" t="str">
        <f>VLOOKUP(C2379,CATEGORIZACION!$A$1:$C$269,2,FALSE)</f>
        <v>TRANSPORTE</v>
      </c>
      <c r="J2379" s="188" t="s">
        <v>19</v>
      </c>
    </row>
    <row r="2380" spans="1:10" ht="15.75" customHeight="1" x14ac:dyDescent="0.25">
      <c r="A2380" s="1">
        <v>45281</v>
      </c>
      <c r="B2380" s="188" t="s">
        <v>2277</v>
      </c>
      <c r="C2380" s="188" t="s">
        <v>36</v>
      </c>
      <c r="D2380" s="188" t="s">
        <v>37</v>
      </c>
      <c r="E2380" s="4">
        <v>13200</v>
      </c>
      <c r="F2380" s="5">
        <v>137400</v>
      </c>
      <c r="G2380" s="4">
        <v>28854</v>
      </c>
      <c r="H2380" s="4">
        <v>179454</v>
      </c>
      <c r="I2380" s="188" t="str">
        <f>VLOOKUP(C2380,CATEGORIZACION!$A$1:$C$269,2,FALSE)</f>
        <v>TRANSPORTE</v>
      </c>
      <c r="J2380" s="188" t="s">
        <v>19</v>
      </c>
    </row>
    <row r="2381" spans="1:10" ht="15.75" customHeight="1" x14ac:dyDescent="0.25">
      <c r="A2381" s="1">
        <v>45281</v>
      </c>
      <c r="B2381" s="188" t="s">
        <v>2278</v>
      </c>
      <c r="C2381" s="188" t="s">
        <v>36</v>
      </c>
      <c r="D2381" s="188" t="s">
        <v>37</v>
      </c>
      <c r="E2381" s="4">
        <v>9200</v>
      </c>
      <c r="F2381" s="5">
        <v>110000</v>
      </c>
      <c r="G2381" s="4">
        <v>23100</v>
      </c>
      <c r="H2381" s="4">
        <v>142300</v>
      </c>
      <c r="I2381" s="188" t="str">
        <f>VLOOKUP(C2381,CATEGORIZACION!$A$1:$C$269,2,FALSE)</f>
        <v>TRANSPORTE</v>
      </c>
      <c r="J2381" s="188" t="s">
        <v>19</v>
      </c>
    </row>
    <row r="2382" spans="1:10" ht="15.75" customHeight="1" x14ac:dyDescent="0.25">
      <c r="A2382" s="1">
        <v>45281</v>
      </c>
      <c r="B2382" s="188" t="s">
        <v>2279</v>
      </c>
      <c r="C2382" s="188" t="s">
        <v>36</v>
      </c>
      <c r="D2382" s="188" t="s">
        <v>37</v>
      </c>
      <c r="E2382" s="4">
        <v>9200</v>
      </c>
      <c r="F2382" s="5">
        <v>110000</v>
      </c>
      <c r="G2382" s="4">
        <v>23100</v>
      </c>
      <c r="H2382" s="4">
        <v>142300</v>
      </c>
      <c r="I2382" s="188" t="str">
        <f>VLOOKUP(C2382,CATEGORIZACION!$A$1:$C$269,2,FALSE)</f>
        <v>TRANSPORTE</v>
      </c>
      <c r="J2382" s="188" t="s">
        <v>19</v>
      </c>
    </row>
    <row r="2383" spans="1:10" ht="15.75" customHeight="1" x14ac:dyDescent="0.25">
      <c r="A2383" s="1">
        <v>45281</v>
      </c>
      <c r="B2383" s="188" t="s">
        <v>2280</v>
      </c>
      <c r="C2383" s="188" t="s">
        <v>36</v>
      </c>
      <c r="D2383" s="188" t="s">
        <v>37</v>
      </c>
      <c r="E2383" s="4">
        <v>13200</v>
      </c>
      <c r="F2383" s="5">
        <v>137400</v>
      </c>
      <c r="G2383" s="4">
        <v>28854</v>
      </c>
      <c r="H2383" s="4">
        <v>179454</v>
      </c>
      <c r="I2383" s="188" t="str">
        <f>VLOOKUP(C2383,CATEGORIZACION!$A$1:$C$269,2,FALSE)</f>
        <v>TRANSPORTE</v>
      </c>
      <c r="J2383" s="188" t="s">
        <v>19</v>
      </c>
    </row>
    <row r="2384" spans="1:10" ht="15.75" customHeight="1" x14ac:dyDescent="0.25">
      <c r="A2384" s="1">
        <v>45281</v>
      </c>
      <c r="B2384" s="188" t="s">
        <v>2281</v>
      </c>
      <c r="C2384" s="188" t="s">
        <v>36</v>
      </c>
      <c r="D2384" s="188" t="s">
        <v>37</v>
      </c>
      <c r="E2384" s="4">
        <v>9200</v>
      </c>
      <c r="F2384" s="5">
        <v>110000</v>
      </c>
      <c r="G2384" s="4">
        <v>23100</v>
      </c>
      <c r="H2384" s="4">
        <v>142300</v>
      </c>
      <c r="I2384" s="188" t="str">
        <f>VLOOKUP(C2384,CATEGORIZACION!$A$1:$C$269,2,FALSE)</f>
        <v>TRANSPORTE</v>
      </c>
      <c r="J2384" s="188" t="s">
        <v>19</v>
      </c>
    </row>
    <row r="2385" spans="1:10" ht="15.75" customHeight="1" x14ac:dyDescent="0.25">
      <c r="A2385" s="1">
        <v>45281</v>
      </c>
      <c r="B2385" s="188" t="s">
        <v>2282</v>
      </c>
      <c r="C2385" s="188" t="s">
        <v>36</v>
      </c>
      <c r="D2385" s="188" t="s">
        <v>37</v>
      </c>
      <c r="E2385" s="4">
        <v>18500</v>
      </c>
      <c r="F2385" s="5">
        <v>220100</v>
      </c>
      <c r="G2385" s="4">
        <v>46221</v>
      </c>
      <c r="H2385" s="4">
        <v>284821</v>
      </c>
      <c r="I2385" s="188" t="str">
        <f>VLOOKUP(C2385,CATEGORIZACION!$A$1:$C$269,2,FALSE)</f>
        <v>TRANSPORTE</v>
      </c>
      <c r="J2385" s="188" t="s">
        <v>19</v>
      </c>
    </row>
    <row r="2386" spans="1:10" ht="15.75" customHeight="1" x14ac:dyDescent="0.25">
      <c r="A2386" s="1">
        <v>45281</v>
      </c>
      <c r="B2386" s="188" t="s">
        <v>2283</v>
      </c>
      <c r="C2386" s="188" t="s">
        <v>36</v>
      </c>
      <c r="D2386" s="188" t="s">
        <v>37</v>
      </c>
      <c r="E2386" s="4">
        <v>9200</v>
      </c>
      <c r="F2386" s="5">
        <v>110000</v>
      </c>
      <c r="G2386" s="4">
        <v>23100</v>
      </c>
      <c r="H2386" s="4">
        <v>142300</v>
      </c>
      <c r="I2386" s="188" t="str">
        <f>VLOOKUP(C2386,CATEGORIZACION!$A$1:$C$269,2,FALSE)</f>
        <v>TRANSPORTE</v>
      </c>
      <c r="J2386" s="188" t="s">
        <v>19</v>
      </c>
    </row>
    <row r="2387" spans="1:10" ht="15.75" customHeight="1" x14ac:dyDescent="0.25">
      <c r="A2387" s="1">
        <v>45281</v>
      </c>
      <c r="B2387" s="188" t="s">
        <v>2284</v>
      </c>
      <c r="C2387" s="188" t="s">
        <v>36</v>
      </c>
      <c r="D2387" s="188" t="s">
        <v>37</v>
      </c>
      <c r="E2387" s="4">
        <v>6200</v>
      </c>
      <c r="F2387" s="5">
        <v>183200</v>
      </c>
      <c r="G2387" s="4">
        <v>38472</v>
      </c>
      <c r="H2387" s="4">
        <v>227872</v>
      </c>
      <c r="I2387" s="188" t="str">
        <f>VLOOKUP(C2387,CATEGORIZACION!$A$1:$C$269,2,FALSE)</f>
        <v>TRANSPORTE</v>
      </c>
      <c r="J2387" s="188" t="s">
        <v>19</v>
      </c>
    </row>
    <row r="2388" spans="1:10" ht="15.75" customHeight="1" x14ac:dyDescent="0.25">
      <c r="A2388" s="1">
        <v>45281</v>
      </c>
      <c r="B2388" s="188" t="s">
        <v>2285</v>
      </c>
      <c r="C2388" s="188" t="s">
        <v>36</v>
      </c>
      <c r="D2388" s="188" t="s">
        <v>37</v>
      </c>
      <c r="E2388" s="4">
        <v>6200</v>
      </c>
      <c r="F2388" s="5">
        <v>91600</v>
      </c>
      <c r="G2388" s="4">
        <v>19236</v>
      </c>
      <c r="H2388" s="4">
        <v>117036</v>
      </c>
      <c r="I2388" s="188" t="str">
        <f>VLOOKUP(C2388,CATEGORIZACION!$A$1:$C$269,2,FALSE)</f>
        <v>TRANSPORTE</v>
      </c>
      <c r="J2388" s="188" t="s">
        <v>19</v>
      </c>
    </row>
    <row r="2389" spans="1:10" ht="15.75" customHeight="1" x14ac:dyDescent="0.25">
      <c r="A2389" s="1">
        <v>45281</v>
      </c>
      <c r="B2389" s="188" t="s">
        <v>2286</v>
      </c>
      <c r="C2389" s="188" t="s">
        <v>36</v>
      </c>
      <c r="D2389" s="188" t="s">
        <v>37</v>
      </c>
      <c r="E2389" s="4">
        <v>7500</v>
      </c>
      <c r="F2389" s="5">
        <v>105600</v>
      </c>
      <c r="G2389" s="4">
        <v>22176</v>
      </c>
      <c r="H2389" s="4">
        <v>135276</v>
      </c>
      <c r="I2389" s="188" t="str">
        <f>VLOOKUP(C2389,CATEGORIZACION!$A$1:$C$269,2,FALSE)</f>
        <v>TRANSPORTE</v>
      </c>
      <c r="J2389" s="188" t="s">
        <v>19</v>
      </c>
    </row>
    <row r="2390" spans="1:10" ht="15.75" customHeight="1" x14ac:dyDescent="0.25">
      <c r="A2390" s="1">
        <v>45282</v>
      </c>
      <c r="B2390" s="188" t="s">
        <v>2287</v>
      </c>
      <c r="C2390" s="188" t="s">
        <v>658</v>
      </c>
      <c r="D2390" s="188" t="s">
        <v>659</v>
      </c>
      <c r="E2390" s="4">
        <v>4215.59</v>
      </c>
      <c r="F2390" s="3">
        <v>1053897.44</v>
      </c>
      <c r="G2390" s="4">
        <v>221318.46</v>
      </c>
      <c r="H2390" s="4">
        <v>1279431.49</v>
      </c>
      <c r="I2390" s="188" t="str">
        <f>VLOOKUP(C2390,CATEGORIZACION!$A$1:$C$269,2,FALSE)</f>
        <v>PROOVEDORES</v>
      </c>
      <c r="J2390" s="188" t="str">
        <f>VLOOKUP(C2390,CATEGORIZACION!$A$1:$C$269,3,FALSE)</f>
        <v>DEPOSITO</v>
      </c>
    </row>
    <row r="2391" spans="1:10" ht="15.75" customHeight="1" x14ac:dyDescent="0.25">
      <c r="A2391" s="1">
        <v>45284</v>
      </c>
      <c r="B2391" s="188" t="s">
        <v>2288</v>
      </c>
      <c r="C2391" s="188" t="s">
        <v>337</v>
      </c>
      <c r="D2391" s="188" t="s">
        <v>174</v>
      </c>
      <c r="E2391" s="4">
        <v>0</v>
      </c>
      <c r="F2391" s="5">
        <v>147100</v>
      </c>
      <c r="G2391" s="4">
        <v>30891</v>
      </c>
      <c r="H2391" s="4">
        <v>177991</v>
      </c>
      <c r="I2391" s="188" t="str">
        <f>VLOOKUP(C2391,CATEGORIZACION!$A$1:$C$269,2,FALSE)</f>
        <v>TRANSPORTE</v>
      </c>
      <c r="J2391" s="188" t="s">
        <v>19</v>
      </c>
    </row>
    <row r="2392" spans="1:10" ht="15.75" customHeight="1" x14ac:dyDescent="0.25">
      <c r="A2392" s="1">
        <v>45284</v>
      </c>
      <c r="B2392" s="188" t="s">
        <v>2289</v>
      </c>
      <c r="C2392" s="188" t="s">
        <v>337</v>
      </c>
      <c r="D2392" s="188" t="s">
        <v>174</v>
      </c>
      <c r="E2392" s="4">
        <v>0</v>
      </c>
      <c r="F2392" s="5">
        <v>174900</v>
      </c>
      <c r="G2392" s="4">
        <v>36729</v>
      </c>
      <c r="H2392" s="4">
        <v>211629</v>
      </c>
      <c r="I2392" s="188" t="str">
        <f>VLOOKUP(C2392,CATEGORIZACION!$A$1:$C$269,2,FALSE)</f>
        <v>TRANSPORTE</v>
      </c>
      <c r="J2392" s="188" t="s">
        <v>19</v>
      </c>
    </row>
    <row r="2393" spans="1:10" ht="15.75" customHeight="1" x14ac:dyDescent="0.25">
      <c r="A2393" s="1">
        <v>45286</v>
      </c>
      <c r="B2393" s="188" t="s">
        <v>2290</v>
      </c>
      <c r="C2393" s="188" t="s">
        <v>36</v>
      </c>
      <c r="D2393" s="188" t="s">
        <v>37</v>
      </c>
      <c r="E2393" s="4">
        <v>-9200</v>
      </c>
      <c r="F2393" s="5">
        <v>-78800</v>
      </c>
      <c r="G2393" s="4">
        <v>-16548</v>
      </c>
      <c r="H2393" s="4">
        <v>-104548</v>
      </c>
      <c r="I2393" s="188" t="str">
        <f>VLOOKUP(C2393,CATEGORIZACION!$A$1:$C$269,2,FALSE)</f>
        <v>TRANSPORTE</v>
      </c>
      <c r="J2393" s="188" t="s">
        <v>19</v>
      </c>
    </row>
    <row r="2394" spans="1:10" ht="15.75" customHeight="1" x14ac:dyDescent="0.25">
      <c r="A2394" s="1">
        <v>45286</v>
      </c>
      <c r="B2394" s="188" t="s">
        <v>2291</v>
      </c>
      <c r="C2394" s="188" t="s">
        <v>21</v>
      </c>
      <c r="D2394" s="188" t="s">
        <v>22</v>
      </c>
      <c r="E2394" s="4">
        <v>8480</v>
      </c>
      <c r="F2394" s="5">
        <v>303000</v>
      </c>
      <c r="G2394" s="4">
        <v>63630</v>
      </c>
      <c r="H2394" s="4">
        <v>375110</v>
      </c>
      <c r="I2394" s="188" t="str">
        <f>VLOOKUP(C2394,CATEGORIZACION!$A$1:$C$269,2,FALSE)</f>
        <v>TRANSPORTE</v>
      </c>
      <c r="J2394" s="188" t="s">
        <v>19</v>
      </c>
    </row>
    <row r="2395" spans="1:10" ht="15.75" customHeight="1" x14ac:dyDescent="0.25">
      <c r="A2395" s="1">
        <v>45286</v>
      </c>
      <c r="B2395" s="188" t="s">
        <v>2292</v>
      </c>
      <c r="C2395" s="188" t="s">
        <v>21</v>
      </c>
      <c r="D2395" s="188" t="s">
        <v>22</v>
      </c>
      <c r="E2395" s="4">
        <v>16960</v>
      </c>
      <c r="F2395" s="5">
        <v>490000</v>
      </c>
      <c r="G2395" s="4">
        <v>102900</v>
      </c>
      <c r="H2395" s="4">
        <v>609860</v>
      </c>
      <c r="I2395" s="188" t="str">
        <f>VLOOKUP(C2395,CATEGORIZACION!$A$1:$C$269,2,FALSE)</f>
        <v>TRANSPORTE</v>
      </c>
      <c r="J2395" s="188" t="s">
        <v>19</v>
      </c>
    </row>
    <row r="2396" spans="1:10" ht="15.75" customHeight="1" x14ac:dyDescent="0.25">
      <c r="A2396" s="1">
        <v>45286</v>
      </c>
      <c r="B2396" s="188" t="s">
        <v>2293</v>
      </c>
      <c r="C2396" s="188" t="s">
        <v>21</v>
      </c>
      <c r="D2396" s="188" t="s">
        <v>22</v>
      </c>
      <c r="E2396" s="4">
        <v>8480</v>
      </c>
      <c r="F2396" s="5">
        <v>410000</v>
      </c>
      <c r="G2396" s="4">
        <v>86100</v>
      </c>
      <c r="H2396" s="4">
        <v>504580</v>
      </c>
      <c r="I2396" s="188" t="str">
        <f>VLOOKUP(C2396,CATEGORIZACION!$A$1:$C$269,2,FALSE)</f>
        <v>TRANSPORTE</v>
      </c>
      <c r="J2396" s="188" t="s">
        <v>19</v>
      </c>
    </row>
    <row r="2397" spans="1:10" ht="15.75" customHeight="1" x14ac:dyDescent="0.25">
      <c r="A2397" s="1">
        <v>45286</v>
      </c>
      <c r="B2397" s="188" t="s">
        <v>2294</v>
      </c>
      <c r="C2397" s="188" t="s">
        <v>21</v>
      </c>
      <c r="D2397" s="188" t="s">
        <v>22</v>
      </c>
      <c r="E2397" s="4">
        <v>0</v>
      </c>
      <c r="F2397" s="5">
        <v>212000</v>
      </c>
      <c r="G2397" s="4">
        <v>44520</v>
      </c>
      <c r="H2397" s="4">
        <v>256520</v>
      </c>
      <c r="I2397" s="188" t="str">
        <f>VLOOKUP(C2397,CATEGORIZACION!$A$1:$C$269,2,FALSE)</f>
        <v>TRANSPORTE</v>
      </c>
      <c r="J2397" s="188" t="s">
        <v>19</v>
      </c>
    </row>
    <row r="2398" spans="1:10" ht="15.75" customHeight="1" x14ac:dyDescent="0.25">
      <c r="A2398" s="1">
        <v>45286</v>
      </c>
      <c r="B2398" s="188" t="s">
        <v>2295</v>
      </c>
      <c r="C2398" s="188" t="s">
        <v>658</v>
      </c>
      <c r="D2398" s="188" t="s">
        <v>659</v>
      </c>
      <c r="E2398" s="4">
        <v>640.47</v>
      </c>
      <c r="F2398" s="3">
        <v>160117.84</v>
      </c>
      <c r="G2398" s="4">
        <v>33624.75</v>
      </c>
      <c r="H2398" s="4">
        <v>194383.06</v>
      </c>
      <c r="I2398" s="188" t="str">
        <f>VLOOKUP(C2398,CATEGORIZACION!$A$1:$C$269,2,FALSE)</f>
        <v>PROOVEDORES</v>
      </c>
      <c r="J2398" s="188" t="str">
        <f>VLOOKUP(C2398,CATEGORIZACION!$A$1:$C$269,3,FALSE)</f>
        <v>DEPOSITO</v>
      </c>
    </row>
    <row r="2399" spans="1:10" ht="15.75" customHeight="1" x14ac:dyDescent="0.25">
      <c r="A2399" s="1">
        <v>45286</v>
      </c>
      <c r="B2399" s="188" t="s">
        <v>2296</v>
      </c>
      <c r="C2399" s="188" t="s">
        <v>658</v>
      </c>
      <c r="D2399" s="188" t="s">
        <v>659</v>
      </c>
      <c r="E2399" s="4">
        <v>1454.91</v>
      </c>
      <c r="F2399" s="3">
        <v>363728</v>
      </c>
      <c r="G2399" s="4">
        <v>76382.880000000005</v>
      </c>
      <c r="H2399" s="4">
        <v>441565.79</v>
      </c>
      <c r="I2399" s="188" t="str">
        <f>VLOOKUP(C2399,CATEGORIZACION!$A$1:$C$269,2,FALSE)</f>
        <v>PROOVEDORES</v>
      </c>
      <c r="J2399" s="188" t="str">
        <f>VLOOKUP(C2399,CATEGORIZACION!$A$1:$C$269,3,FALSE)</f>
        <v>DEPOSITO</v>
      </c>
    </row>
    <row r="2400" spans="1:10" ht="15.75" customHeight="1" x14ac:dyDescent="0.25">
      <c r="A2400" s="1">
        <v>45286</v>
      </c>
      <c r="B2400" s="188" t="s">
        <v>2297</v>
      </c>
      <c r="C2400" s="188" t="s">
        <v>658</v>
      </c>
      <c r="D2400" s="188" t="s">
        <v>659</v>
      </c>
      <c r="E2400" s="4">
        <v>287.64999999999998</v>
      </c>
      <c r="F2400" s="3">
        <v>71912</v>
      </c>
      <c r="G2400" s="4">
        <v>15101.52</v>
      </c>
      <c r="H2400" s="4">
        <v>87301.17</v>
      </c>
      <c r="I2400" s="188" t="str">
        <f>VLOOKUP(C2400,CATEGORIZACION!$A$1:$C$269,2,FALSE)</f>
        <v>PROOVEDORES</v>
      </c>
      <c r="J2400" s="188" t="str">
        <f>VLOOKUP(C2400,CATEGORIZACION!$A$1:$C$269,3,FALSE)</f>
        <v>DEPOSITO</v>
      </c>
    </row>
    <row r="2401" spans="1:10" ht="15.75" customHeight="1" x14ac:dyDescent="0.25">
      <c r="A2401" s="1">
        <v>45286</v>
      </c>
      <c r="B2401" s="188" t="s">
        <v>2298</v>
      </c>
      <c r="C2401" s="188" t="s">
        <v>658</v>
      </c>
      <c r="D2401" s="188" t="s">
        <v>659</v>
      </c>
      <c r="E2401" s="4">
        <v>676.82</v>
      </c>
      <c r="F2401" s="3">
        <v>169206</v>
      </c>
      <c r="G2401" s="4">
        <v>35533.26</v>
      </c>
      <c r="H2401" s="4">
        <v>205416.08</v>
      </c>
      <c r="I2401" s="188" t="str">
        <f>VLOOKUP(C2401,CATEGORIZACION!$A$1:$C$269,2,FALSE)</f>
        <v>PROOVEDORES</v>
      </c>
      <c r="J2401" s="188" t="str">
        <f>VLOOKUP(C2401,CATEGORIZACION!$A$1:$C$269,3,FALSE)</f>
        <v>DEPOSITO</v>
      </c>
    </row>
    <row r="2402" spans="1:10" ht="15.75" customHeight="1" x14ac:dyDescent="0.25">
      <c r="A2402" s="1">
        <v>45286</v>
      </c>
      <c r="B2402" s="188" t="s">
        <v>2299</v>
      </c>
      <c r="C2402" s="188" t="s">
        <v>658</v>
      </c>
      <c r="D2402" s="188" t="s">
        <v>659</v>
      </c>
      <c r="E2402" s="4">
        <v>632.95000000000005</v>
      </c>
      <c r="F2402" s="3">
        <v>158237.84</v>
      </c>
      <c r="G2402" s="4">
        <v>33229.949999999997</v>
      </c>
      <c r="H2402" s="4">
        <v>192100.74</v>
      </c>
      <c r="I2402" s="188" t="str">
        <f>VLOOKUP(C2402,CATEGORIZACION!$A$1:$C$269,2,FALSE)</f>
        <v>PROOVEDORES</v>
      </c>
      <c r="J2402" s="188" t="str">
        <f>VLOOKUP(C2402,CATEGORIZACION!$A$1:$C$269,3,FALSE)</f>
        <v>DEPOSITO</v>
      </c>
    </row>
    <row r="2403" spans="1:10" ht="15.75" customHeight="1" x14ac:dyDescent="0.25">
      <c r="A2403" s="1">
        <v>45286</v>
      </c>
      <c r="B2403" s="188" t="s">
        <v>2300</v>
      </c>
      <c r="C2403" s="188" t="s">
        <v>658</v>
      </c>
      <c r="D2403" s="188" t="s">
        <v>659</v>
      </c>
      <c r="E2403" s="4">
        <v>2288.88</v>
      </c>
      <c r="F2403" s="3">
        <v>572220.64</v>
      </c>
      <c r="G2403" s="4">
        <v>120166.33</v>
      </c>
      <c r="H2403" s="4">
        <v>694675.85</v>
      </c>
      <c r="I2403" s="188" t="str">
        <f>VLOOKUP(C2403,CATEGORIZACION!$A$1:$C$269,2,FALSE)</f>
        <v>PROOVEDORES</v>
      </c>
      <c r="J2403" s="188" t="str">
        <f>VLOOKUP(C2403,CATEGORIZACION!$A$1:$C$269,3,FALSE)</f>
        <v>DEPOSITO</v>
      </c>
    </row>
    <row r="2404" spans="1:10" ht="15.75" customHeight="1" x14ac:dyDescent="0.25">
      <c r="A2404" s="1">
        <v>45286</v>
      </c>
      <c r="B2404" s="188" t="s">
        <v>2301</v>
      </c>
      <c r="C2404" s="188" t="s">
        <v>658</v>
      </c>
      <c r="D2404" s="188" t="s">
        <v>659</v>
      </c>
      <c r="E2404" s="4">
        <v>4079.8699999998512</v>
      </c>
      <c r="F2404" s="3">
        <v>1019968</v>
      </c>
      <c r="G2404" s="4">
        <v>214193.28</v>
      </c>
      <c r="H2404" s="4">
        <v>1238241.1499999999</v>
      </c>
      <c r="I2404" s="188" t="str">
        <f>VLOOKUP(C2404,CATEGORIZACION!$A$1:$C$269,2,FALSE)</f>
        <v>PROOVEDORES</v>
      </c>
      <c r="J2404" s="188" t="str">
        <f>VLOOKUP(C2404,CATEGORIZACION!$A$1:$C$269,3,FALSE)</f>
        <v>DEPOSITO</v>
      </c>
    </row>
    <row r="2405" spans="1:10" ht="15.75" customHeight="1" x14ac:dyDescent="0.25">
      <c r="A2405" s="1">
        <v>45286</v>
      </c>
      <c r="B2405" s="188" t="s">
        <v>2302</v>
      </c>
      <c r="C2405" s="188" t="s">
        <v>658</v>
      </c>
      <c r="D2405" s="188" t="s">
        <v>659</v>
      </c>
      <c r="E2405" s="4">
        <v>4092.77</v>
      </c>
      <c r="F2405" s="3">
        <v>1023191.66</v>
      </c>
      <c r="G2405" s="4">
        <v>214870.25</v>
      </c>
      <c r="H2405" s="4">
        <v>1242154.68</v>
      </c>
      <c r="I2405" s="188" t="str">
        <f>VLOOKUP(C2405,CATEGORIZACION!$A$1:$C$269,2,FALSE)</f>
        <v>PROOVEDORES</v>
      </c>
      <c r="J2405" s="188" t="str">
        <f>VLOOKUP(C2405,CATEGORIZACION!$A$1:$C$269,3,FALSE)</f>
        <v>DEPOSITO</v>
      </c>
    </row>
    <row r="2406" spans="1:10" ht="15.75" customHeight="1" x14ac:dyDescent="0.25">
      <c r="A2406" s="1">
        <v>45286</v>
      </c>
      <c r="B2406" s="188" t="s">
        <v>2303</v>
      </c>
      <c r="C2406" s="188" t="s">
        <v>658</v>
      </c>
      <c r="D2406" s="188" t="s">
        <v>659</v>
      </c>
      <c r="E2406" s="4">
        <v>1595.46</v>
      </c>
      <c r="F2406" s="3">
        <v>398864</v>
      </c>
      <c r="G2406" s="4">
        <v>83761.440000000002</v>
      </c>
      <c r="H2406" s="4">
        <v>484220.9</v>
      </c>
      <c r="I2406" s="188" t="str">
        <f>VLOOKUP(C2406,CATEGORIZACION!$A$1:$C$269,2,FALSE)</f>
        <v>PROOVEDORES</v>
      </c>
      <c r="J2406" s="188" t="str">
        <f>VLOOKUP(C2406,CATEGORIZACION!$A$1:$C$269,3,FALSE)</f>
        <v>DEPOSITO</v>
      </c>
    </row>
    <row r="2407" spans="1:10" ht="15.75" customHeight="1" x14ac:dyDescent="0.25">
      <c r="A2407" s="1">
        <v>45286</v>
      </c>
      <c r="B2407" s="188" t="s">
        <v>2304</v>
      </c>
      <c r="C2407" s="188" t="s">
        <v>658</v>
      </c>
      <c r="D2407" s="188" t="s">
        <v>659</v>
      </c>
      <c r="E2407" s="4">
        <v>3070.72</v>
      </c>
      <c r="F2407" s="3">
        <v>767679.04</v>
      </c>
      <c r="G2407" s="4">
        <v>161212.6</v>
      </c>
      <c r="H2407" s="4">
        <v>931962.36</v>
      </c>
      <c r="I2407" s="188" t="str">
        <f>VLOOKUP(C2407,CATEGORIZACION!$A$1:$C$269,2,FALSE)</f>
        <v>PROOVEDORES</v>
      </c>
      <c r="J2407" s="188" t="str">
        <f>VLOOKUP(C2407,CATEGORIZACION!$A$1:$C$269,3,FALSE)</f>
        <v>DEPOSITO</v>
      </c>
    </row>
    <row r="2408" spans="1:10" ht="15.75" customHeight="1" x14ac:dyDescent="0.25">
      <c r="A2408" s="1">
        <v>45286</v>
      </c>
      <c r="B2408" s="188" t="s">
        <v>2305</v>
      </c>
      <c r="C2408" s="188" t="s">
        <v>658</v>
      </c>
      <c r="D2408" s="188" t="s">
        <v>659</v>
      </c>
      <c r="E2408" s="4">
        <v>1506.17</v>
      </c>
      <c r="F2408" s="3">
        <v>376543.12</v>
      </c>
      <c r="G2408" s="4">
        <v>79074.06</v>
      </c>
      <c r="H2408" s="4">
        <v>457123.35</v>
      </c>
      <c r="I2408" s="188" t="str">
        <f>VLOOKUP(C2408,CATEGORIZACION!$A$1:$C$269,2,FALSE)</f>
        <v>PROOVEDORES</v>
      </c>
      <c r="J2408" s="188" t="str">
        <f>VLOOKUP(C2408,CATEGORIZACION!$A$1:$C$269,3,FALSE)</f>
        <v>DEPOSITO</v>
      </c>
    </row>
    <row r="2409" spans="1:10" ht="15.75" customHeight="1" x14ac:dyDescent="0.25">
      <c r="A2409" s="1">
        <v>45286</v>
      </c>
      <c r="B2409" s="188" t="s">
        <v>2306</v>
      </c>
      <c r="C2409" s="188" t="s">
        <v>658</v>
      </c>
      <c r="D2409" s="188" t="s">
        <v>659</v>
      </c>
      <c r="E2409" s="4">
        <v>2915.89</v>
      </c>
      <c r="F2409" s="3">
        <v>728972</v>
      </c>
      <c r="G2409" s="4">
        <v>153084.12</v>
      </c>
      <c r="H2409" s="4">
        <v>884972.01</v>
      </c>
      <c r="I2409" s="188" t="str">
        <f>VLOOKUP(C2409,CATEGORIZACION!$A$1:$C$269,2,FALSE)</f>
        <v>PROOVEDORES</v>
      </c>
      <c r="J2409" s="188" t="str">
        <f>VLOOKUP(C2409,CATEGORIZACION!$A$1:$C$269,3,FALSE)</f>
        <v>DEPOSITO</v>
      </c>
    </row>
    <row r="2410" spans="1:10" ht="15.75" customHeight="1" x14ac:dyDescent="0.25">
      <c r="A2410" s="1">
        <v>45286</v>
      </c>
      <c r="B2410" s="188" t="s">
        <v>2307</v>
      </c>
      <c r="C2410" s="188" t="s">
        <v>658</v>
      </c>
      <c r="D2410" s="188" t="s">
        <v>659</v>
      </c>
      <c r="E2410" s="4">
        <v>474.51</v>
      </c>
      <c r="F2410" s="3">
        <v>118628</v>
      </c>
      <c r="G2410" s="4">
        <v>24911.88</v>
      </c>
      <c r="H2410" s="4">
        <v>144014.39000000001</v>
      </c>
      <c r="I2410" s="188" t="str">
        <f>VLOOKUP(C2410,CATEGORIZACION!$A$1:$C$269,2,FALSE)</f>
        <v>PROOVEDORES</v>
      </c>
      <c r="J2410" s="188" t="str">
        <f>VLOOKUP(C2410,CATEGORIZACION!$A$1:$C$269,3,FALSE)</f>
        <v>DEPOSITO</v>
      </c>
    </row>
    <row r="2411" spans="1:10" ht="15.75" customHeight="1" x14ac:dyDescent="0.25">
      <c r="A2411" s="1">
        <v>45286</v>
      </c>
      <c r="B2411" s="188" t="s">
        <v>2308</v>
      </c>
      <c r="C2411" s="188" t="s">
        <v>658</v>
      </c>
      <c r="D2411" s="188" t="s">
        <v>659</v>
      </c>
      <c r="E2411" s="4">
        <v>476.39</v>
      </c>
      <c r="F2411" s="3">
        <v>119097.12</v>
      </c>
      <c r="G2411" s="4">
        <v>25010.400000000001</v>
      </c>
      <c r="H2411" s="4">
        <v>144583.91</v>
      </c>
      <c r="I2411" s="188" t="str">
        <f>VLOOKUP(C2411,CATEGORIZACION!$A$1:$C$269,2,FALSE)</f>
        <v>PROOVEDORES</v>
      </c>
      <c r="J2411" s="188" t="str">
        <f>VLOOKUP(C2411,CATEGORIZACION!$A$1:$C$269,3,FALSE)</f>
        <v>DEPOSITO</v>
      </c>
    </row>
    <row r="2412" spans="1:10" ht="15.75" customHeight="1" x14ac:dyDescent="0.25">
      <c r="A2412" s="1">
        <v>45286</v>
      </c>
      <c r="B2412" s="188" t="s">
        <v>2309</v>
      </c>
      <c r="C2412" s="188" t="s">
        <v>658</v>
      </c>
      <c r="D2412" s="188" t="s">
        <v>659</v>
      </c>
      <c r="E2412" s="4">
        <v>4580.2700000001487</v>
      </c>
      <c r="F2412" s="3">
        <v>1145067.6399999999</v>
      </c>
      <c r="G2412" s="4">
        <v>240464.2</v>
      </c>
      <c r="H2412" s="4">
        <v>1390112.11</v>
      </c>
      <c r="I2412" s="188" t="str">
        <f>VLOOKUP(C2412,CATEGORIZACION!$A$1:$C$269,2,FALSE)</f>
        <v>PROOVEDORES</v>
      </c>
      <c r="J2412" s="188" t="str">
        <f>VLOOKUP(C2412,CATEGORIZACION!$A$1:$C$269,3,FALSE)</f>
        <v>DEPOSITO</v>
      </c>
    </row>
    <row r="2413" spans="1:10" ht="15.75" customHeight="1" x14ac:dyDescent="0.25">
      <c r="A2413" s="1">
        <v>45286</v>
      </c>
      <c r="B2413" s="188" t="s">
        <v>2310</v>
      </c>
      <c r="C2413" s="188" t="s">
        <v>658</v>
      </c>
      <c r="D2413" s="188" t="s">
        <v>659</v>
      </c>
      <c r="E2413" s="4">
        <v>1930.82</v>
      </c>
      <c r="F2413" s="3">
        <v>482704</v>
      </c>
      <c r="G2413" s="4">
        <v>101367.84</v>
      </c>
      <c r="H2413" s="4">
        <v>586002.66</v>
      </c>
      <c r="I2413" s="188" t="str">
        <f>VLOOKUP(C2413,CATEGORIZACION!$A$1:$C$269,2,FALSE)</f>
        <v>PROOVEDORES</v>
      </c>
      <c r="J2413" s="188" t="str">
        <f>VLOOKUP(C2413,CATEGORIZACION!$A$1:$C$269,3,FALSE)</f>
        <v>DEPOSITO</v>
      </c>
    </row>
    <row r="2414" spans="1:10" ht="15.75" customHeight="1" x14ac:dyDescent="0.25">
      <c r="A2414" s="1">
        <v>45286</v>
      </c>
      <c r="B2414" s="188" t="s">
        <v>2311</v>
      </c>
      <c r="C2414" s="188" t="s">
        <v>36</v>
      </c>
      <c r="D2414" s="188" t="s">
        <v>37</v>
      </c>
      <c r="E2414" s="4">
        <v>9200</v>
      </c>
      <c r="F2414" s="5">
        <v>110000</v>
      </c>
      <c r="G2414" s="4">
        <v>23100</v>
      </c>
      <c r="H2414" s="4">
        <v>142300</v>
      </c>
      <c r="I2414" s="188" t="str">
        <f>VLOOKUP(C2414,CATEGORIZACION!$A$1:$C$269,2,FALSE)</f>
        <v>TRANSPORTE</v>
      </c>
      <c r="J2414" s="188" t="s">
        <v>19</v>
      </c>
    </row>
    <row r="2415" spans="1:10" ht="15.75" customHeight="1" x14ac:dyDescent="0.25">
      <c r="A2415" s="1">
        <v>45286</v>
      </c>
      <c r="B2415" s="188" t="s">
        <v>2312</v>
      </c>
      <c r="C2415" s="188" t="s">
        <v>36</v>
      </c>
      <c r="D2415" s="188" t="s">
        <v>37</v>
      </c>
      <c r="E2415" s="4">
        <v>5000</v>
      </c>
      <c r="F2415" s="5">
        <v>339900</v>
      </c>
      <c r="G2415" s="4">
        <v>71379</v>
      </c>
      <c r="H2415" s="4">
        <v>416279</v>
      </c>
      <c r="I2415" s="188" t="str">
        <f>VLOOKUP(C2415,CATEGORIZACION!$A$1:$C$269,2,FALSE)</f>
        <v>TRANSPORTE</v>
      </c>
      <c r="J2415" s="188" t="s">
        <v>19</v>
      </c>
    </row>
    <row r="2416" spans="1:10" ht="15.75" customHeight="1" x14ac:dyDescent="0.25">
      <c r="A2416" s="1">
        <v>45286</v>
      </c>
      <c r="B2416" s="188" t="s">
        <v>2313</v>
      </c>
      <c r="C2416" s="188" t="s">
        <v>36</v>
      </c>
      <c r="D2416" s="188" t="s">
        <v>37</v>
      </c>
      <c r="E2416" s="4">
        <v>5000</v>
      </c>
      <c r="F2416" s="5">
        <v>339900</v>
      </c>
      <c r="G2416" s="4">
        <v>71379</v>
      </c>
      <c r="H2416" s="4">
        <v>416279</v>
      </c>
      <c r="I2416" s="188" t="str">
        <f>VLOOKUP(C2416,CATEGORIZACION!$A$1:$C$269,2,FALSE)</f>
        <v>TRANSPORTE</v>
      </c>
      <c r="J2416" s="188" t="s">
        <v>19</v>
      </c>
    </row>
    <row r="2417" spans="1:10" ht="15.75" customHeight="1" x14ac:dyDescent="0.25">
      <c r="A2417" s="1">
        <v>45286</v>
      </c>
      <c r="B2417" s="188" t="s">
        <v>2314</v>
      </c>
      <c r="C2417" s="188" t="s">
        <v>36</v>
      </c>
      <c r="D2417" s="188" t="s">
        <v>37</v>
      </c>
      <c r="E2417" s="4">
        <v>9200</v>
      </c>
      <c r="F2417" s="5">
        <v>110000</v>
      </c>
      <c r="G2417" s="4">
        <v>23100</v>
      </c>
      <c r="H2417" s="4">
        <v>142300</v>
      </c>
      <c r="I2417" s="188" t="str">
        <f>VLOOKUP(C2417,CATEGORIZACION!$A$1:$C$269,2,FALSE)</f>
        <v>TRANSPORTE</v>
      </c>
      <c r="J2417" s="188" t="s">
        <v>19</v>
      </c>
    </row>
    <row r="2418" spans="1:10" ht="15.75" customHeight="1" x14ac:dyDescent="0.25">
      <c r="A2418" s="1">
        <v>45286</v>
      </c>
      <c r="B2418" s="188" t="s">
        <v>2315</v>
      </c>
      <c r="C2418" s="188" t="s">
        <v>36</v>
      </c>
      <c r="D2418" s="188" t="s">
        <v>37</v>
      </c>
      <c r="E2418" s="4">
        <v>9200</v>
      </c>
      <c r="F2418" s="5">
        <v>110000</v>
      </c>
      <c r="G2418" s="4">
        <v>23100</v>
      </c>
      <c r="H2418" s="4">
        <v>142300</v>
      </c>
      <c r="I2418" s="188" t="str">
        <f>VLOOKUP(C2418,CATEGORIZACION!$A$1:$C$269,2,FALSE)</f>
        <v>TRANSPORTE</v>
      </c>
      <c r="J2418" s="188" t="s">
        <v>19</v>
      </c>
    </row>
    <row r="2419" spans="1:10" ht="15.75" customHeight="1" x14ac:dyDescent="0.25">
      <c r="A2419" s="1">
        <v>45286</v>
      </c>
      <c r="B2419" s="188" t="s">
        <v>2316</v>
      </c>
      <c r="C2419" s="188" t="s">
        <v>36</v>
      </c>
      <c r="D2419" s="188" t="s">
        <v>37</v>
      </c>
      <c r="E2419" s="4">
        <v>3000</v>
      </c>
      <c r="F2419" s="5">
        <v>94800</v>
      </c>
      <c r="G2419" s="4">
        <v>19908</v>
      </c>
      <c r="H2419" s="4">
        <v>117708</v>
      </c>
      <c r="I2419" s="188" t="str">
        <f>VLOOKUP(C2419,CATEGORIZACION!$A$1:$C$269,2,FALSE)</f>
        <v>TRANSPORTE</v>
      </c>
      <c r="J2419" s="188" t="s">
        <v>19</v>
      </c>
    </row>
    <row r="2420" spans="1:10" ht="15.75" customHeight="1" x14ac:dyDescent="0.25">
      <c r="A2420" s="1">
        <v>45287</v>
      </c>
      <c r="B2420" s="188" t="s">
        <v>2317</v>
      </c>
      <c r="C2420" s="188" t="s">
        <v>714</v>
      </c>
      <c r="D2420" s="188" t="s">
        <v>715</v>
      </c>
      <c r="E2420" s="4">
        <v>0</v>
      </c>
      <c r="F2420" s="3">
        <v>375725</v>
      </c>
      <c r="G2420" s="4">
        <v>78902.25</v>
      </c>
      <c r="H2420" s="4">
        <v>454627.25</v>
      </c>
      <c r="I2420" s="188" t="str">
        <f>VLOOKUP(C2420,CATEGORIZACION!$A$1:$C$269,2,FALSE)</f>
        <v>PROOVEDORES</v>
      </c>
      <c r="J2420" s="188" t="str">
        <f>VLOOKUP(C2420,CATEGORIZACION!$A$1:$C$269,3,FALSE)</f>
        <v>DEPOSITO</v>
      </c>
    </row>
    <row r="2421" spans="1:10" ht="15.75" customHeight="1" x14ac:dyDescent="0.25">
      <c r="A2421" s="1">
        <v>45287</v>
      </c>
      <c r="B2421" s="10" t="s">
        <v>2180</v>
      </c>
      <c r="C2421" s="188" t="s">
        <v>84</v>
      </c>
      <c r="D2421" s="188" t="s">
        <v>85</v>
      </c>
      <c r="E2421" s="4">
        <v>0</v>
      </c>
      <c r="F2421" s="10">
        <v>1600129.4</v>
      </c>
      <c r="G2421" s="10">
        <v>336027.17</v>
      </c>
      <c r="H2421" s="10">
        <v>1984340.93</v>
      </c>
      <c r="I2421" s="188" t="str">
        <f>VLOOKUP(C2421,CATEGORIZACION!$A$1:$C$269,2,FALSE)</f>
        <v>PROOVEDORES</v>
      </c>
      <c r="J2421" s="188" t="str">
        <f>VLOOKUP(C2421,CATEGORIZACION!$A$1:$C$269,3,FALSE)</f>
        <v>LOGISTICA</v>
      </c>
    </row>
    <row r="2422" spans="1:10" ht="15.75" customHeight="1" x14ac:dyDescent="0.25">
      <c r="A2422" s="1">
        <v>45287</v>
      </c>
      <c r="B2422" s="188" t="s">
        <v>2318</v>
      </c>
      <c r="C2422" s="188" t="s">
        <v>153</v>
      </c>
      <c r="D2422" s="188" t="s">
        <v>154</v>
      </c>
      <c r="E2422" s="4">
        <v>176.62</v>
      </c>
      <c r="F2422" s="3">
        <v>44155.87</v>
      </c>
      <c r="G2422" s="4">
        <v>9272.73</v>
      </c>
      <c r="H2422" s="4">
        <v>53605.22</v>
      </c>
      <c r="I2422" s="188" t="str">
        <f>VLOOKUP(C2422,CATEGORIZACION!$A$1:$C$269,2,FALSE)</f>
        <v>PROOVEDORES</v>
      </c>
      <c r="J2422" s="188" t="str">
        <f>VLOOKUP(C2422,CATEGORIZACION!$A$1:$C$269,3,FALSE)</f>
        <v>DEPOSITO</v>
      </c>
    </row>
    <row r="2423" spans="1:10" ht="15.75" customHeight="1" x14ac:dyDescent="0.25">
      <c r="A2423" s="1">
        <v>45287</v>
      </c>
      <c r="B2423" s="188" t="s">
        <v>2319</v>
      </c>
      <c r="C2423" s="188" t="s">
        <v>529</v>
      </c>
      <c r="D2423" s="188" t="s">
        <v>530</v>
      </c>
      <c r="E2423" s="4">
        <v>0</v>
      </c>
      <c r="F2423" s="5">
        <v>67238.22</v>
      </c>
      <c r="G2423" s="4">
        <v>14120.03</v>
      </c>
      <c r="H2423" s="4">
        <v>81358.25</v>
      </c>
      <c r="I2423" s="188" t="str">
        <f>VLOOKUP(C2423,CATEGORIZACION!$A$1:$C$269,2,FALSE)</f>
        <v>PROOVEDORES</v>
      </c>
      <c r="J2423" s="188" t="str">
        <f>VLOOKUP(C2423,CATEGORIZACION!$A$1:$C$269,3,FALSE)</f>
        <v>LOGISTICA</v>
      </c>
    </row>
    <row r="2424" spans="1:10" ht="15.75" customHeight="1" x14ac:dyDescent="0.25">
      <c r="A2424" s="1">
        <v>45288</v>
      </c>
      <c r="B2424" s="188" t="s">
        <v>2320</v>
      </c>
      <c r="C2424" s="188" t="s">
        <v>665</v>
      </c>
      <c r="D2424" s="188" t="s">
        <v>666</v>
      </c>
      <c r="E2424" s="4">
        <v>0</v>
      </c>
      <c r="F2424" s="5">
        <v>85717.36</v>
      </c>
      <c r="G2424" s="4">
        <v>18000.650000000001</v>
      </c>
      <c r="H2424" s="4">
        <v>103718.01</v>
      </c>
      <c r="I2424" s="188" t="str">
        <f>VLOOKUP(C2424,CATEGORIZACION!$A$1:$C$269,2,FALSE)</f>
        <v>PROOVEDORES</v>
      </c>
      <c r="J2424" s="188" t="str">
        <f>VLOOKUP(C2424,CATEGORIZACION!$A$1:$C$269,3,FALSE)</f>
        <v>LOGISTICA</v>
      </c>
    </row>
    <row r="2425" spans="1:10" ht="15.75" customHeight="1" x14ac:dyDescent="0.25">
      <c r="A2425" s="1">
        <v>45288</v>
      </c>
      <c r="B2425" s="188" t="s">
        <v>2321</v>
      </c>
      <c r="C2425" s="188" t="s">
        <v>339</v>
      </c>
      <c r="D2425" s="188" t="s">
        <v>340</v>
      </c>
      <c r="E2425" s="4">
        <v>0</v>
      </c>
      <c r="F2425" s="5">
        <v>72859.44</v>
      </c>
      <c r="G2425" s="4">
        <v>15300.48</v>
      </c>
      <c r="H2425" s="4">
        <v>88159.92</v>
      </c>
      <c r="I2425" s="188" t="str">
        <f>VLOOKUP(C2425,CATEGORIZACION!$A$1:$C$269,2,FALSE)</f>
        <v>PROOVEDORES</v>
      </c>
      <c r="J2425" s="188" t="str">
        <f>VLOOKUP(C2425,CATEGORIZACION!$A$1:$C$269,3,FALSE)</f>
        <v>LOGISTICA</v>
      </c>
    </row>
    <row r="2426" spans="1:10" ht="15.75" customHeight="1" x14ac:dyDescent="0.25">
      <c r="A2426" s="1">
        <v>45289</v>
      </c>
      <c r="B2426" s="10" t="s">
        <v>2322</v>
      </c>
      <c r="C2426" s="188" t="s">
        <v>84</v>
      </c>
      <c r="D2426" s="188" t="s">
        <v>85</v>
      </c>
      <c r="E2426" s="4"/>
      <c r="F2426" s="10">
        <v>1557643.05</v>
      </c>
      <c r="G2426" s="10">
        <v>327105.03999999998</v>
      </c>
      <c r="H2426" s="10">
        <v>163500</v>
      </c>
      <c r="I2426" s="188" t="str">
        <f>VLOOKUP(C2426,CATEGORIZACION!$A$1:$C$269,2,FALSE)</f>
        <v>PROOVEDORES</v>
      </c>
      <c r="J2426" s="188" t="str">
        <f>VLOOKUP(C2426,CATEGORIZACION!$A$1:$C$269,3,FALSE)</f>
        <v>LOGISTICA</v>
      </c>
    </row>
    <row r="2427" spans="1:10" ht="15.75" customHeight="1" x14ac:dyDescent="0.25">
      <c r="A2427" s="1">
        <v>45289</v>
      </c>
      <c r="B2427" s="188" t="s">
        <v>2323</v>
      </c>
      <c r="C2427" s="188" t="s">
        <v>52</v>
      </c>
      <c r="D2427" s="188" t="s">
        <v>53</v>
      </c>
      <c r="E2427" s="4">
        <v>0</v>
      </c>
      <c r="F2427" s="3">
        <v>168595.05</v>
      </c>
      <c r="G2427" s="4">
        <v>35404.959999999999</v>
      </c>
      <c r="H2427" s="4">
        <v>204000.01</v>
      </c>
      <c r="I2427" s="188" t="str">
        <f>VLOOKUP(C2427,CATEGORIZACION!$A$1:$C$269,2,FALSE)</f>
        <v>PROOVEDORES</v>
      </c>
      <c r="J2427" s="188" t="str">
        <f>VLOOKUP(C2427,CATEGORIZACION!$A$1:$C$269,3,FALSE)</f>
        <v>DEPOSITO</v>
      </c>
    </row>
    <row r="2428" spans="1:10" ht="15.75" customHeight="1" x14ac:dyDescent="0.25">
      <c r="A2428" s="1">
        <v>45290</v>
      </c>
      <c r="B2428" s="188" t="s">
        <v>2324</v>
      </c>
      <c r="C2428" s="188" t="s">
        <v>2325</v>
      </c>
      <c r="D2428" s="188" t="s">
        <v>2326</v>
      </c>
      <c r="E2428" s="4">
        <v>0</v>
      </c>
      <c r="F2428" s="5">
        <v>1085971.95</v>
      </c>
      <c r="G2428" s="4">
        <v>114027.05</v>
      </c>
      <c r="H2428" s="4">
        <v>1199999</v>
      </c>
      <c r="I2428" s="188" t="str">
        <f>VLOOKUP(C2428,CATEGORIZACION!$A$1:$C$269,2,FALSE)</f>
        <v>PROOVEDORES</v>
      </c>
      <c r="J2428" s="188" t="str">
        <f>VLOOKUP(C2428,CATEGORIZACION!$A$1:$C$269,3,FALSE)</f>
        <v>LOGISTICA</v>
      </c>
    </row>
    <row r="2429" spans="1:10" ht="15.75" customHeight="1" x14ac:dyDescent="0.25">
      <c r="A2429" s="1">
        <v>45290</v>
      </c>
      <c r="B2429" s="188" t="s">
        <v>2327</v>
      </c>
      <c r="C2429" s="188" t="s">
        <v>21</v>
      </c>
      <c r="D2429" s="188" t="s">
        <v>22</v>
      </c>
      <c r="E2429" s="4">
        <v>16000</v>
      </c>
      <c r="F2429" s="5">
        <v>714000</v>
      </c>
      <c r="G2429" s="4">
        <v>149940</v>
      </c>
      <c r="H2429" s="4">
        <v>879940</v>
      </c>
      <c r="I2429" s="188" t="str">
        <f>VLOOKUP(C2429,CATEGORIZACION!$A$1:$C$269,2,FALSE)</f>
        <v>TRANSPORTE</v>
      </c>
      <c r="J2429" s="188" t="s">
        <v>19</v>
      </c>
    </row>
    <row r="2430" spans="1:10" ht="15.75" customHeight="1" x14ac:dyDescent="0.25">
      <c r="A2430" s="1">
        <v>45290</v>
      </c>
      <c r="B2430" s="188" t="s">
        <v>2328</v>
      </c>
      <c r="C2430" s="188" t="s">
        <v>21</v>
      </c>
      <c r="D2430" s="188" t="s">
        <v>22</v>
      </c>
      <c r="E2430" s="4">
        <v>9340</v>
      </c>
      <c r="F2430" s="5">
        <v>269000</v>
      </c>
      <c r="G2430" s="4">
        <v>56490</v>
      </c>
      <c r="H2430" s="4">
        <v>334830</v>
      </c>
      <c r="I2430" s="188" t="str">
        <f>VLOOKUP(C2430,CATEGORIZACION!$A$1:$C$269,2,FALSE)</f>
        <v>TRANSPORTE</v>
      </c>
      <c r="J2430" s="188" t="s">
        <v>19</v>
      </c>
    </row>
    <row r="2431" spans="1:10" ht="15.75" customHeight="1" x14ac:dyDescent="0.25">
      <c r="A2431" s="1">
        <v>45290</v>
      </c>
      <c r="B2431" s="188" t="s">
        <v>82</v>
      </c>
      <c r="C2431" s="188" t="s">
        <v>188</v>
      </c>
      <c r="D2431" s="188">
        <v>0</v>
      </c>
      <c r="E2431" s="4">
        <v>0</v>
      </c>
      <c r="F2431" s="3">
        <v>1984400</v>
      </c>
      <c r="G2431" s="4">
        <v>0</v>
      </c>
      <c r="H2431" s="4">
        <v>0</v>
      </c>
      <c r="I2431" s="188" t="str">
        <f>VLOOKUP(C2431,CATEGORIZACION!$A$1:$C$269,2,FALSE)</f>
        <v>SUELDOS</v>
      </c>
      <c r="J2431" s="188" t="s">
        <v>103</v>
      </c>
    </row>
    <row r="2432" spans="1:10" ht="15.75" customHeight="1" x14ac:dyDescent="0.25">
      <c r="A2432" s="1">
        <v>45290</v>
      </c>
      <c r="B2432" s="188" t="s">
        <v>82</v>
      </c>
      <c r="C2432" s="188" t="s">
        <v>189</v>
      </c>
      <c r="D2432" s="188">
        <v>0</v>
      </c>
      <c r="E2432" s="4">
        <v>0</v>
      </c>
      <c r="F2432" s="3">
        <v>1336700</v>
      </c>
      <c r="G2432" s="4">
        <v>0</v>
      </c>
      <c r="H2432" s="4">
        <v>0</v>
      </c>
      <c r="I2432" s="188" t="str">
        <f>VLOOKUP(C2432,CATEGORIZACION!$A$1:$C$269,2,FALSE)</f>
        <v>SUELDOS</v>
      </c>
      <c r="J2432" s="188" t="s">
        <v>103</v>
      </c>
    </row>
    <row r="2433" spans="1:10" ht="15.75" customHeight="1" x14ac:dyDescent="0.25">
      <c r="A2433" s="1">
        <v>45290</v>
      </c>
      <c r="B2433" s="188" t="s">
        <v>82</v>
      </c>
      <c r="C2433" s="188" t="s">
        <v>1114</v>
      </c>
      <c r="D2433" s="188">
        <v>0</v>
      </c>
      <c r="E2433" s="4">
        <v>0</v>
      </c>
      <c r="F2433" s="3">
        <v>1155000</v>
      </c>
      <c r="G2433" s="4">
        <v>0</v>
      </c>
      <c r="H2433" s="4">
        <v>0</v>
      </c>
      <c r="I2433" s="188" t="str">
        <f>VLOOKUP(C2433,CATEGORIZACION!$A$1:$C$269,2,FALSE)</f>
        <v>SUELDOS</v>
      </c>
      <c r="J2433" s="188" t="s">
        <v>103</v>
      </c>
    </row>
    <row r="2434" spans="1:10" ht="15.75" customHeight="1" x14ac:dyDescent="0.25">
      <c r="A2434" s="1">
        <v>45290</v>
      </c>
      <c r="B2434" s="188" t="s">
        <v>82</v>
      </c>
      <c r="C2434" s="188" t="s">
        <v>1115</v>
      </c>
      <c r="D2434" s="188">
        <v>0</v>
      </c>
      <c r="E2434" s="4">
        <v>0</v>
      </c>
      <c r="F2434" s="5">
        <v>1740000</v>
      </c>
      <c r="G2434" s="4">
        <v>0</v>
      </c>
      <c r="H2434" s="4">
        <v>0</v>
      </c>
      <c r="I2434" s="188" t="str">
        <f>VLOOKUP(C2434,CATEGORIZACION!$A$1:$C$269,2,FALSE)</f>
        <v>SUELDOS</v>
      </c>
      <c r="J2434" s="188" t="s">
        <v>19</v>
      </c>
    </row>
    <row r="2435" spans="1:10" ht="15.75" customHeight="1" x14ac:dyDescent="0.25">
      <c r="A2435" s="1">
        <v>45290</v>
      </c>
      <c r="B2435" s="188" t="s">
        <v>82</v>
      </c>
      <c r="C2435" s="188" t="s">
        <v>190</v>
      </c>
      <c r="D2435" s="188">
        <v>0</v>
      </c>
      <c r="E2435" s="4">
        <v>0</v>
      </c>
      <c r="F2435" s="5">
        <v>3832759</v>
      </c>
      <c r="G2435" s="4">
        <v>0</v>
      </c>
      <c r="H2435" s="4">
        <v>0</v>
      </c>
      <c r="I2435" s="188" t="str">
        <f>VLOOKUP(C2435,CATEGORIZACION!$A$1:$C$269,2,FALSE)</f>
        <v>SUELDOS</v>
      </c>
      <c r="J2435" s="188" t="s">
        <v>19</v>
      </c>
    </row>
    <row r="2436" spans="1:10" ht="15.75" customHeight="1" x14ac:dyDescent="0.25">
      <c r="A2436" s="1">
        <v>45290</v>
      </c>
      <c r="B2436" s="188" t="s">
        <v>82</v>
      </c>
      <c r="C2436" s="188" t="s">
        <v>191</v>
      </c>
      <c r="D2436" s="188">
        <v>0</v>
      </c>
      <c r="E2436" s="4">
        <v>0</v>
      </c>
      <c r="F2436" s="5">
        <v>2373750</v>
      </c>
      <c r="G2436" s="4">
        <v>0</v>
      </c>
      <c r="H2436" s="4">
        <v>0</v>
      </c>
      <c r="I2436" s="188" t="str">
        <f>VLOOKUP(C2436,CATEGORIZACION!$A$1:$C$269,2,FALSE)</f>
        <v>SUELDOS</v>
      </c>
      <c r="J2436" s="188" t="s">
        <v>19</v>
      </c>
    </row>
    <row r="2437" spans="1:10" ht="15.75" customHeight="1" x14ac:dyDescent="0.25">
      <c r="A2437" s="1">
        <v>45290</v>
      </c>
      <c r="B2437" s="188" t="s">
        <v>82</v>
      </c>
      <c r="C2437" s="188" t="s">
        <v>192</v>
      </c>
      <c r="D2437" s="188">
        <v>0</v>
      </c>
      <c r="E2437" s="4">
        <v>0</v>
      </c>
      <c r="F2437" s="3">
        <v>0</v>
      </c>
      <c r="G2437" s="4">
        <v>0</v>
      </c>
      <c r="H2437" s="4">
        <v>0</v>
      </c>
      <c r="I2437" s="188" t="str">
        <f>VLOOKUP(C2437,CATEGORIZACION!$A$1:$C$269,2,FALSE)</f>
        <v>SUELDOS</v>
      </c>
      <c r="J2437" s="188" t="s">
        <v>103</v>
      </c>
    </row>
    <row r="2438" spans="1:10" ht="15.75" customHeight="1" x14ac:dyDescent="0.25">
      <c r="A2438" s="1">
        <v>45290</v>
      </c>
      <c r="B2438" s="188" t="s">
        <v>82</v>
      </c>
      <c r="C2438" s="188" t="s">
        <v>193</v>
      </c>
      <c r="D2438" s="188">
        <v>0</v>
      </c>
      <c r="E2438" s="4">
        <v>0</v>
      </c>
      <c r="F2438" s="5">
        <v>0</v>
      </c>
      <c r="G2438" s="4">
        <v>0</v>
      </c>
      <c r="H2438" s="4">
        <v>0</v>
      </c>
      <c r="I2438" s="188" t="str">
        <f>VLOOKUP(C2438,CATEGORIZACION!$A$1:$C$269,2,FALSE)</f>
        <v>SUELDOS</v>
      </c>
      <c r="J2438" s="188" t="s">
        <v>19</v>
      </c>
    </row>
    <row r="2439" spans="1:10" ht="15.75" customHeight="1" x14ac:dyDescent="0.25">
      <c r="A2439" s="1">
        <v>45290</v>
      </c>
      <c r="B2439" s="188" t="s">
        <v>82</v>
      </c>
      <c r="C2439" s="188" t="s">
        <v>194</v>
      </c>
      <c r="D2439" s="188">
        <v>0</v>
      </c>
      <c r="E2439" s="4">
        <v>0</v>
      </c>
      <c r="F2439" s="3">
        <v>1400625</v>
      </c>
      <c r="G2439" s="4">
        <v>0</v>
      </c>
      <c r="H2439" s="4">
        <v>0</v>
      </c>
      <c r="I2439" s="188" t="str">
        <f>VLOOKUP(C2439,CATEGORIZACION!$A$1:$C$269,2,FALSE)</f>
        <v>ALQUILER</v>
      </c>
      <c r="J2439" s="188" t="s">
        <v>103</v>
      </c>
    </row>
    <row r="2440" spans="1:10" ht="15.75" customHeight="1" x14ac:dyDescent="0.25">
      <c r="A2440" s="1">
        <v>45290</v>
      </c>
      <c r="B2440" s="188" t="s">
        <v>82</v>
      </c>
      <c r="C2440" s="188" t="s">
        <v>195</v>
      </c>
      <c r="D2440" s="188">
        <v>0</v>
      </c>
      <c r="E2440" s="4">
        <v>0</v>
      </c>
      <c r="F2440" s="3">
        <v>1139562</v>
      </c>
      <c r="G2440" s="4">
        <v>0</v>
      </c>
      <c r="H2440" s="4">
        <v>0</v>
      </c>
      <c r="I2440" s="188" t="str">
        <f>VLOOKUP(C2440,CATEGORIZACION!$A$1:$C$269,2,FALSE)</f>
        <v>ALQUILER</v>
      </c>
      <c r="J2440" s="188" t="s">
        <v>103</v>
      </c>
    </row>
    <row r="2441" spans="1:10" ht="15.75" customHeight="1" x14ac:dyDescent="0.25">
      <c r="A2441" s="1">
        <v>45290</v>
      </c>
      <c r="B2441" s="188" t="s">
        <v>82</v>
      </c>
      <c r="C2441" s="188" t="s">
        <v>196</v>
      </c>
      <c r="D2441" s="188">
        <v>0</v>
      </c>
      <c r="E2441" s="4">
        <v>0</v>
      </c>
      <c r="F2441" s="3">
        <v>514724</v>
      </c>
      <c r="G2441" s="4">
        <v>0</v>
      </c>
      <c r="H2441" s="4">
        <v>0</v>
      </c>
      <c r="I2441" s="188" t="str">
        <f>VLOOKUP(C2441,CATEGORIZACION!$A$1:$C$269,2,FALSE)</f>
        <v>ALQUILER</v>
      </c>
      <c r="J2441" s="188" t="s">
        <v>103</v>
      </c>
    </row>
    <row r="2442" spans="1:10" ht="15.75" customHeight="1" x14ac:dyDescent="0.25">
      <c r="A2442" s="1">
        <v>45290</v>
      </c>
      <c r="B2442" s="188" t="s">
        <v>82</v>
      </c>
      <c r="C2442" s="188" t="s">
        <v>197</v>
      </c>
      <c r="D2442" s="188">
        <v>0</v>
      </c>
      <c r="E2442" s="4">
        <v>0</v>
      </c>
      <c r="F2442" s="3">
        <v>73075</v>
      </c>
      <c r="G2442" s="4">
        <v>0</v>
      </c>
      <c r="H2442" s="4">
        <v>0</v>
      </c>
      <c r="I2442" s="188" t="str">
        <f>VLOOKUP(C2442,CATEGORIZACION!$A$1:$C$269,2,FALSE)</f>
        <v>ALQUILER</v>
      </c>
      <c r="J2442" s="188" t="s">
        <v>103</v>
      </c>
    </row>
    <row r="2443" spans="1:10" ht="15.75" customHeight="1" x14ac:dyDescent="0.25">
      <c r="A2443" s="1">
        <v>45290</v>
      </c>
      <c r="B2443" s="188" t="s">
        <v>82</v>
      </c>
      <c r="C2443" s="188" t="s">
        <v>198</v>
      </c>
      <c r="D2443" s="188">
        <v>0</v>
      </c>
      <c r="E2443" s="4">
        <v>0</v>
      </c>
      <c r="F2443" s="5">
        <v>335000</v>
      </c>
      <c r="G2443" s="4">
        <v>0</v>
      </c>
      <c r="H2443" s="4">
        <v>0</v>
      </c>
      <c r="I2443" s="188" t="str">
        <f>VLOOKUP(C2443,CATEGORIZACION!$A$1:$C$269,2,FALSE)</f>
        <v>ALQUILER</v>
      </c>
      <c r="J2443" s="188" t="s">
        <v>19</v>
      </c>
    </row>
    <row r="2444" spans="1:10" ht="15.75" customHeight="1" x14ac:dyDescent="0.25">
      <c r="A2444" s="1">
        <v>45290</v>
      </c>
      <c r="B2444" s="188" t="s">
        <v>82</v>
      </c>
      <c r="C2444" s="188" t="s">
        <v>199</v>
      </c>
      <c r="D2444" s="188">
        <v>0</v>
      </c>
      <c r="E2444" s="4">
        <v>0</v>
      </c>
      <c r="F2444" s="3">
        <v>69000</v>
      </c>
      <c r="G2444" s="4">
        <v>0</v>
      </c>
      <c r="H2444" s="4">
        <v>0</v>
      </c>
      <c r="I2444" s="188" t="str">
        <f>VLOOKUP(C2444,CATEGORIZACION!$A$1:$C$269,2,FALSE)</f>
        <v>PROOVEDORES</v>
      </c>
      <c r="J2444" s="188" t="str">
        <f>VLOOKUP(C2444,CATEGORIZACION!$A$1:$C$269,3,FALSE)</f>
        <v>DEPOSITO</v>
      </c>
    </row>
    <row r="2445" spans="1:10" ht="15.75" customHeight="1" x14ac:dyDescent="0.25">
      <c r="A2445" s="1">
        <v>45290</v>
      </c>
      <c r="B2445" s="188" t="s">
        <v>82</v>
      </c>
      <c r="C2445" s="188" t="s">
        <v>200</v>
      </c>
      <c r="D2445" s="188">
        <v>0</v>
      </c>
      <c r="E2445" s="4">
        <v>0</v>
      </c>
      <c r="F2445" s="5">
        <v>44550</v>
      </c>
      <c r="G2445" s="4">
        <v>0</v>
      </c>
      <c r="H2445" s="4">
        <v>0</v>
      </c>
      <c r="I2445" s="188" t="str">
        <f>VLOOKUP(C2445,CATEGORIZACION!$A$1:$C$269,2,FALSE)</f>
        <v>PROOVEDORES</v>
      </c>
      <c r="J2445" s="188" t="str">
        <f>VLOOKUP(C2445,CATEGORIZACION!$A$1:$C$269,3,FALSE)</f>
        <v>LOGISTICA</v>
      </c>
    </row>
    <row r="2446" spans="1:10" ht="15.75" customHeight="1" x14ac:dyDescent="0.25">
      <c r="A2446" s="1">
        <v>45290</v>
      </c>
      <c r="B2446" s="188" t="s">
        <v>82</v>
      </c>
      <c r="C2446" s="188" t="s">
        <v>203</v>
      </c>
      <c r="D2446" s="188">
        <v>0</v>
      </c>
      <c r="E2446" s="4">
        <v>0</v>
      </c>
      <c r="F2446" s="5">
        <v>0</v>
      </c>
      <c r="G2446" s="4">
        <v>0</v>
      </c>
      <c r="H2446" s="4">
        <v>0</v>
      </c>
      <c r="I2446" s="188" t="str">
        <f>VLOOKUP(C2446,CATEGORIZACION!$A$1:$C$269,2,FALSE)</f>
        <v>PROOVEDORES</v>
      </c>
      <c r="J2446" s="188" t="str">
        <f>VLOOKUP(C2446,CATEGORIZACION!$A$1:$C$269,3,FALSE)</f>
        <v>LOGISTICA</v>
      </c>
    </row>
    <row r="2447" spans="1:10" ht="15.75" customHeight="1" x14ac:dyDescent="0.25">
      <c r="A2447" s="1">
        <v>45290</v>
      </c>
      <c r="B2447" s="188" t="s">
        <v>82</v>
      </c>
      <c r="C2447" s="188" t="s">
        <v>204</v>
      </c>
      <c r="D2447" s="188">
        <v>0</v>
      </c>
      <c r="E2447" s="4">
        <v>0</v>
      </c>
      <c r="F2447" s="5">
        <v>877963</v>
      </c>
      <c r="G2447" s="4">
        <v>0</v>
      </c>
      <c r="H2447" s="4">
        <v>0</v>
      </c>
      <c r="I2447" s="188" t="str">
        <f>VLOOKUP(C2447,CATEGORIZACION!$A$1:$C$269,2,FALSE)</f>
        <v>PROOVEDORES</v>
      </c>
      <c r="J2447" s="188" t="str">
        <f>VLOOKUP(C2447,CATEGORIZACION!$A$1:$C$269,3,FALSE)</f>
        <v>LOGISTICA</v>
      </c>
    </row>
    <row r="2448" spans="1:10" ht="15.75" customHeight="1" x14ac:dyDescent="0.25">
      <c r="A2448" s="1">
        <v>45290</v>
      </c>
      <c r="B2448" s="188" t="s">
        <v>82</v>
      </c>
      <c r="C2448" s="188" t="s">
        <v>205</v>
      </c>
      <c r="D2448" s="188">
        <v>0</v>
      </c>
      <c r="E2448" s="4">
        <v>0</v>
      </c>
      <c r="F2448" s="5">
        <v>372780</v>
      </c>
      <c r="G2448" s="4">
        <v>0</v>
      </c>
      <c r="H2448" s="4">
        <v>0</v>
      </c>
      <c r="I2448" s="188" t="str">
        <f>VLOOKUP(C2448,CATEGORIZACION!$A$1:$C$269,2,FALSE)</f>
        <v>AFIP</v>
      </c>
      <c r="J2448" s="188" t="s">
        <v>19</v>
      </c>
    </row>
    <row r="2449" spans="1:10" ht="15.75" customHeight="1" x14ac:dyDescent="0.25">
      <c r="A2449" s="1">
        <v>45290</v>
      </c>
      <c r="B2449" s="188" t="s">
        <v>82</v>
      </c>
      <c r="C2449" s="188" t="s">
        <v>690</v>
      </c>
      <c r="D2449" s="188">
        <v>0</v>
      </c>
      <c r="E2449" s="4">
        <v>0</v>
      </c>
      <c r="F2449" s="3">
        <v>834992</v>
      </c>
      <c r="G2449" s="4">
        <v>0</v>
      </c>
      <c r="H2449" s="4">
        <v>0</v>
      </c>
      <c r="I2449" s="188" t="str">
        <f>VLOOKUP(C2449,CATEGORIZACION!$A$1:$C$269,2,FALSE)</f>
        <v>AFIP</v>
      </c>
      <c r="J2449" s="188" t="s">
        <v>103</v>
      </c>
    </row>
    <row r="2450" spans="1:10" ht="15.75" customHeight="1" x14ac:dyDescent="0.25">
      <c r="A2450" s="1">
        <v>45290</v>
      </c>
      <c r="B2450" s="188" t="s">
        <v>82</v>
      </c>
      <c r="C2450" s="188" t="s">
        <v>206</v>
      </c>
      <c r="D2450" s="188">
        <v>0</v>
      </c>
      <c r="E2450" s="4">
        <v>0</v>
      </c>
      <c r="F2450" s="5">
        <v>1252488</v>
      </c>
      <c r="G2450" s="4">
        <v>0</v>
      </c>
      <c r="H2450" s="4">
        <v>0</v>
      </c>
      <c r="I2450" s="188" t="str">
        <f>VLOOKUP(C2450,CATEGORIZACION!$A$1:$C$269,2,FALSE)</f>
        <v>AFIP</v>
      </c>
      <c r="J2450" s="188" t="s">
        <v>19</v>
      </c>
    </row>
    <row r="2451" spans="1:10" ht="15.75" customHeight="1" x14ac:dyDescent="0.25">
      <c r="A2451" s="1">
        <v>45290</v>
      </c>
      <c r="B2451" s="188" t="s">
        <v>82</v>
      </c>
      <c r="C2451" s="188" t="s">
        <v>207</v>
      </c>
      <c r="D2451" s="188">
        <v>0</v>
      </c>
      <c r="E2451" s="4">
        <v>0</v>
      </c>
      <c r="F2451" s="5">
        <v>0</v>
      </c>
      <c r="G2451" s="4">
        <v>0</v>
      </c>
      <c r="H2451" s="4">
        <v>0</v>
      </c>
      <c r="I2451" s="188" t="str">
        <f>VLOOKUP(C2451,CATEGORIZACION!$A$1:$C$269,2,FALSE)</f>
        <v>AFIP</v>
      </c>
      <c r="J2451" s="188" t="s">
        <v>19</v>
      </c>
    </row>
    <row r="2452" spans="1:10" ht="15.75" customHeight="1" x14ac:dyDescent="0.25">
      <c r="A2452" s="1">
        <v>45290</v>
      </c>
      <c r="B2452" s="188" t="s">
        <v>82</v>
      </c>
      <c r="C2452" s="188" t="s">
        <v>208</v>
      </c>
      <c r="D2452" s="188">
        <v>0</v>
      </c>
      <c r="E2452" s="4">
        <v>0</v>
      </c>
      <c r="F2452" s="5">
        <v>0</v>
      </c>
      <c r="G2452" s="4">
        <v>0</v>
      </c>
      <c r="H2452" s="4">
        <v>0</v>
      </c>
      <c r="I2452" s="188" t="str">
        <f>VLOOKUP(C2452,CATEGORIZACION!$A$1:$C$269,2,FALSE)</f>
        <v>AFIP</v>
      </c>
      <c r="J2452" s="188" t="s">
        <v>19</v>
      </c>
    </row>
    <row r="2453" spans="1:10" ht="15.75" customHeight="1" x14ac:dyDescent="0.25">
      <c r="A2453" s="1">
        <v>45290</v>
      </c>
      <c r="B2453" s="188" t="s">
        <v>82</v>
      </c>
      <c r="C2453" s="188" t="s">
        <v>209</v>
      </c>
      <c r="D2453" s="188">
        <v>0</v>
      </c>
      <c r="E2453" s="4">
        <v>0</v>
      </c>
      <c r="F2453" s="5">
        <v>0</v>
      </c>
      <c r="G2453" s="4">
        <v>0</v>
      </c>
      <c r="H2453" s="4">
        <v>0</v>
      </c>
      <c r="I2453" s="188" t="str">
        <f>VLOOKUP(C2453,CATEGORIZACION!$A$1:$C$269,2,FALSE)</f>
        <v>PROOVEDORES</v>
      </c>
      <c r="J2453" s="188" t="str">
        <f>VLOOKUP(C2453,CATEGORIZACION!$A$1:$C$269,3,FALSE)</f>
        <v>LOGISTICA</v>
      </c>
    </row>
    <row r="2454" spans="1:10" ht="15.75" customHeight="1" x14ac:dyDescent="0.25">
      <c r="A2454" s="1">
        <v>45290</v>
      </c>
      <c r="B2454" s="188" t="s">
        <v>82</v>
      </c>
      <c r="C2454" s="188" t="s">
        <v>210</v>
      </c>
      <c r="D2454" s="188">
        <v>0</v>
      </c>
      <c r="E2454" s="4">
        <v>0</v>
      </c>
      <c r="F2454" s="5">
        <v>0</v>
      </c>
      <c r="G2454" s="4">
        <v>0</v>
      </c>
      <c r="H2454" s="4">
        <v>0</v>
      </c>
      <c r="I2454" s="188" t="str">
        <f>VLOOKUP(C2454,CATEGORIZACION!$A$1:$C$269,2,FALSE)</f>
        <v>PROOVEDORES</v>
      </c>
      <c r="J2454" s="188" t="str">
        <f>VLOOKUP(C2454,CATEGORIZACION!$A$1:$C$269,3,FALSE)</f>
        <v>LOGISTICA</v>
      </c>
    </row>
    <row r="2455" spans="1:10" ht="15.75" customHeight="1" x14ac:dyDescent="0.25">
      <c r="A2455" s="1">
        <v>45290</v>
      </c>
      <c r="B2455" s="188" t="s">
        <v>82</v>
      </c>
      <c r="C2455" s="188" t="s">
        <v>211</v>
      </c>
      <c r="D2455" s="188">
        <v>0</v>
      </c>
      <c r="E2455" s="4">
        <v>0</v>
      </c>
      <c r="F2455" s="5">
        <v>11827</v>
      </c>
      <c r="G2455" s="4">
        <v>0</v>
      </c>
      <c r="H2455" s="4">
        <v>0</v>
      </c>
      <c r="I2455" s="188" t="str">
        <f>VLOOKUP(C2455,CATEGORIZACION!$A$1:$C$269,2,FALSE)</f>
        <v>PROOVEDORES</v>
      </c>
      <c r="J2455" s="188" t="str">
        <f>VLOOKUP(C2455,CATEGORIZACION!$A$1:$C$269,3,FALSE)</f>
        <v>LOGISTICA</v>
      </c>
    </row>
    <row r="2456" spans="1:10" ht="15.75" customHeight="1" x14ac:dyDescent="0.25">
      <c r="A2456" s="1">
        <v>45290</v>
      </c>
      <c r="B2456" s="188" t="s">
        <v>82</v>
      </c>
      <c r="C2456" s="188" t="s">
        <v>2174</v>
      </c>
      <c r="D2456" s="188">
        <v>0</v>
      </c>
      <c r="E2456" s="4">
        <v>0</v>
      </c>
      <c r="F2456" s="5">
        <v>124735</v>
      </c>
      <c r="G2456" s="4">
        <v>0</v>
      </c>
      <c r="H2456" s="4">
        <v>0</v>
      </c>
      <c r="I2456" s="188" t="str">
        <f>VLOOKUP(C2456,CATEGORIZACION!$A$1:$C$269,2,FALSE)</f>
        <v>PROOVEDORES</v>
      </c>
      <c r="J2456" s="188" t="str">
        <f>VLOOKUP(C2456,CATEGORIZACION!$A$1:$C$269,3,FALSE)</f>
        <v>LOGISTICA</v>
      </c>
    </row>
    <row r="2457" spans="1:10" ht="15.75" customHeight="1" x14ac:dyDescent="0.25">
      <c r="A2457" s="1">
        <v>45290</v>
      </c>
      <c r="B2457" s="188" t="s">
        <v>82</v>
      </c>
      <c r="C2457" s="188" t="s">
        <v>1966</v>
      </c>
      <c r="D2457" s="188">
        <v>0</v>
      </c>
      <c r="E2457" s="4">
        <v>0</v>
      </c>
      <c r="F2457" s="5">
        <v>601225</v>
      </c>
      <c r="G2457" s="4">
        <v>0</v>
      </c>
      <c r="H2457" s="4">
        <v>0</v>
      </c>
      <c r="I2457" s="188" t="str">
        <f>VLOOKUP(C2457,CATEGORIZACION!$A$1:$C$269,2,FALSE)</f>
        <v>AFIP</v>
      </c>
      <c r="J2457" s="188" t="s">
        <v>19</v>
      </c>
    </row>
    <row r="2458" spans="1:10" ht="15.75" customHeight="1" x14ac:dyDescent="0.25">
      <c r="A2458" s="1">
        <v>45290</v>
      </c>
      <c r="B2458" s="188" t="s">
        <v>82</v>
      </c>
      <c r="C2458" s="188" t="s">
        <v>2329</v>
      </c>
      <c r="D2458" s="188">
        <v>0</v>
      </c>
      <c r="E2458" s="4">
        <v>0</v>
      </c>
      <c r="F2458" s="3">
        <v>3650000</v>
      </c>
      <c r="G2458" s="4">
        <v>0</v>
      </c>
      <c r="H2458" s="4">
        <v>0</v>
      </c>
      <c r="I2458" s="188" t="str">
        <f>VLOOKUP(C2458,CATEGORIZACION!$A$1:$C$269,2,FALSE)</f>
        <v>PROOVEDORES</v>
      </c>
      <c r="J2458" s="188" t="str">
        <f>VLOOKUP(C2458,CATEGORIZACION!$A$1:$C$269,3,FALSE)</f>
        <v>LOGISTICA</v>
      </c>
    </row>
    <row r="2459" spans="1:10" ht="15.75" customHeight="1" x14ac:dyDescent="0.25">
      <c r="A2459" s="1">
        <v>45290</v>
      </c>
      <c r="B2459" s="188" t="s">
        <v>82</v>
      </c>
      <c r="C2459" s="188" t="s">
        <v>213</v>
      </c>
      <c r="D2459" s="188">
        <v>0</v>
      </c>
      <c r="E2459" s="4">
        <v>0</v>
      </c>
      <c r="F2459" s="5">
        <v>0</v>
      </c>
      <c r="G2459" s="4">
        <v>0</v>
      </c>
      <c r="H2459" s="4">
        <v>0</v>
      </c>
      <c r="I2459" s="188" t="str">
        <f>VLOOKUP(C2459,CATEGORIZACION!$A$1:$C$269,2,FALSE)</f>
        <v>AFIP</v>
      </c>
      <c r="J2459" s="188" t="s">
        <v>19</v>
      </c>
    </row>
    <row r="2460" spans="1:10" ht="15.75" customHeight="1" x14ac:dyDescent="0.25">
      <c r="A2460" s="1">
        <v>45292</v>
      </c>
      <c r="B2460" s="188" t="s">
        <v>2330</v>
      </c>
      <c r="C2460" s="188" t="s">
        <v>218</v>
      </c>
      <c r="D2460" s="188" t="s">
        <v>219</v>
      </c>
      <c r="E2460" s="4">
        <v>0</v>
      </c>
      <c r="F2460" s="5">
        <v>275735.24</v>
      </c>
      <c r="G2460" s="4">
        <v>57904.4</v>
      </c>
      <c r="H2460" s="4">
        <v>333639.64</v>
      </c>
      <c r="I2460" s="188" t="str">
        <f>VLOOKUP(C2460,CATEGORIZACION!$A$1:$C$269,2,FALSE)</f>
        <v>PROOVEDORES</v>
      </c>
      <c r="J2460" s="188" t="str">
        <f>VLOOKUP(C2460,CATEGORIZACION!$A$1:$C$269,3,FALSE)</f>
        <v>LOGISTICA</v>
      </c>
    </row>
    <row r="2461" spans="1:10" ht="15.75" customHeight="1" x14ac:dyDescent="0.25">
      <c r="A2461" s="1">
        <v>45293</v>
      </c>
      <c r="B2461" s="188" t="s">
        <v>1265</v>
      </c>
      <c r="C2461" s="188" t="s">
        <v>441</v>
      </c>
      <c r="D2461" s="188" t="s">
        <v>442</v>
      </c>
      <c r="E2461" s="2">
        <v>0</v>
      </c>
      <c r="F2461" s="3">
        <v>760438</v>
      </c>
      <c r="G2461" s="2">
        <v>159691.98000000001</v>
      </c>
      <c r="H2461" s="2">
        <v>920129.98</v>
      </c>
      <c r="I2461" s="188" t="str">
        <f>VLOOKUP(C2461,CATEGORIZACION!$A$1:$C$269,2,FALSE)</f>
        <v>ALQUILER</v>
      </c>
      <c r="J2461" s="188" t="s">
        <v>103</v>
      </c>
    </row>
    <row r="2462" spans="1:10" ht="15.75" customHeight="1" x14ac:dyDescent="0.25">
      <c r="A2462" s="1">
        <v>45293</v>
      </c>
      <c r="B2462" s="188" t="s">
        <v>2331</v>
      </c>
      <c r="C2462" s="188" t="s">
        <v>14</v>
      </c>
      <c r="D2462" s="188" t="s">
        <v>15</v>
      </c>
      <c r="E2462" s="4">
        <v>0</v>
      </c>
      <c r="F2462" s="3">
        <v>60000</v>
      </c>
      <c r="G2462" s="4">
        <v>12600</v>
      </c>
      <c r="H2462" s="4">
        <v>72600</v>
      </c>
      <c r="I2462" s="188" t="str">
        <f>VLOOKUP(C2462,CATEGORIZACION!$A$1:$C$269,2,FALSE)</f>
        <v>PROOVEDORES</v>
      </c>
      <c r="J2462" s="188" t="str">
        <f>VLOOKUP(C2462,CATEGORIZACION!$A$1:$C$269,3,FALSE)</f>
        <v>DEPOSITO</v>
      </c>
    </row>
    <row r="2463" spans="1:10" ht="15.75" customHeight="1" x14ac:dyDescent="0.25">
      <c r="A2463" s="1">
        <v>45293</v>
      </c>
      <c r="B2463" s="188" t="s">
        <v>445</v>
      </c>
      <c r="C2463" s="188" t="s">
        <v>17</v>
      </c>
      <c r="D2463" s="188" t="s">
        <v>18</v>
      </c>
      <c r="E2463" s="4">
        <v>50720</v>
      </c>
      <c r="F2463" s="5">
        <v>554000</v>
      </c>
      <c r="G2463" s="4">
        <v>116340</v>
      </c>
      <c r="H2463" s="4">
        <v>721060</v>
      </c>
      <c r="I2463" s="188" t="str">
        <f>VLOOKUP(C2463,CATEGORIZACION!$A$1:$C$269,2,FALSE)</f>
        <v>TRANSPORTE</v>
      </c>
      <c r="J2463" s="188" t="s">
        <v>19</v>
      </c>
    </row>
    <row r="2464" spans="1:10" ht="15.75" customHeight="1" x14ac:dyDescent="0.25">
      <c r="A2464" s="1">
        <v>45294</v>
      </c>
      <c r="B2464" s="188" t="s">
        <v>2332</v>
      </c>
      <c r="C2464" s="188" t="s">
        <v>49</v>
      </c>
      <c r="D2464" s="188" t="s">
        <v>50</v>
      </c>
      <c r="E2464" s="4">
        <v>0</v>
      </c>
      <c r="F2464" s="3">
        <v>405350</v>
      </c>
      <c r="G2464" s="4">
        <v>85123.5</v>
      </c>
      <c r="H2464" s="4">
        <v>490473.5</v>
      </c>
      <c r="I2464" s="188" t="str">
        <f>VLOOKUP(C2464,CATEGORIZACION!$A$1:$C$269,2,FALSE)</f>
        <v>PROOVEDORES</v>
      </c>
      <c r="J2464" s="188" t="str">
        <f>VLOOKUP(C2464,CATEGORIZACION!$A$1:$C$269,3,FALSE)</f>
        <v>DEPOSITO</v>
      </c>
    </row>
    <row r="2465" spans="1:10" ht="15.75" customHeight="1" x14ac:dyDescent="0.25">
      <c r="A2465" s="1">
        <v>45294</v>
      </c>
      <c r="B2465" s="188" t="s">
        <v>2333</v>
      </c>
      <c r="C2465" s="188" t="s">
        <v>49</v>
      </c>
      <c r="D2465" s="188" t="s">
        <v>50</v>
      </c>
      <c r="E2465" s="4">
        <v>0</v>
      </c>
      <c r="F2465" s="3">
        <v>405350</v>
      </c>
      <c r="G2465" s="4">
        <v>85123.5</v>
      </c>
      <c r="H2465" s="4">
        <v>490473.5</v>
      </c>
      <c r="I2465" s="188" t="str">
        <f>VLOOKUP(C2465,CATEGORIZACION!$A$1:$C$269,2,FALSE)</f>
        <v>PROOVEDORES</v>
      </c>
      <c r="J2465" s="188" t="str">
        <f>VLOOKUP(C2465,CATEGORIZACION!$A$1:$C$269,3,FALSE)</f>
        <v>DEPOSITO</v>
      </c>
    </row>
    <row r="2466" spans="1:10" ht="15.75" customHeight="1" x14ac:dyDescent="0.25">
      <c r="A2466" s="1">
        <v>45294</v>
      </c>
      <c r="B2466" s="188" t="s">
        <v>2334</v>
      </c>
      <c r="C2466" s="188" t="s">
        <v>337</v>
      </c>
      <c r="D2466" s="188" t="s">
        <v>174</v>
      </c>
      <c r="E2466" s="4">
        <v>0</v>
      </c>
      <c r="F2466" s="5">
        <v>98000</v>
      </c>
      <c r="G2466" s="4">
        <v>20580</v>
      </c>
      <c r="H2466" s="4">
        <v>118580</v>
      </c>
      <c r="I2466" s="188" t="str">
        <f>VLOOKUP(C2466,CATEGORIZACION!$A$1:$C$269,2,FALSE)</f>
        <v>TRANSPORTE</v>
      </c>
      <c r="J2466" s="188" t="s">
        <v>19</v>
      </c>
    </row>
    <row r="2467" spans="1:10" ht="15.75" customHeight="1" x14ac:dyDescent="0.25">
      <c r="A2467" s="1">
        <v>45295</v>
      </c>
      <c r="B2467" s="188" t="s">
        <v>2335</v>
      </c>
      <c r="C2467" s="188" t="s">
        <v>1143</v>
      </c>
      <c r="D2467" s="188" t="s">
        <v>1144</v>
      </c>
      <c r="E2467" s="4">
        <v>0</v>
      </c>
      <c r="F2467" s="3">
        <v>381168</v>
      </c>
      <c r="G2467" s="4">
        <v>80045.279999999999</v>
      </c>
      <c r="H2467" s="4">
        <v>461213.28</v>
      </c>
      <c r="I2467" s="188" t="str">
        <f>VLOOKUP(C2467,CATEGORIZACION!$A$1:$C$269,2,FALSE)</f>
        <v>PROOVEDORES</v>
      </c>
      <c r="J2467" s="188" t="str">
        <f>VLOOKUP(C2467,CATEGORIZACION!$A$1:$C$269,3,FALSE)</f>
        <v>DEPOSITO</v>
      </c>
    </row>
    <row r="2468" spans="1:10" ht="15.75" customHeight="1" x14ac:dyDescent="0.25">
      <c r="A2468" s="1">
        <v>45296</v>
      </c>
      <c r="B2468" s="188" t="s">
        <v>2336</v>
      </c>
      <c r="C2468" s="188" t="s">
        <v>21</v>
      </c>
      <c r="D2468" s="188" t="s">
        <v>22</v>
      </c>
      <c r="E2468" s="4">
        <v>14800</v>
      </c>
      <c r="F2468" s="5">
        <v>298000</v>
      </c>
      <c r="G2468" s="4">
        <v>62580</v>
      </c>
      <c r="H2468" s="4">
        <v>375380</v>
      </c>
      <c r="I2468" s="188" t="str">
        <f>VLOOKUP(C2468,CATEGORIZACION!$A$1:$C$269,2,FALSE)</f>
        <v>TRANSPORTE</v>
      </c>
      <c r="J2468" s="188" t="s">
        <v>19</v>
      </c>
    </row>
    <row r="2469" spans="1:10" ht="15.75" customHeight="1" x14ac:dyDescent="0.25">
      <c r="A2469" s="1">
        <v>45296</v>
      </c>
      <c r="B2469" s="188" t="s">
        <v>2337</v>
      </c>
      <c r="C2469" s="188" t="s">
        <v>21</v>
      </c>
      <c r="D2469" s="188" t="s">
        <v>22</v>
      </c>
      <c r="E2469" s="4">
        <v>37000</v>
      </c>
      <c r="F2469" s="5">
        <v>745000</v>
      </c>
      <c r="G2469" s="4">
        <v>156450</v>
      </c>
      <c r="H2469" s="4">
        <v>938450</v>
      </c>
      <c r="I2469" s="188" t="str">
        <f>VLOOKUP(C2469,CATEGORIZACION!$A$1:$C$269,2,FALSE)</f>
        <v>TRANSPORTE</v>
      </c>
      <c r="J2469" s="188" t="s">
        <v>19</v>
      </c>
    </row>
    <row r="2470" spans="1:10" ht="15.75" customHeight="1" x14ac:dyDescent="0.25">
      <c r="A2470" s="1">
        <v>45298</v>
      </c>
      <c r="B2470" s="188" t="s">
        <v>2338</v>
      </c>
      <c r="C2470" s="188" t="s">
        <v>36</v>
      </c>
      <c r="D2470" s="188" t="s">
        <v>37</v>
      </c>
      <c r="E2470" s="4">
        <v>13000</v>
      </c>
      <c r="F2470" s="5">
        <v>268550</v>
      </c>
      <c r="G2470" s="4">
        <v>56395.5</v>
      </c>
      <c r="H2470" s="4">
        <v>337945.5</v>
      </c>
      <c r="I2470" s="188" t="str">
        <f>VLOOKUP(C2470,CATEGORIZACION!$A$1:$C$269,2,FALSE)</f>
        <v>TRANSPORTE</v>
      </c>
      <c r="J2470" s="188" t="s">
        <v>19</v>
      </c>
    </row>
    <row r="2471" spans="1:10" ht="15.75" customHeight="1" x14ac:dyDescent="0.25">
      <c r="A2471" s="1">
        <v>45298</v>
      </c>
      <c r="B2471" s="188" t="s">
        <v>2339</v>
      </c>
      <c r="C2471" s="188" t="s">
        <v>36</v>
      </c>
      <c r="D2471" s="188" t="s">
        <v>37</v>
      </c>
      <c r="E2471" s="4">
        <v>13000</v>
      </c>
      <c r="F2471" s="5">
        <v>268550</v>
      </c>
      <c r="G2471" s="4">
        <v>56395.5</v>
      </c>
      <c r="H2471" s="4">
        <v>337945.5</v>
      </c>
      <c r="I2471" s="188" t="str">
        <f>VLOOKUP(C2471,CATEGORIZACION!$A$1:$C$269,2,FALSE)</f>
        <v>TRANSPORTE</v>
      </c>
      <c r="J2471" s="188" t="s">
        <v>19</v>
      </c>
    </row>
    <row r="2472" spans="1:10" ht="15.75" customHeight="1" x14ac:dyDescent="0.25">
      <c r="A2472" s="1">
        <v>45298</v>
      </c>
      <c r="B2472" s="188" t="s">
        <v>2340</v>
      </c>
      <c r="C2472" s="188" t="s">
        <v>36</v>
      </c>
      <c r="D2472" s="188" t="s">
        <v>37</v>
      </c>
      <c r="E2472" s="4">
        <v>7400</v>
      </c>
      <c r="F2472" s="5">
        <v>177840</v>
      </c>
      <c r="G2472" s="4">
        <v>37346.400000000001</v>
      </c>
      <c r="H2472" s="4">
        <v>222586.4</v>
      </c>
      <c r="I2472" s="188" t="str">
        <f>VLOOKUP(C2472,CATEGORIZACION!$A$1:$C$269,2,FALSE)</f>
        <v>TRANSPORTE</v>
      </c>
      <c r="J2472" s="188" t="s">
        <v>19</v>
      </c>
    </row>
    <row r="2473" spans="1:10" ht="15.75" customHeight="1" x14ac:dyDescent="0.25">
      <c r="A2473" s="1">
        <v>45298</v>
      </c>
      <c r="B2473" s="188" t="s">
        <v>2341</v>
      </c>
      <c r="C2473" s="188" t="s">
        <v>36</v>
      </c>
      <c r="D2473" s="188" t="s">
        <v>37</v>
      </c>
      <c r="E2473" s="4">
        <v>7400</v>
      </c>
      <c r="F2473" s="5">
        <v>177840</v>
      </c>
      <c r="G2473" s="4">
        <v>37346.400000000001</v>
      </c>
      <c r="H2473" s="4">
        <v>222586.4</v>
      </c>
      <c r="I2473" s="188" t="str">
        <f>VLOOKUP(C2473,CATEGORIZACION!$A$1:$C$269,2,FALSE)</f>
        <v>TRANSPORTE</v>
      </c>
      <c r="J2473" s="188" t="s">
        <v>19</v>
      </c>
    </row>
    <row r="2474" spans="1:10" ht="15.75" customHeight="1" x14ac:dyDescent="0.25">
      <c r="A2474" s="1">
        <v>45298</v>
      </c>
      <c r="B2474" s="188" t="s">
        <v>2342</v>
      </c>
      <c r="C2474" s="188" t="s">
        <v>36</v>
      </c>
      <c r="D2474" s="188" t="s">
        <v>37</v>
      </c>
      <c r="E2474" s="4">
        <v>7400</v>
      </c>
      <c r="F2474" s="5">
        <v>177840</v>
      </c>
      <c r="G2474" s="4">
        <v>37346.400000000001</v>
      </c>
      <c r="H2474" s="4">
        <v>222586.4</v>
      </c>
      <c r="I2474" s="188" t="str">
        <f>VLOOKUP(C2474,CATEGORIZACION!$A$1:$C$269,2,FALSE)</f>
        <v>TRANSPORTE</v>
      </c>
      <c r="J2474" s="188" t="s">
        <v>19</v>
      </c>
    </row>
    <row r="2475" spans="1:10" ht="15.75" customHeight="1" x14ac:dyDescent="0.25">
      <c r="A2475" s="1">
        <v>45298</v>
      </c>
      <c r="B2475" s="188" t="s">
        <v>2343</v>
      </c>
      <c r="C2475" s="188" t="s">
        <v>36</v>
      </c>
      <c r="D2475" s="188" t="s">
        <v>37</v>
      </c>
      <c r="E2475" s="4">
        <v>7400</v>
      </c>
      <c r="F2475" s="5">
        <v>177840</v>
      </c>
      <c r="G2475" s="4">
        <v>37346.400000000001</v>
      </c>
      <c r="H2475" s="4">
        <v>222586.4</v>
      </c>
      <c r="I2475" s="188" t="str">
        <f>VLOOKUP(C2475,CATEGORIZACION!$A$1:$C$269,2,FALSE)</f>
        <v>TRANSPORTE</v>
      </c>
      <c r="J2475" s="188" t="s">
        <v>19</v>
      </c>
    </row>
    <row r="2476" spans="1:10" ht="15.75" customHeight="1" x14ac:dyDescent="0.25">
      <c r="A2476" s="1">
        <v>45298</v>
      </c>
      <c r="B2476" s="188" t="s">
        <v>2344</v>
      </c>
      <c r="C2476" s="188" t="s">
        <v>36</v>
      </c>
      <c r="D2476" s="188" t="s">
        <v>37</v>
      </c>
      <c r="E2476" s="4">
        <v>7400</v>
      </c>
      <c r="F2476" s="5">
        <v>177840</v>
      </c>
      <c r="G2476" s="4">
        <v>37346.400000000001</v>
      </c>
      <c r="H2476" s="4">
        <v>222586.4</v>
      </c>
      <c r="I2476" s="188" t="str">
        <f>VLOOKUP(C2476,CATEGORIZACION!$A$1:$C$269,2,FALSE)</f>
        <v>TRANSPORTE</v>
      </c>
      <c r="J2476" s="188" t="s">
        <v>19</v>
      </c>
    </row>
    <row r="2477" spans="1:10" ht="15.75" customHeight="1" x14ac:dyDescent="0.25">
      <c r="A2477" s="1">
        <v>45298</v>
      </c>
      <c r="B2477" s="188" t="s">
        <v>2345</v>
      </c>
      <c r="C2477" s="188" t="s">
        <v>36</v>
      </c>
      <c r="D2477" s="188" t="s">
        <v>37</v>
      </c>
      <c r="E2477" s="4">
        <v>19300</v>
      </c>
      <c r="F2477" s="5">
        <v>187650</v>
      </c>
      <c r="G2477" s="4">
        <v>39406.5</v>
      </c>
      <c r="H2477" s="4">
        <v>246356.5</v>
      </c>
      <c r="I2477" s="188" t="str">
        <f>VLOOKUP(C2477,CATEGORIZACION!$A$1:$C$269,2,FALSE)</f>
        <v>TRANSPORTE</v>
      </c>
      <c r="J2477" s="188" t="s">
        <v>19</v>
      </c>
    </row>
    <row r="2478" spans="1:10" ht="15.75" customHeight="1" x14ac:dyDescent="0.25">
      <c r="A2478" s="1">
        <v>45298</v>
      </c>
      <c r="B2478" s="188" t="s">
        <v>2346</v>
      </c>
      <c r="C2478" s="188" t="s">
        <v>36</v>
      </c>
      <c r="D2478" s="188" t="s">
        <v>37</v>
      </c>
      <c r="E2478" s="4">
        <v>13000</v>
      </c>
      <c r="F2478" s="5">
        <v>268550</v>
      </c>
      <c r="G2478" s="4">
        <v>56395.5</v>
      </c>
      <c r="H2478" s="4">
        <v>337945.5</v>
      </c>
      <c r="I2478" s="188" t="str">
        <f>VLOOKUP(C2478,CATEGORIZACION!$A$1:$C$269,2,FALSE)</f>
        <v>TRANSPORTE</v>
      </c>
      <c r="J2478" s="188" t="s">
        <v>19</v>
      </c>
    </row>
    <row r="2479" spans="1:10" ht="15.75" customHeight="1" x14ac:dyDescent="0.25">
      <c r="A2479" s="1">
        <v>45298</v>
      </c>
      <c r="B2479" s="188" t="s">
        <v>2347</v>
      </c>
      <c r="C2479" s="188" t="s">
        <v>36</v>
      </c>
      <c r="D2479" s="188" t="s">
        <v>37</v>
      </c>
      <c r="E2479" s="4">
        <v>7400</v>
      </c>
      <c r="F2479" s="5">
        <v>148200</v>
      </c>
      <c r="G2479" s="4">
        <v>31122</v>
      </c>
      <c r="H2479" s="4">
        <v>186722</v>
      </c>
      <c r="I2479" s="188" t="str">
        <f>VLOOKUP(C2479,CATEGORIZACION!$A$1:$C$269,2,FALSE)</f>
        <v>TRANSPORTE</v>
      </c>
      <c r="J2479" s="188" t="s">
        <v>19</v>
      </c>
    </row>
    <row r="2480" spans="1:10" ht="15.75" customHeight="1" x14ac:dyDescent="0.25">
      <c r="A2480" s="1">
        <v>45298</v>
      </c>
      <c r="B2480" s="188" t="s">
        <v>2348</v>
      </c>
      <c r="C2480" s="188" t="s">
        <v>36</v>
      </c>
      <c r="D2480" s="188" t="s">
        <v>37</v>
      </c>
      <c r="E2480" s="4">
        <v>9200</v>
      </c>
      <c r="F2480" s="5">
        <v>119150</v>
      </c>
      <c r="G2480" s="4">
        <v>25021.5</v>
      </c>
      <c r="H2480" s="4">
        <v>153371.5</v>
      </c>
      <c r="I2480" s="188" t="str">
        <f>VLOOKUP(C2480,CATEGORIZACION!$A$1:$C$269,2,FALSE)</f>
        <v>TRANSPORTE</v>
      </c>
      <c r="J2480" s="188" t="s">
        <v>19</v>
      </c>
    </row>
    <row r="2481" spans="1:10" ht="15.75" customHeight="1" x14ac:dyDescent="0.25">
      <c r="A2481" s="1">
        <v>45298</v>
      </c>
      <c r="B2481" s="188" t="s">
        <v>2349</v>
      </c>
      <c r="C2481" s="188" t="s">
        <v>36</v>
      </c>
      <c r="D2481" s="188" t="s">
        <v>37</v>
      </c>
      <c r="E2481" s="4">
        <v>14000</v>
      </c>
      <c r="F2481" s="5">
        <v>143000</v>
      </c>
      <c r="G2481" s="4">
        <v>30030</v>
      </c>
      <c r="H2481" s="4">
        <v>187030</v>
      </c>
      <c r="I2481" s="188" t="str">
        <f>VLOOKUP(C2481,CATEGORIZACION!$A$1:$C$269,2,FALSE)</f>
        <v>TRANSPORTE</v>
      </c>
      <c r="J2481" s="188" t="s">
        <v>19</v>
      </c>
    </row>
    <row r="2482" spans="1:10" ht="15.75" customHeight="1" x14ac:dyDescent="0.25">
      <c r="A2482" s="1">
        <v>45298</v>
      </c>
      <c r="B2482" s="188" t="s">
        <v>2350</v>
      </c>
      <c r="C2482" s="188" t="s">
        <v>36</v>
      </c>
      <c r="D2482" s="188" t="s">
        <v>37</v>
      </c>
      <c r="E2482" s="4">
        <v>14000</v>
      </c>
      <c r="F2482" s="5">
        <v>143000</v>
      </c>
      <c r="G2482" s="4">
        <v>30030</v>
      </c>
      <c r="H2482" s="4">
        <v>187030</v>
      </c>
      <c r="I2482" s="188" t="str">
        <f>VLOOKUP(C2482,CATEGORIZACION!$A$1:$C$269,2,FALSE)</f>
        <v>TRANSPORTE</v>
      </c>
      <c r="J2482" s="188" t="s">
        <v>19</v>
      </c>
    </row>
    <row r="2483" spans="1:10" ht="15.75" customHeight="1" x14ac:dyDescent="0.25">
      <c r="A2483" s="1">
        <v>45298</v>
      </c>
      <c r="B2483" s="188" t="s">
        <v>2351</v>
      </c>
      <c r="C2483" s="188" t="s">
        <v>36</v>
      </c>
      <c r="D2483" s="188" t="s">
        <v>37</v>
      </c>
      <c r="E2483" s="4">
        <v>14000</v>
      </c>
      <c r="F2483" s="5">
        <v>143000</v>
      </c>
      <c r="G2483" s="4">
        <v>30030</v>
      </c>
      <c r="H2483" s="4">
        <v>187030</v>
      </c>
      <c r="I2483" s="188" t="str">
        <f>VLOOKUP(C2483,CATEGORIZACION!$A$1:$C$269,2,FALSE)</f>
        <v>TRANSPORTE</v>
      </c>
      <c r="J2483" s="188" t="s">
        <v>19</v>
      </c>
    </row>
    <row r="2484" spans="1:10" ht="15.75" customHeight="1" x14ac:dyDescent="0.25">
      <c r="A2484" s="1">
        <v>45298</v>
      </c>
      <c r="B2484" s="188" t="s">
        <v>2352</v>
      </c>
      <c r="C2484" s="188" t="s">
        <v>36</v>
      </c>
      <c r="D2484" s="188" t="s">
        <v>37</v>
      </c>
      <c r="E2484" s="4">
        <v>14000</v>
      </c>
      <c r="F2484" s="5">
        <v>143000</v>
      </c>
      <c r="G2484" s="4">
        <v>30030</v>
      </c>
      <c r="H2484" s="4">
        <v>187030</v>
      </c>
      <c r="I2484" s="188" t="str">
        <f>VLOOKUP(C2484,CATEGORIZACION!$A$1:$C$269,2,FALSE)</f>
        <v>TRANSPORTE</v>
      </c>
      <c r="J2484" s="188" t="s">
        <v>19</v>
      </c>
    </row>
    <row r="2485" spans="1:10" ht="15.75" customHeight="1" x14ac:dyDescent="0.25">
      <c r="A2485" s="1">
        <v>45298</v>
      </c>
      <c r="B2485" s="188" t="s">
        <v>2353</v>
      </c>
      <c r="C2485" s="188" t="s">
        <v>36</v>
      </c>
      <c r="D2485" s="188" t="s">
        <v>37</v>
      </c>
      <c r="E2485" s="4">
        <v>14000</v>
      </c>
      <c r="F2485" s="5">
        <v>143000</v>
      </c>
      <c r="G2485" s="4">
        <v>30030</v>
      </c>
      <c r="H2485" s="4">
        <v>187030</v>
      </c>
      <c r="I2485" s="188" t="str">
        <f>VLOOKUP(C2485,CATEGORIZACION!$A$1:$C$269,2,FALSE)</f>
        <v>TRANSPORTE</v>
      </c>
      <c r="J2485" s="188" t="s">
        <v>19</v>
      </c>
    </row>
    <row r="2486" spans="1:10" ht="15.75" customHeight="1" x14ac:dyDescent="0.25">
      <c r="A2486" s="1">
        <v>45298</v>
      </c>
      <c r="B2486" s="188" t="s">
        <v>2354</v>
      </c>
      <c r="C2486" s="188" t="s">
        <v>36</v>
      </c>
      <c r="D2486" s="188" t="s">
        <v>37</v>
      </c>
      <c r="E2486" s="4">
        <v>14000</v>
      </c>
      <c r="F2486" s="5">
        <v>143000</v>
      </c>
      <c r="G2486" s="4">
        <v>30030</v>
      </c>
      <c r="H2486" s="4">
        <v>187030</v>
      </c>
      <c r="I2486" s="188" t="str">
        <f>VLOOKUP(C2486,CATEGORIZACION!$A$1:$C$269,2,FALSE)</f>
        <v>TRANSPORTE</v>
      </c>
      <c r="J2486" s="188" t="s">
        <v>19</v>
      </c>
    </row>
    <row r="2487" spans="1:10" ht="15.75" customHeight="1" x14ac:dyDescent="0.25">
      <c r="A2487" s="1">
        <v>45298</v>
      </c>
      <c r="B2487" s="188" t="s">
        <v>2355</v>
      </c>
      <c r="C2487" s="188" t="s">
        <v>36</v>
      </c>
      <c r="D2487" s="188" t="s">
        <v>37</v>
      </c>
      <c r="E2487" s="4">
        <v>14000</v>
      </c>
      <c r="F2487" s="5">
        <v>143000</v>
      </c>
      <c r="G2487" s="4">
        <v>30030</v>
      </c>
      <c r="H2487" s="4">
        <v>187030</v>
      </c>
      <c r="I2487" s="188" t="str">
        <f>VLOOKUP(C2487,CATEGORIZACION!$A$1:$C$269,2,FALSE)</f>
        <v>TRANSPORTE</v>
      </c>
      <c r="J2487" s="188" t="s">
        <v>19</v>
      </c>
    </row>
    <row r="2488" spans="1:10" ht="15.75" customHeight="1" x14ac:dyDescent="0.25">
      <c r="A2488" s="1">
        <v>45300</v>
      </c>
      <c r="B2488" s="188" t="s">
        <v>2356</v>
      </c>
      <c r="C2488" s="188" t="s">
        <v>21</v>
      </c>
      <c r="D2488" s="188" t="s">
        <v>22</v>
      </c>
      <c r="E2488" s="4">
        <v>32200</v>
      </c>
      <c r="F2488" s="5">
        <v>955000</v>
      </c>
      <c r="G2488" s="4">
        <v>200550</v>
      </c>
      <c r="H2488" s="4">
        <v>1187750</v>
      </c>
      <c r="I2488" s="188" t="str">
        <f>VLOOKUP(C2488,CATEGORIZACION!$A$1:$C$269,2,FALSE)</f>
        <v>TRANSPORTE</v>
      </c>
      <c r="J2488" s="188" t="s">
        <v>19</v>
      </c>
    </row>
    <row r="2489" spans="1:10" ht="15.75" customHeight="1" x14ac:dyDescent="0.25">
      <c r="A2489" s="1">
        <v>45300</v>
      </c>
      <c r="B2489" s="188" t="s">
        <v>2357</v>
      </c>
      <c r="C2489" s="188" t="s">
        <v>21</v>
      </c>
      <c r="D2489" s="188" t="s">
        <v>22</v>
      </c>
      <c r="E2489" s="4">
        <v>17120</v>
      </c>
      <c r="F2489" s="5">
        <v>429000</v>
      </c>
      <c r="G2489" s="4">
        <v>90090</v>
      </c>
      <c r="H2489" s="4">
        <v>536210</v>
      </c>
      <c r="I2489" s="188" t="str">
        <f>VLOOKUP(C2489,CATEGORIZACION!$A$1:$C$269,2,FALSE)</f>
        <v>TRANSPORTE</v>
      </c>
      <c r="J2489" s="188" t="s">
        <v>19</v>
      </c>
    </row>
    <row r="2490" spans="1:10" ht="15.75" customHeight="1" x14ac:dyDescent="0.25">
      <c r="A2490" s="1">
        <v>45301</v>
      </c>
      <c r="B2490" s="188" t="s">
        <v>2358</v>
      </c>
      <c r="C2490" s="188" t="s">
        <v>101</v>
      </c>
      <c r="D2490" s="188" t="s">
        <v>102</v>
      </c>
      <c r="E2490" s="4">
        <v>5602.5</v>
      </c>
      <c r="F2490" s="3">
        <v>1400625</v>
      </c>
      <c r="G2490" s="4">
        <v>294131.25</v>
      </c>
      <c r="H2490" s="4">
        <v>1700358.75</v>
      </c>
      <c r="I2490" s="188" t="str">
        <f>VLOOKUP(C2490,CATEGORIZACION!$A$1:$C$269,2,FALSE)</f>
        <v>ALQUILER</v>
      </c>
      <c r="J2490" s="188" t="s">
        <v>103</v>
      </c>
    </row>
    <row r="2491" spans="1:10" ht="15.75" customHeight="1" x14ac:dyDescent="0.25">
      <c r="A2491" s="1">
        <v>45301</v>
      </c>
      <c r="B2491" s="188" t="s">
        <v>2359</v>
      </c>
      <c r="C2491" s="188" t="s">
        <v>21</v>
      </c>
      <c r="D2491" s="188" t="s">
        <v>22</v>
      </c>
      <c r="E2491" s="4">
        <v>9120</v>
      </c>
      <c r="F2491" s="5">
        <v>204000</v>
      </c>
      <c r="G2491" s="4">
        <v>42840</v>
      </c>
      <c r="H2491" s="4">
        <v>255960</v>
      </c>
      <c r="I2491" s="188" t="str">
        <f>VLOOKUP(C2491,CATEGORIZACION!$A$1:$C$269,2,FALSE)</f>
        <v>TRANSPORTE</v>
      </c>
      <c r="J2491" s="188" t="s">
        <v>19</v>
      </c>
    </row>
    <row r="2492" spans="1:10" ht="15.75" customHeight="1" x14ac:dyDescent="0.25">
      <c r="A2492" s="1">
        <v>45301</v>
      </c>
      <c r="B2492" s="188" t="s">
        <v>2360</v>
      </c>
      <c r="C2492" s="188" t="s">
        <v>21</v>
      </c>
      <c r="D2492" s="188" t="s">
        <v>22</v>
      </c>
      <c r="E2492" s="4">
        <v>0</v>
      </c>
      <c r="F2492" s="5">
        <v>113000</v>
      </c>
      <c r="G2492" s="4">
        <v>23730</v>
      </c>
      <c r="H2492" s="4">
        <v>136730</v>
      </c>
      <c r="I2492" s="188" t="str">
        <f>VLOOKUP(C2492,CATEGORIZACION!$A$1:$C$269,2,FALSE)</f>
        <v>TRANSPORTE</v>
      </c>
      <c r="J2492" s="188" t="s">
        <v>19</v>
      </c>
    </row>
    <row r="2493" spans="1:10" ht="15.75" customHeight="1" x14ac:dyDescent="0.25">
      <c r="A2493" s="1">
        <v>45301</v>
      </c>
      <c r="B2493" s="188" t="s">
        <v>2361</v>
      </c>
      <c r="C2493" s="188" t="s">
        <v>21</v>
      </c>
      <c r="D2493" s="188" t="s">
        <v>22</v>
      </c>
      <c r="E2493" s="4">
        <v>32200</v>
      </c>
      <c r="F2493" s="5">
        <v>885000</v>
      </c>
      <c r="G2493" s="4">
        <v>185850</v>
      </c>
      <c r="H2493" s="4">
        <v>1103050</v>
      </c>
      <c r="I2493" s="188" t="str">
        <f>VLOOKUP(C2493,CATEGORIZACION!$A$1:$C$269,2,FALSE)</f>
        <v>TRANSPORTE</v>
      </c>
      <c r="J2493" s="188" t="s">
        <v>19</v>
      </c>
    </row>
    <row r="2494" spans="1:10" ht="15.75" customHeight="1" x14ac:dyDescent="0.25">
      <c r="A2494" s="1">
        <v>45301</v>
      </c>
      <c r="B2494" s="188" t="s">
        <v>2362</v>
      </c>
      <c r="C2494" s="188" t="s">
        <v>21</v>
      </c>
      <c r="D2494" s="188" t="s">
        <v>22</v>
      </c>
      <c r="E2494" s="4">
        <v>9120</v>
      </c>
      <c r="F2494" s="5">
        <v>356000</v>
      </c>
      <c r="G2494" s="4">
        <v>74760</v>
      </c>
      <c r="H2494" s="4">
        <v>439880</v>
      </c>
      <c r="I2494" s="188" t="str">
        <f>VLOOKUP(C2494,CATEGORIZACION!$A$1:$C$269,2,FALSE)</f>
        <v>TRANSPORTE</v>
      </c>
      <c r="J2494" s="188" t="s">
        <v>19</v>
      </c>
    </row>
    <row r="2495" spans="1:10" ht="15.75" customHeight="1" x14ac:dyDescent="0.25">
      <c r="A2495" s="1">
        <v>45301</v>
      </c>
      <c r="B2495" s="188" t="s">
        <v>2363</v>
      </c>
      <c r="C2495" s="188" t="s">
        <v>21</v>
      </c>
      <c r="D2495" s="188" t="s">
        <v>22</v>
      </c>
      <c r="E2495" s="4">
        <v>22560</v>
      </c>
      <c r="F2495" s="5">
        <v>447000</v>
      </c>
      <c r="G2495" s="4">
        <v>93870</v>
      </c>
      <c r="H2495" s="4">
        <v>563430</v>
      </c>
      <c r="I2495" s="188" t="str">
        <f>VLOOKUP(C2495,CATEGORIZACION!$A$1:$C$269,2,FALSE)</f>
        <v>TRANSPORTE</v>
      </c>
      <c r="J2495" s="188" t="s">
        <v>19</v>
      </c>
    </row>
    <row r="2496" spans="1:10" ht="15.75" customHeight="1" x14ac:dyDescent="0.25">
      <c r="A2496" s="1">
        <v>45301</v>
      </c>
      <c r="B2496" s="188" t="s">
        <v>2364</v>
      </c>
      <c r="C2496" s="188" t="s">
        <v>21</v>
      </c>
      <c r="D2496" s="188" t="s">
        <v>22</v>
      </c>
      <c r="E2496" s="4">
        <v>15040</v>
      </c>
      <c r="F2496" s="5">
        <v>370000</v>
      </c>
      <c r="G2496" s="4">
        <v>77700</v>
      </c>
      <c r="H2496" s="4">
        <v>462740</v>
      </c>
      <c r="I2496" s="188" t="str">
        <f>VLOOKUP(C2496,CATEGORIZACION!$A$1:$C$269,2,FALSE)</f>
        <v>TRANSPORTE</v>
      </c>
      <c r="J2496" s="188" t="s">
        <v>19</v>
      </c>
    </row>
    <row r="2497" spans="1:10" ht="15.75" customHeight="1" x14ac:dyDescent="0.25">
      <c r="A2497" s="1">
        <v>45301</v>
      </c>
      <c r="B2497" s="188" t="s">
        <v>2365</v>
      </c>
      <c r="C2497" s="188" t="s">
        <v>21</v>
      </c>
      <c r="D2497" s="188" t="s">
        <v>22</v>
      </c>
      <c r="E2497" s="4">
        <v>46560</v>
      </c>
      <c r="F2497" s="5">
        <v>1287000</v>
      </c>
      <c r="G2497" s="4">
        <v>270270</v>
      </c>
      <c r="H2497" s="4">
        <v>1603830</v>
      </c>
      <c r="I2497" s="188" t="str">
        <f>VLOOKUP(C2497,CATEGORIZACION!$A$1:$C$269,2,FALSE)</f>
        <v>TRANSPORTE</v>
      </c>
      <c r="J2497" s="188" t="s">
        <v>19</v>
      </c>
    </row>
    <row r="2498" spans="1:10" ht="15.75" customHeight="1" x14ac:dyDescent="0.25">
      <c r="A2498" s="1">
        <v>45303</v>
      </c>
      <c r="B2498" s="188" t="s">
        <v>2366</v>
      </c>
      <c r="C2498" s="188" t="s">
        <v>17</v>
      </c>
      <c r="D2498" s="188" t="s">
        <v>18</v>
      </c>
      <c r="E2498" s="4">
        <v>24826</v>
      </c>
      <c r="F2498" s="5">
        <v>477000</v>
      </c>
      <c r="G2498" s="4">
        <v>100170</v>
      </c>
      <c r="H2498" s="4">
        <v>601996</v>
      </c>
      <c r="I2498" s="188" t="str">
        <f>VLOOKUP(C2498,CATEGORIZACION!$A$1:$C$269,2,FALSE)</f>
        <v>TRANSPORTE</v>
      </c>
      <c r="J2498" s="188" t="s">
        <v>19</v>
      </c>
    </row>
    <row r="2499" spans="1:10" ht="15.75" customHeight="1" x14ac:dyDescent="0.25">
      <c r="A2499" s="1">
        <v>45303</v>
      </c>
      <c r="B2499" s="188" t="s">
        <v>2367</v>
      </c>
      <c r="C2499" s="188" t="s">
        <v>17</v>
      </c>
      <c r="D2499" s="188" t="s">
        <v>18</v>
      </c>
      <c r="E2499" s="4">
        <v>49650</v>
      </c>
      <c r="F2499" s="5">
        <v>877000</v>
      </c>
      <c r="G2499" s="4">
        <v>184170</v>
      </c>
      <c r="H2499" s="4">
        <v>1110820</v>
      </c>
      <c r="I2499" s="188" t="str">
        <f>VLOOKUP(C2499,CATEGORIZACION!$A$1:$C$269,2,FALSE)</f>
        <v>TRANSPORTE</v>
      </c>
      <c r="J2499" s="188" t="s">
        <v>19</v>
      </c>
    </row>
    <row r="2500" spans="1:10" ht="15.75" customHeight="1" x14ac:dyDescent="0.25">
      <c r="A2500" s="1">
        <v>45303</v>
      </c>
      <c r="B2500" s="188" t="s">
        <v>2368</v>
      </c>
      <c r="C2500" s="188" t="s">
        <v>17</v>
      </c>
      <c r="D2500" s="188" t="s">
        <v>18</v>
      </c>
      <c r="E2500" s="4">
        <v>52810</v>
      </c>
      <c r="F2500" s="5">
        <v>608000</v>
      </c>
      <c r="G2500" s="4">
        <v>127680</v>
      </c>
      <c r="H2500" s="4">
        <v>788490</v>
      </c>
      <c r="I2500" s="188" t="str">
        <f>VLOOKUP(C2500,CATEGORIZACION!$A$1:$C$269,2,FALSE)</f>
        <v>TRANSPORTE</v>
      </c>
      <c r="J2500" s="188" t="s">
        <v>19</v>
      </c>
    </row>
    <row r="2501" spans="1:10" ht="15.75" customHeight="1" x14ac:dyDescent="0.25">
      <c r="A2501" s="1">
        <v>45303</v>
      </c>
      <c r="B2501" s="188" t="s">
        <v>2369</v>
      </c>
      <c r="C2501" s="188" t="s">
        <v>17</v>
      </c>
      <c r="D2501" s="188" t="s">
        <v>18</v>
      </c>
      <c r="E2501" s="4">
        <v>76411</v>
      </c>
      <c r="F2501" s="5">
        <v>910000</v>
      </c>
      <c r="G2501" s="4">
        <v>191100</v>
      </c>
      <c r="H2501" s="4">
        <v>1177511</v>
      </c>
      <c r="I2501" s="188" t="str">
        <f>VLOOKUP(C2501,CATEGORIZACION!$A$1:$C$269,2,FALSE)</f>
        <v>TRANSPORTE</v>
      </c>
      <c r="J2501" s="188" t="s">
        <v>19</v>
      </c>
    </row>
    <row r="2502" spans="1:10" ht="15.75" customHeight="1" x14ac:dyDescent="0.25">
      <c r="A2502" s="1">
        <v>45303</v>
      </c>
      <c r="B2502" s="188" t="s">
        <v>2370</v>
      </c>
      <c r="C2502" s="188" t="s">
        <v>36</v>
      </c>
      <c r="D2502" s="188" t="s">
        <v>37</v>
      </c>
      <c r="E2502" s="4">
        <v>14000</v>
      </c>
      <c r="F2502" s="5">
        <v>143000</v>
      </c>
      <c r="G2502" s="4">
        <v>30030</v>
      </c>
      <c r="H2502" s="4">
        <v>187030</v>
      </c>
      <c r="I2502" s="188" t="str">
        <f>VLOOKUP(C2502,CATEGORIZACION!$A$1:$C$269,2,FALSE)</f>
        <v>TRANSPORTE</v>
      </c>
      <c r="J2502" s="188" t="s">
        <v>19</v>
      </c>
    </row>
    <row r="2503" spans="1:10" ht="15.75" customHeight="1" x14ac:dyDescent="0.25">
      <c r="A2503" s="1">
        <v>45303</v>
      </c>
      <c r="B2503" s="188" t="s">
        <v>2371</v>
      </c>
      <c r="C2503" s="188" t="s">
        <v>36</v>
      </c>
      <c r="D2503" s="188" t="s">
        <v>37</v>
      </c>
      <c r="E2503" s="4">
        <v>14000</v>
      </c>
      <c r="F2503" s="5">
        <v>185900</v>
      </c>
      <c r="G2503" s="4">
        <v>39039</v>
      </c>
      <c r="H2503" s="4">
        <v>238939</v>
      </c>
      <c r="I2503" s="188" t="str">
        <f>VLOOKUP(C2503,CATEGORIZACION!$A$1:$C$269,2,FALSE)</f>
        <v>TRANSPORTE</v>
      </c>
      <c r="J2503" s="188" t="s">
        <v>19</v>
      </c>
    </row>
    <row r="2504" spans="1:10" ht="15.75" customHeight="1" x14ac:dyDescent="0.25">
      <c r="A2504" s="1">
        <v>45303</v>
      </c>
      <c r="B2504" s="188" t="s">
        <v>2372</v>
      </c>
      <c r="C2504" s="188" t="s">
        <v>36</v>
      </c>
      <c r="D2504" s="188" t="s">
        <v>37</v>
      </c>
      <c r="E2504" s="4">
        <v>9500</v>
      </c>
      <c r="F2504" s="5">
        <v>100800</v>
      </c>
      <c r="G2504" s="4">
        <v>21168</v>
      </c>
      <c r="H2504" s="4">
        <v>131468</v>
      </c>
      <c r="I2504" s="188" t="str">
        <f>VLOOKUP(C2504,CATEGORIZACION!$A$1:$C$269,2,FALSE)</f>
        <v>TRANSPORTE</v>
      </c>
      <c r="J2504" s="188" t="s">
        <v>19</v>
      </c>
    </row>
    <row r="2505" spans="1:10" ht="15.75" customHeight="1" x14ac:dyDescent="0.25">
      <c r="A2505" s="1">
        <v>45303</v>
      </c>
      <c r="B2505" s="188" t="s">
        <v>2373</v>
      </c>
      <c r="C2505" s="188" t="s">
        <v>426</v>
      </c>
      <c r="D2505" s="188" t="s">
        <v>427</v>
      </c>
      <c r="E2505" s="4">
        <v>2495</v>
      </c>
      <c r="F2505" s="5">
        <v>50004.13</v>
      </c>
      <c r="G2505" s="4">
        <v>10500.87</v>
      </c>
      <c r="H2505" s="4">
        <v>63000</v>
      </c>
      <c r="I2505" s="188" t="str">
        <f>VLOOKUP(C2505,CATEGORIZACION!$A$1:$C$269,2,FALSE)</f>
        <v>PROOVEDORES</v>
      </c>
      <c r="J2505" s="188" t="str">
        <f>VLOOKUP(C2505,CATEGORIZACION!$A$1:$C$269,3,FALSE)</f>
        <v>LOGISTICA</v>
      </c>
    </row>
    <row r="2506" spans="1:10" ht="15.75" customHeight="1" x14ac:dyDescent="0.25">
      <c r="A2506" s="1">
        <v>45306</v>
      </c>
      <c r="B2506" s="188" t="s">
        <v>2374</v>
      </c>
      <c r="C2506" s="188" t="s">
        <v>36</v>
      </c>
      <c r="D2506" s="188" t="s">
        <v>37</v>
      </c>
      <c r="E2506" s="4">
        <v>0</v>
      </c>
      <c r="F2506" s="5">
        <v>-143000</v>
      </c>
      <c r="G2506" s="4">
        <v>-30030</v>
      </c>
      <c r="H2506" s="4">
        <v>-173030</v>
      </c>
      <c r="I2506" s="188" t="str">
        <f>VLOOKUP(C2506,CATEGORIZACION!$A$1:$C$269,2,FALSE)</f>
        <v>TRANSPORTE</v>
      </c>
      <c r="J2506" s="188" t="s">
        <v>19</v>
      </c>
    </row>
    <row r="2507" spans="1:10" ht="15.75" customHeight="1" x14ac:dyDescent="0.25">
      <c r="A2507" s="1">
        <v>45306</v>
      </c>
      <c r="B2507" s="188" t="s">
        <v>2375</v>
      </c>
      <c r="C2507" s="188" t="s">
        <v>84</v>
      </c>
      <c r="D2507" s="188" t="s">
        <v>85</v>
      </c>
      <c r="E2507" s="4">
        <v>39757.230000000003</v>
      </c>
      <c r="F2507" s="5">
        <v>1533798.56</v>
      </c>
      <c r="G2507" s="4">
        <v>322097.7</v>
      </c>
      <c r="H2507" s="4">
        <v>1895653.49</v>
      </c>
      <c r="I2507" s="188" t="str">
        <f>VLOOKUP(C2507,CATEGORIZACION!$A$1:$C$269,2,FALSE)</f>
        <v>PROOVEDORES</v>
      </c>
      <c r="J2507" s="188" t="str">
        <f>VLOOKUP(C2507,CATEGORIZACION!$A$1:$C$269,3,FALSE)</f>
        <v>LOGISTICA</v>
      </c>
    </row>
    <row r="2508" spans="1:10" ht="15.75" customHeight="1" x14ac:dyDescent="0.25">
      <c r="A2508" s="1">
        <v>45306</v>
      </c>
      <c r="B2508" s="188" t="s">
        <v>2376</v>
      </c>
      <c r="C2508" s="188" t="s">
        <v>36</v>
      </c>
      <c r="D2508" s="188" t="s">
        <v>37</v>
      </c>
      <c r="E2508" s="4">
        <v>14000</v>
      </c>
      <c r="F2508" s="5">
        <v>157300</v>
      </c>
      <c r="G2508" s="4">
        <v>33033</v>
      </c>
      <c r="H2508" s="4">
        <v>204333</v>
      </c>
      <c r="I2508" s="188" t="str">
        <f>VLOOKUP(C2508,CATEGORIZACION!$A$1:$C$269,2,FALSE)</f>
        <v>TRANSPORTE</v>
      </c>
      <c r="J2508" s="188" t="s">
        <v>19</v>
      </c>
    </row>
    <row r="2509" spans="1:10" ht="15.75" customHeight="1" x14ac:dyDescent="0.25">
      <c r="A2509" s="1">
        <v>45306</v>
      </c>
      <c r="B2509" s="188" t="s">
        <v>2377</v>
      </c>
      <c r="C2509" s="188" t="s">
        <v>36</v>
      </c>
      <c r="D2509" s="188" t="s">
        <v>37</v>
      </c>
      <c r="E2509" s="4">
        <v>0</v>
      </c>
      <c r="F2509" s="5">
        <v>143000</v>
      </c>
      <c r="G2509" s="4">
        <v>30030</v>
      </c>
      <c r="H2509" s="4">
        <v>173030</v>
      </c>
      <c r="I2509" s="188" t="str">
        <f>VLOOKUP(C2509,CATEGORIZACION!$A$1:$C$269,2,FALSE)</f>
        <v>TRANSPORTE</v>
      </c>
      <c r="J2509" s="188" t="s">
        <v>19</v>
      </c>
    </row>
    <row r="2510" spans="1:10" ht="15.75" customHeight="1" x14ac:dyDescent="0.25">
      <c r="A2510" s="1">
        <v>45306</v>
      </c>
      <c r="B2510" s="188" t="s">
        <v>2378</v>
      </c>
      <c r="C2510" s="188" t="s">
        <v>36</v>
      </c>
      <c r="D2510" s="188" t="s">
        <v>37</v>
      </c>
      <c r="E2510" s="4">
        <v>14000</v>
      </c>
      <c r="F2510" s="5">
        <v>143000</v>
      </c>
      <c r="G2510" s="4">
        <v>30030</v>
      </c>
      <c r="H2510" s="4">
        <v>187030</v>
      </c>
      <c r="I2510" s="188" t="str">
        <f>VLOOKUP(C2510,CATEGORIZACION!$A$1:$C$269,2,FALSE)</f>
        <v>TRANSPORTE</v>
      </c>
      <c r="J2510" s="188" t="s">
        <v>19</v>
      </c>
    </row>
    <row r="2511" spans="1:10" ht="15.75" customHeight="1" x14ac:dyDescent="0.25">
      <c r="A2511" s="1">
        <v>45306</v>
      </c>
      <c r="B2511" s="188" t="s">
        <v>2379</v>
      </c>
      <c r="C2511" s="188" t="s">
        <v>36</v>
      </c>
      <c r="D2511" s="188" t="s">
        <v>37</v>
      </c>
      <c r="E2511" s="4">
        <v>14000</v>
      </c>
      <c r="F2511" s="5">
        <v>143000</v>
      </c>
      <c r="G2511" s="4">
        <v>30030</v>
      </c>
      <c r="H2511" s="4">
        <v>187030</v>
      </c>
      <c r="I2511" s="188" t="str">
        <f>VLOOKUP(C2511,CATEGORIZACION!$A$1:$C$269,2,FALSE)</f>
        <v>TRANSPORTE</v>
      </c>
      <c r="J2511" s="188" t="s">
        <v>19</v>
      </c>
    </row>
    <row r="2512" spans="1:10" ht="15.75" customHeight="1" x14ac:dyDescent="0.25">
      <c r="A2512" s="1">
        <v>45306</v>
      </c>
      <c r="B2512" s="188" t="s">
        <v>2380</v>
      </c>
      <c r="C2512" s="188" t="s">
        <v>36</v>
      </c>
      <c r="D2512" s="188" t="s">
        <v>37</v>
      </c>
      <c r="E2512" s="4">
        <v>9500</v>
      </c>
      <c r="F2512" s="5">
        <v>100800</v>
      </c>
      <c r="G2512" s="4">
        <v>21168</v>
      </c>
      <c r="H2512" s="4">
        <v>131468</v>
      </c>
      <c r="I2512" s="188" t="str">
        <f>VLOOKUP(C2512,CATEGORIZACION!$A$1:$C$269,2,FALSE)</f>
        <v>TRANSPORTE</v>
      </c>
      <c r="J2512" s="188" t="s">
        <v>19</v>
      </c>
    </row>
    <row r="2513" spans="1:10" ht="15.75" customHeight="1" x14ac:dyDescent="0.25">
      <c r="A2513" s="1">
        <v>45306</v>
      </c>
      <c r="B2513" s="188" t="s">
        <v>2381</v>
      </c>
      <c r="C2513" s="188" t="s">
        <v>36</v>
      </c>
      <c r="D2513" s="188" t="s">
        <v>37</v>
      </c>
      <c r="E2513" s="4">
        <v>14000</v>
      </c>
      <c r="F2513" s="5">
        <v>143000</v>
      </c>
      <c r="G2513" s="4">
        <v>30030</v>
      </c>
      <c r="H2513" s="4">
        <v>187030</v>
      </c>
      <c r="I2513" s="188" t="str">
        <f>VLOOKUP(C2513,CATEGORIZACION!$A$1:$C$269,2,FALSE)</f>
        <v>TRANSPORTE</v>
      </c>
      <c r="J2513" s="188" t="s">
        <v>19</v>
      </c>
    </row>
    <row r="2514" spans="1:10" ht="15.75" customHeight="1" x14ac:dyDescent="0.25">
      <c r="A2514" s="1">
        <v>45308</v>
      </c>
      <c r="B2514" s="188" t="s">
        <v>2382</v>
      </c>
      <c r="C2514" s="188" t="s">
        <v>36</v>
      </c>
      <c r="D2514" s="188" t="s">
        <v>37</v>
      </c>
      <c r="E2514" s="4">
        <v>19300</v>
      </c>
      <c r="F2514" s="5">
        <v>268550</v>
      </c>
      <c r="G2514" s="4">
        <v>56395.5</v>
      </c>
      <c r="H2514" s="4">
        <v>344245.5</v>
      </c>
      <c r="I2514" s="188" t="str">
        <f>VLOOKUP(C2514,CATEGORIZACION!$A$1:$C$269,2,FALSE)</f>
        <v>TRANSPORTE</v>
      </c>
      <c r="J2514" s="188" t="s">
        <v>19</v>
      </c>
    </row>
    <row r="2515" spans="1:10" ht="15.75" customHeight="1" x14ac:dyDescent="0.25">
      <c r="A2515" s="1">
        <v>45308</v>
      </c>
      <c r="B2515" s="188" t="s">
        <v>2383</v>
      </c>
      <c r="C2515" s="188" t="s">
        <v>36</v>
      </c>
      <c r="D2515" s="188" t="s">
        <v>37</v>
      </c>
      <c r="E2515" s="4">
        <v>18000</v>
      </c>
      <c r="F2515" s="5">
        <v>224400</v>
      </c>
      <c r="G2515" s="4">
        <v>47124</v>
      </c>
      <c r="H2515" s="4">
        <v>289524</v>
      </c>
      <c r="I2515" s="188" t="str">
        <f>VLOOKUP(C2515,CATEGORIZACION!$A$1:$C$269,2,FALSE)</f>
        <v>TRANSPORTE</v>
      </c>
      <c r="J2515" s="188" t="s">
        <v>19</v>
      </c>
    </row>
    <row r="2516" spans="1:10" ht="15.75" customHeight="1" x14ac:dyDescent="0.25">
      <c r="A2516" s="1">
        <v>45308</v>
      </c>
      <c r="B2516" s="188" t="s">
        <v>2384</v>
      </c>
      <c r="C2516" s="188" t="s">
        <v>36</v>
      </c>
      <c r="D2516" s="188" t="s">
        <v>37</v>
      </c>
      <c r="E2516" s="4">
        <v>7400</v>
      </c>
      <c r="F2516" s="5">
        <v>241050</v>
      </c>
      <c r="G2516" s="4">
        <v>50620.5</v>
      </c>
      <c r="H2516" s="4">
        <v>299070.5</v>
      </c>
      <c r="I2516" s="188" t="str">
        <f>VLOOKUP(C2516,CATEGORIZACION!$A$1:$C$269,2,FALSE)</f>
        <v>TRANSPORTE</v>
      </c>
      <c r="J2516" s="188" t="s">
        <v>19</v>
      </c>
    </row>
    <row r="2517" spans="1:10" ht="15.75" customHeight="1" x14ac:dyDescent="0.25">
      <c r="A2517" s="1">
        <v>45308</v>
      </c>
      <c r="B2517" s="188" t="s">
        <v>2385</v>
      </c>
      <c r="C2517" s="188" t="s">
        <v>253</v>
      </c>
      <c r="D2517" s="188" t="s">
        <v>57</v>
      </c>
      <c r="E2517" s="4">
        <v>0</v>
      </c>
      <c r="F2517" s="5">
        <v>109255.87</v>
      </c>
      <c r="G2517" s="4">
        <v>22943.73</v>
      </c>
      <c r="H2517" s="4">
        <v>132199.6</v>
      </c>
      <c r="I2517" s="188" t="str">
        <f>VLOOKUP(C2517,CATEGORIZACION!$A$1:$C$269,2,FALSE)</f>
        <v>PROOVEDORES</v>
      </c>
      <c r="J2517" s="188" t="str">
        <f>VLOOKUP(C2517,CATEGORIZACION!$A$1:$C$269,3,FALSE)</f>
        <v>LOGISTICA</v>
      </c>
    </row>
    <row r="2518" spans="1:10" ht="15.75" customHeight="1" x14ac:dyDescent="0.25">
      <c r="A2518" s="1">
        <v>45308</v>
      </c>
      <c r="B2518" s="188" t="s">
        <v>2386</v>
      </c>
      <c r="C2518" s="188" t="s">
        <v>2387</v>
      </c>
      <c r="D2518" s="188" t="s">
        <v>2388</v>
      </c>
      <c r="E2518" s="4">
        <v>140000</v>
      </c>
      <c r="F2518" s="5">
        <v>0</v>
      </c>
      <c r="G2518" s="4">
        <v>0</v>
      </c>
      <c r="H2518" s="4">
        <v>140000</v>
      </c>
      <c r="I2518" s="188" t="str">
        <f>VLOOKUP(C2518,CATEGORIZACION!$A$1:$C$269,2,FALSE)</f>
        <v>PROOVEDORES</v>
      </c>
      <c r="J2518" s="188" t="str">
        <f>VLOOKUP(C2518,CATEGORIZACION!$A$1:$C$269,3,FALSE)</f>
        <v>LOGISTICA</v>
      </c>
    </row>
    <row r="2519" spans="1:10" ht="15.75" customHeight="1" x14ac:dyDescent="0.25">
      <c r="A2519" s="1">
        <v>45309</v>
      </c>
      <c r="B2519" s="188" t="s">
        <v>2389</v>
      </c>
      <c r="C2519" s="188" t="s">
        <v>1158</v>
      </c>
      <c r="D2519" s="188" t="s">
        <v>1159</v>
      </c>
      <c r="E2519" s="4">
        <v>0</v>
      </c>
      <c r="F2519" s="5">
        <v>32000</v>
      </c>
      <c r="G2519" s="4">
        <v>6720</v>
      </c>
      <c r="H2519" s="4">
        <v>38720</v>
      </c>
      <c r="I2519" s="188" t="str">
        <f>VLOOKUP(C2519,CATEGORIZACION!$A$1:$C$269,2,FALSE)</f>
        <v>PROOVEDORES</v>
      </c>
      <c r="J2519" s="188" t="str">
        <f>VLOOKUP(C2519,CATEGORIZACION!$A$1:$C$269,3,FALSE)</f>
        <v>LOGISTICA</v>
      </c>
    </row>
    <row r="2520" spans="1:10" ht="15.75" customHeight="1" x14ac:dyDescent="0.25">
      <c r="A2520" s="1">
        <v>45309</v>
      </c>
      <c r="B2520" s="188" t="s">
        <v>2390</v>
      </c>
      <c r="C2520" s="188" t="s">
        <v>1158</v>
      </c>
      <c r="D2520" s="188" t="s">
        <v>1159</v>
      </c>
      <c r="E2520" s="4">
        <v>0</v>
      </c>
      <c r="F2520" s="5">
        <v>11172</v>
      </c>
      <c r="G2520" s="4">
        <v>2346.12</v>
      </c>
      <c r="H2520" s="4">
        <v>13518.12</v>
      </c>
      <c r="I2520" s="188" t="str">
        <f>VLOOKUP(C2520,CATEGORIZACION!$A$1:$C$269,2,FALSE)</f>
        <v>PROOVEDORES</v>
      </c>
      <c r="J2520" s="188" t="str">
        <f>VLOOKUP(C2520,CATEGORIZACION!$A$1:$C$269,3,FALSE)</f>
        <v>LOGISTICA</v>
      </c>
    </row>
    <row r="2521" spans="1:10" ht="15.75" customHeight="1" x14ac:dyDescent="0.25">
      <c r="A2521" s="1">
        <v>45309</v>
      </c>
      <c r="B2521" s="188" t="s">
        <v>2391</v>
      </c>
      <c r="C2521" s="188" t="s">
        <v>21</v>
      </c>
      <c r="D2521" s="188" t="s">
        <v>22</v>
      </c>
      <c r="E2521" s="4">
        <v>15040</v>
      </c>
      <c r="F2521" s="5">
        <v>370000</v>
      </c>
      <c r="G2521" s="4">
        <v>77700</v>
      </c>
      <c r="H2521" s="4">
        <v>462740</v>
      </c>
      <c r="I2521" s="188" t="str">
        <f>VLOOKUP(C2521,CATEGORIZACION!$A$1:$C$269,2,FALSE)</f>
        <v>TRANSPORTE</v>
      </c>
      <c r="J2521" s="188" t="s">
        <v>19</v>
      </c>
    </row>
    <row r="2522" spans="1:10" ht="15.75" customHeight="1" x14ac:dyDescent="0.25">
      <c r="A2522" s="1">
        <v>45309</v>
      </c>
      <c r="B2522" s="188" t="s">
        <v>2392</v>
      </c>
      <c r="C2522" s="188" t="s">
        <v>21</v>
      </c>
      <c r="D2522" s="188" t="s">
        <v>22</v>
      </c>
      <c r="E2522" s="4">
        <v>18740</v>
      </c>
      <c r="F2522" s="5">
        <v>298000</v>
      </c>
      <c r="G2522" s="4">
        <v>62580</v>
      </c>
      <c r="H2522" s="4">
        <v>379320</v>
      </c>
      <c r="I2522" s="188" t="str">
        <f>VLOOKUP(C2522,CATEGORIZACION!$A$1:$C$269,2,FALSE)</f>
        <v>TRANSPORTE</v>
      </c>
      <c r="J2522" s="188" t="s">
        <v>19</v>
      </c>
    </row>
    <row r="2523" spans="1:10" ht="15.75" customHeight="1" x14ac:dyDescent="0.25">
      <c r="A2523" s="1">
        <v>45309</v>
      </c>
      <c r="B2523" s="188" t="s">
        <v>2393</v>
      </c>
      <c r="C2523" s="188" t="s">
        <v>21</v>
      </c>
      <c r="D2523" s="188" t="s">
        <v>22</v>
      </c>
      <c r="E2523" s="4">
        <v>37920</v>
      </c>
      <c r="F2523" s="5">
        <v>555000</v>
      </c>
      <c r="G2523" s="4">
        <v>116550</v>
      </c>
      <c r="H2523" s="4">
        <v>709470</v>
      </c>
      <c r="I2523" s="188" t="str">
        <f>VLOOKUP(C2523,CATEGORIZACION!$A$1:$C$269,2,FALSE)</f>
        <v>TRANSPORTE</v>
      </c>
      <c r="J2523" s="188" t="s">
        <v>19</v>
      </c>
    </row>
    <row r="2524" spans="1:10" ht="15.75" customHeight="1" x14ac:dyDescent="0.25">
      <c r="A2524" s="1">
        <v>45309</v>
      </c>
      <c r="B2524" s="188" t="s">
        <v>2394</v>
      </c>
      <c r="C2524" s="188" t="s">
        <v>21</v>
      </c>
      <c r="D2524" s="188" t="s">
        <v>22</v>
      </c>
      <c r="E2524" s="4">
        <v>7520</v>
      </c>
      <c r="F2524" s="5">
        <v>204000</v>
      </c>
      <c r="G2524" s="4">
        <v>42840</v>
      </c>
      <c r="H2524" s="4">
        <v>254360</v>
      </c>
      <c r="I2524" s="188" t="str">
        <f>VLOOKUP(C2524,CATEGORIZACION!$A$1:$C$269,2,FALSE)</f>
        <v>TRANSPORTE</v>
      </c>
      <c r="J2524" s="188" t="s">
        <v>19</v>
      </c>
    </row>
    <row r="2525" spans="1:10" ht="15.75" customHeight="1" x14ac:dyDescent="0.25">
      <c r="A2525" s="1">
        <v>45309</v>
      </c>
      <c r="B2525" s="188" t="s">
        <v>2395</v>
      </c>
      <c r="C2525" s="188" t="s">
        <v>36</v>
      </c>
      <c r="D2525" s="188" t="s">
        <v>37</v>
      </c>
      <c r="E2525" s="4">
        <v>7399.9999999999627</v>
      </c>
      <c r="F2525" s="5">
        <v>266760</v>
      </c>
      <c r="G2525" s="4">
        <v>56019.6</v>
      </c>
      <c r="H2525" s="4">
        <v>330179.59999999998</v>
      </c>
      <c r="I2525" s="188" t="str">
        <f>VLOOKUP(C2525,CATEGORIZACION!$A$1:$C$269,2,FALSE)</f>
        <v>TRANSPORTE</v>
      </c>
      <c r="J2525" s="188" t="s">
        <v>19</v>
      </c>
    </row>
    <row r="2526" spans="1:10" ht="15.75" customHeight="1" x14ac:dyDescent="0.25">
      <c r="A2526" s="1">
        <v>45309</v>
      </c>
      <c r="B2526" s="188" t="s">
        <v>2396</v>
      </c>
      <c r="C2526" s="188" t="s">
        <v>36</v>
      </c>
      <c r="D2526" s="188" t="s">
        <v>37</v>
      </c>
      <c r="E2526" s="4">
        <v>7400</v>
      </c>
      <c r="F2526" s="5">
        <v>177840</v>
      </c>
      <c r="G2526" s="4">
        <v>37346.400000000001</v>
      </c>
      <c r="H2526" s="4">
        <v>222586.4</v>
      </c>
      <c r="I2526" s="188" t="str">
        <f>VLOOKUP(C2526,CATEGORIZACION!$A$1:$C$269,2,FALSE)</f>
        <v>TRANSPORTE</v>
      </c>
      <c r="J2526" s="188" t="s">
        <v>19</v>
      </c>
    </row>
    <row r="2527" spans="1:10" ht="15.75" customHeight="1" x14ac:dyDescent="0.25">
      <c r="A2527" s="1">
        <v>45310</v>
      </c>
      <c r="B2527" s="188" t="s">
        <v>1759</v>
      </c>
      <c r="C2527" s="188" t="s">
        <v>1143</v>
      </c>
      <c r="D2527" s="188" t="s">
        <v>1144</v>
      </c>
      <c r="E2527" s="4">
        <v>0</v>
      </c>
      <c r="F2527" s="3">
        <v>1267380</v>
      </c>
      <c r="G2527" s="4">
        <v>266149.8</v>
      </c>
      <c r="H2527" s="4">
        <v>1533529.8</v>
      </c>
      <c r="I2527" s="188" t="str">
        <f>VLOOKUP(C2527,CATEGORIZACION!$A$1:$C$269,2,FALSE)</f>
        <v>PROOVEDORES</v>
      </c>
      <c r="J2527" s="188" t="str">
        <f>VLOOKUP(C2527,CATEGORIZACION!$A$1:$C$269,3,FALSE)</f>
        <v>DEPOSITO</v>
      </c>
    </row>
    <row r="2528" spans="1:10" ht="15.75" customHeight="1" x14ac:dyDescent="0.25">
      <c r="A2528" s="1">
        <v>45310</v>
      </c>
      <c r="B2528" s="188" t="s">
        <v>2161</v>
      </c>
      <c r="C2528" s="188" t="s">
        <v>17</v>
      </c>
      <c r="D2528" s="188" t="s">
        <v>18</v>
      </c>
      <c r="E2528" s="4">
        <v>61777</v>
      </c>
      <c r="F2528" s="5">
        <v>694000</v>
      </c>
      <c r="G2528" s="4">
        <v>145740</v>
      </c>
      <c r="H2528" s="4">
        <v>901517</v>
      </c>
      <c r="I2528" s="188" t="str">
        <f>VLOOKUP(C2528,CATEGORIZACION!$A$1:$C$269,2,FALSE)</f>
        <v>TRANSPORTE</v>
      </c>
      <c r="J2528" s="188" t="s">
        <v>19</v>
      </c>
    </row>
    <row r="2529" spans="1:10" ht="15.75" customHeight="1" x14ac:dyDescent="0.25">
      <c r="A2529" s="1">
        <v>45310</v>
      </c>
      <c r="B2529" s="188" t="s">
        <v>2397</v>
      </c>
      <c r="C2529" s="188" t="s">
        <v>17</v>
      </c>
      <c r="D2529" s="188" t="s">
        <v>18</v>
      </c>
      <c r="E2529" s="4">
        <v>34868</v>
      </c>
      <c r="F2529" s="5">
        <v>715000</v>
      </c>
      <c r="G2529" s="4">
        <v>150150</v>
      </c>
      <c r="H2529" s="4">
        <v>900018</v>
      </c>
      <c r="I2529" s="188" t="str">
        <f>VLOOKUP(C2529,CATEGORIZACION!$A$1:$C$269,2,FALSE)</f>
        <v>TRANSPORTE</v>
      </c>
      <c r="J2529" s="188" t="s">
        <v>19</v>
      </c>
    </row>
    <row r="2530" spans="1:10" ht="15.75" customHeight="1" x14ac:dyDescent="0.25">
      <c r="A2530" s="1">
        <v>45313</v>
      </c>
      <c r="B2530" s="188" t="s">
        <v>2398</v>
      </c>
      <c r="C2530" s="188" t="s">
        <v>21</v>
      </c>
      <c r="D2530" s="188" t="s">
        <v>22</v>
      </c>
      <c r="E2530" s="4">
        <v>28110</v>
      </c>
      <c r="F2530" s="5">
        <v>532000</v>
      </c>
      <c r="G2530" s="4">
        <v>111720</v>
      </c>
      <c r="H2530" s="4">
        <v>671830</v>
      </c>
      <c r="I2530" s="188" t="str">
        <f>VLOOKUP(C2530,CATEGORIZACION!$A$1:$C$269,2,FALSE)</f>
        <v>TRANSPORTE</v>
      </c>
      <c r="J2530" s="188" t="s">
        <v>19</v>
      </c>
    </row>
    <row r="2531" spans="1:10" ht="15.75" customHeight="1" x14ac:dyDescent="0.25">
      <c r="A2531" s="1">
        <v>45313</v>
      </c>
      <c r="B2531" s="188" t="s">
        <v>2399</v>
      </c>
      <c r="C2531" s="188" t="s">
        <v>21</v>
      </c>
      <c r="D2531" s="188" t="s">
        <v>22</v>
      </c>
      <c r="E2531" s="4">
        <v>37480</v>
      </c>
      <c r="F2531" s="5">
        <v>596000</v>
      </c>
      <c r="G2531" s="4">
        <v>125160</v>
      </c>
      <c r="H2531" s="4">
        <v>758640</v>
      </c>
      <c r="I2531" s="188" t="str">
        <f>VLOOKUP(C2531,CATEGORIZACION!$A$1:$C$269,2,FALSE)</f>
        <v>TRANSPORTE</v>
      </c>
      <c r="J2531" s="188" t="s">
        <v>19</v>
      </c>
    </row>
    <row r="2532" spans="1:10" ht="15.75" customHeight="1" x14ac:dyDescent="0.25">
      <c r="A2532" s="1">
        <v>45313</v>
      </c>
      <c r="B2532" s="188" t="s">
        <v>2400</v>
      </c>
      <c r="C2532" s="188" t="s">
        <v>21</v>
      </c>
      <c r="D2532" s="188" t="s">
        <v>22</v>
      </c>
      <c r="E2532" s="4">
        <v>7520</v>
      </c>
      <c r="F2532" s="5">
        <v>185000</v>
      </c>
      <c r="G2532" s="4">
        <v>38850</v>
      </c>
      <c r="H2532" s="4">
        <v>231370</v>
      </c>
      <c r="I2532" s="188" t="str">
        <f>VLOOKUP(C2532,CATEGORIZACION!$A$1:$C$269,2,FALSE)</f>
        <v>TRANSPORTE</v>
      </c>
      <c r="J2532" s="188" t="s">
        <v>19</v>
      </c>
    </row>
    <row r="2533" spans="1:10" ht="15.75" customHeight="1" x14ac:dyDescent="0.25">
      <c r="A2533" s="1">
        <v>45313</v>
      </c>
      <c r="B2533" s="188" t="s">
        <v>2401</v>
      </c>
      <c r="C2533" s="188" t="s">
        <v>36</v>
      </c>
      <c r="D2533" s="188" t="s">
        <v>37</v>
      </c>
      <c r="E2533" s="4">
        <v>14000</v>
      </c>
      <c r="F2533" s="5">
        <v>143000</v>
      </c>
      <c r="G2533" s="4">
        <v>30030</v>
      </c>
      <c r="H2533" s="4">
        <v>187030</v>
      </c>
      <c r="I2533" s="188" t="str">
        <f>VLOOKUP(C2533,CATEGORIZACION!$A$1:$C$269,2,FALSE)</f>
        <v>TRANSPORTE</v>
      </c>
      <c r="J2533" s="188" t="s">
        <v>19</v>
      </c>
    </row>
    <row r="2534" spans="1:10" ht="15.75" customHeight="1" x14ac:dyDescent="0.25">
      <c r="A2534" s="1">
        <v>45314</v>
      </c>
      <c r="B2534" s="188" t="s">
        <v>2402</v>
      </c>
      <c r="C2534" s="188" t="s">
        <v>2403</v>
      </c>
      <c r="D2534" s="188" t="s">
        <v>2404</v>
      </c>
      <c r="E2534" s="4">
        <v>0</v>
      </c>
      <c r="F2534" s="5">
        <v>207437.64</v>
      </c>
      <c r="G2534" s="4">
        <v>43561.9</v>
      </c>
      <c r="H2534" s="4">
        <v>250999.54</v>
      </c>
      <c r="I2534" s="188" t="str">
        <f>VLOOKUP(C2534,CATEGORIZACION!$A$1:$C$269,2,FALSE)</f>
        <v>PROOVEDORES</v>
      </c>
      <c r="J2534" s="188" t="str">
        <f>VLOOKUP(C2534,CATEGORIZACION!$A$1:$C$269,3,FALSE)</f>
        <v>LOGISTICA</v>
      </c>
    </row>
    <row r="2535" spans="1:10" ht="15.75" customHeight="1" x14ac:dyDescent="0.25">
      <c r="A2535" s="1">
        <v>45314</v>
      </c>
      <c r="B2535" s="188" t="s">
        <v>2405</v>
      </c>
      <c r="C2535" s="188" t="s">
        <v>21</v>
      </c>
      <c r="D2535" s="188" t="s">
        <v>22</v>
      </c>
      <c r="E2535" s="4">
        <v>15040</v>
      </c>
      <c r="F2535" s="5">
        <v>438000</v>
      </c>
      <c r="G2535" s="4">
        <v>91980</v>
      </c>
      <c r="H2535" s="4">
        <v>545020</v>
      </c>
      <c r="I2535" s="188" t="str">
        <f>VLOOKUP(C2535,CATEGORIZACION!$A$1:$C$269,2,FALSE)</f>
        <v>TRANSPORTE</v>
      </c>
      <c r="J2535" s="188" t="s">
        <v>19</v>
      </c>
    </row>
    <row r="2536" spans="1:10" ht="15.75" customHeight="1" x14ac:dyDescent="0.25">
      <c r="A2536" s="1">
        <v>45314</v>
      </c>
      <c r="B2536" s="188" t="s">
        <v>2406</v>
      </c>
      <c r="C2536" s="188" t="s">
        <v>21</v>
      </c>
      <c r="D2536" s="188" t="s">
        <v>22</v>
      </c>
      <c r="E2536" s="4">
        <v>0</v>
      </c>
      <c r="F2536" s="5">
        <v>273000</v>
      </c>
      <c r="G2536" s="4">
        <v>57330</v>
      </c>
      <c r="H2536" s="4">
        <v>330330</v>
      </c>
      <c r="I2536" s="188" t="str">
        <f>VLOOKUP(C2536,CATEGORIZACION!$A$1:$C$269,2,FALSE)</f>
        <v>TRANSPORTE</v>
      </c>
      <c r="J2536" s="188" t="s">
        <v>19</v>
      </c>
    </row>
    <row r="2537" spans="1:10" ht="15.75" customHeight="1" x14ac:dyDescent="0.25">
      <c r="A2537" s="1">
        <v>45314</v>
      </c>
      <c r="B2537" s="188" t="s">
        <v>2407</v>
      </c>
      <c r="C2537" s="188" t="s">
        <v>21</v>
      </c>
      <c r="D2537" s="188" t="s">
        <v>22</v>
      </c>
      <c r="E2537" s="4">
        <v>76000</v>
      </c>
      <c r="F2537" s="5">
        <v>152000</v>
      </c>
      <c r="G2537" s="4">
        <v>31920</v>
      </c>
      <c r="H2537" s="4">
        <v>259920</v>
      </c>
      <c r="I2537" s="188" t="str">
        <f>VLOOKUP(C2537,CATEGORIZACION!$A$1:$C$269,2,FALSE)</f>
        <v>TRANSPORTE</v>
      </c>
      <c r="J2537" s="188" t="s">
        <v>19</v>
      </c>
    </row>
    <row r="2538" spans="1:10" ht="15.75" customHeight="1" x14ac:dyDescent="0.25">
      <c r="A2538" s="1">
        <v>45314</v>
      </c>
      <c r="B2538" s="188" t="s">
        <v>2408</v>
      </c>
      <c r="C2538" s="188" t="s">
        <v>21</v>
      </c>
      <c r="D2538" s="188" t="s">
        <v>22</v>
      </c>
      <c r="E2538" s="4">
        <v>22560</v>
      </c>
      <c r="F2538" s="5">
        <v>670500</v>
      </c>
      <c r="G2538" s="4">
        <v>140805</v>
      </c>
      <c r="H2538" s="4">
        <v>833865</v>
      </c>
      <c r="I2538" s="188" t="str">
        <f>VLOOKUP(C2538,CATEGORIZACION!$A$1:$C$269,2,FALSE)</f>
        <v>TRANSPORTE</v>
      </c>
      <c r="J2538" s="188" t="s">
        <v>19</v>
      </c>
    </row>
    <row r="2539" spans="1:10" ht="15.75" customHeight="1" x14ac:dyDescent="0.25">
      <c r="A2539" s="1">
        <v>45314</v>
      </c>
      <c r="B2539" s="188" t="s">
        <v>2409</v>
      </c>
      <c r="C2539" s="188" t="s">
        <v>21</v>
      </c>
      <c r="D2539" s="188" t="s">
        <v>22</v>
      </c>
      <c r="E2539" s="4">
        <v>0</v>
      </c>
      <c r="F2539" s="5">
        <v>265000</v>
      </c>
      <c r="G2539" s="4">
        <v>55650</v>
      </c>
      <c r="H2539" s="4">
        <v>320650</v>
      </c>
      <c r="I2539" s="188" t="str">
        <f>VLOOKUP(C2539,CATEGORIZACION!$A$1:$C$269,2,FALSE)</f>
        <v>TRANSPORTE</v>
      </c>
      <c r="J2539" s="188" t="s">
        <v>19</v>
      </c>
    </row>
    <row r="2540" spans="1:10" ht="15.75" customHeight="1" x14ac:dyDescent="0.25">
      <c r="A2540" s="1">
        <v>45315</v>
      </c>
      <c r="B2540" s="188" t="s">
        <v>2410</v>
      </c>
      <c r="C2540" s="188" t="s">
        <v>1140</v>
      </c>
      <c r="D2540" s="188" t="s">
        <v>1141</v>
      </c>
      <c r="E2540" s="4">
        <v>314.2800000000093</v>
      </c>
      <c r="F2540" s="3">
        <v>78569.009999999995</v>
      </c>
      <c r="G2540" s="4">
        <v>16499.490000000002</v>
      </c>
      <c r="H2540" s="4">
        <v>95382.78</v>
      </c>
      <c r="I2540" s="188" t="str">
        <f>VLOOKUP(C2540,CATEGORIZACION!$A$1:$C$269,2,FALSE)</f>
        <v>PROOVEDORES</v>
      </c>
      <c r="J2540" s="188" t="str">
        <f>VLOOKUP(C2540,CATEGORIZACION!$A$1:$C$269,3,FALSE)</f>
        <v>DEPOSITO</v>
      </c>
    </row>
    <row r="2541" spans="1:10" ht="15.75" customHeight="1" x14ac:dyDescent="0.25">
      <c r="A2541" s="1">
        <v>45316</v>
      </c>
      <c r="B2541" s="188" t="s">
        <v>1612</v>
      </c>
      <c r="C2541" s="188" t="s">
        <v>84</v>
      </c>
      <c r="D2541" s="188" t="s">
        <v>85</v>
      </c>
      <c r="E2541" s="4"/>
      <c r="F2541" s="5">
        <v>1588259.89</v>
      </c>
      <c r="G2541" s="4">
        <v>333534.58</v>
      </c>
      <c r="H2541" s="4">
        <v>166750</v>
      </c>
      <c r="I2541" s="188" t="str">
        <f>VLOOKUP(C2541,CATEGORIZACION!$A$1:$C$269,2,FALSE)</f>
        <v>PROOVEDORES</v>
      </c>
      <c r="J2541" s="188" t="str">
        <f>VLOOKUP(C2541,CATEGORIZACION!$A$1:$C$269,3,FALSE)</f>
        <v>LOGISTICA</v>
      </c>
    </row>
    <row r="2542" spans="1:10" ht="15.75" customHeight="1" x14ac:dyDescent="0.25">
      <c r="A2542" s="1">
        <v>45316</v>
      </c>
      <c r="B2542" s="188" t="s">
        <v>2411</v>
      </c>
      <c r="C2542" s="188" t="s">
        <v>21</v>
      </c>
      <c r="D2542" s="188" t="s">
        <v>22</v>
      </c>
      <c r="E2542" s="4">
        <v>7520</v>
      </c>
      <c r="F2542" s="5">
        <v>275000</v>
      </c>
      <c r="G2542" s="4">
        <v>57750</v>
      </c>
      <c r="H2542" s="4">
        <v>340270</v>
      </c>
      <c r="I2542" s="188" t="str">
        <f>VLOOKUP(C2542,CATEGORIZACION!$A$1:$C$269,2,FALSE)</f>
        <v>TRANSPORTE</v>
      </c>
      <c r="J2542" s="188" t="s">
        <v>19</v>
      </c>
    </row>
    <row r="2543" spans="1:10" ht="15.75" customHeight="1" x14ac:dyDescent="0.25">
      <c r="A2543" s="1">
        <v>45316</v>
      </c>
      <c r="B2543" s="188" t="s">
        <v>2412</v>
      </c>
      <c r="C2543" s="188" t="s">
        <v>21</v>
      </c>
      <c r="D2543" s="188" t="s">
        <v>22</v>
      </c>
      <c r="E2543" s="4">
        <v>25270</v>
      </c>
      <c r="F2543" s="5">
        <v>555000</v>
      </c>
      <c r="G2543" s="4">
        <v>116550</v>
      </c>
      <c r="H2543" s="4">
        <v>696820</v>
      </c>
      <c r="I2543" s="188" t="str">
        <f>VLOOKUP(C2543,CATEGORIZACION!$A$1:$C$269,2,FALSE)</f>
        <v>TRANSPORTE</v>
      </c>
      <c r="J2543" s="188" t="s">
        <v>19</v>
      </c>
    </row>
    <row r="2544" spans="1:10" ht="15.75" customHeight="1" x14ac:dyDescent="0.25">
      <c r="A2544" s="1">
        <v>45316</v>
      </c>
      <c r="B2544" s="188" t="s">
        <v>2413</v>
      </c>
      <c r="C2544" s="188" t="s">
        <v>36</v>
      </c>
      <c r="D2544" s="188" t="s">
        <v>37</v>
      </c>
      <c r="E2544" s="4">
        <v>13000</v>
      </c>
      <c r="F2544" s="5">
        <v>311500</v>
      </c>
      <c r="G2544" s="4">
        <v>65415</v>
      </c>
      <c r="H2544" s="4">
        <v>389915</v>
      </c>
      <c r="I2544" s="188" t="str">
        <f>VLOOKUP(C2544,CATEGORIZACION!$A$1:$C$269,2,FALSE)</f>
        <v>TRANSPORTE</v>
      </c>
      <c r="J2544" s="188" t="s">
        <v>19</v>
      </c>
    </row>
    <row r="2545" spans="1:10" ht="15.75" customHeight="1" x14ac:dyDescent="0.25">
      <c r="A2545" s="1">
        <v>45316</v>
      </c>
      <c r="B2545" s="188" t="s">
        <v>2414</v>
      </c>
      <c r="C2545" s="188" t="s">
        <v>36</v>
      </c>
      <c r="D2545" s="188" t="s">
        <v>37</v>
      </c>
      <c r="E2545" s="4">
        <v>13000</v>
      </c>
      <c r="F2545" s="5">
        <v>217700</v>
      </c>
      <c r="G2545" s="4">
        <v>45717</v>
      </c>
      <c r="H2545" s="4">
        <v>276417</v>
      </c>
      <c r="I2545" s="188" t="str">
        <f>VLOOKUP(C2545,CATEGORIZACION!$A$1:$C$269,2,FALSE)</f>
        <v>TRANSPORTE</v>
      </c>
      <c r="J2545" s="188" t="s">
        <v>19</v>
      </c>
    </row>
    <row r="2546" spans="1:10" ht="15.75" customHeight="1" x14ac:dyDescent="0.25">
      <c r="A2546" s="1">
        <v>45316</v>
      </c>
      <c r="B2546" s="188" t="s">
        <v>2415</v>
      </c>
      <c r="C2546" s="188" t="s">
        <v>36</v>
      </c>
      <c r="D2546" s="188" t="s">
        <v>37</v>
      </c>
      <c r="E2546" s="4">
        <v>7400</v>
      </c>
      <c r="F2546" s="5">
        <v>177840</v>
      </c>
      <c r="G2546" s="4">
        <v>37346.400000000001</v>
      </c>
      <c r="H2546" s="4">
        <v>222586.4</v>
      </c>
      <c r="I2546" s="188" t="str">
        <f>VLOOKUP(C2546,CATEGORIZACION!$A$1:$C$269,2,FALSE)</f>
        <v>TRANSPORTE</v>
      </c>
      <c r="J2546" s="188" t="s">
        <v>19</v>
      </c>
    </row>
    <row r="2547" spans="1:10" ht="15.75" customHeight="1" x14ac:dyDescent="0.25">
      <c r="A2547" s="1">
        <v>45316</v>
      </c>
      <c r="B2547" s="188" t="s">
        <v>2416</v>
      </c>
      <c r="C2547" s="188" t="s">
        <v>409</v>
      </c>
      <c r="D2547" s="188" t="s">
        <v>410</v>
      </c>
      <c r="E2547" s="4">
        <v>4537.71</v>
      </c>
      <c r="F2547" s="5">
        <v>1134427.8600000001</v>
      </c>
      <c r="G2547" s="4">
        <v>238229.85</v>
      </c>
      <c r="H2547" s="4">
        <v>1377195.42</v>
      </c>
      <c r="I2547" s="188" t="str">
        <f>VLOOKUP(C2547,CATEGORIZACION!$A$1:$C$269,2,FALSE)</f>
        <v>PROOVEDORES</v>
      </c>
      <c r="J2547" s="188" t="str">
        <f>VLOOKUP(C2547,CATEGORIZACION!$A$1:$C$269,3,FALSE)</f>
        <v>LOGISTICA</v>
      </c>
    </row>
    <row r="2548" spans="1:10" ht="15.75" customHeight="1" x14ac:dyDescent="0.25">
      <c r="A2548" s="1">
        <v>45317</v>
      </c>
      <c r="B2548" s="188" t="s">
        <v>2417</v>
      </c>
      <c r="C2548" s="188" t="s">
        <v>339</v>
      </c>
      <c r="D2548" s="188" t="s">
        <v>340</v>
      </c>
      <c r="E2548" s="4">
        <v>1.8626451492309571E-11</v>
      </c>
      <c r="F2548" s="5">
        <v>156216.35999999999</v>
      </c>
      <c r="G2548" s="4">
        <v>32805.440000000002</v>
      </c>
      <c r="H2548" s="4">
        <v>189021.8</v>
      </c>
      <c r="I2548" s="188" t="str">
        <f>VLOOKUP(C2548,CATEGORIZACION!$A$1:$C$269,2,FALSE)</f>
        <v>PROOVEDORES</v>
      </c>
      <c r="J2548" s="188" t="str">
        <f>VLOOKUP(C2548,CATEGORIZACION!$A$1:$C$269,3,FALSE)</f>
        <v>LOGISTICA</v>
      </c>
    </row>
    <row r="2549" spans="1:10" ht="15.75" customHeight="1" x14ac:dyDescent="0.25">
      <c r="A2549" s="1">
        <v>45317</v>
      </c>
      <c r="B2549" s="188" t="s">
        <v>2418</v>
      </c>
      <c r="C2549" s="188" t="s">
        <v>21</v>
      </c>
      <c r="D2549" s="188" t="s">
        <v>22</v>
      </c>
      <c r="E2549" s="4">
        <v>0</v>
      </c>
      <c r="F2549" s="5">
        <v>212000</v>
      </c>
      <c r="G2549" s="4">
        <v>44520</v>
      </c>
      <c r="H2549" s="4">
        <v>256520</v>
      </c>
      <c r="I2549" s="188" t="str">
        <f>VLOOKUP(C2549,CATEGORIZACION!$A$1:$C$269,2,FALSE)</f>
        <v>TRANSPORTE</v>
      </c>
      <c r="J2549" s="188" t="s">
        <v>19</v>
      </c>
    </row>
    <row r="2550" spans="1:10" ht="15.75" customHeight="1" x14ac:dyDescent="0.25">
      <c r="A2550" s="1">
        <v>45317</v>
      </c>
      <c r="B2550" s="188" t="s">
        <v>2419</v>
      </c>
      <c r="C2550" s="188" t="s">
        <v>21</v>
      </c>
      <c r="D2550" s="188" t="s">
        <v>22</v>
      </c>
      <c r="E2550" s="4">
        <v>37480</v>
      </c>
      <c r="F2550" s="5">
        <v>666000</v>
      </c>
      <c r="G2550" s="4">
        <v>139860</v>
      </c>
      <c r="H2550" s="4">
        <v>843340</v>
      </c>
      <c r="I2550" s="188" t="str">
        <f>VLOOKUP(C2550,CATEGORIZACION!$A$1:$C$269,2,FALSE)</f>
        <v>TRANSPORTE</v>
      </c>
      <c r="J2550" s="188" t="s">
        <v>19</v>
      </c>
    </row>
    <row r="2551" spans="1:10" ht="15.75" customHeight="1" x14ac:dyDescent="0.25">
      <c r="A2551" s="1">
        <v>45317</v>
      </c>
      <c r="B2551" s="188" t="s">
        <v>2420</v>
      </c>
      <c r="C2551" s="188" t="s">
        <v>2421</v>
      </c>
      <c r="D2551" s="188" t="s">
        <v>2422</v>
      </c>
      <c r="E2551" s="4">
        <v>31.4</v>
      </c>
      <c r="F2551" s="5">
        <v>7851.23</v>
      </c>
      <c r="G2551" s="4">
        <v>1648.76</v>
      </c>
      <c r="H2551" s="4">
        <v>9531.39</v>
      </c>
      <c r="I2551" s="188" t="str">
        <f>VLOOKUP(C2551,CATEGORIZACION!$A$1:$C$269,2,FALSE)</f>
        <v>PROOVEDORES</v>
      </c>
      <c r="J2551" s="188" t="str">
        <f>VLOOKUP(C2551,CATEGORIZACION!$A$1:$C$269,3,FALSE)</f>
        <v>LOGISTICA</v>
      </c>
    </row>
    <row r="2552" spans="1:10" ht="15.75" customHeight="1" x14ac:dyDescent="0.25">
      <c r="A2552" s="1">
        <v>45318</v>
      </c>
      <c r="B2552" s="188" t="s">
        <v>2423</v>
      </c>
      <c r="C2552" s="188" t="s">
        <v>339</v>
      </c>
      <c r="D2552" s="188" t="s">
        <v>340</v>
      </c>
      <c r="E2552" s="4">
        <v>-2.3283064365386963E-12</v>
      </c>
      <c r="F2552" s="5">
        <v>-16928.849999999999</v>
      </c>
      <c r="G2552" s="4">
        <v>-3555.06</v>
      </c>
      <c r="H2552" s="4">
        <v>-20483.91</v>
      </c>
      <c r="I2552" s="188" t="str">
        <f>VLOOKUP(C2552,CATEGORIZACION!$A$1:$C$269,2,FALSE)</f>
        <v>PROOVEDORES</v>
      </c>
      <c r="J2552" s="188" t="str">
        <f>VLOOKUP(C2552,CATEGORIZACION!$A$1:$C$269,3,FALSE)</f>
        <v>LOGISTICA</v>
      </c>
    </row>
    <row r="2553" spans="1:10" ht="15.75" customHeight="1" x14ac:dyDescent="0.25">
      <c r="A2553" s="1">
        <v>45318</v>
      </c>
      <c r="B2553" s="188" t="s">
        <v>2424</v>
      </c>
      <c r="C2553" s="188" t="s">
        <v>21</v>
      </c>
      <c r="D2553" s="188" t="s">
        <v>22</v>
      </c>
      <c r="E2553" s="4">
        <v>18740</v>
      </c>
      <c r="F2553" s="5">
        <v>736000</v>
      </c>
      <c r="G2553" s="4">
        <v>154560</v>
      </c>
      <c r="H2553" s="4">
        <v>909300</v>
      </c>
      <c r="I2553" s="188" t="str">
        <f>VLOOKUP(C2553,CATEGORIZACION!$A$1:$C$269,2,FALSE)</f>
        <v>TRANSPORTE</v>
      </c>
      <c r="J2553" s="188" t="s">
        <v>19</v>
      </c>
    </row>
    <row r="2554" spans="1:10" ht="15.75" customHeight="1" x14ac:dyDescent="0.25">
      <c r="A2554" s="1">
        <v>45319</v>
      </c>
      <c r="B2554" s="188" t="s">
        <v>2425</v>
      </c>
      <c r="C2554" s="188" t="s">
        <v>2426</v>
      </c>
      <c r="D2554" s="188" t="s">
        <v>2427</v>
      </c>
      <c r="E2554" s="4">
        <v>2834</v>
      </c>
      <c r="F2554" s="5">
        <v>87000</v>
      </c>
      <c r="G2554" s="4">
        <v>18270</v>
      </c>
      <c r="H2554" s="4">
        <v>108104</v>
      </c>
      <c r="I2554" s="188" t="str">
        <f>VLOOKUP(C2554,CATEGORIZACION!$A$1:$C$269,2,FALSE)</f>
        <v>PROOVEDORES</v>
      </c>
      <c r="J2554" s="188" t="str">
        <f>VLOOKUP(C2554,CATEGORIZACION!$A$1:$C$269,3,FALSE)</f>
        <v>LOGISTICA</v>
      </c>
    </row>
    <row r="2555" spans="1:10" ht="15.75" customHeight="1" x14ac:dyDescent="0.25">
      <c r="A2555" s="1">
        <v>45320</v>
      </c>
      <c r="B2555" s="188" t="s">
        <v>2428</v>
      </c>
      <c r="C2555" s="188" t="s">
        <v>21</v>
      </c>
      <c r="D2555" s="188" t="s">
        <v>22</v>
      </c>
      <c r="E2555" s="4">
        <v>0</v>
      </c>
      <c r="F2555" s="5">
        <v>456000</v>
      </c>
      <c r="G2555" s="4">
        <v>95760</v>
      </c>
      <c r="H2555" s="4">
        <v>551760</v>
      </c>
      <c r="I2555" s="188" t="str">
        <f>VLOOKUP(C2555,CATEGORIZACION!$A$1:$C$269,2,FALSE)</f>
        <v>TRANSPORTE</v>
      </c>
      <c r="J2555" s="188" t="s">
        <v>19</v>
      </c>
    </row>
    <row r="2556" spans="1:10" ht="15.75" customHeight="1" x14ac:dyDescent="0.25">
      <c r="A2556" s="1">
        <v>45320</v>
      </c>
      <c r="B2556" s="188" t="s">
        <v>2429</v>
      </c>
      <c r="C2556" s="188" t="s">
        <v>21</v>
      </c>
      <c r="D2556" s="188" t="s">
        <v>22</v>
      </c>
      <c r="E2556" s="4">
        <v>0</v>
      </c>
      <c r="F2556" s="5">
        <v>10000</v>
      </c>
      <c r="G2556" s="4">
        <v>2100</v>
      </c>
      <c r="H2556" s="4">
        <v>12100</v>
      </c>
      <c r="I2556" s="188" t="str">
        <f>VLOOKUP(C2556,CATEGORIZACION!$A$1:$C$269,2,FALSE)</f>
        <v>TRANSPORTE</v>
      </c>
      <c r="J2556" s="188" t="s">
        <v>19</v>
      </c>
    </row>
    <row r="2557" spans="1:10" ht="15.75" customHeight="1" x14ac:dyDescent="0.25">
      <c r="A2557" s="1">
        <v>45320</v>
      </c>
      <c r="B2557" s="188" t="s">
        <v>1392</v>
      </c>
      <c r="C2557" s="188" t="s">
        <v>21</v>
      </c>
      <c r="D2557" s="188" t="s">
        <v>22</v>
      </c>
      <c r="E2557" s="4">
        <v>12634</v>
      </c>
      <c r="F2557" s="5">
        <v>185000</v>
      </c>
      <c r="G2557" s="4">
        <v>38850</v>
      </c>
      <c r="H2557" s="4">
        <v>236484</v>
      </c>
      <c r="I2557" s="188" t="str">
        <f>VLOOKUP(C2557,CATEGORIZACION!$A$1:$C$269,2,FALSE)</f>
        <v>TRANSPORTE</v>
      </c>
      <c r="J2557" s="188" t="s">
        <v>19</v>
      </c>
    </row>
    <row r="2558" spans="1:10" ht="15.75" customHeight="1" x14ac:dyDescent="0.25">
      <c r="A2558" s="1">
        <v>45320</v>
      </c>
      <c r="B2558" s="188" t="s">
        <v>2430</v>
      </c>
      <c r="C2558" s="188" t="s">
        <v>21</v>
      </c>
      <c r="D2558" s="188" t="s">
        <v>22</v>
      </c>
      <c r="E2558" s="4">
        <v>7520</v>
      </c>
      <c r="F2558" s="5">
        <v>185000</v>
      </c>
      <c r="G2558" s="4">
        <v>38850</v>
      </c>
      <c r="H2558" s="4">
        <v>231370</v>
      </c>
      <c r="I2558" s="188" t="str">
        <f>VLOOKUP(C2558,CATEGORIZACION!$A$1:$C$269,2,FALSE)</f>
        <v>TRANSPORTE</v>
      </c>
      <c r="J2558" s="188" t="s">
        <v>19</v>
      </c>
    </row>
    <row r="2559" spans="1:10" ht="15.75" customHeight="1" x14ac:dyDescent="0.25">
      <c r="A2559" s="1">
        <v>45320</v>
      </c>
      <c r="B2559" s="188" t="s">
        <v>2431</v>
      </c>
      <c r="C2559" s="188" t="s">
        <v>21</v>
      </c>
      <c r="D2559" s="188" t="s">
        <v>22</v>
      </c>
      <c r="E2559" s="4">
        <v>0</v>
      </c>
      <c r="F2559" s="5">
        <v>304000</v>
      </c>
      <c r="G2559" s="4">
        <v>63840</v>
      </c>
      <c r="H2559" s="4">
        <v>367840</v>
      </c>
      <c r="I2559" s="188" t="str">
        <f>VLOOKUP(C2559,CATEGORIZACION!$A$1:$C$269,2,FALSE)</f>
        <v>TRANSPORTE</v>
      </c>
      <c r="J2559" s="188" t="s">
        <v>19</v>
      </c>
    </row>
    <row r="2560" spans="1:10" ht="15.75" customHeight="1" x14ac:dyDescent="0.25">
      <c r="A2560" s="1">
        <v>45320</v>
      </c>
      <c r="B2560" s="188" t="s">
        <v>2432</v>
      </c>
      <c r="C2560" s="188" t="s">
        <v>21</v>
      </c>
      <c r="D2560" s="188" t="s">
        <v>22</v>
      </c>
      <c r="E2560" s="4">
        <v>28110</v>
      </c>
      <c r="F2560" s="5">
        <v>447000</v>
      </c>
      <c r="G2560" s="4">
        <v>93870</v>
      </c>
      <c r="H2560" s="4">
        <v>568980</v>
      </c>
      <c r="I2560" s="188" t="str">
        <f>VLOOKUP(C2560,CATEGORIZACION!$A$1:$C$269,2,FALSE)</f>
        <v>TRANSPORTE</v>
      </c>
      <c r="J2560" s="188" t="s">
        <v>19</v>
      </c>
    </row>
    <row r="2561" spans="1:10" ht="15.75" customHeight="1" x14ac:dyDescent="0.25">
      <c r="A2561" s="1">
        <v>45320</v>
      </c>
      <c r="B2561" s="188" t="s">
        <v>2433</v>
      </c>
      <c r="C2561" s="188" t="s">
        <v>21</v>
      </c>
      <c r="D2561" s="188" t="s">
        <v>22</v>
      </c>
      <c r="E2561" s="4">
        <v>37230</v>
      </c>
      <c r="F2561" s="5">
        <v>612000</v>
      </c>
      <c r="G2561" s="4">
        <v>128520</v>
      </c>
      <c r="H2561" s="4">
        <v>777750</v>
      </c>
      <c r="I2561" s="188" t="str">
        <f>VLOOKUP(C2561,CATEGORIZACION!$A$1:$C$269,2,FALSE)</f>
        <v>TRANSPORTE</v>
      </c>
      <c r="J2561" s="188" t="s">
        <v>19</v>
      </c>
    </row>
    <row r="2562" spans="1:10" ht="15.75" customHeight="1" x14ac:dyDescent="0.25">
      <c r="A2562" s="1">
        <v>45320</v>
      </c>
      <c r="B2562" s="188" t="s">
        <v>2434</v>
      </c>
      <c r="C2562" s="188" t="s">
        <v>21</v>
      </c>
      <c r="D2562" s="188" t="s">
        <v>22</v>
      </c>
      <c r="E2562" s="4">
        <v>15685</v>
      </c>
      <c r="F2562" s="5">
        <v>389000</v>
      </c>
      <c r="G2562" s="4">
        <v>81690</v>
      </c>
      <c r="H2562" s="4">
        <v>486375</v>
      </c>
      <c r="I2562" s="188" t="str">
        <f>VLOOKUP(C2562,CATEGORIZACION!$A$1:$C$269,2,FALSE)</f>
        <v>TRANSPORTE</v>
      </c>
      <c r="J2562" s="188" t="s">
        <v>19</v>
      </c>
    </row>
    <row r="2563" spans="1:10" ht="15.75" customHeight="1" x14ac:dyDescent="0.25">
      <c r="A2563" s="1">
        <v>45320</v>
      </c>
      <c r="B2563" s="188" t="s">
        <v>2435</v>
      </c>
      <c r="C2563" s="188" t="s">
        <v>36</v>
      </c>
      <c r="D2563" s="188" t="s">
        <v>37</v>
      </c>
      <c r="E2563" s="4">
        <v>10000</v>
      </c>
      <c r="F2563" s="5">
        <v>370500</v>
      </c>
      <c r="G2563" s="4">
        <v>77805</v>
      </c>
      <c r="H2563" s="4">
        <v>458305</v>
      </c>
      <c r="I2563" s="188" t="str">
        <f>VLOOKUP(C2563,CATEGORIZACION!$A$1:$C$269,2,FALSE)</f>
        <v>TRANSPORTE</v>
      </c>
      <c r="J2563" s="188" t="s">
        <v>19</v>
      </c>
    </row>
    <row r="2564" spans="1:10" ht="15.75" customHeight="1" x14ac:dyDescent="0.25">
      <c r="A2564" s="1">
        <v>45320</v>
      </c>
      <c r="B2564" s="188" t="s">
        <v>2436</v>
      </c>
      <c r="C2564" s="188" t="s">
        <v>36</v>
      </c>
      <c r="D2564" s="188" t="s">
        <v>37</v>
      </c>
      <c r="E2564" s="4">
        <v>10000</v>
      </c>
      <c r="F2564" s="5">
        <v>370500</v>
      </c>
      <c r="G2564" s="4">
        <v>77805</v>
      </c>
      <c r="H2564" s="4">
        <v>458305</v>
      </c>
      <c r="I2564" s="188" t="str">
        <f>VLOOKUP(C2564,CATEGORIZACION!$A$1:$C$269,2,FALSE)</f>
        <v>TRANSPORTE</v>
      </c>
      <c r="J2564" s="188" t="s">
        <v>19</v>
      </c>
    </row>
    <row r="2565" spans="1:10" ht="15.75" customHeight="1" x14ac:dyDescent="0.25">
      <c r="A2565" s="1">
        <v>45320</v>
      </c>
      <c r="B2565" s="188" t="s">
        <v>2437</v>
      </c>
      <c r="C2565" s="188" t="s">
        <v>36</v>
      </c>
      <c r="D2565" s="188" t="s">
        <v>37</v>
      </c>
      <c r="E2565" s="4">
        <v>19300</v>
      </c>
      <c r="F2565" s="5">
        <v>272100</v>
      </c>
      <c r="G2565" s="4">
        <v>57141</v>
      </c>
      <c r="H2565" s="4">
        <v>348541</v>
      </c>
      <c r="I2565" s="188" t="str">
        <f>VLOOKUP(C2565,CATEGORIZACION!$A$1:$C$269,2,FALSE)</f>
        <v>TRANSPORTE</v>
      </c>
      <c r="J2565" s="188" t="s">
        <v>19</v>
      </c>
    </row>
    <row r="2566" spans="1:10" ht="15.75" customHeight="1" x14ac:dyDescent="0.25">
      <c r="A2566" s="1">
        <v>45321</v>
      </c>
      <c r="B2566" s="188" t="s">
        <v>2438</v>
      </c>
      <c r="C2566" s="188" t="s">
        <v>337</v>
      </c>
      <c r="D2566" s="188" t="s">
        <v>174</v>
      </c>
      <c r="E2566" s="4">
        <v>0</v>
      </c>
      <c r="F2566" s="5">
        <v>164400</v>
      </c>
      <c r="G2566" s="4">
        <v>34524</v>
      </c>
      <c r="H2566" s="4">
        <v>198924</v>
      </c>
      <c r="I2566" s="188" t="str">
        <f>VLOOKUP(C2566,CATEGORIZACION!$A$1:$C$269,2,FALSE)</f>
        <v>TRANSPORTE</v>
      </c>
      <c r="J2566" s="188" t="s">
        <v>19</v>
      </c>
    </row>
    <row r="2567" spans="1:10" ht="15.75" customHeight="1" x14ac:dyDescent="0.25">
      <c r="A2567" s="1">
        <v>45322</v>
      </c>
      <c r="B2567" s="188" t="s">
        <v>2439</v>
      </c>
      <c r="C2567" s="188" t="s">
        <v>36</v>
      </c>
      <c r="D2567" s="188" t="s">
        <v>37</v>
      </c>
      <c r="E2567" s="4">
        <v>0</v>
      </c>
      <c r="F2567" s="5">
        <v>-638000</v>
      </c>
      <c r="G2567" s="4">
        <v>-133980</v>
      </c>
      <c r="H2567" s="4">
        <v>-771980</v>
      </c>
      <c r="I2567" s="188" t="str">
        <f>VLOOKUP(C2567,CATEGORIZACION!$A$1:$C$269,2,FALSE)</f>
        <v>TRANSPORTE</v>
      </c>
      <c r="J2567" s="188" t="s">
        <v>19</v>
      </c>
    </row>
    <row r="2568" spans="1:10" ht="15.75" customHeight="1" x14ac:dyDescent="0.25">
      <c r="A2568" s="1">
        <v>45322</v>
      </c>
      <c r="B2568" s="188" t="s">
        <v>2440</v>
      </c>
      <c r="C2568" s="188" t="s">
        <v>84</v>
      </c>
      <c r="D2568" s="188" t="s">
        <v>85</v>
      </c>
      <c r="E2568" s="4">
        <v>43458.77</v>
      </c>
      <c r="F2568" s="5">
        <v>189942</v>
      </c>
      <c r="G2568" s="2">
        <v>378984.45</v>
      </c>
      <c r="H2568" s="4">
        <v>22227131.079999998</v>
      </c>
      <c r="I2568" s="188" t="str">
        <f>VLOOKUP(C2568,CATEGORIZACION!$A$1:$C$269,2,FALSE)</f>
        <v>PROOVEDORES</v>
      </c>
      <c r="J2568" s="188" t="str">
        <f>VLOOKUP(C2568,CATEGORIZACION!$A$1:$C$269,3,FALSE)</f>
        <v>LOGISTICA</v>
      </c>
    </row>
    <row r="2569" spans="1:10" ht="15.75" customHeight="1" x14ac:dyDescent="0.25">
      <c r="A2569" s="1">
        <v>45322</v>
      </c>
      <c r="B2569" s="188" t="s">
        <v>2441</v>
      </c>
      <c r="C2569" s="188" t="s">
        <v>665</v>
      </c>
      <c r="D2569" s="188" t="s">
        <v>666</v>
      </c>
      <c r="E2569" s="4">
        <v>0</v>
      </c>
      <c r="F2569" s="5">
        <v>83944.55</v>
      </c>
      <c r="G2569" s="4">
        <v>17628.36</v>
      </c>
      <c r="H2569" s="4">
        <v>101572.91</v>
      </c>
      <c r="I2569" s="188" t="str">
        <f>VLOOKUP(C2569,CATEGORIZACION!$A$1:$C$269,2,FALSE)</f>
        <v>PROOVEDORES</v>
      </c>
      <c r="J2569" s="188" t="str">
        <f>VLOOKUP(C2569,CATEGORIZACION!$A$1:$C$269,3,FALSE)</f>
        <v>LOGISTICA</v>
      </c>
    </row>
    <row r="2570" spans="1:10" ht="15.75" customHeight="1" x14ac:dyDescent="0.25">
      <c r="A2570" s="1">
        <v>45322</v>
      </c>
      <c r="B2570" s="188" t="s">
        <v>2442</v>
      </c>
      <c r="C2570" s="188" t="s">
        <v>17</v>
      </c>
      <c r="D2570" s="188" t="s">
        <v>18</v>
      </c>
      <c r="E2570" s="4">
        <v>17434</v>
      </c>
      <c r="F2570" s="5">
        <v>1290000</v>
      </c>
      <c r="G2570" s="4">
        <v>270900</v>
      </c>
      <c r="H2570" s="4">
        <v>1578334</v>
      </c>
      <c r="I2570" s="188" t="str">
        <f>VLOOKUP(C2570,CATEGORIZACION!$A$1:$C$269,2,FALSE)</f>
        <v>TRANSPORTE</v>
      </c>
      <c r="J2570" s="188" t="s">
        <v>19</v>
      </c>
    </row>
    <row r="2571" spans="1:10" ht="15.75" customHeight="1" x14ac:dyDescent="0.25">
      <c r="A2571" s="1">
        <v>45322</v>
      </c>
      <c r="B2571" s="188" t="s">
        <v>2443</v>
      </c>
      <c r="C2571" s="188" t="s">
        <v>17</v>
      </c>
      <c r="D2571" s="188" t="s">
        <v>18</v>
      </c>
      <c r="E2571" s="4">
        <v>32784</v>
      </c>
      <c r="F2571" s="5">
        <v>517000</v>
      </c>
      <c r="G2571" s="4">
        <v>108570</v>
      </c>
      <c r="H2571" s="4">
        <v>658354</v>
      </c>
      <c r="I2571" s="188" t="str">
        <f>VLOOKUP(C2571,CATEGORIZACION!$A$1:$C$269,2,FALSE)</f>
        <v>TRANSPORTE</v>
      </c>
      <c r="J2571" s="188" t="s">
        <v>19</v>
      </c>
    </row>
    <row r="2572" spans="1:10" ht="15.75" customHeight="1" x14ac:dyDescent="0.25">
      <c r="A2572" s="1">
        <v>45322</v>
      </c>
      <c r="B2572" s="188" t="s">
        <v>2444</v>
      </c>
      <c r="C2572" s="188" t="s">
        <v>21</v>
      </c>
      <c r="D2572" s="188" t="s">
        <v>22</v>
      </c>
      <c r="E2572" s="4">
        <v>12410</v>
      </c>
      <c r="F2572" s="5">
        <v>408000</v>
      </c>
      <c r="G2572" s="4">
        <v>85680</v>
      </c>
      <c r="H2572" s="4">
        <v>506090</v>
      </c>
      <c r="I2572" s="188" t="str">
        <f>VLOOKUP(C2572,CATEGORIZACION!$A$1:$C$269,2,FALSE)</f>
        <v>TRANSPORTE</v>
      </c>
      <c r="J2572" s="188" t="s">
        <v>19</v>
      </c>
    </row>
    <row r="2573" spans="1:10" ht="15.75" customHeight="1" x14ac:dyDescent="0.25">
      <c r="A2573" s="1">
        <v>45322</v>
      </c>
      <c r="B2573" s="188" t="s">
        <v>2445</v>
      </c>
      <c r="C2573" s="188" t="s">
        <v>21</v>
      </c>
      <c r="D2573" s="188" t="s">
        <v>22</v>
      </c>
      <c r="E2573" s="4">
        <v>18740</v>
      </c>
      <c r="F2573" s="5">
        <v>0</v>
      </c>
      <c r="G2573" s="4">
        <v>0</v>
      </c>
      <c r="H2573" s="4">
        <v>18740</v>
      </c>
      <c r="I2573" s="188" t="str">
        <f>VLOOKUP(C2573,CATEGORIZACION!$A$1:$C$269,2,FALSE)</f>
        <v>TRANSPORTE</v>
      </c>
      <c r="J2573" s="188" t="s">
        <v>19</v>
      </c>
    </row>
    <row r="2574" spans="1:10" ht="15.75" customHeight="1" x14ac:dyDescent="0.25">
      <c r="A2574" s="1">
        <v>45322</v>
      </c>
      <c r="B2574" s="188" t="s">
        <v>2446</v>
      </c>
      <c r="C2574" s="188" t="s">
        <v>21</v>
      </c>
      <c r="D2574" s="188" t="s">
        <v>22</v>
      </c>
      <c r="E2574" s="4">
        <v>4480</v>
      </c>
      <c r="F2574" s="5">
        <v>164000</v>
      </c>
      <c r="G2574" s="4">
        <v>34440</v>
      </c>
      <c r="H2574" s="4">
        <v>202920</v>
      </c>
      <c r="I2574" s="188" t="str">
        <f>VLOOKUP(C2574,CATEGORIZACION!$A$1:$C$269,2,FALSE)</f>
        <v>TRANSPORTE</v>
      </c>
      <c r="J2574" s="188" t="s">
        <v>19</v>
      </c>
    </row>
    <row r="2575" spans="1:10" ht="15.75" customHeight="1" x14ac:dyDescent="0.25">
      <c r="A2575" s="1">
        <v>45322</v>
      </c>
      <c r="B2575" s="188" t="s">
        <v>2447</v>
      </c>
      <c r="C2575" s="188" t="s">
        <v>21</v>
      </c>
      <c r="D2575" s="188" t="s">
        <v>22</v>
      </c>
      <c r="E2575" s="4">
        <v>9370</v>
      </c>
      <c r="F2575" s="5">
        <v>149000</v>
      </c>
      <c r="G2575" s="4">
        <v>31290</v>
      </c>
      <c r="H2575" s="4">
        <v>189660</v>
      </c>
      <c r="I2575" s="188" t="str">
        <f>VLOOKUP(C2575,CATEGORIZACION!$A$1:$C$269,2,FALSE)</f>
        <v>TRANSPORTE</v>
      </c>
      <c r="J2575" s="188" t="s">
        <v>19</v>
      </c>
    </row>
    <row r="2576" spans="1:10" ht="15.75" customHeight="1" x14ac:dyDescent="0.25">
      <c r="A2576" s="1">
        <v>45322</v>
      </c>
      <c r="B2576" s="188" t="s">
        <v>2448</v>
      </c>
      <c r="C2576" s="188" t="s">
        <v>21</v>
      </c>
      <c r="D2576" s="188" t="s">
        <v>22</v>
      </c>
      <c r="E2576" s="4">
        <v>4480</v>
      </c>
      <c r="F2576" s="5">
        <v>179000</v>
      </c>
      <c r="G2576" s="4">
        <v>37590</v>
      </c>
      <c r="H2576" s="4">
        <v>221070</v>
      </c>
      <c r="I2576" s="188" t="str">
        <f>VLOOKUP(C2576,CATEGORIZACION!$A$1:$C$269,2,FALSE)</f>
        <v>TRANSPORTE</v>
      </c>
      <c r="J2576" s="188" t="s">
        <v>19</v>
      </c>
    </row>
    <row r="2577" spans="1:10" ht="15.75" customHeight="1" x14ac:dyDescent="0.25">
      <c r="A2577" s="1">
        <v>45322</v>
      </c>
      <c r="B2577" s="188" t="s">
        <v>2449</v>
      </c>
      <c r="C2577" s="188" t="s">
        <v>36</v>
      </c>
      <c r="D2577" s="188" t="s">
        <v>37</v>
      </c>
      <c r="E2577" s="4">
        <v>0</v>
      </c>
      <c r="F2577" s="5">
        <v>638000</v>
      </c>
      <c r="G2577" s="4">
        <v>133980</v>
      </c>
      <c r="H2577" s="4">
        <v>771980</v>
      </c>
      <c r="I2577" s="188" t="str">
        <f>VLOOKUP(C2577,CATEGORIZACION!$A$1:$C$269,2,FALSE)</f>
        <v>TRANSPORTE</v>
      </c>
      <c r="J2577" s="188" t="s">
        <v>19</v>
      </c>
    </row>
    <row r="2578" spans="1:10" ht="15.75" customHeight="1" x14ac:dyDescent="0.25">
      <c r="A2578" s="1">
        <v>45322</v>
      </c>
      <c r="B2578" s="188" t="s">
        <v>2450</v>
      </c>
      <c r="C2578" s="188" t="s">
        <v>36</v>
      </c>
      <c r="D2578" s="188" t="s">
        <v>37</v>
      </c>
      <c r="E2578" s="4">
        <v>23400</v>
      </c>
      <c r="F2578" s="5">
        <v>638000</v>
      </c>
      <c r="G2578" s="4">
        <v>133980</v>
      </c>
      <c r="H2578" s="4">
        <v>795380</v>
      </c>
      <c r="I2578" s="188" t="str">
        <f>VLOOKUP(C2578,CATEGORIZACION!$A$1:$C$269,2,FALSE)</f>
        <v>TRANSPORTE</v>
      </c>
      <c r="J2578" s="188" t="s">
        <v>19</v>
      </c>
    </row>
    <row r="2579" spans="1:10" ht="15.75" customHeight="1" x14ac:dyDescent="0.25">
      <c r="A2579" s="1">
        <v>45322</v>
      </c>
      <c r="B2579" s="188" t="s">
        <v>2451</v>
      </c>
      <c r="C2579" s="188" t="s">
        <v>36</v>
      </c>
      <c r="D2579" s="188" t="s">
        <v>37</v>
      </c>
      <c r="E2579" s="4">
        <v>23400</v>
      </c>
      <c r="F2579" s="5">
        <v>638000</v>
      </c>
      <c r="G2579" s="4">
        <v>133980</v>
      </c>
      <c r="H2579" s="4">
        <v>795380</v>
      </c>
      <c r="I2579" s="188" t="str">
        <f>VLOOKUP(C2579,CATEGORIZACION!$A$1:$C$269,2,FALSE)</f>
        <v>TRANSPORTE</v>
      </c>
      <c r="J2579" s="188" t="s">
        <v>19</v>
      </c>
    </row>
    <row r="2580" spans="1:10" ht="15.75" customHeight="1" x14ac:dyDescent="0.25">
      <c r="A2580" s="1">
        <v>45322</v>
      </c>
      <c r="B2580" s="188" t="s">
        <v>2452</v>
      </c>
      <c r="C2580" s="188" t="s">
        <v>36</v>
      </c>
      <c r="D2580" s="188" t="s">
        <v>37</v>
      </c>
      <c r="E2580" s="4">
        <v>23400</v>
      </c>
      <c r="F2580" s="5">
        <v>638000</v>
      </c>
      <c r="G2580" s="4">
        <v>133980</v>
      </c>
      <c r="H2580" s="4">
        <v>795380</v>
      </c>
      <c r="I2580" s="188" t="str">
        <f>VLOOKUP(C2580,CATEGORIZACION!$A$1:$C$269,2,FALSE)</f>
        <v>TRANSPORTE</v>
      </c>
      <c r="J2580" s="188" t="s">
        <v>19</v>
      </c>
    </row>
    <row r="2581" spans="1:10" ht="15.75" customHeight="1" x14ac:dyDescent="0.25">
      <c r="A2581" s="1">
        <v>45322</v>
      </c>
      <c r="B2581" s="188" t="s">
        <v>2453</v>
      </c>
      <c r="C2581" s="188" t="s">
        <v>36</v>
      </c>
      <c r="D2581" s="188" t="s">
        <v>37</v>
      </c>
      <c r="E2581" s="4">
        <v>19300</v>
      </c>
      <c r="F2581" s="5">
        <v>301225</v>
      </c>
      <c r="G2581" s="4">
        <v>63257.25</v>
      </c>
      <c r="H2581" s="4">
        <v>383782.25</v>
      </c>
      <c r="I2581" s="188" t="str">
        <f>VLOOKUP(C2581,CATEGORIZACION!$A$1:$C$269,2,FALSE)</f>
        <v>TRANSPORTE</v>
      </c>
      <c r="J2581" s="188" t="s">
        <v>19</v>
      </c>
    </row>
    <row r="2582" spans="1:10" ht="15.75" customHeight="1" x14ac:dyDescent="0.25">
      <c r="A2582" s="1">
        <v>45322</v>
      </c>
      <c r="B2582" s="188" t="s">
        <v>2454</v>
      </c>
      <c r="C2582" s="188" t="s">
        <v>36</v>
      </c>
      <c r="D2582" s="188" t="s">
        <v>37</v>
      </c>
      <c r="E2582" s="4">
        <v>4800</v>
      </c>
      <c r="F2582" s="5">
        <v>149800</v>
      </c>
      <c r="G2582" s="4">
        <v>31458</v>
      </c>
      <c r="H2582" s="4">
        <v>186058</v>
      </c>
      <c r="I2582" s="188" t="str">
        <f>VLOOKUP(C2582,CATEGORIZACION!$A$1:$C$269,2,FALSE)</f>
        <v>TRANSPORTE</v>
      </c>
      <c r="J2582" s="188" t="s">
        <v>19</v>
      </c>
    </row>
    <row r="2583" spans="1:10" ht="15.75" customHeight="1" x14ac:dyDescent="0.25">
      <c r="A2583" s="1">
        <v>45322</v>
      </c>
      <c r="B2583" s="188" t="s">
        <v>2455</v>
      </c>
      <c r="C2583" s="188" t="s">
        <v>36</v>
      </c>
      <c r="D2583" s="188" t="s">
        <v>37</v>
      </c>
      <c r="E2583" s="4">
        <v>4800</v>
      </c>
      <c r="F2583" s="5">
        <v>149800</v>
      </c>
      <c r="G2583" s="4">
        <v>31458</v>
      </c>
      <c r="H2583" s="4">
        <v>186058</v>
      </c>
      <c r="I2583" s="188" t="str">
        <f>VLOOKUP(C2583,CATEGORIZACION!$A$1:$C$269,2,FALSE)</f>
        <v>TRANSPORTE</v>
      </c>
      <c r="J2583" s="188" t="s">
        <v>19</v>
      </c>
    </row>
    <row r="2584" spans="1:10" ht="15.75" customHeight="1" x14ac:dyDescent="0.25">
      <c r="A2584" s="1">
        <v>45322</v>
      </c>
      <c r="B2584" s="188" t="s">
        <v>2456</v>
      </c>
      <c r="C2584" s="188" t="s">
        <v>253</v>
      </c>
      <c r="D2584" s="188" t="s">
        <v>57</v>
      </c>
      <c r="E2584" s="4">
        <v>0</v>
      </c>
      <c r="F2584" s="5">
        <v>1628099.17</v>
      </c>
      <c r="G2584" s="4">
        <v>341900.83</v>
      </c>
      <c r="H2584" s="4">
        <v>1970000</v>
      </c>
      <c r="I2584" s="188" t="str">
        <f>VLOOKUP(C2584,CATEGORIZACION!$A$1:$C$269,2,FALSE)</f>
        <v>PROOVEDORES</v>
      </c>
      <c r="J2584" s="188" t="str">
        <f>VLOOKUP(C2584,CATEGORIZACION!$A$1:$C$269,3,FALSE)</f>
        <v>LOGISTICA</v>
      </c>
    </row>
    <row r="2585" spans="1:10" ht="15.75" customHeight="1" x14ac:dyDescent="0.25">
      <c r="A2585" s="1">
        <v>45322</v>
      </c>
      <c r="B2585" s="188" t="s">
        <v>82</v>
      </c>
      <c r="C2585" s="188" t="s">
        <v>188</v>
      </c>
      <c r="D2585" s="188">
        <v>0</v>
      </c>
      <c r="E2585" s="4">
        <v>0</v>
      </c>
      <c r="F2585" s="3">
        <v>2264900</v>
      </c>
      <c r="G2585" s="4">
        <v>0</v>
      </c>
      <c r="H2585" s="4">
        <v>0</v>
      </c>
      <c r="I2585" s="188" t="str">
        <f>VLOOKUP(C2585,CATEGORIZACION!$A$1:$C$269,2,FALSE)</f>
        <v>SUELDOS</v>
      </c>
      <c r="J2585" s="188" t="s">
        <v>103</v>
      </c>
    </row>
    <row r="2586" spans="1:10" ht="15.75" customHeight="1" x14ac:dyDescent="0.25">
      <c r="A2586" s="1">
        <v>45322</v>
      </c>
      <c r="B2586" s="188" t="s">
        <v>82</v>
      </c>
      <c r="C2586" s="188" t="s">
        <v>189</v>
      </c>
      <c r="D2586" s="188">
        <v>0</v>
      </c>
      <c r="E2586" s="4">
        <v>0</v>
      </c>
      <c r="F2586" s="3">
        <v>624000</v>
      </c>
      <c r="G2586" s="4">
        <v>0</v>
      </c>
      <c r="H2586" s="4">
        <v>0</v>
      </c>
      <c r="I2586" s="188" t="str">
        <f>VLOOKUP(C2586,CATEGORIZACION!$A$1:$C$269,2,FALSE)</f>
        <v>SUELDOS</v>
      </c>
      <c r="J2586" s="188" t="s">
        <v>103</v>
      </c>
    </row>
    <row r="2587" spans="1:10" ht="15.75" customHeight="1" x14ac:dyDescent="0.25">
      <c r="A2587" s="1">
        <v>45322</v>
      </c>
      <c r="B2587" s="188" t="s">
        <v>82</v>
      </c>
      <c r="C2587" s="188" t="s">
        <v>1114</v>
      </c>
      <c r="D2587" s="188">
        <v>0</v>
      </c>
      <c r="E2587" s="4">
        <v>0</v>
      </c>
      <c r="F2587" s="3">
        <v>0</v>
      </c>
      <c r="G2587" s="4">
        <v>0</v>
      </c>
      <c r="H2587" s="4">
        <v>0</v>
      </c>
      <c r="I2587" s="188" t="str">
        <f>VLOOKUP(C2587,CATEGORIZACION!$A$1:$C$269,2,FALSE)</f>
        <v>SUELDOS</v>
      </c>
      <c r="J2587" s="188" t="s">
        <v>103</v>
      </c>
    </row>
    <row r="2588" spans="1:10" ht="15.75" customHeight="1" x14ac:dyDescent="0.25">
      <c r="A2588" s="1">
        <v>45322</v>
      </c>
      <c r="B2588" s="188" t="s">
        <v>82</v>
      </c>
      <c r="C2588" s="188" t="s">
        <v>1115</v>
      </c>
      <c r="D2588" s="188">
        <v>0</v>
      </c>
      <c r="E2588" s="4">
        <v>0</v>
      </c>
      <c r="F2588" s="5">
        <v>0</v>
      </c>
      <c r="G2588" s="4">
        <v>0</v>
      </c>
      <c r="H2588" s="4">
        <v>0</v>
      </c>
      <c r="I2588" s="188" t="str">
        <f>VLOOKUP(C2588,CATEGORIZACION!$A$1:$C$269,2,FALSE)</f>
        <v>SUELDOS</v>
      </c>
      <c r="J2588" s="188" t="s">
        <v>19</v>
      </c>
    </row>
    <row r="2589" spans="1:10" ht="15.75" customHeight="1" x14ac:dyDescent="0.25">
      <c r="A2589" s="1">
        <v>45322</v>
      </c>
      <c r="B2589" s="188" t="s">
        <v>82</v>
      </c>
      <c r="C2589" s="188" t="s">
        <v>190</v>
      </c>
      <c r="D2589" s="188">
        <v>0</v>
      </c>
      <c r="E2589" s="4">
        <v>0</v>
      </c>
      <c r="F2589" s="5">
        <v>5403100</v>
      </c>
      <c r="G2589" s="4">
        <v>0</v>
      </c>
      <c r="H2589" s="4">
        <v>0</v>
      </c>
      <c r="I2589" s="188" t="str">
        <f>VLOOKUP(C2589,CATEGORIZACION!$A$1:$C$269,2,FALSE)</f>
        <v>SUELDOS</v>
      </c>
      <c r="J2589" s="188" t="s">
        <v>19</v>
      </c>
    </row>
    <row r="2590" spans="1:10" ht="15.75" customHeight="1" x14ac:dyDescent="0.25">
      <c r="A2590" s="1">
        <v>45322</v>
      </c>
      <c r="B2590" s="188" t="s">
        <v>82</v>
      </c>
      <c r="C2590" s="188" t="s">
        <v>191</v>
      </c>
      <c r="D2590" s="188">
        <v>0</v>
      </c>
      <c r="E2590" s="4">
        <v>0</v>
      </c>
      <c r="F2590" s="5">
        <v>1272600</v>
      </c>
      <c r="G2590" s="4">
        <v>0</v>
      </c>
      <c r="H2590" s="4">
        <v>0</v>
      </c>
      <c r="I2590" s="188" t="str">
        <f>VLOOKUP(C2590,CATEGORIZACION!$A$1:$C$269,2,FALSE)</f>
        <v>SUELDOS</v>
      </c>
      <c r="J2590" s="188" t="s">
        <v>19</v>
      </c>
    </row>
    <row r="2591" spans="1:10" ht="15.75" customHeight="1" x14ac:dyDescent="0.25">
      <c r="A2591" s="1">
        <v>45322</v>
      </c>
      <c r="B2591" s="188" t="s">
        <v>82</v>
      </c>
      <c r="C2591" s="188" t="s">
        <v>192</v>
      </c>
      <c r="D2591" s="188">
        <v>0</v>
      </c>
      <c r="E2591" s="4">
        <v>0</v>
      </c>
      <c r="F2591" s="3">
        <v>0</v>
      </c>
      <c r="G2591" s="4">
        <v>0</v>
      </c>
      <c r="H2591" s="4">
        <v>0</v>
      </c>
      <c r="I2591" s="188" t="str">
        <f>VLOOKUP(C2591,CATEGORIZACION!$A$1:$C$269,2,FALSE)</f>
        <v>SUELDOS</v>
      </c>
      <c r="J2591" s="188" t="s">
        <v>103</v>
      </c>
    </row>
    <row r="2592" spans="1:10" ht="15.75" customHeight="1" x14ac:dyDescent="0.25">
      <c r="A2592" s="1">
        <v>45322</v>
      </c>
      <c r="B2592" s="188" t="s">
        <v>82</v>
      </c>
      <c r="C2592" s="188" t="s">
        <v>193</v>
      </c>
      <c r="D2592" s="188">
        <v>0</v>
      </c>
      <c r="E2592" s="4">
        <v>0</v>
      </c>
      <c r="F2592" s="5">
        <v>0</v>
      </c>
      <c r="G2592" s="4">
        <v>0</v>
      </c>
      <c r="H2592" s="4">
        <v>0</v>
      </c>
      <c r="I2592" s="188" t="str">
        <f>VLOOKUP(C2592,CATEGORIZACION!$A$1:$C$269,2,FALSE)</f>
        <v>SUELDOS</v>
      </c>
      <c r="J2592" s="188" t="s">
        <v>19</v>
      </c>
    </row>
    <row r="2593" spans="1:10" ht="15.75" customHeight="1" x14ac:dyDescent="0.25">
      <c r="A2593" s="1">
        <v>45322</v>
      </c>
      <c r="B2593" s="188" t="s">
        <v>82</v>
      </c>
      <c r="C2593" s="188" t="s">
        <v>194</v>
      </c>
      <c r="D2593" s="188">
        <v>0</v>
      </c>
      <c r="E2593" s="4">
        <v>0</v>
      </c>
      <c r="F2593" s="3">
        <v>1400625</v>
      </c>
      <c r="G2593" s="4">
        <v>0</v>
      </c>
      <c r="H2593" s="4">
        <v>0</v>
      </c>
      <c r="I2593" s="188" t="str">
        <f>VLOOKUP(C2593,CATEGORIZACION!$A$1:$C$269,2,FALSE)</f>
        <v>ALQUILER</v>
      </c>
      <c r="J2593" s="188" t="s">
        <v>103</v>
      </c>
    </row>
    <row r="2594" spans="1:10" ht="15.75" customHeight="1" x14ac:dyDescent="0.25">
      <c r="A2594" s="1">
        <v>45322</v>
      </c>
      <c r="B2594" s="188" t="s">
        <v>82</v>
      </c>
      <c r="C2594" s="188" t="s">
        <v>195</v>
      </c>
      <c r="D2594" s="188">
        <v>0</v>
      </c>
      <c r="E2594" s="2">
        <v>0</v>
      </c>
      <c r="F2594" s="3">
        <v>2809562</v>
      </c>
      <c r="G2594" s="2">
        <v>0</v>
      </c>
      <c r="H2594" s="2">
        <v>0</v>
      </c>
      <c r="I2594" s="188" t="str">
        <f>VLOOKUP(C2594,CATEGORIZACION!$A$1:$C$269,2,FALSE)</f>
        <v>ALQUILER</v>
      </c>
      <c r="J2594" s="188" t="s">
        <v>103</v>
      </c>
    </row>
    <row r="2595" spans="1:10" ht="15.75" customHeight="1" x14ac:dyDescent="0.25">
      <c r="A2595" s="1">
        <v>45322</v>
      </c>
      <c r="B2595" s="188" t="s">
        <v>82</v>
      </c>
      <c r="C2595" s="188" t="s">
        <v>196</v>
      </c>
      <c r="D2595" s="188">
        <v>0</v>
      </c>
      <c r="E2595" s="4">
        <v>0</v>
      </c>
      <c r="F2595" s="3">
        <v>639693</v>
      </c>
      <c r="G2595" s="4">
        <v>0</v>
      </c>
      <c r="H2595" s="4">
        <v>0</v>
      </c>
      <c r="I2595" s="188" t="str">
        <f>VLOOKUP(C2595,CATEGORIZACION!$A$1:$C$269,2,FALSE)</f>
        <v>ALQUILER</v>
      </c>
      <c r="J2595" s="188" t="s">
        <v>103</v>
      </c>
    </row>
    <row r="2596" spans="1:10" ht="15.75" customHeight="1" x14ac:dyDescent="0.25">
      <c r="A2596" s="1">
        <v>45322</v>
      </c>
      <c r="B2596" s="188" t="s">
        <v>82</v>
      </c>
      <c r="C2596" s="188" t="s">
        <v>197</v>
      </c>
      <c r="D2596" s="188">
        <v>0</v>
      </c>
      <c r="E2596" s="4">
        <v>0</v>
      </c>
      <c r="F2596" s="3">
        <v>132493</v>
      </c>
      <c r="G2596" s="4">
        <v>0</v>
      </c>
      <c r="H2596" s="4">
        <v>0</v>
      </c>
      <c r="I2596" s="188" t="str">
        <f>VLOOKUP(C2596,CATEGORIZACION!$A$1:$C$269,2,FALSE)</f>
        <v>ALQUILER</v>
      </c>
      <c r="J2596" s="188" t="s">
        <v>103</v>
      </c>
    </row>
    <row r="2597" spans="1:10" ht="15.75" customHeight="1" x14ac:dyDescent="0.25">
      <c r="A2597" s="1">
        <v>45322</v>
      </c>
      <c r="B2597" s="188" t="s">
        <v>82</v>
      </c>
      <c r="C2597" s="188" t="s">
        <v>198</v>
      </c>
      <c r="D2597" s="188">
        <v>0</v>
      </c>
      <c r="E2597" s="4">
        <v>0</v>
      </c>
      <c r="F2597" s="5">
        <v>335000</v>
      </c>
      <c r="G2597" s="4">
        <v>0</v>
      </c>
      <c r="H2597" s="4">
        <v>0</v>
      </c>
      <c r="I2597" s="188" t="str">
        <f>VLOOKUP(C2597,CATEGORIZACION!$A$1:$C$269,2,FALSE)</f>
        <v>ALQUILER</v>
      </c>
      <c r="J2597" s="188" t="s">
        <v>19</v>
      </c>
    </row>
    <row r="2598" spans="1:10" ht="15.75" customHeight="1" x14ac:dyDescent="0.25">
      <c r="A2598" s="1">
        <v>45322</v>
      </c>
      <c r="B2598" s="188" t="s">
        <v>82</v>
      </c>
      <c r="C2598" s="188" t="s">
        <v>199</v>
      </c>
      <c r="D2598" s="188">
        <v>0</v>
      </c>
      <c r="E2598" s="4">
        <v>0</v>
      </c>
      <c r="F2598" s="3">
        <v>194300</v>
      </c>
      <c r="G2598" s="4">
        <v>0</v>
      </c>
      <c r="H2598" s="4">
        <v>0</v>
      </c>
      <c r="I2598" s="188" t="str">
        <f>VLOOKUP(C2598,CATEGORIZACION!$A$1:$C$269,2,FALSE)</f>
        <v>PROOVEDORES</v>
      </c>
      <c r="J2598" s="188" t="str">
        <f>VLOOKUP(C2598,CATEGORIZACION!$A$1:$C$269,3,FALSE)</f>
        <v>DEPOSITO</v>
      </c>
    </row>
    <row r="2599" spans="1:10" ht="15.75" customHeight="1" x14ac:dyDescent="0.25">
      <c r="A2599" s="1">
        <v>45322</v>
      </c>
      <c r="B2599" s="188" t="s">
        <v>82</v>
      </c>
      <c r="C2599" s="188" t="s">
        <v>200</v>
      </c>
      <c r="D2599" s="188">
        <v>0</v>
      </c>
      <c r="E2599" s="4">
        <v>0</v>
      </c>
      <c r="F2599" s="5">
        <v>322800</v>
      </c>
      <c r="G2599" s="4">
        <v>0</v>
      </c>
      <c r="H2599" s="4">
        <v>0</v>
      </c>
      <c r="I2599" s="188" t="str">
        <f>VLOOKUP(C2599,CATEGORIZACION!$A$1:$C$269,2,FALSE)</f>
        <v>PROOVEDORES</v>
      </c>
      <c r="J2599" s="188" t="str">
        <f>VLOOKUP(C2599,CATEGORIZACION!$A$1:$C$269,3,FALSE)</f>
        <v>LOGISTICA</v>
      </c>
    </row>
    <row r="2600" spans="1:10" ht="15.75" customHeight="1" x14ac:dyDescent="0.25">
      <c r="A2600" s="1">
        <v>45322</v>
      </c>
      <c r="B2600" s="188" t="s">
        <v>82</v>
      </c>
      <c r="C2600" s="188" t="s">
        <v>203</v>
      </c>
      <c r="D2600" s="188">
        <v>0</v>
      </c>
      <c r="E2600" s="4">
        <v>0</v>
      </c>
      <c r="F2600" s="5">
        <v>0</v>
      </c>
      <c r="G2600" s="4">
        <v>0</v>
      </c>
      <c r="H2600" s="4">
        <v>0</v>
      </c>
      <c r="I2600" s="188" t="str">
        <f>VLOOKUP(C2600,CATEGORIZACION!$A$1:$C$269,2,FALSE)</f>
        <v>PROOVEDORES</v>
      </c>
      <c r="J2600" s="188" t="str">
        <f>VLOOKUP(C2600,CATEGORIZACION!$A$1:$C$269,3,FALSE)</f>
        <v>LOGISTICA</v>
      </c>
    </row>
    <row r="2601" spans="1:10" ht="15.75" customHeight="1" x14ac:dyDescent="0.25">
      <c r="A2601" s="1">
        <v>45322</v>
      </c>
      <c r="B2601" s="188" t="s">
        <v>82</v>
      </c>
      <c r="C2601" s="188" t="s">
        <v>204</v>
      </c>
      <c r="D2601" s="188">
        <v>0</v>
      </c>
      <c r="E2601" s="4">
        <v>0</v>
      </c>
      <c r="F2601" s="5">
        <v>877961</v>
      </c>
      <c r="G2601" s="4">
        <v>0</v>
      </c>
      <c r="H2601" s="4">
        <v>0</v>
      </c>
      <c r="I2601" s="188" t="str">
        <f>VLOOKUP(C2601,CATEGORIZACION!$A$1:$C$269,2,FALSE)</f>
        <v>PROOVEDORES</v>
      </c>
      <c r="J2601" s="188" t="str">
        <f>VLOOKUP(C2601,CATEGORIZACION!$A$1:$C$269,3,FALSE)</f>
        <v>LOGISTICA</v>
      </c>
    </row>
    <row r="2602" spans="1:10" ht="15.75" customHeight="1" x14ac:dyDescent="0.25">
      <c r="A2602" s="1">
        <v>45322</v>
      </c>
      <c r="B2602" s="188" t="s">
        <v>82</v>
      </c>
      <c r="C2602" s="188" t="s">
        <v>205</v>
      </c>
      <c r="D2602" s="188">
        <v>0</v>
      </c>
      <c r="E2602" s="4">
        <v>0</v>
      </c>
      <c r="F2602" s="5">
        <v>258533</v>
      </c>
      <c r="G2602" s="4">
        <v>0</v>
      </c>
      <c r="H2602" s="4">
        <v>0</v>
      </c>
      <c r="I2602" s="188" t="str">
        <f>VLOOKUP(C2602,CATEGORIZACION!$A$1:$C$269,2,FALSE)</f>
        <v>AFIP</v>
      </c>
      <c r="J2602" s="188" t="s">
        <v>19</v>
      </c>
    </row>
    <row r="2603" spans="1:10" ht="15.75" customHeight="1" x14ac:dyDescent="0.25">
      <c r="A2603" s="1">
        <v>45322</v>
      </c>
      <c r="B2603" s="188" t="s">
        <v>82</v>
      </c>
      <c r="C2603" s="188" t="s">
        <v>690</v>
      </c>
      <c r="D2603" s="188">
        <v>0</v>
      </c>
      <c r="E2603" s="4">
        <v>0</v>
      </c>
      <c r="F2603" s="3">
        <v>1088702</v>
      </c>
      <c r="G2603" s="4">
        <v>0</v>
      </c>
      <c r="H2603" s="4">
        <v>0</v>
      </c>
      <c r="I2603" s="188" t="str">
        <f>VLOOKUP(C2603,CATEGORIZACION!$A$1:$C$269,2,FALSE)</f>
        <v>AFIP</v>
      </c>
      <c r="J2603" s="188" t="s">
        <v>103</v>
      </c>
    </row>
    <row r="2604" spans="1:10" ht="15.75" customHeight="1" x14ac:dyDescent="0.25">
      <c r="A2604" s="1">
        <v>45322</v>
      </c>
      <c r="B2604" s="188" t="s">
        <v>82</v>
      </c>
      <c r="C2604" s="188" t="s">
        <v>206</v>
      </c>
      <c r="D2604" s="188">
        <v>0</v>
      </c>
      <c r="E2604" s="4">
        <v>0</v>
      </c>
      <c r="F2604" s="5">
        <v>1633053</v>
      </c>
      <c r="G2604" s="4">
        <v>0</v>
      </c>
      <c r="H2604" s="4">
        <v>0</v>
      </c>
      <c r="I2604" s="188" t="str">
        <f>VLOOKUP(C2604,CATEGORIZACION!$A$1:$C$269,2,FALSE)</f>
        <v>AFIP</v>
      </c>
      <c r="J2604" s="188" t="s">
        <v>19</v>
      </c>
    </row>
    <row r="2605" spans="1:10" ht="15.75" customHeight="1" x14ac:dyDescent="0.25">
      <c r="A2605" s="1">
        <v>45322</v>
      </c>
      <c r="B2605" s="188" t="s">
        <v>82</v>
      </c>
      <c r="C2605" s="188" t="s">
        <v>207</v>
      </c>
      <c r="D2605" s="188">
        <v>0</v>
      </c>
      <c r="E2605" s="4">
        <v>0</v>
      </c>
      <c r="F2605" s="5">
        <v>692927.51</v>
      </c>
      <c r="G2605" s="4">
        <v>0</v>
      </c>
      <c r="H2605" s="4">
        <v>0</v>
      </c>
      <c r="I2605" s="188" t="str">
        <f>VLOOKUP(C2605,CATEGORIZACION!$A$1:$C$269,2,FALSE)</f>
        <v>AFIP</v>
      </c>
      <c r="J2605" s="188" t="s">
        <v>19</v>
      </c>
    </row>
    <row r="2606" spans="1:10" ht="15.75" customHeight="1" x14ac:dyDescent="0.25">
      <c r="A2606" s="1">
        <v>45322</v>
      </c>
      <c r="B2606" s="188" t="s">
        <v>82</v>
      </c>
      <c r="C2606" s="188" t="s">
        <v>208</v>
      </c>
      <c r="D2606" s="188">
        <v>0</v>
      </c>
      <c r="E2606" s="4">
        <v>0</v>
      </c>
      <c r="F2606" s="5">
        <v>187995</v>
      </c>
      <c r="G2606" s="4">
        <v>0</v>
      </c>
      <c r="H2606" s="4">
        <v>0</v>
      </c>
      <c r="I2606" s="188" t="str">
        <f>VLOOKUP(C2606,CATEGORIZACION!$A$1:$C$269,2,FALSE)</f>
        <v>AFIP</v>
      </c>
      <c r="J2606" s="188" t="s">
        <v>19</v>
      </c>
    </row>
    <row r="2607" spans="1:10" ht="15.75" customHeight="1" x14ac:dyDescent="0.25">
      <c r="A2607" s="1">
        <v>45322</v>
      </c>
      <c r="B2607" s="188" t="s">
        <v>82</v>
      </c>
      <c r="C2607" s="188" t="s">
        <v>209</v>
      </c>
      <c r="D2607" s="188">
        <v>0</v>
      </c>
      <c r="E2607" s="4">
        <v>0</v>
      </c>
      <c r="F2607" s="11">
        <v>111333.25</v>
      </c>
      <c r="G2607" s="4">
        <v>0</v>
      </c>
      <c r="H2607" s="4">
        <v>0</v>
      </c>
      <c r="I2607" s="188" t="str">
        <f>VLOOKUP(C2607,CATEGORIZACION!$A$1:$C$269,2,FALSE)</f>
        <v>PROOVEDORES</v>
      </c>
      <c r="J2607" s="188" t="str">
        <f>VLOOKUP(C2607,CATEGORIZACION!$A$1:$C$269,3,FALSE)</f>
        <v>LOGISTICA</v>
      </c>
    </row>
    <row r="2608" spans="1:10" ht="15.75" customHeight="1" x14ac:dyDescent="0.25">
      <c r="A2608" s="1">
        <v>45322</v>
      </c>
      <c r="B2608" s="188" t="s">
        <v>82</v>
      </c>
      <c r="C2608" s="188" t="s">
        <v>210</v>
      </c>
      <c r="D2608" s="188">
        <v>0</v>
      </c>
      <c r="E2608" s="4">
        <v>0</v>
      </c>
      <c r="F2608" s="11">
        <v>361833</v>
      </c>
      <c r="G2608" s="4">
        <v>0</v>
      </c>
      <c r="H2608" s="4">
        <v>0</v>
      </c>
      <c r="I2608" s="188" t="str">
        <f>VLOOKUP(C2608,CATEGORIZACION!$A$1:$C$269,2,FALSE)</f>
        <v>PROOVEDORES</v>
      </c>
      <c r="J2608" s="188" t="str">
        <f>VLOOKUP(C2608,CATEGORIZACION!$A$1:$C$269,3,FALSE)</f>
        <v>LOGISTICA</v>
      </c>
    </row>
    <row r="2609" spans="1:10" ht="15.75" customHeight="1" x14ac:dyDescent="0.25">
      <c r="A2609" s="1">
        <v>45322</v>
      </c>
      <c r="B2609" s="188" t="s">
        <v>82</v>
      </c>
      <c r="C2609" s="188" t="s">
        <v>211</v>
      </c>
      <c r="D2609" s="188">
        <v>0</v>
      </c>
      <c r="E2609" s="4">
        <v>0</v>
      </c>
      <c r="F2609" s="5">
        <v>10683</v>
      </c>
      <c r="G2609" s="4">
        <v>0</v>
      </c>
      <c r="H2609" s="4">
        <v>0</v>
      </c>
      <c r="I2609" s="188" t="str">
        <f>VLOOKUP(C2609,CATEGORIZACION!$A$1:$C$269,2,FALSE)</f>
        <v>PROOVEDORES</v>
      </c>
      <c r="J2609" s="188" t="str">
        <f>VLOOKUP(C2609,CATEGORIZACION!$A$1:$C$269,3,FALSE)</f>
        <v>LOGISTICA</v>
      </c>
    </row>
    <row r="2610" spans="1:10" ht="15.75" customHeight="1" x14ac:dyDescent="0.25">
      <c r="A2610" s="1">
        <v>45322</v>
      </c>
      <c r="B2610" s="188" t="s">
        <v>82</v>
      </c>
      <c r="C2610" s="188" t="s">
        <v>2174</v>
      </c>
      <c r="D2610" s="188">
        <v>0</v>
      </c>
      <c r="E2610" s="4">
        <v>0</v>
      </c>
      <c r="F2610" s="5">
        <v>34721</v>
      </c>
      <c r="G2610" s="4">
        <v>0</v>
      </c>
      <c r="H2610" s="4">
        <v>0</v>
      </c>
      <c r="I2610" s="188" t="str">
        <f>VLOOKUP(C2610,CATEGORIZACION!$A$1:$C$269,2,FALSE)</f>
        <v>PROOVEDORES</v>
      </c>
      <c r="J2610" s="188" t="str">
        <f>VLOOKUP(C2610,CATEGORIZACION!$A$1:$C$269,3,FALSE)</f>
        <v>LOGISTICA</v>
      </c>
    </row>
    <row r="2611" spans="1:10" ht="15.75" customHeight="1" x14ac:dyDescent="0.25">
      <c r="A2611" s="1">
        <v>45322</v>
      </c>
      <c r="B2611" s="188" t="s">
        <v>82</v>
      </c>
      <c r="C2611" s="188" t="s">
        <v>1966</v>
      </c>
      <c r="D2611" s="188">
        <v>0</v>
      </c>
      <c r="E2611" s="4">
        <v>0</v>
      </c>
      <c r="F2611" s="5">
        <v>601225</v>
      </c>
      <c r="G2611" s="4">
        <v>0</v>
      </c>
      <c r="H2611" s="4">
        <v>0</v>
      </c>
      <c r="I2611" s="188" t="str">
        <f>VLOOKUP(C2611,CATEGORIZACION!$A$1:$C$269,2,FALSE)</f>
        <v>AFIP</v>
      </c>
      <c r="J2611" s="188" t="s">
        <v>19</v>
      </c>
    </row>
    <row r="2612" spans="1:10" ht="15.75" customHeight="1" x14ac:dyDescent="0.25">
      <c r="A2612" s="1">
        <v>45322</v>
      </c>
      <c r="B2612" s="188" t="s">
        <v>82</v>
      </c>
      <c r="C2612" s="188" t="s">
        <v>2457</v>
      </c>
      <c r="D2612" s="188">
        <v>0</v>
      </c>
      <c r="E2612" s="4">
        <v>0</v>
      </c>
      <c r="F2612" s="3">
        <v>3651428.51</v>
      </c>
      <c r="G2612" s="4">
        <v>0</v>
      </c>
      <c r="H2612" s="4">
        <v>0</v>
      </c>
      <c r="I2612" s="188" t="str">
        <f>VLOOKUP(C2612,CATEGORIZACION!$A$1:$C$269,2,FALSE)</f>
        <v>PROOVEDORES</v>
      </c>
      <c r="J2612" s="188" t="str">
        <f>VLOOKUP(C2612,CATEGORIZACION!$A$1:$C$269,3,FALSE)</f>
        <v>LOGISTICA</v>
      </c>
    </row>
    <row r="2613" spans="1:10" ht="15.75" customHeight="1" x14ac:dyDescent="0.25">
      <c r="A2613" s="1">
        <v>45322</v>
      </c>
      <c r="B2613" s="188" t="s">
        <v>82</v>
      </c>
      <c r="C2613" s="188" t="s">
        <v>213</v>
      </c>
      <c r="D2613" s="188">
        <v>0</v>
      </c>
      <c r="E2613" s="4">
        <v>0</v>
      </c>
      <c r="F2613" s="5">
        <v>83500</v>
      </c>
      <c r="G2613" s="4">
        <v>0</v>
      </c>
      <c r="H2613" s="4">
        <v>0</v>
      </c>
      <c r="I2613" s="188" t="str">
        <f>VLOOKUP(C2613,CATEGORIZACION!$A$1:$C$269,2,FALSE)</f>
        <v>AFIP</v>
      </c>
      <c r="J2613" s="188" t="s">
        <v>19</v>
      </c>
    </row>
    <row r="2614" spans="1:10" ht="15.75" customHeight="1" x14ac:dyDescent="0.25">
      <c r="A2614" s="1">
        <v>45260</v>
      </c>
      <c r="B2614" s="12" t="s">
        <v>82</v>
      </c>
      <c r="C2614" s="188" t="s">
        <v>195</v>
      </c>
      <c r="D2614" s="12">
        <v>0</v>
      </c>
      <c r="E2614" s="13">
        <v>0</v>
      </c>
      <c r="F2614" s="203">
        <v>1139562</v>
      </c>
      <c r="G2614" s="13">
        <v>0</v>
      </c>
      <c r="H2614" s="13">
        <v>0</v>
      </c>
      <c r="I2614" s="188" t="str">
        <f>VLOOKUP(C2614,CATEGORIZACION!$A$1:$C$269,2,FALSE)</f>
        <v>ALQUILER</v>
      </c>
      <c r="J2614" s="14" t="s">
        <v>103</v>
      </c>
    </row>
    <row r="2615" spans="1:10" ht="15.75" customHeight="1" x14ac:dyDescent="0.25">
      <c r="A2615" s="1">
        <v>45294</v>
      </c>
      <c r="B2615" s="15" t="s">
        <v>2458</v>
      </c>
      <c r="C2615" s="15" t="s">
        <v>2459</v>
      </c>
      <c r="D2615" s="15" t="s">
        <v>2460</v>
      </c>
      <c r="E2615" s="4"/>
      <c r="F2615" s="3">
        <v>49628.25</v>
      </c>
      <c r="G2615" s="2">
        <v>10421.75</v>
      </c>
      <c r="H2615" s="2">
        <v>60744.79</v>
      </c>
      <c r="I2615" s="188" t="str">
        <f>VLOOKUP(C2615,CATEGORIZACION!$A$1:$C$269,2,FALSE)</f>
        <v>PROOVEDORES</v>
      </c>
      <c r="J2615" s="188" t="str">
        <f>VLOOKUP(C2615,CATEGORIZACION!$A$1:$C$269,3,FALSE)</f>
        <v>LOGISTICA</v>
      </c>
    </row>
    <row r="2616" spans="1:10" ht="15.75" customHeight="1" x14ac:dyDescent="0.25">
      <c r="A2616" s="1">
        <v>45294</v>
      </c>
      <c r="B2616" s="15" t="s">
        <v>2461</v>
      </c>
      <c r="C2616" s="15" t="s">
        <v>2459</v>
      </c>
      <c r="D2616" s="15" t="s">
        <v>2460</v>
      </c>
      <c r="E2616" s="4"/>
      <c r="F2616" s="3">
        <v>4214.88</v>
      </c>
      <c r="G2616" s="2">
        <v>885.12</v>
      </c>
      <c r="H2616" s="2">
        <v>5159.01</v>
      </c>
      <c r="I2616" s="188" t="str">
        <f>VLOOKUP(C2616,CATEGORIZACION!$A$1:$C$269,2,FALSE)</f>
        <v>PROOVEDORES</v>
      </c>
      <c r="J2616" s="188" t="str">
        <f>VLOOKUP(C2616,CATEGORIZACION!$A$1:$C$269,3,FALSE)</f>
        <v>LOGISTICA</v>
      </c>
    </row>
    <row r="2617" spans="1:10" ht="15.75" customHeight="1" x14ac:dyDescent="0.25">
      <c r="A2617" s="1">
        <v>45322</v>
      </c>
      <c r="B2617" s="15" t="s">
        <v>2462</v>
      </c>
      <c r="C2617" s="15" t="s">
        <v>2463</v>
      </c>
      <c r="D2617" s="15" t="s">
        <v>376</v>
      </c>
      <c r="E2617" s="4"/>
      <c r="F2617" s="3">
        <v>135549.59</v>
      </c>
      <c r="G2617" s="2">
        <v>28465.41</v>
      </c>
      <c r="H2617" s="2">
        <v>169979.19</v>
      </c>
      <c r="I2617" s="188" t="str">
        <f>VLOOKUP(C2617,CATEGORIZACION!$A$1:$C$269,2,FALSE)</f>
        <v>PROOVEDORES</v>
      </c>
      <c r="J2617" s="188" t="str">
        <f>VLOOKUP(C2617,CATEGORIZACION!$A$1:$C$269,3,FALSE)</f>
        <v>LOGISTICA</v>
      </c>
    </row>
    <row r="2618" spans="1:10" ht="15.75" customHeight="1" x14ac:dyDescent="0.25">
      <c r="A2618" s="1">
        <v>45322</v>
      </c>
      <c r="B2618" s="15" t="s">
        <v>2464</v>
      </c>
      <c r="C2618" s="15" t="s">
        <v>2463</v>
      </c>
      <c r="D2618" s="15" t="s">
        <v>376</v>
      </c>
      <c r="E2618" s="4"/>
      <c r="F2618" s="3">
        <v>4227.2700000000004</v>
      </c>
      <c r="G2618" s="2">
        <v>887.73</v>
      </c>
      <c r="H2618" s="2">
        <v>5301</v>
      </c>
      <c r="I2618" s="188" t="str">
        <f>VLOOKUP(C2618,CATEGORIZACION!$A$1:$C$269,2,FALSE)</f>
        <v>PROOVEDORES</v>
      </c>
      <c r="J2618" s="188" t="str">
        <f>VLOOKUP(C2618,CATEGORIZACION!$A$1:$C$269,3,FALSE)</f>
        <v>LOGISTICA</v>
      </c>
    </row>
    <row r="2619" spans="1:10" ht="15.75" customHeight="1" x14ac:dyDescent="0.25">
      <c r="A2619" s="1">
        <v>45300</v>
      </c>
      <c r="B2619" s="15" t="s">
        <v>2465</v>
      </c>
      <c r="C2619" s="15" t="s">
        <v>2466</v>
      </c>
      <c r="D2619" s="15" t="s">
        <v>1502</v>
      </c>
      <c r="E2619" s="4"/>
      <c r="F2619" s="3">
        <v>33429.75</v>
      </c>
      <c r="G2619" s="2">
        <v>7020.25</v>
      </c>
      <c r="H2619" s="2">
        <v>40918.019999999997</v>
      </c>
      <c r="I2619" s="188" t="str">
        <f>VLOOKUP(C2619,CATEGORIZACION!$A$1:$C$269,2,FALSE)</f>
        <v>PROOVEDORES</v>
      </c>
      <c r="J2619" s="188" t="str">
        <f>VLOOKUP(C2619,CATEGORIZACION!$A$1:$C$269,3,FALSE)</f>
        <v>LOGISTICA</v>
      </c>
    </row>
    <row r="2620" spans="1:10" ht="15.75" customHeight="1" x14ac:dyDescent="0.25">
      <c r="A2620" s="1">
        <v>45300</v>
      </c>
      <c r="B2620" s="15" t="s">
        <v>2467</v>
      </c>
      <c r="C2620" s="15" t="s">
        <v>2466</v>
      </c>
      <c r="D2620" s="15" t="s">
        <v>1502</v>
      </c>
      <c r="E2620" s="4"/>
      <c r="F2620" s="3">
        <v>1487.6</v>
      </c>
      <c r="G2620" s="2">
        <v>312.39999999999998</v>
      </c>
      <c r="H2620" s="2">
        <v>1800</v>
      </c>
      <c r="I2620" s="188" t="str">
        <f>VLOOKUP(C2620,CATEGORIZACION!$A$1:$C$269,2,FALSE)</f>
        <v>PROOVEDORES</v>
      </c>
      <c r="J2620" s="188" t="str">
        <f>VLOOKUP(C2620,CATEGORIZACION!$A$1:$C$269,3,FALSE)</f>
        <v>LOGISTICA</v>
      </c>
    </row>
    <row r="2621" spans="1:10" ht="15.75" customHeight="1" x14ac:dyDescent="0.25">
      <c r="A2621" s="1">
        <v>45316</v>
      </c>
      <c r="B2621" s="15" t="s">
        <v>2468</v>
      </c>
      <c r="C2621" s="15" t="s">
        <v>2466</v>
      </c>
      <c r="D2621" s="15" t="s">
        <v>1502</v>
      </c>
      <c r="E2621" s="4"/>
      <c r="F2621" s="3">
        <v>24462.81</v>
      </c>
      <c r="G2621" s="2">
        <v>5137.1899999999996</v>
      </c>
      <c r="H2621" s="2">
        <v>29942.48</v>
      </c>
      <c r="I2621" s="188" t="str">
        <f>VLOOKUP(C2621,CATEGORIZACION!$A$1:$C$269,2,FALSE)</f>
        <v>PROOVEDORES</v>
      </c>
      <c r="J2621" s="188" t="str">
        <f>VLOOKUP(C2621,CATEGORIZACION!$A$1:$C$269,3,FALSE)</f>
        <v>LOGISTICA</v>
      </c>
    </row>
    <row r="2622" spans="1:10" ht="15.75" customHeight="1" x14ac:dyDescent="0.25">
      <c r="A2622" s="1">
        <v>45316</v>
      </c>
      <c r="B2622" s="15" t="s">
        <v>2469</v>
      </c>
      <c r="C2622" s="15" t="s">
        <v>2466</v>
      </c>
      <c r="D2622" s="15" t="s">
        <v>1502</v>
      </c>
      <c r="E2622" s="4"/>
      <c r="F2622" s="3">
        <v>991.73</v>
      </c>
      <c r="G2622" s="2">
        <v>208.27</v>
      </c>
      <c r="H2622" s="2">
        <v>1200</v>
      </c>
      <c r="I2622" s="188" t="str">
        <f>VLOOKUP(C2622,CATEGORIZACION!$A$1:$C$269,2,FALSE)</f>
        <v>PROOVEDORES</v>
      </c>
      <c r="J2622" s="188" t="str">
        <f>VLOOKUP(C2622,CATEGORIZACION!$A$1:$C$269,3,FALSE)</f>
        <v>LOGISTICA</v>
      </c>
    </row>
    <row r="2623" spans="1:10" ht="15.75" customHeight="1" x14ac:dyDescent="0.25">
      <c r="A2623" s="1">
        <v>45322</v>
      </c>
      <c r="B2623" s="15" t="s">
        <v>2470</v>
      </c>
      <c r="C2623" s="15" t="s">
        <v>2466</v>
      </c>
      <c r="D2623" s="15" t="s">
        <v>1502</v>
      </c>
      <c r="E2623" s="4"/>
      <c r="F2623" s="3">
        <v>991.73</v>
      </c>
      <c r="G2623" s="2">
        <v>208.27</v>
      </c>
      <c r="H2623" s="2">
        <v>1200</v>
      </c>
      <c r="I2623" s="188" t="str">
        <f>VLOOKUP(C2623,CATEGORIZACION!$A$1:$C$269,2,FALSE)</f>
        <v>PROOVEDORES</v>
      </c>
      <c r="J2623" s="188" t="str">
        <f>VLOOKUP(C2623,CATEGORIZACION!$A$1:$C$269,3,FALSE)</f>
        <v>LOGISTICA</v>
      </c>
    </row>
    <row r="2624" spans="1:10" ht="15.75" customHeight="1" x14ac:dyDescent="0.25">
      <c r="A2624" s="1">
        <v>45294</v>
      </c>
      <c r="B2624" s="15" t="s">
        <v>2471</v>
      </c>
      <c r="C2624" s="15" t="s">
        <v>2472</v>
      </c>
      <c r="D2624" s="15" t="s">
        <v>802</v>
      </c>
      <c r="E2624" s="4"/>
      <c r="F2624" s="3">
        <v>208211.46</v>
      </c>
      <c r="G2624" s="2">
        <v>43724.38</v>
      </c>
      <c r="H2624" s="2">
        <v>281086.90999999997</v>
      </c>
      <c r="I2624" s="188" t="str">
        <f>VLOOKUP(C2624,CATEGORIZACION!$A$1:$C$269,2,FALSE)</f>
        <v>PROOVEDORES</v>
      </c>
      <c r="J2624" s="188" t="str">
        <f>VLOOKUP(C2624,CATEGORIZACION!$A$1:$C$269,3,FALSE)</f>
        <v>LOGISTICA</v>
      </c>
    </row>
    <row r="2625" spans="1:10" ht="15.75" customHeight="1" x14ac:dyDescent="0.25">
      <c r="A2625" s="1">
        <v>45294</v>
      </c>
      <c r="B2625" s="15" t="s">
        <v>2473</v>
      </c>
      <c r="C2625" s="15" t="s">
        <v>2472</v>
      </c>
      <c r="D2625" s="15" t="s">
        <v>802</v>
      </c>
      <c r="E2625" s="4"/>
      <c r="F2625" s="3">
        <v>15867.66</v>
      </c>
      <c r="G2625" s="2">
        <v>3332.21</v>
      </c>
      <c r="H2625" s="2">
        <v>21421.61</v>
      </c>
      <c r="I2625" s="188" t="str">
        <f>VLOOKUP(C2625,CATEGORIZACION!$A$1:$C$269,2,FALSE)</f>
        <v>PROOVEDORES</v>
      </c>
      <c r="J2625" s="188" t="str">
        <f>VLOOKUP(C2625,CATEGORIZACION!$A$1:$C$269,3,FALSE)</f>
        <v>LOGISTICA</v>
      </c>
    </row>
    <row r="2626" spans="1:10" ht="15.75" customHeight="1" x14ac:dyDescent="0.25">
      <c r="A2626" s="1">
        <v>45309</v>
      </c>
      <c r="B2626" s="15" t="s">
        <v>2474</v>
      </c>
      <c r="C2626" s="15" t="s">
        <v>2472</v>
      </c>
      <c r="D2626" s="15" t="s">
        <v>802</v>
      </c>
      <c r="E2626" s="4"/>
      <c r="F2626" s="3">
        <v>14093.15</v>
      </c>
      <c r="G2626" s="2">
        <v>2959.58</v>
      </c>
      <c r="H2626" s="2">
        <v>19025.919999999998</v>
      </c>
      <c r="I2626" s="188" t="str">
        <f>VLOOKUP(C2626,CATEGORIZACION!$A$1:$C$269,2,FALSE)</f>
        <v>PROOVEDORES</v>
      </c>
      <c r="J2626" s="188" t="str">
        <f>VLOOKUP(C2626,CATEGORIZACION!$A$1:$C$269,3,FALSE)</f>
        <v>LOGISTICA</v>
      </c>
    </row>
    <row r="2627" spans="1:10" ht="15.75" customHeight="1" x14ac:dyDescent="0.25">
      <c r="A2627" s="1">
        <v>45294</v>
      </c>
      <c r="B2627" s="15" t="s">
        <v>2475</v>
      </c>
      <c r="C2627" s="15" t="s">
        <v>2476</v>
      </c>
      <c r="D2627" s="15" t="s">
        <v>805</v>
      </c>
      <c r="E2627" s="4"/>
      <c r="F2627" s="3">
        <v>59380.25</v>
      </c>
      <c r="G2627" s="2">
        <v>12469.75</v>
      </c>
      <c r="H2627" s="2">
        <v>74462.73000000001</v>
      </c>
      <c r="I2627" s="188" t="str">
        <f>VLOOKUP(C2627,CATEGORIZACION!$A$1:$C$269,2,FALSE)</f>
        <v>PROOVEDORES</v>
      </c>
      <c r="J2627" s="188" t="str">
        <f>VLOOKUP(C2627,CATEGORIZACION!$A$1:$C$269,3,FALSE)</f>
        <v>LOGISTICA</v>
      </c>
    </row>
    <row r="2628" spans="1:10" ht="15.75" customHeight="1" x14ac:dyDescent="0.25">
      <c r="A2628" s="1">
        <v>45308</v>
      </c>
      <c r="B2628" s="15" t="s">
        <v>2477</v>
      </c>
      <c r="C2628" s="15" t="s">
        <v>2476</v>
      </c>
      <c r="D2628" s="15" t="s">
        <v>805</v>
      </c>
      <c r="E2628" s="4"/>
      <c r="F2628" s="3">
        <v>63636.43</v>
      </c>
      <c r="G2628" s="2">
        <v>13363.57</v>
      </c>
      <c r="H2628" s="2">
        <v>77890.91</v>
      </c>
      <c r="I2628" s="188" t="str">
        <f>VLOOKUP(C2628,CATEGORIZACION!$A$1:$C$269,2,FALSE)</f>
        <v>PROOVEDORES</v>
      </c>
      <c r="J2628" s="188" t="str">
        <f>VLOOKUP(C2628,CATEGORIZACION!$A$1:$C$269,3,FALSE)</f>
        <v>LOGISTICA</v>
      </c>
    </row>
    <row r="2629" spans="1:10" ht="15.75" customHeight="1" x14ac:dyDescent="0.25">
      <c r="A2629" s="1">
        <v>45294</v>
      </c>
      <c r="B2629" s="15" t="s">
        <v>2478</v>
      </c>
      <c r="C2629" s="15" t="s">
        <v>2476</v>
      </c>
      <c r="D2629" s="15" t="s">
        <v>805</v>
      </c>
      <c r="E2629" s="4"/>
      <c r="F2629" s="3">
        <v>6611.55</v>
      </c>
      <c r="G2629" s="2">
        <v>1388.45</v>
      </c>
      <c r="H2629" s="2">
        <v>8290.92</v>
      </c>
      <c r="I2629" s="188" t="str">
        <f>VLOOKUP(C2629,CATEGORIZACION!$A$1:$C$269,2,FALSE)</f>
        <v>PROOVEDORES</v>
      </c>
      <c r="J2629" s="188" t="str">
        <f>VLOOKUP(C2629,CATEGORIZACION!$A$1:$C$269,3,FALSE)</f>
        <v>LOGISTICA</v>
      </c>
    </row>
    <row r="2630" spans="1:10" ht="15.75" customHeight="1" x14ac:dyDescent="0.25">
      <c r="A2630" s="1">
        <v>45382</v>
      </c>
      <c r="B2630" s="188" t="s">
        <v>2479</v>
      </c>
      <c r="C2630" s="188" t="s">
        <v>2480</v>
      </c>
      <c r="D2630" s="188" t="s">
        <v>2481</v>
      </c>
      <c r="E2630" s="4">
        <v>0</v>
      </c>
      <c r="F2630" s="204">
        <v>219151.61290322582</v>
      </c>
      <c r="G2630" s="4">
        <v>46021</v>
      </c>
      <c r="H2630" s="4">
        <v>265172</v>
      </c>
      <c r="I2630" s="188" t="str">
        <f>VLOOKUP(C2630,CATEGORIZACION!$A$1:$C$269,2,FALSE)</f>
        <v>PROOVEDORES</v>
      </c>
      <c r="J2630" s="188" t="str">
        <f>VLOOKUP(C2630,CATEGORIZACION!$A$1:$C$269,3,FALSE)</f>
        <v>DEPOSITO</v>
      </c>
    </row>
    <row r="2631" spans="1:10" ht="15.75" customHeight="1" x14ac:dyDescent="0.25">
      <c r="A2631" s="1">
        <v>45382</v>
      </c>
      <c r="B2631" s="188" t="s">
        <v>2479</v>
      </c>
      <c r="C2631" s="188" t="s">
        <v>2480</v>
      </c>
      <c r="D2631" s="188" t="s">
        <v>2481</v>
      </c>
      <c r="E2631" s="4">
        <v>0</v>
      </c>
      <c r="F2631" s="204">
        <v>2770165</v>
      </c>
      <c r="G2631" s="4">
        <v>581734</v>
      </c>
      <c r="H2631" s="4">
        <v>3351899.78</v>
      </c>
      <c r="I2631" s="188" t="str">
        <f>VLOOKUP(C2631,CATEGORIZACION!$A$1:$C$269,2,FALSE)</f>
        <v>PROOVEDORES</v>
      </c>
      <c r="J2631" s="188" t="str">
        <f>VLOOKUP(C2631,CATEGORIZACION!$A$1:$C$269,3,FALSE)</f>
        <v>DEPOSITO</v>
      </c>
    </row>
    <row r="2632" spans="1:10" ht="15.75" customHeight="1" x14ac:dyDescent="0.25">
      <c r="A2632" s="1">
        <v>45351</v>
      </c>
      <c r="B2632" s="188" t="s">
        <v>2482</v>
      </c>
      <c r="C2632" s="188" t="s">
        <v>195</v>
      </c>
      <c r="D2632" s="188"/>
      <c r="E2632" s="2"/>
      <c r="F2632" s="3">
        <v>2695496</v>
      </c>
      <c r="G2632" s="2"/>
      <c r="H2632" s="2"/>
      <c r="I2632" s="188" t="str">
        <f>VLOOKUP(C2632,CATEGORIZACION!$A$1:$C$269,2,FALSE)</f>
        <v>ALQUILER</v>
      </c>
      <c r="J2632" s="188" t="s">
        <v>103</v>
      </c>
    </row>
    <row r="2633" spans="1:10" ht="15.75" customHeight="1" x14ac:dyDescent="0.25">
      <c r="A2633" s="1">
        <v>44957</v>
      </c>
      <c r="B2633" s="188" t="s">
        <v>82</v>
      </c>
      <c r="C2633" s="188" t="s">
        <v>2483</v>
      </c>
      <c r="D2633" s="188"/>
      <c r="E2633" s="4"/>
      <c r="F2633" s="3">
        <v>75945</v>
      </c>
      <c r="G2633" s="4"/>
      <c r="H2633" s="4"/>
      <c r="I2633" s="188" t="str">
        <f>VLOOKUP(C2633,CATEGORIZACION!$A$1:$C$269,2,FALSE)</f>
        <v>PROOVEDORES</v>
      </c>
      <c r="J2633" s="188" t="str">
        <f>VLOOKUP(C2633,CATEGORIZACION!$A$1:$C$269,3,FALSE)</f>
        <v>DEPOSITO</v>
      </c>
    </row>
    <row r="2634" spans="1:10" ht="15.75" customHeight="1" x14ac:dyDescent="0.25">
      <c r="A2634" s="1">
        <v>44957</v>
      </c>
      <c r="B2634" s="188" t="s">
        <v>82</v>
      </c>
      <c r="C2634" s="188" t="s">
        <v>2484</v>
      </c>
      <c r="D2634" s="188"/>
      <c r="E2634" s="4"/>
      <c r="F2634" s="3">
        <v>13400</v>
      </c>
      <c r="G2634" s="4"/>
      <c r="H2634" s="4"/>
      <c r="I2634" s="188" t="str">
        <f>VLOOKUP(C2634,CATEGORIZACION!$A$1:$C$269,2,FALSE)</f>
        <v>PROOVEDORES</v>
      </c>
      <c r="J2634" s="188" t="str">
        <f>VLOOKUP(C2634,CATEGORIZACION!$A$1:$C$269,3,FALSE)</f>
        <v>DEPOSITO</v>
      </c>
    </row>
    <row r="2635" spans="1:10" ht="15.75" customHeight="1" x14ac:dyDescent="0.25">
      <c r="A2635" s="1">
        <v>44957</v>
      </c>
      <c r="B2635" s="188" t="s">
        <v>82</v>
      </c>
      <c r="C2635" s="188" t="s">
        <v>2485</v>
      </c>
      <c r="D2635" s="188"/>
      <c r="E2635" s="4"/>
      <c r="F2635" s="3">
        <v>17704</v>
      </c>
      <c r="G2635" s="4"/>
      <c r="H2635" s="4"/>
      <c r="I2635" s="188" t="str">
        <f>VLOOKUP(C2635,CATEGORIZACION!$A$1:$C$269,2,FALSE)</f>
        <v>PROOVEDORES</v>
      </c>
      <c r="J2635" s="188" t="str">
        <f>VLOOKUP(C2635,CATEGORIZACION!$A$1:$C$269,3,FALSE)</f>
        <v>DEPOSITO</v>
      </c>
    </row>
    <row r="2636" spans="1:10" ht="15.75" customHeight="1" x14ac:dyDescent="0.25">
      <c r="A2636" s="1">
        <v>44957</v>
      </c>
      <c r="B2636" s="188" t="s">
        <v>82</v>
      </c>
      <c r="C2636" s="188" t="s">
        <v>2486</v>
      </c>
      <c r="D2636" s="188"/>
      <c r="E2636" s="4"/>
      <c r="F2636" s="3">
        <v>205490</v>
      </c>
      <c r="G2636" s="4"/>
      <c r="H2636" s="4"/>
      <c r="I2636" s="188" t="str">
        <f>VLOOKUP(C2636,CATEGORIZACION!$A$1:$C$269,2,FALSE)</f>
        <v>PROOVEDORES</v>
      </c>
      <c r="J2636" s="188" t="str">
        <f>VLOOKUP(C2636,CATEGORIZACION!$A$1:$C$269,3,FALSE)</f>
        <v>DEPOSITO</v>
      </c>
    </row>
    <row r="2637" spans="1:10" ht="15.75" customHeight="1" x14ac:dyDescent="0.25">
      <c r="A2637" s="1">
        <v>44985</v>
      </c>
      <c r="B2637" s="188" t="s">
        <v>82</v>
      </c>
      <c r="C2637" s="97" t="s">
        <v>2483</v>
      </c>
      <c r="D2637" s="188"/>
      <c r="E2637" s="4"/>
      <c r="F2637" s="3">
        <v>21000</v>
      </c>
      <c r="G2637" s="4"/>
      <c r="H2637" s="4"/>
      <c r="I2637" s="188" t="str">
        <f>VLOOKUP(C2637,CATEGORIZACION!$A$1:$C$269,2,FALSE)</f>
        <v>PROOVEDORES</v>
      </c>
      <c r="J2637" s="188" t="str">
        <f>VLOOKUP(C2637,CATEGORIZACION!$A$1:$C$269,3,FALSE)</f>
        <v>DEPOSITO</v>
      </c>
    </row>
    <row r="2638" spans="1:10" ht="15.75" customHeight="1" x14ac:dyDescent="0.25">
      <c r="A2638" s="1">
        <v>44985</v>
      </c>
      <c r="B2638" s="188" t="s">
        <v>82</v>
      </c>
      <c r="C2638" s="16" t="s">
        <v>2484</v>
      </c>
      <c r="D2638" s="188"/>
      <c r="E2638" s="4"/>
      <c r="F2638" s="3">
        <v>9800</v>
      </c>
      <c r="G2638" s="4"/>
      <c r="H2638" s="4"/>
      <c r="I2638" s="188" t="str">
        <f>VLOOKUP(C2638,CATEGORIZACION!$A$1:$C$269,2,FALSE)</f>
        <v>PROOVEDORES</v>
      </c>
      <c r="J2638" s="188" t="str">
        <f>VLOOKUP(C2638,CATEGORIZACION!$A$1:$C$269,3,FALSE)</f>
        <v>DEPOSITO</v>
      </c>
    </row>
    <row r="2639" spans="1:10" ht="15.75" customHeight="1" x14ac:dyDescent="0.25">
      <c r="A2639" s="1">
        <v>44985</v>
      </c>
      <c r="B2639" s="188" t="s">
        <v>82</v>
      </c>
      <c r="C2639" s="97" t="s">
        <v>2485</v>
      </c>
      <c r="D2639" s="188"/>
      <c r="E2639" s="4"/>
      <c r="F2639" s="3">
        <v>20500</v>
      </c>
      <c r="G2639" s="4"/>
      <c r="H2639" s="4"/>
      <c r="I2639" s="188" t="str">
        <f>VLOOKUP(C2639,CATEGORIZACION!$A$1:$C$269,2,FALSE)</f>
        <v>PROOVEDORES</v>
      </c>
      <c r="J2639" s="188" t="str">
        <f>VLOOKUP(C2639,CATEGORIZACION!$A$1:$C$269,3,FALSE)</f>
        <v>DEPOSITO</v>
      </c>
    </row>
    <row r="2640" spans="1:10" ht="15.75" customHeight="1" x14ac:dyDescent="0.25">
      <c r="A2640" s="1">
        <v>44985</v>
      </c>
      <c r="B2640" s="188" t="s">
        <v>82</v>
      </c>
      <c r="C2640" s="17" t="s">
        <v>2486</v>
      </c>
      <c r="D2640" s="188"/>
      <c r="E2640" s="4"/>
      <c r="F2640" s="3">
        <v>0</v>
      </c>
      <c r="G2640" s="4"/>
      <c r="H2640" s="4"/>
      <c r="I2640" s="188" t="str">
        <f>VLOOKUP(C2640,CATEGORIZACION!$A$1:$C$269,2,FALSE)</f>
        <v>PROOVEDORES</v>
      </c>
      <c r="J2640" s="188" t="str">
        <f>VLOOKUP(C2640,CATEGORIZACION!$A$1:$C$269,3,FALSE)</f>
        <v>DEPOSITO</v>
      </c>
    </row>
    <row r="2641" spans="1:10" ht="15.75" customHeight="1" x14ac:dyDescent="0.25">
      <c r="A2641" s="1">
        <v>45016</v>
      </c>
      <c r="B2641" s="188" t="s">
        <v>82</v>
      </c>
      <c r="C2641" s="188" t="s">
        <v>2484</v>
      </c>
      <c r="D2641" s="188"/>
      <c r="E2641" s="4"/>
      <c r="F2641" s="3">
        <v>20700</v>
      </c>
      <c r="G2641" s="4"/>
      <c r="H2641" s="4"/>
      <c r="I2641" s="188" t="str">
        <f>VLOOKUP(C2641,CATEGORIZACION!$A$1:$C$269,2,FALSE)</f>
        <v>PROOVEDORES</v>
      </c>
      <c r="J2641" s="188" t="str">
        <f>VLOOKUP(C2641,CATEGORIZACION!$A$1:$C$269,3,FALSE)</f>
        <v>DEPOSITO</v>
      </c>
    </row>
    <row r="2642" spans="1:10" ht="15.75" customHeight="1" x14ac:dyDescent="0.25">
      <c r="A2642" s="1">
        <v>45016</v>
      </c>
      <c r="B2642" s="188" t="s">
        <v>82</v>
      </c>
      <c r="C2642" s="188" t="s">
        <v>2485</v>
      </c>
      <c r="D2642" s="188"/>
      <c r="E2642" s="4"/>
      <c r="F2642" s="3">
        <v>19500</v>
      </c>
      <c r="G2642" s="4"/>
      <c r="H2642" s="4"/>
      <c r="I2642" s="188" t="str">
        <f>VLOOKUP(C2642,CATEGORIZACION!$A$1:$C$269,2,FALSE)</f>
        <v>PROOVEDORES</v>
      </c>
      <c r="J2642" s="188" t="str">
        <f>VLOOKUP(C2642,CATEGORIZACION!$A$1:$C$269,3,FALSE)</f>
        <v>DEPOSITO</v>
      </c>
    </row>
    <row r="2643" spans="1:10" ht="15.75" customHeight="1" x14ac:dyDescent="0.25">
      <c r="A2643" s="1">
        <v>45016</v>
      </c>
      <c r="B2643" s="188" t="s">
        <v>82</v>
      </c>
      <c r="C2643" s="188" t="s">
        <v>2483</v>
      </c>
      <c r="D2643" s="188"/>
      <c r="E2643" s="4"/>
      <c r="F2643" s="3">
        <v>152100</v>
      </c>
      <c r="G2643" s="4"/>
      <c r="H2643" s="4"/>
      <c r="I2643" s="188" t="str">
        <f>VLOOKUP(C2643,CATEGORIZACION!$A$1:$C$269,2,FALSE)</f>
        <v>PROOVEDORES</v>
      </c>
      <c r="J2643" s="188" t="str">
        <f>VLOOKUP(C2643,CATEGORIZACION!$A$1:$C$269,3,FALSE)</f>
        <v>DEPOSITO</v>
      </c>
    </row>
    <row r="2644" spans="1:10" ht="15.75" customHeight="1" x14ac:dyDescent="0.25">
      <c r="A2644" s="1">
        <v>45016</v>
      </c>
      <c r="B2644" s="188" t="s">
        <v>82</v>
      </c>
      <c r="C2644" s="188" t="s">
        <v>2486</v>
      </c>
      <c r="D2644" s="188"/>
      <c r="E2644" s="4"/>
      <c r="F2644" s="3">
        <v>209000</v>
      </c>
      <c r="G2644" s="4"/>
      <c r="H2644" s="4"/>
      <c r="I2644" s="188" t="str">
        <f>VLOOKUP(C2644,CATEGORIZACION!$A$1:$C$269,2,FALSE)</f>
        <v>PROOVEDORES</v>
      </c>
      <c r="J2644" s="188" t="str">
        <f>VLOOKUP(C2644,CATEGORIZACION!$A$1:$C$269,3,FALSE)</f>
        <v>DEPOSITO</v>
      </c>
    </row>
    <row r="2645" spans="1:10" ht="15.75" customHeight="1" x14ac:dyDescent="0.25">
      <c r="A2645" s="1">
        <v>45046</v>
      </c>
      <c r="B2645" s="188" t="s">
        <v>82</v>
      </c>
      <c r="C2645" s="188" t="s">
        <v>2484</v>
      </c>
      <c r="D2645" s="188"/>
      <c r="E2645" s="4"/>
      <c r="F2645" s="3">
        <v>6000</v>
      </c>
      <c r="G2645" s="4"/>
      <c r="H2645" s="4"/>
      <c r="I2645" s="188" t="str">
        <f>VLOOKUP(C2645,CATEGORIZACION!$A$1:$C$269,2,FALSE)</f>
        <v>PROOVEDORES</v>
      </c>
      <c r="J2645" s="188" t="str">
        <f>VLOOKUP(C2645,CATEGORIZACION!$A$1:$C$269,3,FALSE)</f>
        <v>DEPOSITO</v>
      </c>
    </row>
    <row r="2646" spans="1:10" ht="15.75" customHeight="1" x14ac:dyDescent="0.25">
      <c r="A2646" s="1">
        <v>45046</v>
      </c>
      <c r="B2646" s="188" t="s">
        <v>82</v>
      </c>
      <c r="C2646" s="188" t="s">
        <v>2483</v>
      </c>
      <c r="D2646" s="188"/>
      <c r="E2646" s="4"/>
      <c r="F2646" s="3">
        <v>42000</v>
      </c>
      <c r="G2646" s="4"/>
      <c r="H2646" s="4"/>
      <c r="I2646" s="188" t="str">
        <f>VLOOKUP(C2646,CATEGORIZACION!$A$1:$C$269,2,FALSE)</f>
        <v>PROOVEDORES</v>
      </c>
      <c r="J2646" s="188" t="str">
        <f>VLOOKUP(C2646,CATEGORIZACION!$A$1:$C$269,3,FALSE)</f>
        <v>DEPOSITO</v>
      </c>
    </row>
    <row r="2647" spans="1:10" ht="15.75" customHeight="1" x14ac:dyDescent="0.25">
      <c r="A2647" s="1">
        <v>45046</v>
      </c>
      <c r="B2647" s="188" t="s">
        <v>82</v>
      </c>
      <c r="C2647" s="188" t="s">
        <v>2486</v>
      </c>
      <c r="D2647" s="188"/>
      <c r="E2647" s="4"/>
      <c r="F2647" s="3">
        <v>0</v>
      </c>
      <c r="G2647" s="4"/>
      <c r="H2647" s="4"/>
      <c r="I2647" s="188" t="str">
        <f>VLOOKUP(C2647,CATEGORIZACION!$A$1:$C$269,2,FALSE)</f>
        <v>PROOVEDORES</v>
      </c>
      <c r="J2647" s="188" t="str">
        <f>VLOOKUP(C2647,CATEGORIZACION!$A$1:$C$269,3,FALSE)</f>
        <v>DEPOSITO</v>
      </c>
    </row>
    <row r="2648" spans="1:10" ht="15.75" customHeight="1" x14ac:dyDescent="0.25">
      <c r="A2648" s="1">
        <v>45046</v>
      </c>
      <c r="B2648" s="188" t="s">
        <v>82</v>
      </c>
      <c r="C2648" s="188" t="s">
        <v>2485</v>
      </c>
      <c r="D2648" s="188"/>
      <c r="E2648" s="4"/>
      <c r="F2648" s="3">
        <v>35000</v>
      </c>
      <c r="G2648" s="4"/>
      <c r="H2648" s="4"/>
      <c r="I2648" s="188" t="str">
        <f>VLOOKUP(C2648,CATEGORIZACION!$A$1:$C$269,2,FALSE)</f>
        <v>PROOVEDORES</v>
      </c>
      <c r="J2648" s="188" t="str">
        <f>VLOOKUP(C2648,CATEGORIZACION!$A$1:$C$269,3,FALSE)</f>
        <v>DEPOSITO</v>
      </c>
    </row>
    <row r="2649" spans="1:10" ht="15.75" customHeight="1" x14ac:dyDescent="0.25">
      <c r="A2649" s="1">
        <v>45077</v>
      </c>
      <c r="B2649" s="188" t="s">
        <v>82</v>
      </c>
      <c r="C2649" s="188" t="s">
        <v>2484</v>
      </c>
      <c r="D2649" s="188"/>
      <c r="E2649" s="4"/>
      <c r="F2649" s="3">
        <v>5200</v>
      </c>
      <c r="G2649" s="4"/>
      <c r="H2649" s="4"/>
      <c r="I2649" s="188" t="str">
        <f>VLOOKUP(C2649,CATEGORIZACION!$A$1:$C$269,2,FALSE)</f>
        <v>PROOVEDORES</v>
      </c>
      <c r="J2649" s="188" t="str">
        <f>VLOOKUP(C2649,CATEGORIZACION!$A$1:$C$269,3,FALSE)</f>
        <v>DEPOSITO</v>
      </c>
    </row>
    <row r="2650" spans="1:10" ht="15.75" customHeight="1" x14ac:dyDescent="0.25">
      <c r="A2650" s="1">
        <v>45077</v>
      </c>
      <c r="B2650" s="188" t="s">
        <v>82</v>
      </c>
      <c r="C2650" s="188" t="s">
        <v>2485</v>
      </c>
      <c r="D2650" s="188"/>
      <c r="E2650" s="4"/>
      <c r="F2650" s="3">
        <v>30900</v>
      </c>
      <c r="G2650" s="4"/>
      <c r="H2650" s="4"/>
      <c r="I2650" s="188" t="str">
        <f>VLOOKUP(C2650,CATEGORIZACION!$A$1:$C$269,2,FALSE)</f>
        <v>PROOVEDORES</v>
      </c>
      <c r="J2650" s="188" t="str">
        <f>VLOOKUP(C2650,CATEGORIZACION!$A$1:$C$269,3,FALSE)</f>
        <v>DEPOSITO</v>
      </c>
    </row>
    <row r="2651" spans="1:10" ht="15.75" customHeight="1" x14ac:dyDescent="0.25">
      <c r="A2651" s="1">
        <v>45077</v>
      </c>
      <c r="B2651" s="188" t="s">
        <v>82</v>
      </c>
      <c r="C2651" s="188" t="s">
        <v>2483</v>
      </c>
      <c r="D2651" s="188"/>
      <c r="E2651" s="4"/>
      <c r="F2651" s="3">
        <v>47000</v>
      </c>
      <c r="G2651" s="4"/>
      <c r="H2651" s="4"/>
      <c r="I2651" s="188" t="str">
        <f>VLOOKUP(C2651,CATEGORIZACION!$A$1:$C$269,2,FALSE)</f>
        <v>PROOVEDORES</v>
      </c>
      <c r="J2651" s="188" t="str">
        <f>VLOOKUP(C2651,CATEGORIZACION!$A$1:$C$269,3,FALSE)</f>
        <v>DEPOSITO</v>
      </c>
    </row>
    <row r="2652" spans="1:10" ht="15.75" customHeight="1" x14ac:dyDescent="0.25">
      <c r="A2652" s="1">
        <v>45077</v>
      </c>
      <c r="B2652" s="188" t="s">
        <v>82</v>
      </c>
      <c r="C2652" s="188" t="s">
        <v>2486</v>
      </c>
      <c r="D2652" s="188"/>
      <c r="E2652" s="4"/>
      <c r="F2652" s="3">
        <v>0</v>
      </c>
      <c r="G2652" s="4"/>
      <c r="H2652" s="4"/>
      <c r="I2652" s="188" t="str">
        <f>VLOOKUP(C2652,CATEGORIZACION!$A$1:$C$269,2,FALSE)</f>
        <v>PROOVEDORES</v>
      </c>
      <c r="J2652" s="188" t="str">
        <f>VLOOKUP(C2652,CATEGORIZACION!$A$1:$C$269,3,FALSE)</f>
        <v>DEPOSITO</v>
      </c>
    </row>
    <row r="2653" spans="1:10" ht="15.75" customHeight="1" x14ac:dyDescent="0.25">
      <c r="A2653" s="1">
        <v>45107</v>
      </c>
      <c r="B2653" s="188" t="s">
        <v>82</v>
      </c>
      <c r="C2653" s="188" t="s">
        <v>2484</v>
      </c>
      <c r="D2653" s="188"/>
      <c r="E2653" s="4"/>
      <c r="F2653" s="3">
        <v>13800</v>
      </c>
      <c r="G2653" s="4"/>
      <c r="H2653" s="4"/>
      <c r="I2653" s="188" t="str">
        <f>VLOOKUP(C2653,CATEGORIZACION!$A$1:$C$269,2,FALSE)</f>
        <v>PROOVEDORES</v>
      </c>
      <c r="J2653" s="188" t="str">
        <f>VLOOKUP(C2653,CATEGORIZACION!$A$1:$C$269,3,FALSE)</f>
        <v>DEPOSITO</v>
      </c>
    </row>
    <row r="2654" spans="1:10" ht="15.75" customHeight="1" x14ac:dyDescent="0.25">
      <c r="A2654" s="1">
        <v>45107</v>
      </c>
      <c r="B2654" s="188" t="s">
        <v>82</v>
      </c>
      <c r="C2654" s="188" t="s">
        <v>2485</v>
      </c>
      <c r="D2654" s="188"/>
      <c r="E2654" s="4"/>
      <c r="F2654" s="3">
        <v>40180</v>
      </c>
      <c r="G2654" s="4"/>
      <c r="H2654" s="4"/>
      <c r="I2654" s="188" t="str">
        <f>VLOOKUP(C2654,CATEGORIZACION!$A$1:$C$269,2,FALSE)</f>
        <v>PROOVEDORES</v>
      </c>
      <c r="J2654" s="188" t="str">
        <f>VLOOKUP(C2654,CATEGORIZACION!$A$1:$C$269,3,FALSE)</f>
        <v>DEPOSITO</v>
      </c>
    </row>
    <row r="2655" spans="1:10" ht="15.75" customHeight="1" x14ac:dyDescent="0.25">
      <c r="A2655" s="1">
        <v>45107</v>
      </c>
      <c r="B2655" s="188" t="s">
        <v>82</v>
      </c>
      <c r="C2655" s="188" t="s">
        <v>2486</v>
      </c>
      <c r="D2655" s="188"/>
      <c r="E2655" s="4"/>
      <c r="F2655" s="3">
        <v>135000</v>
      </c>
      <c r="G2655" s="4"/>
      <c r="H2655" s="4"/>
      <c r="I2655" s="188" t="str">
        <f>VLOOKUP(C2655,CATEGORIZACION!$A$1:$C$269,2,FALSE)</f>
        <v>PROOVEDORES</v>
      </c>
      <c r="J2655" s="188" t="str">
        <f>VLOOKUP(C2655,CATEGORIZACION!$A$1:$C$269,3,FALSE)</f>
        <v>DEPOSITO</v>
      </c>
    </row>
    <row r="2656" spans="1:10" ht="15.75" customHeight="1" x14ac:dyDescent="0.25">
      <c r="A2656" s="1">
        <v>45107</v>
      </c>
      <c r="B2656" s="188" t="s">
        <v>82</v>
      </c>
      <c r="C2656" s="188" t="s">
        <v>2483</v>
      </c>
      <c r="D2656" s="188"/>
      <c r="E2656" s="4"/>
      <c r="F2656" s="3">
        <v>144000</v>
      </c>
      <c r="G2656" s="4"/>
      <c r="H2656" s="4"/>
      <c r="I2656" s="188" t="str">
        <f>VLOOKUP(C2656,CATEGORIZACION!$A$1:$C$269,2,FALSE)</f>
        <v>PROOVEDORES</v>
      </c>
      <c r="J2656" s="188" t="str">
        <f>VLOOKUP(C2656,CATEGORIZACION!$A$1:$C$269,3,FALSE)</f>
        <v>DEPOSITO</v>
      </c>
    </row>
    <row r="2657" spans="1:10" ht="15.75" customHeight="1" x14ac:dyDescent="0.25">
      <c r="A2657" s="1">
        <v>45138</v>
      </c>
      <c r="B2657" s="188" t="s">
        <v>82</v>
      </c>
      <c r="C2657" s="188" t="s">
        <v>2484</v>
      </c>
      <c r="D2657" s="188"/>
      <c r="E2657" s="4"/>
      <c r="F2657" s="3">
        <v>8000</v>
      </c>
      <c r="G2657" s="4"/>
      <c r="H2657" s="4"/>
      <c r="I2657" s="188" t="str">
        <f>VLOOKUP(C2657,CATEGORIZACION!$A$1:$C$269,2,FALSE)</f>
        <v>PROOVEDORES</v>
      </c>
      <c r="J2657" s="188" t="str">
        <f>VLOOKUP(C2657,CATEGORIZACION!$A$1:$C$269,3,FALSE)</f>
        <v>DEPOSITO</v>
      </c>
    </row>
    <row r="2658" spans="1:10" ht="15.75" customHeight="1" x14ac:dyDescent="0.25">
      <c r="A2658" s="1">
        <v>45138</v>
      </c>
      <c r="B2658" s="188" t="s">
        <v>82</v>
      </c>
      <c r="C2658" s="188" t="s">
        <v>2485</v>
      </c>
      <c r="D2658" s="188"/>
      <c r="E2658" s="4"/>
      <c r="F2658" s="3">
        <v>26500</v>
      </c>
      <c r="G2658" s="4"/>
      <c r="H2658" s="4"/>
      <c r="I2658" s="188" t="str">
        <f>VLOOKUP(C2658,CATEGORIZACION!$A$1:$C$269,2,FALSE)</f>
        <v>PROOVEDORES</v>
      </c>
      <c r="J2658" s="188" t="str">
        <f>VLOOKUP(C2658,CATEGORIZACION!$A$1:$C$269,3,FALSE)</f>
        <v>DEPOSITO</v>
      </c>
    </row>
    <row r="2659" spans="1:10" ht="15.75" customHeight="1" x14ac:dyDescent="0.25">
      <c r="A2659" s="1">
        <v>45138</v>
      </c>
      <c r="B2659" s="188" t="s">
        <v>82</v>
      </c>
      <c r="C2659" s="188" t="s">
        <v>2483</v>
      </c>
      <c r="D2659" s="188"/>
      <c r="E2659" s="4"/>
      <c r="F2659" s="3">
        <v>63000</v>
      </c>
      <c r="G2659" s="4"/>
      <c r="H2659" s="4"/>
      <c r="I2659" s="188" t="str">
        <f>VLOOKUP(C2659,CATEGORIZACION!$A$1:$C$269,2,FALSE)</f>
        <v>PROOVEDORES</v>
      </c>
      <c r="J2659" s="188" t="str">
        <f>VLOOKUP(C2659,CATEGORIZACION!$A$1:$C$269,3,FALSE)</f>
        <v>DEPOSITO</v>
      </c>
    </row>
    <row r="2660" spans="1:10" ht="15.75" customHeight="1" x14ac:dyDescent="0.25">
      <c r="A2660" s="1">
        <v>45138</v>
      </c>
      <c r="B2660" s="188" t="s">
        <v>82</v>
      </c>
      <c r="C2660" s="188" t="s">
        <v>2486</v>
      </c>
      <c r="D2660" s="188"/>
      <c r="E2660" s="4"/>
      <c r="F2660" s="3">
        <v>54000</v>
      </c>
      <c r="G2660" s="4"/>
      <c r="H2660" s="4"/>
      <c r="I2660" s="188" t="str">
        <f>VLOOKUP(C2660,CATEGORIZACION!$A$1:$C$269,2,FALSE)</f>
        <v>PROOVEDORES</v>
      </c>
      <c r="J2660" s="188" t="str">
        <f>VLOOKUP(C2660,CATEGORIZACION!$A$1:$C$269,3,FALSE)</f>
        <v>DEPOSITO</v>
      </c>
    </row>
    <row r="2661" spans="1:10" ht="15.75" customHeight="1" x14ac:dyDescent="0.25">
      <c r="A2661" s="1">
        <v>45169</v>
      </c>
      <c r="B2661" s="188" t="s">
        <v>82</v>
      </c>
      <c r="C2661" s="188" t="s">
        <v>2484</v>
      </c>
      <c r="D2661" s="188"/>
      <c r="E2661" s="4"/>
      <c r="F2661" s="3">
        <v>7600</v>
      </c>
      <c r="G2661" s="4"/>
      <c r="H2661" s="4"/>
      <c r="I2661" s="188" t="str">
        <f>VLOOKUP(C2661,CATEGORIZACION!$A$1:$C$269,2,FALSE)</f>
        <v>PROOVEDORES</v>
      </c>
      <c r="J2661" s="188" t="str">
        <f>VLOOKUP(C2661,CATEGORIZACION!$A$1:$C$269,3,FALSE)</f>
        <v>DEPOSITO</v>
      </c>
    </row>
    <row r="2662" spans="1:10" ht="15.75" customHeight="1" x14ac:dyDescent="0.25">
      <c r="A2662" s="1">
        <v>45169</v>
      </c>
      <c r="B2662" s="188" t="s">
        <v>82</v>
      </c>
      <c r="C2662" s="188" t="s">
        <v>2485</v>
      </c>
      <c r="D2662" s="188"/>
      <c r="E2662" s="4"/>
      <c r="F2662" s="3">
        <v>25000</v>
      </c>
      <c r="G2662" s="4"/>
      <c r="H2662" s="4"/>
      <c r="I2662" s="188" t="str">
        <f>VLOOKUP(C2662,CATEGORIZACION!$A$1:$C$269,2,FALSE)</f>
        <v>PROOVEDORES</v>
      </c>
      <c r="J2662" s="188" t="str">
        <f>VLOOKUP(C2662,CATEGORIZACION!$A$1:$C$269,3,FALSE)</f>
        <v>DEPOSITO</v>
      </c>
    </row>
    <row r="2663" spans="1:10" ht="15.75" customHeight="1" x14ac:dyDescent="0.25">
      <c r="A2663" s="1">
        <v>45169</v>
      </c>
      <c r="B2663" s="188" t="s">
        <v>82</v>
      </c>
      <c r="C2663" s="188" t="s">
        <v>2486</v>
      </c>
      <c r="D2663" s="188"/>
      <c r="E2663" s="4"/>
      <c r="F2663" s="3">
        <v>70000</v>
      </c>
      <c r="G2663" s="4"/>
      <c r="H2663" s="4"/>
      <c r="I2663" s="188" t="str">
        <f>VLOOKUP(C2663,CATEGORIZACION!$A$1:$C$269,2,FALSE)</f>
        <v>PROOVEDORES</v>
      </c>
      <c r="J2663" s="188" t="str">
        <f>VLOOKUP(C2663,CATEGORIZACION!$A$1:$C$269,3,FALSE)</f>
        <v>DEPOSITO</v>
      </c>
    </row>
    <row r="2664" spans="1:10" ht="15.75" customHeight="1" x14ac:dyDescent="0.25">
      <c r="A2664" s="1">
        <v>45169</v>
      </c>
      <c r="B2664" s="188" t="s">
        <v>82</v>
      </c>
      <c r="C2664" s="188" t="s">
        <v>2483</v>
      </c>
      <c r="D2664" s="188"/>
      <c r="E2664" s="4"/>
      <c r="F2664" s="3">
        <v>14000</v>
      </c>
      <c r="G2664" s="4"/>
      <c r="H2664" s="4"/>
      <c r="I2664" s="188" t="str">
        <f>VLOOKUP(C2664,CATEGORIZACION!$A$1:$C$269,2,FALSE)</f>
        <v>PROOVEDORES</v>
      </c>
      <c r="J2664" s="188" t="str">
        <f>VLOOKUP(C2664,CATEGORIZACION!$A$1:$C$269,3,FALSE)</f>
        <v>DEPOSITO</v>
      </c>
    </row>
    <row r="2665" spans="1:10" ht="15.75" customHeight="1" x14ac:dyDescent="0.25">
      <c r="A2665" s="1">
        <v>45199</v>
      </c>
      <c r="B2665" s="188" t="s">
        <v>82</v>
      </c>
      <c r="C2665" s="188" t="s">
        <v>2484</v>
      </c>
      <c r="D2665" s="188"/>
      <c r="E2665" s="4"/>
      <c r="F2665" s="3">
        <v>17780</v>
      </c>
      <c r="G2665" s="4"/>
      <c r="H2665" s="4"/>
      <c r="I2665" s="188" t="str">
        <f>VLOOKUP(C2665,CATEGORIZACION!$A$1:$C$269,2,FALSE)</f>
        <v>PROOVEDORES</v>
      </c>
      <c r="J2665" s="188" t="str">
        <f>VLOOKUP(C2665,CATEGORIZACION!$A$1:$C$269,3,FALSE)</f>
        <v>DEPOSITO</v>
      </c>
    </row>
    <row r="2666" spans="1:10" ht="15.75" customHeight="1" x14ac:dyDescent="0.25">
      <c r="A2666" s="1">
        <v>45199</v>
      </c>
      <c r="B2666" s="188" t="s">
        <v>82</v>
      </c>
      <c r="C2666" s="188" t="s">
        <v>2485</v>
      </c>
      <c r="D2666" s="188"/>
      <c r="E2666" s="4"/>
      <c r="F2666" s="3">
        <v>42000</v>
      </c>
      <c r="G2666" s="4"/>
      <c r="H2666" s="4"/>
      <c r="I2666" s="188" t="str">
        <f>VLOOKUP(C2666,CATEGORIZACION!$A$1:$C$269,2,FALSE)</f>
        <v>PROOVEDORES</v>
      </c>
      <c r="J2666" s="188" t="str">
        <f>VLOOKUP(C2666,CATEGORIZACION!$A$1:$C$269,3,FALSE)</f>
        <v>DEPOSITO</v>
      </c>
    </row>
    <row r="2667" spans="1:10" ht="15.75" customHeight="1" x14ac:dyDescent="0.25">
      <c r="A2667" s="1">
        <v>45199</v>
      </c>
      <c r="B2667" s="188" t="s">
        <v>82</v>
      </c>
      <c r="C2667" s="188" t="s">
        <v>2486</v>
      </c>
      <c r="D2667" s="188"/>
      <c r="E2667" s="4"/>
      <c r="F2667" s="3">
        <v>110000</v>
      </c>
      <c r="G2667" s="4"/>
      <c r="H2667" s="4"/>
      <c r="I2667" s="188" t="str">
        <f>VLOOKUP(C2667,CATEGORIZACION!$A$1:$C$269,2,FALSE)</f>
        <v>PROOVEDORES</v>
      </c>
      <c r="J2667" s="188" t="str">
        <f>VLOOKUP(C2667,CATEGORIZACION!$A$1:$C$269,3,FALSE)</f>
        <v>DEPOSITO</v>
      </c>
    </row>
    <row r="2668" spans="1:10" ht="15.75" customHeight="1" x14ac:dyDescent="0.25">
      <c r="A2668" s="1">
        <v>45199</v>
      </c>
      <c r="B2668" s="188" t="s">
        <v>82</v>
      </c>
      <c r="C2668" s="188" t="s">
        <v>2483</v>
      </c>
      <c r="D2668" s="188"/>
      <c r="E2668" s="4"/>
      <c r="F2668" s="3">
        <v>0</v>
      </c>
      <c r="G2668" s="4"/>
      <c r="H2668" s="4"/>
      <c r="I2668" s="188" t="str">
        <f>VLOOKUP(C2668,CATEGORIZACION!$A$1:$C$269,2,FALSE)</f>
        <v>PROOVEDORES</v>
      </c>
      <c r="J2668" s="188" t="str">
        <f>VLOOKUP(C2668,CATEGORIZACION!$A$1:$C$269,3,FALSE)</f>
        <v>DEPOSITO</v>
      </c>
    </row>
    <row r="2669" spans="1:10" ht="15.75" customHeight="1" x14ac:dyDescent="0.25">
      <c r="A2669" s="1">
        <v>45230</v>
      </c>
      <c r="B2669" s="188" t="s">
        <v>82</v>
      </c>
      <c r="C2669" s="188" t="s">
        <v>2484</v>
      </c>
      <c r="D2669" s="188"/>
      <c r="E2669" s="4"/>
      <c r="F2669" s="3">
        <v>8400</v>
      </c>
      <c r="G2669" s="4"/>
      <c r="H2669" s="4"/>
      <c r="I2669" s="188" t="str">
        <f>VLOOKUP(C2669,CATEGORIZACION!$A$1:$C$269,2,FALSE)</f>
        <v>PROOVEDORES</v>
      </c>
      <c r="J2669" s="188" t="str">
        <f>VLOOKUP(C2669,CATEGORIZACION!$A$1:$C$269,3,FALSE)</f>
        <v>DEPOSITO</v>
      </c>
    </row>
    <row r="2670" spans="1:10" ht="15.75" customHeight="1" x14ac:dyDescent="0.25">
      <c r="A2670" s="1">
        <v>45230</v>
      </c>
      <c r="B2670" s="188" t="s">
        <v>82</v>
      </c>
      <c r="C2670" s="188" t="s">
        <v>2485</v>
      </c>
      <c r="D2670" s="188"/>
      <c r="E2670" s="4"/>
      <c r="F2670" s="3">
        <v>50000</v>
      </c>
      <c r="G2670" s="4"/>
      <c r="H2670" s="4"/>
      <c r="I2670" s="188" t="str">
        <f>VLOOKUP(C2670,CATEGORIZACION!$A$1:$C$269,2,FALSE)</f>
        <v>PROOVEDORES</v>
      </c>
      <c r="J2670" s="188" t="str">
        <f>VLOOKUP(C2670,CATEGORIZACION!$A$1:$C$269,3,FALSE)</f>
        <v>DEPOSITO</v>
      </c>
    </row>
    <row r="2671" spans="1:10" ht="15.75" customHeight="1" x14ac:dyDescent="0.25">
      <c r="A2671" s="1">
        <v>45230</v>
      </c>
      <c r="B2671" s="188" t="s">
        <v>82</v>
      </c>
      <c r="C2671" s="188" t="s">
        <v>2483</v>
      </c>
      <c r="D2671" s="188"/>
      <c r="E2671" s="4"/>
      <c r="F2671" s="3">
        <v>40000</v>
      </c>
      <c r="G2671" s="4"/>
      <c r="H2671" s="4"/>
      <c r="I2671" s="188" t="str">
        <f>VLOOKUP(C2671,CATEGORIZACION!$A$1:$C$269,2,FALSE)</f>
        <v>PROOVEDORES</v>
      </c>
      <c r="J2671" s="188" t="str">
        <f>VLOOKUP(C2671,CATEGORIZACION!$A$1:$C$269,3,FALSE)</f>
        <v>DEPOSITO</v>
      </c>
    </row>
    <row r="2672" spans="1:10" ht="15.75" customHeight="1" x14ac:dyDescent="0.25">
      <c r="A2672" s="1">
        <v>45230</v>
      </c>
      <c r="B2672" s="188" t="s">
        <v>82</v>
      </c>
      <c r="C2672" s="188" t="s">
        <v>2486</v>
      </c>
      <c r="D2672" s="188"/>
      <c r="E2672" s="4"/>
      <c r="F2672" s="3">
        <v>177000</v>
      </c>
      <c r="G2672" s="4"/>
      <c r="H2672" s="4"/>
      <c r="I2672" s="188" t="str">
        <f>VLOOKUP(C2672,CATEGORIZACION!$A$1:$C$269,2,FALSE)</f>
        <v>PROOVEDORES</v>
      </c>
      <c r="J2672" s="188" t="str">
        <f>VLOOKUP(C2672,CATEGORIZACION!$A$1:$C$269,3,FALSE)</f>
        <v>DEPOSITO</v>
      </c>
    </row>
    <row r="2673" spans="1:10" ht="15.75" customHeight="1" x14ac:dyDescent="0.25">
      <c r="A2673" s="1">
        <v>45260</v>
      </c>
      <c r="B2673" s="188" t="s">
        <v>82</v>
      </c>
      <c r="C2673" s="188" t="s">
        <v>2484</v>
      </c>
      <c r="D2673" s="188"/>
      <c r="E2673" s="4"/>
      <c r="F2673" s="3">
        <v>31000</v>
      </c>
      <c r="G2673" s="4"/>
      <c r="H2673" s="4"/>
      <c r="I2673" s="188" t="str">
        <f>VLOOKUP(C2673,CATEGORIZACION!$A$1:$C$269,2,FALSE)</f>
        <v>PROOVEDORES</v>
      </c>
      <c r="J2673" s="188" t="str">
        <f>VLOOKUP(C2673,CATEGORIZACION!$A$1:$C$269,3,FALSE)</f>
        <v>DEPOSITO</v>
      </c>
    </row>
    <row r="2674" spans="1:10" ht="15.75" customHeight="1" x14ac:dyDescent="0.25">
      <c r="A2674" s="1">
        <v>45260</v>
      </c>
      <c r="B2674" s="188" t="s">
        <v>82</v>
      </c>
      <c r="C2674" s="188" t="s">
        <v>2485</v>
      </c>
      <c r="D2674" s="188"/>
      <c r="E2674" s="4"/>
      <c r="F2674" s="3">
        <v>64000</v>
      </c>
      <c r="G2674" s="4"/>
      <c r="H2674" s="4"/>
      <c r="I2674" s="188" t="str">
        <f>VLOOKUP(C2674,CATEGORIZACION!$A$1:$C$269,2,FALSE)</f>
        <v>PROOVEDORES</v>
      </c>
      <c r="J2674" s="188" t="str">
        <f>VLOOKUP(C2674,CATEGORIZACION!$A$1:$C$269,3,FALSE)</f>
        <v>DEPOSITO</v>
      </c>
    </row>
    <row r="2675" spans="1:10" ht="15.75" customHeight="1" x14ac:dyDescent="0.25">
      <c r="A2675" s="1">
        <v>45260</v>
      </c>
      <c r="B2675" s="188" t="s">
        <v>82</v>
      </c>
      <c r="C2675" s="188" t="s">
        <v>2483</v>
      </c>
      <c r="D2675" s="188"/>
      <c r="E2675" s="4"/>
      <c r="F2675" s="3">
        <v>18000</v>
      </c>
      <c r="G2675" s="4"/>
      <c r="H2675" s="4"/>
      <c r="I2675" s="188" t="str">
        <f>VLOOKUP(C2675,CATEGORIZACION!$A$1:$C$269,2,FALSE)</f>
        <v>PROOVEDORES</v>
      </c>
      <c r="J2675" s="188" t="str">
        <f>VLOOKUP(C2675,CATEGORIZACION!$A$1:$C$269,3,FALSE)</f>
        <v>DEPOSITO</v>
      </c>
    </row>
    <row r="2676" spans="1:10" ht="15.75" customHeight="1" x14ac:dyDescent="0.25">
      <c r="A2676" s="1">
        <v>45260</v>
      </c>
      <c r="B2676" s="188" t="s">
        <v>82</v>
      </c>
      <c r="C2676" s="188" t="s">
        <v>2486</v>
      </c>
      <c r="D2676" s="188"/>
      <c r="E2676" s="4"/>
      <c r="F2676" s="3">
        <v>160000</v>
      </c>
      <c r="G2676" s="4"/>
      <c r="H2676" s="4"/>
      <c r="I2676" s="188" t="str">
        <f>VLOOKUP(C2676,CATEGORIZACION!$A$1:$C$269,2,FALSE)</f>
        <v>PROOVEDORES</v>
      </c>
      <c r="J2676" s="188" t="str">
        <f>VLOOKUP(C2676,CATEGORIZACION!$A$1:$C$269,3,FALSE)</f>
        <v>DEPOSITO</v>
      </c>
    </row>
    <row r="2677" spans="1:10" ht="15.75" customHeight="1" x14ac:dyDescent="0.25">
      <c r="A2677" s="1">
        <v>45290</v>
      </c>
      <c r="B2677" s="188" t="s">
        <v>82</v>
      </c>
      <c r="C2677" s="188" t="s">
        <v>2484</v>
      </c>
      <c r="D2677" s="188">
        <v>0</v>
      </c>
      <c r="E2677" s="4">
        <v>0</v>
      </c>
      <c r="F2677" s="3">
        <v>24500</v>
      </c>
      <c r="G2677" s="4"/>
      <c r="H2677" s="4"/>
      <c r="I2677" s="188" t="str">
        <f>VLOOKUP(C2677,CATEGORIZACION!$A$1:$C$269,2,FALSE)</f>
        <v>PROOVEDORES</v>
      </c>
      <c r="J2677" s="188" t="str">
        <f>VLOOKUP(C2677,CATEGORIZACION!$A$1:$C$269,3,FALSE)</f>
        <v>DEPOSITO</v>
      </c>
    </row>
    <row r="2678" spans="1:10" ht="15.75" customHeight="1" x14ac:dyDescent="0.25">
      <c r="A2678" s="1">
        <v>45290</v>
      </c>
      <c r="B2678" s="188" t="s">
        <v>82</v>
      </c>
      <c r="C2678" s="188" t="s">
        <v>2485</v>
      </c>
      <c r="D2678" s="188">
        <v>0</v>
      </c>
      <c r="E2678" s="4">
        <v>0</v>
      </c>
      <c r="F2678" s="3">
        <v>50000</v>
      </c>
      <c r="G2678" s="4"/>
      <c r="H2678" s="4"/>
      <c r="I2678" s="188" t="str">
        <f>VLOOKUP(C2678,CATEGORIZACION!$A$1:$C$269,2,FALSE)</f>
        <v>PROOVEDORES</v>
      </c>
      <c r="J2678" s="188" t="str">
        <f>VLOOKUP(C2678,CATEGORIZACION!$A$1:$C$269,3,FALSE)</f>
        <v>DEPOSITO</v>
      </c>
    </row>
    <row r="2679" spans="1:10" ht="15.75" customHeight="1" x14ac:dyDescent="0.25">
      <c r="A2679" s="1">
        <v>45290</v>
      </c>
      <c r="B2679" s="188" t="s">
        <v>82</v>
      </c>
      <c r="C2679" s="188" t="s">
        <v>2483</v>
      </c>
      <c r="D2679" s="188">
        <v>0</v>
      </c>
      <c r="E2679" s="4">
        <v>0</v>
      </c>
      <c r="F2679" s="3">
        <v>0</v>
      </c>
      <c r="G2679" s="4"/>
      <c r="H2679" s="4"/>
      <c r="I2679" s="188" t="str">
        <f>VLOOKUP(C2679,CATEGORIZACION!$A$1:$C$269,2,FALSE)</f>
        <v>PROOVEDORES</v>
      </c>
      <c r="J2679" s="188" t="str">
        <f>VLOOKUP(C2679,CATEGORIZACION!$A$1:$C$269,3,FALSE)</f>
        <v>DEPOSITO</v>
      </c>
    </row>
    <row r="2680" spans="1:10" ht="15.75" customHeight="1" x14ac:dyDescent="0.25">
      <c r="A2680" s="1">
        <v>45290</v>
      </c>
      <c r="B2680" s="188" t="s">
        <v>82</v>
      </c>
      <c r="C2680" s="188" t="s">
        <v>2486</v>
      </c>
      <c r="D2680" s="188">
        <v>0</v>
      </c>
      <c r="E2680" s="4">
        <v>0</v>
      </c>
      <c r="F2680" s="3">
        <v>0</v>
      </c>
      <c r="G2680" s="4"/>
      <c r="H2680" s="4"/>
      <c r="I2680" s="188" t="str">
        <f>VLOOKUP(C2680,CATEGORIZACION!$A$1:$C$269,2,FALSE)</f>
        <v>PROOVEDORES</v>
      </c>
      <c r="J2680" s="188" t="str">
        <f>VLOOKUP(C2680,CATEGORIZACION!$A$1:$C$269,3,FALSE)</f>
        <v>DEPOSITO</v>
      </c>
    </row>
    <row r="2681" spans="1:10" ht="15.75" customHeight="1" x14ac:dyDescent="0.25">
      <c r="A2681" s="1">
        <v>45322</v>
      </c>
      <c r="B2681" s="188" t="s">
        <v>82</v>
      </c>
      <c r="C2681" s="188" t="s">
        <v>2484</v>
      </c>
      <c r="D2681" s="188"/>
      <c r="E2681" s="4"/>
      <c r="F2681" s="3">
        <v>26000</v>
      </c>
      <c r="G2681" s="4"/>
      <c r="H2681" s="4"/>
      <c r="I2681" s="188" t="str">
        <f>VLOOKUP(C2681,CATEGORIZACION!$A$1:$C$269,2,FALSE)</f>
        <v>PROOVEDORES</v>
      </c>
      <c r="J2681" s="188" t="str">
        <f>VLOOKUP(C2681,CATEGORIZACION!$A$1:$C$269,3,FALSE)</f>
        <v>DEPOSITO</v>
      </c>
    </row>
    <row r="2682" spans="1:10" ht="15.75" customHeight="1" x14ac:dyDescent="0.25">
      <c r="A2682" s="1">
        <v>45322</v>
      </c>
      <c r="B2682" s="188" t="s">
        <v>82</v>
      </c>
      <c r="C2682" s="188" t="s">
        <v>2485</v>
      </c>
      <c r="D2682" s="188"/>
      <c r="E2682" s="4"/>
      <c r="F2682" s="3">
        <v>94000</v>
      </c>
      <c r="G2682" s="4"/>
      <c r="H2682" s="4"/>
      <c r="I2682" s="188" t="str">
        <f>VLOOKUP(C2682,CATEGORIZACION!$A$1:$C$269,2,FALSE)</f>
        <v>PROOVEDORES</v>
      </c>
      <c r="J2682" s="188" t="str">
        <f>VLOOKUP(C2682,CATEGORIZACION!$A$1:$C$269,3,FALSE)</f>
        <v>DEPOSITO</v>
      </c>
    </row>
    <row r="2683" spans="1:10" ht="15.75" customHeight="1" x14ac:dyDescent="0.25">
      <c r="A2683" s="1">
        <v>45322</v>
      </c>
      <c r="B2683" s="188" t="s">
        <v>82</v>
      </c>
      <c r="C2683" s="188" t="s">
        <v>2486</v>
      </c>
      <c r="D2683" s="188"/>
      <c r="E2683" s="4"/>
      <c r="F2683" s="3">
        <v>0</v>
      </c>
      <c r="G2683" s="4"/>
      <c r="H2683" s="4"/>
      <c r="I2683" s="188" t="str">
        <f>VLOOKUP(C2683,CATEGORIZACION!$A$1:$C$269,2,FALSE)</f>
        <v>PROOVEDORES</v>
      </c>
      <c r="J2683" s="188" t="str">
        <f>VLOOKUP(C2683,CATEGORIZACION!$A$1:$C$269,3,FALSE)</f>
        <v>DEPOSITO</v>
      </c>
    </row>
    <row r="2684" spans="1:10" ht="15.75" customHeight="1" x14ac:dyDescent="0.25">
      <c r="A2684" s="1">
        <v>45322</v>
      </c>
      <c r="B2684" s="188" t="s">
        <v>82</v>
      </c>
      <c r="C2684" s="188" t="s">
        <v>2483</v>
      </c>
      <c r="D2684" s="188"/>
      <c r="E2684" s="4"/>
      <c r="F2684" s="3">
        <v>107000</v>
      </c>
      <c r="G2684" s="4"/>
      <c r="H2684" s="4"/>
      <c r="I2684" s="188" t="str">
        <f>VLOOKUP(C2684,CATEGORIZACION!$A$1:$C$269,2,FALSE)</f>
        <v>PROOVEDORES</v>
      </c>
      <c r="J2684" s="188" t="str">
        <f>VLOOKUP(C2684,CATEGORIZACION!$A$1:$C$269,3,FALSE)</f>
        <v>DEPOSITO</v>
      </c>
    </row>
    <row r="2685" spans="1:10" ht="15.75" customHeight="1" x14ac:dyDescent="0.25">
      <c r="A2685" s="1">
        <v>45323</v>
      </c>
      <c r="B2685" s="188" t="s">
        <v>2487</v>
      </c>
      <c r="C2685" s="188" t="s">
        <v>14</v>
      </c>
      <c r="D2685" s="18" t="s">
        <v>15</v>
      </c>
      <c r="E2685" s="4">
        <v>0</v>
      </c>
      <c r="F2685" s="3">
        <v>84000</v>
      </c>
      <c r="G2685" s="4">
        <v>17640</v>
      </c>
      <c r="H2685" s="4">
        <v>101640</v>
      </c>
      <c r="I2685" s="188" t="str">
        <f>VLOOKUP(C2685,CATEGORIZACION!$A$1:$C$269,2,FALSE)</f>
        <v>PROOVEDORES</v>
      </c>
      <c r="J2685" s="188" t="str">
        <f>VLOOKUP(C2685,CATEGORIZACION!$A$1:$C$269,3,FALSE)</f>
        <v>DEPOSITO</v>
      </c>
    </row>
    <row r="2686" spans="1:10" ht="15.75" customHeight="1" x14ac:dyDescent="0.25">
      <c r="A2686" s="1">
        <v>45323</v>
      </c>
      <c r="B2686" s="188" t="s">
        <v>2488</v>
      </c>
      <c r="C2686" s="188" t="s">
        <v>17</v>
      </c>
      <c r="D2686" s="18" t="s">
        <v>18</v>
      </c>
      <c r="E2686" s="4">
        <v>17434</v>
      </c>
      <c r="F2686" s="5">
        <v>889000</v>
      </c>
      <c r="G2686" s="4">
        <v>186690</v>
      </c>
      <c r="H2686" s="4">
        <v>1093124</v>
      </c>
      <c r="I2686" s="188" t="str">
        <f>VLOOKUP(C2686,CATEGORIZACION!$A$1:$C$269,2,FALSE)</f>
        <v>TRANSPORTE</v>
      </c>
      <c r="J2686" s="188" t="s">
        <v>19</v>
      </c>
    </row>
    <row r="2687" spans="1:10" ht="15.75" customHeight="1" x14ac:dyDescent="0.25">
      <c r="A2687" s="1">
        <v>45323</v>
      </c>
      <c r="B2687" s="188" t="s">
        <v>2489</v>
      </c>
      <c r="C2687" s="188" t="s">
        <v>218</v>
      </c>
      <c r="D2687" s="18" t="s">
        <v>219</v>
      </c>
      <c r="E2687" s="4">
        <v>0</v>
      </c>
      <c r="F2687" s="5">
        <v>346047.7</v>
      </c>
      <c r="G2687" s="4">
        <v>72670.02</v>
      </c>
      <c r="H2687" s="4">
        <v>418717.72</v>
      </c>
      <c r="I2687" s="188" t="str">
        <f>VLOOKUP(C2687,CATEGORIZACION!$A$1:$C$269,2,FALSE)</f>
        <v>PROOVEDORES</v>
      </c>
      <c r="J2687" s="188" t="str">
        <f>VLOOKUP(C2687,CATEGORIZACION!$A$1:$C$269,3,FALSE)</f>
        <v>LOGISTICA</v>
      </c>
    </row>
    <row r="2688" spans="1:10" ht="15.75" customHeight="1" x14ac:dyDescent="0.25">
      <c r="A2688" s="1">
        <v>45324</v>
      </c>
      <c r="B2688" s="188" t="s">
        <v>2490</v>
      </c>
      <c r="C2688" s="188" t="s">
        <v>248</v>
      </c>
      <c r="D2688" s="18" t="s">
        <v>249</v>
      </c>
      <c r="E2688" s="4">
        <v>0</v>
      </c>
      <c r="F2688" s="5">
        <v>144043</v>
      </c>
      <c r="G2688" s="4">
        <v>30249.03</v>
      </c>
      <c r="H2688" s="4">
        <v>174292.03</v>
      </c>
      <c r="I2688" s="188" t="str">
        <f>VLOOKUP(C2688,CATEGORIZACION!$A$1:$C$269,2,FALSE)</f>
        <v>PROOVEDORES</v>
      </c>
      <c r="J2688" s="188" t="str">
        <f>VLOOKUP(C2688,CATEGORIZACION!$A$1:$C$269,3,FALSE)</f>
        <v>LOGISTICA</v>
      </c>
    </row>
    <row r="2689" spans="1:10" ht="15.75" customHeight="1" x14ac:dyDescent="0.25">
      <c r="A2689" s="1">
        <v>45324</v>
      </c>
      <c r="B2689" s="188" t="s">
        <v>2491</v>
      </c>
      <c r="C2689" s="188" t="s">
        <v>21</v>
      </c>
      <c r="D2689" s="18" t="s">
        <v>22</v>
      </c>
      <c r="E2689" s="4">
        <v>65590</v>
      </c>
      <c r="F2689" s="5">
        <v>1268000</v>
      </c>
      <c r="G2689" s="4">
        <v>266280</v>
      </c>
      <c r="H2689" s="4">
        <v>1599870</v>
      </c>
      <c r="I2689" s="188" t="str">
        <f>VLOOKUP(C2689,CATEGORIZACION!$A$1:$C$269,2,FALSE)</f>
        <v>TRANSPORTE</v>
      </c>
      <c r="J2689" s="188" t="s">
        <v>19</v>
      </c>
    </row>
    <row r="2690" spans="1:10" ht="15.75" customHeight="1" x14ac:dyDescent="0.25">
      <c r="A2690" s="1">
        <v>45324</v>
      </c>
      <c r="B2690" s="188" t="s">
        <v>2492</v>
      </c>
      <c r="C2690" s="188" t="s">
        <v>21</v>
      </c>
      <c r="D2690" s="18" t="s">
        <v>22</v>
      </c>
      <c r="E2690" s="4">
        <v>56220</v>
      </c>
      <c r="F2690" s="5">
        <v>894000</v>
      </c>
      <c r="G2690" s="4">
        <v>187740</v>
      </c>
      <c r="H2690" s="4">
        <v>1137960</v>
      </c>
      <c r="I2690" s="188" t="str">
        <f>VLOOKUP(C2690,CATEGORIZACION!$A$1:$C$269,2,FALSE)</f>
        <v>TRANSPORTE</v>
      </c>
      <c r="J2690" s="188" t="s">
        <v>19</v>
      </c>
    </row>
    <row r="2691" spans="1:10" ht="15.75" customHeight="1" x14ac:dyDescent="0.25">
      <c r="A2691" s="1">
        <v>45324</v>
      </c>
      <c r="B2691" s="188" t="s">
        <v>2493</v>
      </c>
      <c r="C2691" s="188" t="s">
        <v>801</v>
      </c>
      <c r="D2691" s="18" t="s">
        <v>802</v>
      </c>
      <c r="E2691" s="4">
        <v>44762.15</v>
      </c>
      <c r="F2691" s="5">
        <v>319715.89</v>
      </c>
      <c r="G2691" s="4">
        <v>67140.34</v>
      </c>
      <c r="H2691" s="4">
        <v>431618.38</v>
      </c>
      <c r="I2691" s="188" t="str">
        <f>VLOOKUP(C2691,CATEGORIZACION!$A$1:$C$269,2,FALSE)</f>
        <v>PROOVEDORES</v>
      </c>
      <c r="J2691" s="188" t="str">
        <f>VLOOKUP(C2691,CATEGORIZACION!$A$1:$C$269,3,FALSE)</f>
        <v>LOGISTICA</v>
      </c>
    </row>
    <row r="2692" spans="1:10" ht="15.75" customHeight="1" x14ac:dyDescent="0.25">
      <c r="A2692" s="1">
        <v>45325</v>
      </c>
      <c r="B2692" s="188" t="s">
        <v>2494</v>
      </c>
      <c r="C2692" s="188" t="s">
        <v>918</v>
      </c>
      <c r="D2692" s="18" t="s">
        <v>919</v>
      </c>
      <c r="E2692" s="4">
        <v>0</v>
      </c>
      <c r="F2692" s="5">
        <v>413.22</v>
      </c>
      <c r="G2692" s="4">
        <v>86.78</v>
      </c>
      <c r="H2692" s="4">
        <v>500</v>
      </c>
      <c r="I2692" s="188" t="str">
        <f>VLOOKUP(C2692,CATEGORIZACION!$A$1:$C$269,2,FALSE)</f>
        <v>PROOVEDORES</v>
      </c>
      <c r="J2692" s="188" t="str">
        <f>VLOOKUP(C2692,CATEGORIZACION!$A$1:$C$269,3,FALSE)</f>
        <v>LOGISTICA</v>
      </c>
    </row>
    <row r="2693" spans="1:10" ht="15.75" customHeight="1" x14ac:dyDescent="0.25">
      <c r="A2693" s="1">
        <v>45325</v>
      </c>
      <c r="B2693" s="188" t="s">
        <v>2495</v>
      </c>
      <c r="C2693" s="188" t="s">
        <v>918</v>
      </c>
      <c r="D2693" s="18" t="s">
        <v>919</v>
      </c>
      <c r="E2693" s="4">
        <v>614.17999999999995</v>
      </c>
      <c r="F2693" s="5">
        <v>43884.46</v>
      </c>
      <c r="G2693" s="4">
        <v>9215.74</v>
      </c>
      <c r="H2693" s="4">
        <v>53714.38</v>
      </c>
      <c r="I2693" s="188" t="str">
        <f>VLOOKUP(C2693,CATEGORIZACION!$A$1:$C$269,2,FALSE)</f>
        <v>PROOVEDORES</v>
      </c>
      <c r="J2693" s="188" t="str">
        <f>VLOOKUP(C2693,CATEGORIZACION!$A$1:$C$269,3,FALSE)</f>
        <v>LOGISTICA</v>
      </c>
    </row>
    <row r="2694" spans="1:10" ht="15.75" customHeight="1" x14ac:dyDescent="0.25">
      <c r="A2694" s="1">
        <v>45326</v>
      </c>
      <c r="B2694" s="188" t="s">
        <v>2482</v>
      </c>
      <c r="C2694" s="188" t="s">
        <v>441</v>
      </c>
      <c r="D2694" s="18" t="s">
        <v>442</v>
      </c>
      <c r="E2694" s="4">
        <v>0</v>
      </c>
      <c r="F2694" s="3">
        <v>874504</v>
      </c>
      <c r="G2694" s="4">
        <v>183645.84</v>
      </c>
      <c r="H2694" s="4">
        <v>1058149.8400000001</v>
      </c>
      <c r="I2694" s="188" t="str">
        <f>VLOOKUP(C2694,CATEGORIZACION!$A$1:$C$269,2,FALSE)</f>
        <v>ALQUILER</v>
      </c>
      <c r="J2694" s="188" t="s">
        <v>103</v>
      </c>
    </row>
    <row r="2695" spans="1:10" ht="15.75" customHeight="1" x14ac:dyDescent="0.25">
      <c r="A2695" s="1">
        <v>45327</v>
      </c>
      <c r="B2695" s="188" t="s">
        <v>2496</v>
      </c>
      <c r="C2695" s="188" t="s">
        <v>101</v>
      </c>
      <c r="D2695" s="18" t="s">
        <v>102</v>
      </c>
      <c r="E2695" s="4">
        <v>0</v>
      </c>
      <c r="F2695" s="3">
        <v>2054250</v>
      </c>
      <c r="G2695" s="4">
        <v>431392.5</v>
      </c>
      <c r="H2695" s="4">
        <v>2485642.5</v>
      </c>
      <c r="I2695" s="188" t="str">
        <f>VLOOKUP(C2695,CATEGORIZACION!$A$1:$C$269,2,FALSE)</f>
        <v>ALQUILER</v>
      </c>
      <c r="J2695" s="188" t="s">
        <v>103</v>
      </c>
    </row>
    <row r="2696" spans="1:10" ht="15.75" customHeight="1" x14ac:dyDescent="0.25">
      <c r="A2696" s="1">
        <v>45327</v>
      </c>
      <c r="B2696" s="188" t="s">
        <v>2497</v>
      </c>
      <c r="C2696" s="188" t="s">
        <v>1143</v>
      </c>
      <c r="D2696" s="18" t="s">
        <v>1144</v>
      </c>
      <c r="E2696" s="4">
        <v>0</v>
      </c>
      <c r="F2696" s="3">
        <v>805000</v>
      </c>
      <c r="G2696" s="4">
        <v>169050</v>
      </c>
      <c r="H2696" s="4">
        <v>974050</v>
      </c>
      <c r="I2696" s="188" t="str">
        <f>VLOOKUP(C2696,CATEGORIZACION!$A$1:$C$269,2,FALSE)</f>
        <v>PROOVEDORES</v>
      </c>
      <c r="J2696" s="188" t="str">
        <f>VLOOKUP(C2696,CATEGORIZACION!$A$1:$C$269,3,FALSE)</f>
        <v>DEPOSITO</v>
      </c>
    </row>
    <row r="2697" spans="1:10" ht="15.75" customHeight="1" x14ac:dyDescent="0.25">
      <c r="A2697" s="1">
        <v>45327</v>
      </c>
      <c r="B2697" s="188" t="s">
        <v>2498</v>
      </c>
      <c r="C2697" s="188" t="s">
        <v>21</v>
      </c>
      <c r="D2697" s="18" t="s">
        <v>22</v>
      </c>
      <c r="E2697" s="4">
        <v>14485</v>
      </c>
      <c r="F2697" s="5">
        <v>389000</v>
      </c>
      <c r="G2697" s="4">
        <v>81690</v>
      </c>
      <c r="H2697" s="4">
        <v>485175</v>
      </c>
      <c r="I2697" s="188" t="str">
        <f>VLOOKUP(C2697,CATEGORIZACION!$A$1:$C$269,2,FALSE)</f>
        <v>TRANSPORTE</v>
      </c>
      <c r="J2697" s="188" t="s">
        <v>19</v>
      </c>
    </row>
    <row r="2698" spans="1:10" ht="15.75" customHeight="1" x14ac:dyDescent="0.25">
      <c r="A2698" s="1">
        <v>45327</v>
      </c>
      <c r="B2698" s="188" t="s">
        <v>2499</v>
      </c>
      <c r="C2698" s="188" t="s">
        <v>36</v>
      </c>
      <c r="D2698" s="18" t="s">
        <v>37</v>
      </c>
      <c r="E2698" s="4">
        <v>9500</v>
      </c>
      <c r="F2698" s="5">
        <v>100800</v>
      </c>
      <c r="G2698" s="4">
        <v>21168</v>
      </c>
      <c r="H2698" s="4">
        <v>131468</v>
      </c>
      <c r="I2698" s="188" t="str">
        <f>VLOOKUP(C2698,CATEGORIZACION!$A$1:$C$269,2,FALSE)</f>
        <v>TRANSPORTE</v>
      </c>
      <c r="J2698" s="188" t="s">
        <v>19</v>
      </c>
    </row>
    <row r="2699" spans="1:10" ht="15.75" customHeight="1" x14ac:dyDescent="0.25">
      <c r="A2699" s="1">
        <v>45327</v>
      </c>
      <c r="B2699" s="188" t="s">
        <v>2500</v>
      </c>
      <c r="C2699" s="188" t="s">
        <v>36</v>
      </c>
      <c r="D2699" s="18" t="s">
        <v>37</v>
      </c>
      <c r="E2699" s="4">
        <v>9500</v>
      </c>
      <c r="F2699" s="5">
        <v>100800</v>
      </c>
      <c r="G2699" s="4">
        <v>21168</v>
      </c>
      <c r="H2699" s="4">
        <v>131468</v>
      </c>
      <c r="I2699" s="188" t="str">
        <f>VLOOKUP(C2699,CATEGORIZACION!$A$1:$C$269,2,FALSE)</f>
        <v>TRANSPORTE</v>
      </c>
      <c r="J2699" s="188" t="s">
        <v>19</v>
      </c>
    </row>
    <row r="2700" spans="1:10" ht="15.75" customHeight="1" x14ac:dyDescent="0.25">
      <c r="A2700" s="1">
        <v>45327</v>
      </c>
      <c r="B2700" s="188" t="s">
        <v>2501</v>
      </c>
      <c r="C2700" s="188" t="s">
        <v>36</v>
      </c>
      <c r="D2700" s="18" t="s">
        <v>37</v>
      </c>
      <c r="E2700" s="4">
        <v>14000</v>
      </c>
      <c r="F2700" s="5">
        <v>143000</v>
      </c>
      <c r="G2700" s="4">
        <v>30030</v>
      </c>
      <c r="H2700" s="4">
        <v>187030</v>
      </c>
      <c r="I2700" s="188" t="str">
        <f>VLOOKUP(C2700,CATEGORIZACION!$A$1:$C$269,2,FALSE)</f>
        <v>TRANSPORTE</v>
      </c>
      <c r="J2700" s="188" t="s">
        <v>19</v>
      </c>
    </row>
    <row r="2701" spans="1:10" ht="15.75" customHeight="1" x14ac:dyDescent="0.25">
      <c r="A2701" s="1">
        <v>45327</v>
      </c>
      <c r="B2701" s="188" t="s">
        <v>2502</v>
      </c>
      <c r="C2701" s="188" t="s">
        <v>36</v>
      </c>
      <c r="D2701" s="18" t="s">
        <v>37</v>
      </c>
      <c r="E2701" s="4">
        <v>14000</v>
      </c>
      <c r="F2701" s="5">
        <v>143000</v>
      </c>
      <c r="G2701" s="4">
        <v>30030</v>
      </c>
      <c r="H2701" s="4">
        <v>187030</v>
      </c>
      <c r="I2701" s="188" t="str">
        <f>VLOOKUP(C2701,CATEGORIZACION!$A$1:$C$269,2,FALSE)</f>
        <v>TRANSPORTE</v>
      </c>
      <c r="J2701" s="188" t="s">
        <v>19</v>
      </c>
    </row>
    <row r="2702" spans="1:10" ht="15.75" customHeight="1" x14ac:dyDescent="0.25">
      <c r="A2702" s="1">
        <v>45327</v>
      </c>
      <c r="B2702" s="188" t="s">
        <v>2503</v>
      </c>
      <c r="C2702" s="188" t="s">
        <v>36</v>
      </c>
      <c r="D2702" s="18" t="s">
        <v>37</v>
      </c>
      <c r="E2702" s="4">
        <v>4800</v>
      </c>
      <c r="F2702" s="5">
        <v>149800</v>
      </c>
      <c r="G2702" s="4">
        <v>31458</v>
      </c>
      <c r="H2702" s="4">
        <v>186058</v>
      </c>
      <c r="I2702" s="188" t="str">
        <f>VLOOKUP(C2702,CATEGORIZACION!$A$1:$C$269,2,FALSE)</f>
        <v>TRANSPORTE</v>
      </c>
      <c r="J2702" s="188" t="s">
        <v>19</v>
      </c>
    </row>
    <row r="2703" spans="1:10" ht="15.75" customHeight="1" x14ac:dyDescent="0.25">
      <c r="A2703" s="1">
        <v>45328</v>
      </c>
      <c r="B2703" s="188" t="s">
        <v>2504</v>
      </c>
      <c r="C2703" s="188" t="s">
        <v>21</v>
      </c>
      <c r="D2703" s="18" t="s">
        <v>22</v>
      </c>
      <c r="E2703" s="4">
        <v>18740</v>
      </c>
      <c r="F2703" s="5">
        <v>298000</v>
      </c>
      <c r="G2703" s="4">
        <v>62580</v>
      </c>
      <c r="H2703" s="4">
        <v>379320</v>
      </c>
      <c r="I2703" s="188" t="str">
        <f>VLOOKUP(C2703,CATEGORIZACION!$A$1:$C$269,2,FALSE)</f>
        <v>TRANSPORTE</v>
      </c>
      <c r="J2703" s="188" t="s">
        <v>19</v>
      </c>
    </row>
    <row r="2704" spans="1:10" ht="15.75" customHeight="1" x14ac:dyDescent="0.25">
      <c r="A2704" s="1">
        <v>45328</v>
      </c>
      <c r="B2704" s="188" t="s">
        <v>2505</v>
      </c>
      <c r="C2704" s="188" t="s">
        <v>21</v>
      </c>
      <c r="D2704" s="18" t="s">
        <v>22</v>
      </c>
      <c r="E2704" s="4">
        <v>18740</v>
      </c>
      <c r="F2704" s="5">
        <v>298000</v>
      </c>
      <c r="G2704" s="4">
        <v>62580</v>
      </c>
      <c r="H2704" s="4">
        <v>379320</v>
      </c>
      <c r="I2704" s="188" t="str">
        <f>VLOOKUP(C2704,CATEGORIZACION!$A$1:$C$269,2,FALSE)</f>
        <v>TRANSPORTE</v>
      </c>
      <c r="J2704" s="188" t="s">
        <v>19</v>
      </c>
    </row>
    <row r="2705" spans="1:10" ht="15.75" customHeight="1" x14ac:dyDescent="0.25">
      <c r="A2705" s="1">
        <v>45328</v>
      </c>
      <c r="B2705" s="188" t="s">
        <v>2506</v>
      </c>
      <c r="C2705" s="188" t="s">
        <v>253</v>
      </c>
      <c r="D2705" s="18" t="s">
        <v>57</v>
      </c>
      <c r="E2705" s="4">
        <v>0</v>
      </c>
      <c r="F2705" s="5">
        <v>81506.28</v>
      </c>
      <c r="G2705" s="4">
        <v>17116.32</v>
      </c>
      <c r="H2705" s="4">
        <v>98622.6</v>
      </c>
      <c r="I2705" s="188" t="str">
        <f>VLOOKUP(C2705,CATEGORIZACION!$A$1:$C$269,2,FALSE)</f>
        <v>PROOVEDORES</v>
      </c>
      <c r="J2705" s="188" t="str">
        <f>VLOOKUP(C2705,CATEGORIZACION!$A$1:$C$269,3,FALSE)</f>
        <v>LOGISTICA</v>
      </c>
    </row>
    <row r="2706" spans="1:10" ht="15.75" customHeight="1" x14ac:dyDescent="0.25">
      <c r="A2706" s="1">
        <v>45328</v>
      </c>
      <c r="B2706" s="188" t="s">
        <v>2507</v>
      </c>
      <c r="C2706" s="188" t="s">
        <v>80</v>
      </c>
      <c r="D2706" s="18" t="s">
        <v>81</v>
      </c>
      <c r="E2706" s="4">
        <v>2495</v>
      </c>
      <c r="F2706" s="5">
        <v>76450.41</v>
      </c>
      <c r="G2706" s="4">
        <v>16054.59</v>
      </c>
      <c r="H2706" s="4">
        <v>95000</v>
      </c>
      <c r="I2706" s="188" t="str">
        <f>VLOOKUP(C2706,CATEGORIZACION!$A$1:$C$269,2,FALSE)</f>
        <v>PROOVEDORES</v>
      </c>
      <c r="J2706" s="188" t="str">
        <f>VLOOKUP(C2706,CATEGORIZACION!$A$1:$C$269,3,FALSE)</f>
        <v>LOGISTICA</v>
      </c>
    </row>
    <row r="2707" spans="1:10" ht="15.75" customHeight="1" x14ac:dyDescent="0.25">
      <c r="A2707" s="1">
        <v>45329</v>
      </c>
      <c r="B2707" s="188" t="s">
        <v>2508</v>
      </c>
      <c r="C2707" s="188" t="s">
        <v>2509</v>
      </c>
      <c r="D2707" s="18" t="s">
        <v>2510</v>
      </c>
      <c r="E2707" s="4">
        <v>0</v>
      </c>
      <c r="F2707" s="5">
        <v>107880.17</v>
      </c>
      <c r="G2707" s="4">
        <v>22654.84</v>
      </c>
      <c r="H2707" s="4">
        <v>130535.01</v>
      </c>
      <c r="I2707" s="188" t="str">
        <f>VLOOKUP(C2707,CATEGORIZACION!$A$1:$C$269,2,FALSE)</f>
        <v>PROOVEDORES</v>
      </c>
      <c r="J2707" s="188" t="str">
        <f>VLOOKUP(C2707,CATEGORIZACION!$A$1:$C$269,3,FALSE)</f>
        <v>LOGISTICA</v>
      </c>
    </row>
    <row r="2708" spans="1:10" ht="15.75" customHeight="1" x14ac:dyDescent="0.25">
      <c r="A2708" s="1">
        <v>45329</v>
      </c>
      <c r="B2708" s="188" t="s">
        <v>2511</v>
      </c>
      <c r="C2708" s="188" t="s">
        <v>1501</v>
      </c>
      <c r="D2708" s="18" t="s">
        <v>1502</v>
      </c>
      <c r="E2708" s="4">
        <v>403.23</v>
      </c>
      <c r="F2708" s="5">
        <v>28801.65</v>
      </c>
      <c r="G2708" s="4">
        <v>6048.35</v>
      </c>
      <c r="H2708" s="4">
        <v>35253.230000000003</v>
      </c>
      <c r="I2708" s="188" t="str">
        <f>VLOOKUP(C2708,CATEGORIZACION!$A$1:$C$269,2,FALSE)</f>
        <v>PROOVEDORES</v>
      </c>
      <c r="J2708" s="188" t="str">
        <f>VLOOKUP(C2708,CATEGORIZACION!$A$1:$C$269,3,FALSE)</f>
        <v>LOGISTICA</v>
      </c>
    </row>
    <row r="2709" spans="1:10" ht="15.75" customHeight="1" x14ac:dyDescent="0.25">
      <c r="A2709" s="1">
        <v>45330</v>
      </c>
      <c r="B2709" s="188" t="s">
        <v>2512</v>
      </c>
      <c r="C2709" s="188" t="s">
        <v>21</v>
      </c>
      <c r="D2709" s="18" t="s">
        <v>22</v>
      </c>
      <c r="E2709" s="4">
        <v>65590</v>
      </c>
      <c r="F2709" s="5">
        <v>1043000</v>
      </c>
      <c r="G2709" s="4">
        <v>219030</v>
      </c>
      <c r="H2709" s="4">
        <v>1327620</v>
      </c>
      <c r="I2709" s="188" t="str">
        <f>VLOOKUP(C2709,CATEGORIZACION!$A$1:$C$269,2,FALSE)</f>
        <v>TRANSPORTE</v>
      </c>
      <c r="J2709" s="188" t="s">
        <v>19</v>
      </c>
    </row>
    <row r="2710" spans="1:10" ht="15.75" customHeight="1" x14ac:dyDescent="0.25">
      <c r="A2710" s="1">
        <v>45330</v>
      </c>
      <c r="B2710" s="188" t="s">
        <v>2513</v>
      </c>
      <c r="C2710" s="188" t="s">
        <v>21</v>
      </c>
      <c r="D2710" s="18" t="s">
        <v>22</v>
      </c>
      <c r="E2710" s="4">
        <v>74960</v>
      </c>
      <c r="F2710" s="5">
        <v>1192000</v>
      </c>
      <c r="G2710" s="4">
        <v>250320</v>
      </c>
      <c r="H2710" s="4">
        <v>1517280</v>
      </c>
      <c r="I2710" s="188" t="str">
        <f>VLOOKUP(C2710,CATEGORIZACION!$A$1:$C$269,2,FALSE)</f>
        <v>TRANSPORTE</v>
      </c>
      <c r="J2710" s="188" t="s">
        <v>19</v>
      </c>
    </row>
    <row r="2711" spans="1:10" ht="15.75" customHeight="1" x14ac:dyDescent="0.25">
      <c r="A2711" s="1">
        <v>45330</v>
      </c>
      <c r="B2711" s="188" t="s">
        <v>2514</v>
      </c>
      <c r="C2711" s="188" t="s">
        <v>21</v>
      </c>
      <c r="D2711" s="18" t="s">
        <v>22</v>
      </c>
      <c r="E2711" s="4">
        <v>23760</v>
      </c>
      <c r="F2711" s="5">
        <v>574000</v>
      </c>
      <c r="G2711" s="4">
        <v>120540</v>
      </c>
      <c r="H2711" s="4">
        <v>718300</v>
      </c>
      <c r="I2711" s="188" t="str">
        <f>VLOOKUP(C2711,CATEGORIZACION!$A$1:$C$269,2,FALSE)</f>
        <v>TRANSPORTE</v>
      </c>
      <c r="J2711" s="188" t="s">
        <v>19</v>
      </c>
    </row>
    <row r="2712" spans="1:10" ht="15.75" customHeight="1" x14ac:dyDescent="0.25">
      <c r="A2712" s="1">
        <v>45330</v>
      </c>
      <c r="B2712" s="188" t="s">
        <v>2515</v>
      </c>
      <c r="C2712" s="188" t="s">
        <v>21</v>
      </c>
      <c r="D2712" s="18" t="s">
        <v>22</v>
      </c>
      <c r="E2712" s="4">
        <v>12635</v>
      </c>
      <c r="F2712" s="5">
        <v>185000</v>
      </c>
      <c r="G2712" s="4">
        <v>38850</v>
      </c>
      <c r="H2712" s="4">
        <v>236485</v>
      </c>
      <c r="I2712" s="188" t="str">
        <f>VLOOKUP(C2712,CATEGORIZACION!$A$1:$C$269,2,FALSE)</f>
        <v>TRANSPORTE</v>
      </c>
      <c r="J2712" s="188" t="s">
        <v>19</v>
      </c>
    </row>
    <row r="2713" spans="1:10" ht="15.75" customHeight="1" x14ac:dyDescent="0.25">
      <c r="A2713" s="1">
        <v>45330</v>
      </c>
      <c r="B2713" s="188" t="s">
        <v>2516</v>
      </c>
      <c r="C2713" s="188" t="s">
        <v>21</v>
      </c>
      <c r="D2713" s="18" t="s">
        <v>22</v>
      </c>
      <c r="E2713" s="4">
        <v>7520</v>
      </c>
      <c r="F2713" s="5">
        <v>185000</v>
      </c>
      <c r="G2713" s="4">
        <v>38850</v>
      </c>
      <c r="H2713" s="4">
        <v>231370</v>
      </c>
      <c r="I2713" s="188" t="str">
        <f>VLOOKUP(C2713,CATEGORIZACION!$A$1:$C$269,2,FALSE)</f>
        <v>TRANSPORTE</v>
      </c>
      <c r="J2713" s="188" t="s">
        <v>19</v>
      </c>
    </row>
    <row r="2714" spans="1:10" ht="15.75" customHeight="1" x14ac:dyDescent="0.25">
      <c r="A2714" s="1">
        <v>45331</v>
      </c>
      <c r="B2714" s="188" t="s">
        <v>2517</v>
      </c>
      <c r="C2714" s="188" t="s">
        <v>17</v>
      </c>
      <c r="D2714" s="18" t="s">
        <v>18</v>
      </c>
      <c r="E2714" s="4">
        <v>60610</v>
      </c>
      <c r="F2714" s="5">
        <v>846000</v>
      </c>
      <c r="G2714" s="4">
        <v>177660</v>
      </c>
      <c r="H2714" s="4">
        <v>1084270</v>
      </c>
      <c r="I2714" s="188" t="str">
        <f>VLOOKUP(C2714,CATEGORIZACION!$A$1:$C$269,2,FALSE)</f>
        <v>TRANSPORTE</v>
      </c>
      <c r="J2714" s="188" t="s">
        <v>19</v>
      </c>
    </row>
    <row r="2715" spans="1:10" ht="15.75" customHeight="1" x14ac:dyDescent="0.25">
      <c r="A2715" s="1">
        <v>45331</v>
      </c>
      <c r="B2715" s="188" t="s">
        <v>621</v>
      </c>
      <c r="C2715" s="188" t="s">
        <v>17</v>
      </c>
      <c r="D2715" s="18" t="s">
        <v>18</v>
      </c>
      <c r="E2715" s="4">
        <v>82699</v>
      </c>
      <c r="F2715" s="5">
        <v>1235000</v>
      </c>
      <c r="G2715" s="4">
        <v>259350</v>
      </c>
      <c r="H2715" s="4">
        <v>1577049</v>
      </c>
      <c r="I2715" s="188" t="str">
        <f>VLOOKUP(C2715,CATEGORIZACION!$A$1:$C$269,2,FALSE)</f>
        <v>TRANSPORTE</v>
      </c>
      <c r="J2715" s="188" t="s">
        <v>19</v>
      </c>
    </row>
    <row r="2716" spans="1:10" ht="15.75" customHeight="1" x14ac:dyDescent="0.25">
      <c r="A2716" s="1">
        <v>45331</v>
      </c>
      <c r="B2716" s="188" t="s">
        <v>2518</v>
      </c>
      <c r="C2716" s="188" t="s">
        <v>17</v>
      </c>
      <c r="D2716" s="18" t="s">
        <v>18</v>
      </c>
      <c r="E2716" s="4">
        <v>86891</v>
      </c>
      <c r="F2716" s="5">
        <v>1003000</v>
      </c>
      <c r="G2716" s="4">
        <v>210630</v>
      </c>
      <c r="H2716" s="4">
        <v>1300521</v>
      </c>
      <c r="I2716" s="188" t="str">
        <f>VLOOKUP(C2716,CATEGORIZACION!$A$1:$C$269,2,FALSE)</f>
        <v>TRANSPORTE</v>
      </c>
      <c r="J2716" s="188" t="s">
        <v>19</v>
      </c>
    </row>
    <row r="2717" spans="1:10" ht="15.75" customHeight="1" x14ac:dyDescent="0.25">
      <c r="A2717" s="1">
        <v>45331</v>
      </c>
      <c r="B2717" s="188" t="s">
        <v>2519</v>
      </c>
      <c r="C2717" s="188" t="s">
        <v>36</v>
      </c>
      <c r="D2717" s="18" t="s">
        <v>37</v>
      </c>
      <c r="E2717" s="4">
        <v>17500</v>
      </c>
      <c r="F2717" s="5">
        <v>155000</v>
      </c>
      <c r="G2717" s="4">
        <v>32550</v>
      </c>
      <c r="H2717" s="4">
        <v>205050</v>
      </c>
      <c r="I2717" s="188" t="str">
        <f>VLOOKUP(C2717,CATEGORIZACION!$A$1:$C$269,2,FALSE)</f>
        <v>TRANSPORTE</v>
      </c>
      <c r="J2717" s="188" t="s">
        <v>19</v>
      </c>
    </row>
    <row r="2718" spans="1:10" ht="15.75" customHeight="1" x14ac:dyDescent="0.25">
      <c r="A2718" s="1">
        <v>45336</v>
      </c>
      <c r="B2718" s="188" t="s">
        <v>2520</v>
      </c>
      <c r="C2718" s="188" t="s">
        <v>21</v>
      </c>
      <c r="D2718" s="18" t="s">
        <v>22</v>
      </c>
      <c r="E2718" s="4">
        <v>37480</v>
      </c>
      <c r="F2718" s="5">
        <v>596000</v>
      </c>
      <c r="G2718" s="4">
        <v>125160</v>
      </c>
      <c r="H2718" s="4">
        <v>758640</v>
      </c>
      <c r="I2718" s="188" t="str">
        <f>VLOOKUP(C2718,CATEGORIZACION!$A$1:$C$269,2,FALSE)</f>
        <v>TRANSPORTE</v>
      </c>
      <c r="J2718" s="188" t="s">
        <v>19</v>
      </c>
    </row>
    <row r="2719" spans="1:10" ht="15.75" customHeight="1" x14ac:dyDescent="0.25">
      <c r="A2719" s="1">
        <v>45336</v>
      </c>
      <c r="B2719" s="188" t="s">
        <v>2521</v>
      </c>
      <c r="C2719" s="188" t="s">
        <v>21</v>
      </c>
      <c r="D2719" s="18" t="s">
        <v>22</v>
      </c>
      <c r="E2719" s="4">
        <v>12635</v>
      </c>
      <c r="F2719" s="5">
        <v>370000</v>
      </c>
      <c r="G2719" s="4">
        <v>77700</v>
      </c>
      <c r="H2719" s="4">
        <v>460335</v>
      </c>
      <c r="I2719" s="188" t="str">
        <f>VLOOKUP(C2719,CATEGORIZACION!$A$1:$C$269,2,FALSE)</f>
        <v>TRANSPORTE</v>
      </c>
      <c r="J2719" s="188" t="s">
        <v>19</v>
      </c>
    </row>
    <row r="2720" spans="1:10" ht="15.75" customHeight="1" x14ac:dyDescent="0.25">
      <c r="A2720" s="1">
        <v>45336</v>
      </c>
      <c r="B2720" s="188" t="s">
        <v>2522</v>
      </c>
      <c r="C2720" s="188" t="s">
        <v>21</v>
      </c>
      <c r="D2720" s="18" t="s">
        <v>22</v>
      </c>
      <c r="E2720" s="4">
        <v>8523</v>
      </c>
      <c r="F2720" s="5">
        <v>164000</v>
      </c>
      <c r="G2720" s="4">
        <v>34440</v>
      </c>
      <c r="H2720" s="4">
        <v>206963</v>
      </c>
      <c r="I2720" s="188" t="str">
        <f>VLOOKUP(C2720,CATEGORIZACION!$A$1:$C$269,2,FALSE)</f>
        <v>TRANSPORTE</v>
      </c>
      <c r="J2720" s="188" t="s">
        <v>19</v>
      </c>
    </row>
    <row r="2721" spans="1:10" ht="15.75" customHeight="1" x14ac:dyDescent="0.25">
      <c r="A2721" s="1">
        <v>45336</v>
      </c>
      <c r="B2721" s="188" t="s">
        <v>2523</v>
      </c>
      <c r="C2721" s="188" t="s">
        <v>21</v>
      </c>
      <c r="D2721" s="18" t="s">
        <v>22</v>
      </c>
      <c r="E2721" s="4">
        <v>30080</v>
      </c>
      <c r="F2721" s="5">
        <v>596000</v>
      </c>
      <c r="G2721" s="4">
        <v>125160</v>
      </c>
      <c r="H2721" s="4">
        <v>751240</v>
      </c>
      <c r="I2721" s="188" t="str">
        <f>VLOOKUP(C2721,CATEGORIZACION!$A$1:$C$269,2,FALSE)</f>
        <v>TRANSPORTE</v>
      </c>
      <c r="J2721" s="188" t="s">
        <v>19</v>
      </c>
    </row>
    <row r="2722" spans="1:10" ht="15.75" customHeight="1" x14ac:dyDescent="0.25">
      <c r="A2722" s="1">
        <v>45336</v>
      </c>
      <c r="B2722" s="188" t="s">
        <v>2524</v>
      </c>
      <c r="C2722" s="188" t="s">
        <v>36</v>
      </c>
      <c r="D2722" s="18" t="s">
        <v>37</v>
      </c>
      <c r="E2722" s="4">
        <v>14000</v>
      </c>
      <c r="F2722" s="5">
        <v>174450</v>
      </c>
      <c r="G2722" s="4">
        <v>36634.5</v>
      </c>
      <c r="H2722" s="4">
        <v>225084.5</v>
      </c>
      <c r="I2722" s="188" t="str">
        <f>VLOOKUP(C2722,CATEGORIZACION!$A$1:$C$269,2,FALSE)</f>
        <v>TRANSPORTE</v>
      </c>
      <c r="J2722" s="188" t="s">
        <v>19</v>
      </c>
    </row>
    <row r="2723" spans="1:10" ht="15.75" customHeight="1" x14ac:dyDescent="0.25">
      <c r="A2723" s="1">
        <v>45336</v>
      </c>
      <c r="B2723" s="188" t="s">
        <v>2525</v>
      </c>
      <c r="C2723" s="188" t="s">
        <v>36</v>
      </c>
      <c r="D2723" s="18" t="s">
        <v>37</v>
      </c>
      <c r="E2723" s="4">
        <v>14000</v>
      </c>
      <c r="F2723" s="5">
        <v>191900</v>
      </c>
      <c r="G2723" s="4">
        <v>40299</v>
      </c>
      <c r="H2723" s="4">
        <v>246199</v>
      </c>
      <c r="I2723" s="188" t="str">
        <f>VLOOKUP(C2723,CATEGORIZACION!$A$1:$C$269,2,FALSE)</f>
        <v>TRANSPORTE</v>
      </c>
      <c r="J2723" s="188" t="s">
        <v>19</v>
      </c>
    </row>
    <row r="2724" spans="1:10" ht="15.75" customHeight="1" x14ac:dyDescent="0.25">
      <c r="A2724" s="1">
        <v>45336</v>
      </c>
      <c r="B2724" s="188" t="s">
        <v>2526</v>
      </c>
      <c r="C2724" s="188" t="s">
        <v>36</v>
      </c>
      <c r="D2724" s="18" t="s">
        <v>37</v>
      </c>
      <c r="E2724" s="4">
        <v>14000</v>
      </c>
      <c r="F2724" s="5">
        <v>191900</v>
      </c>
      <c r="G2724" s="4">
        <v>40299</v>
      </c>
      <c r="H2724" s="4">
        <v>246199</v>
      </c>
      <c r="I2724" s="188" t="str">
        <f>VLOOKUP(C2724,CATEGORIZACION!$A$1:$C$269,2,FALSE)</f>
        <v>TRANSPORTE</v>
      </c>
      <c r="J2724" s="188" t="s">
        <v>19</v>
      </c>
    </row>
    <row r="2725" spans="1:10" ht="15.75" customHeight="1" x14ac:dyDescent="0.25">
      <c r="A2725" s="1">
        <v>45336</v>
      </c>
      <c r="B2725" s="188" t="s">
        <v>2527</v>
      </c>
      <c r="C2725" s="188" t="s">
        <v>36</v>
      </c>
      <c r="D2725" s="18" t="s">
        <v>37</v>
      </c>
      <c r="E2725" s="4">
        <v>14000</v>
      </c>
      <c r="F2725" s="5">
        <v>191900</v>
      </c>
      <c r="G2725" s="4">
        <v>40299</v>
      </c>
      <c r="H2725" s="4">
        <v>246199</v>
      </c>
      <c r="I2725" s="188" t="str">
        <f>VLOOKUP(C2725,CATEGORIZACION!$A$1:$C$269,2,FALSE)</f>
        <v>TRANSPORTE</v>
      </c>
      <c r="J2725" s="188" t="s">
        <v>19</v>
      </c>
    </row>
    <row r="2726" spans="1:10" ht="15.75" customHeight="1" x14ac:dyDescent="0.25">
      <c r="A2726" s="1">
        <v>45336</v>
      </c>
      <c r="B2726" s="188" t="s">
        <v>2528</v>
      </c>
      <c r="C2726" s="188" t="s">
        <v>36</v>
      </c>
      <c r="D2726" s="18" t="s">
        <v>37</v>
      </c>
      <c r="E2726" s="4">
        <v>14000</v>
      </c>
      <c r="F2726" s="5">
        <v>174450</v>
      </c>
      <c r="G2726" s="4">
        <v>36634.5</v>
      </c>
      <c r="H2726" s="4">
        <v>225084.5</v>
      </c>
      <c r="I2726" s="188" t="str">
        <f>VLOOKUP(C2726,CATEGORIZACION!$A$1:$C$269,2,FALSE)</f>
        <v>TRANSPORTE</v>
      </c>
      <c r="J2726" s="188" t="s">
        <v>19</v>
      </c>
    </row>
    <row r="2727" spans="1:10" ht="15.75" customHeight="1" x14ac:dyDescent="0.25">
      <c r="A2727" s="1">
        <v>45336</v>
      </c>
      <c r="B2727" s="188" t="s">
        <v>2529</v>
      </c>
      <c r="C2727" s="188" t="s">
        <v>36</v>
      </c>
      <c r="D2727" s="18" t="s">
        <v>37</v>
      </c>
      <c r="E2727" s="4">
        <v>14000</v>
      </c>
      <c r="F2727" s="5">
        <v>235500</v>
      </c>
      <c r="G2727" s="4">
        <v>49455</v>
      </c>
      <c r="H2727" s="4">
        <v>298955</v>
      </c>
      <c r="I2727" s="188" t="str">
        <f>VLOOKUP(C2727,CATEGORIZACION!$A$1:$C$269,2,FALSE)</f>
        <v>TRANSPORTE</v>
      </c>
      <c r="J2727" s="188" t="s">
        <v>19</v>
      </c>
    </row>
    <row r="2728" spans="1:10" ht="15.75" customHeight="1" x14ac:dyDescent="0.25">
      <c r="A2728" s="1">
        <v>45336</v>
      </c>
      <c r="B2728" s="188" t="s">
        <v>2530</v>
      </c>
      <c r="C2728" s="188" t="s">
        <v>36</v>
      </c>
      <c r="D2728" s="18" t="s">
        <v>37</v>
      </c>
      <c r="E2728" s="4">
        <v>14000</v>
      </c>
      <c r="F2728" s="5">
        <v>235500</v>
      </c>
      <c r="G2728" s="4">
        <v>49455</v>
      </c>
      <c r="H2728" s="4">
        <v>298955</v>
      </c>
      <c r="I2728" s="188" t="str">
        <f>VLOOKUP(C2728,CATEGORIZACION!$A$1:$C$269,2,FALSE)</f>
        <v>TRANSPORTE</v>
      </c>
      <c r="J2728" s="188" t="s">
        <v>19</v>
      </c>
    </row>
    <row r="2729" spans="1:10" ht="15.75" customHeight="1" x14ac:dyDescent="0.25">
      <c r="A2729" s="1">
        <v>45336</v>
      </c>
      <c r="B2729" s="188" t="s">
        <v>2531</v>
      </c>
      <c r="C2729" s="188" t="s">
        <v>36</v>
      </c>
      <c r="D2729" s="18" t="s">
        <v>37</v>
      </c>
      <c r="E2729" s="4">
        <v>14000</v>
      </c>
      <c r="F2729" s="5">
        <v>235500</v>
      </c>
      <c r="G2729" s="4">
        <v>49455</v>
      </c>
      <c r="H2729" s="4">
        <v>298955</v>
      </c>
      <c r="I2729" s="188" t="str">
        <f>VLOOKUP(C2729,CATEGORIZACION!$A$1:$C$269,2,FALSE)</f>
        <v>TRANSPORTE</v>
      </c>
      <c r="J2729" s="188" t="s">
        <v>19</v>
      </c>
    </row>
    <row r="2730" spans="1:10" ht="15.75" customHeight="1" x14ac:dyDescent="0.25">
      <c r="A2730" s="1">
        <v>45336</v>
      </c>
      <c r="B2730" s="188" t="s">
        <v>2532</v>
      </c>
      <c r="C2730" s="188" t="s">
        <v>36</v>
      </c>
      <c r="D2730" s="18" t="s">
        <v>37</v>
      </c>
      <c r="E2730" s="4">
        <v>14000</v>
      </c>
      <c r="F2730" s="5">
        <v>235500</v>
      </c>
      <c r="G2730" s="4">
        <v>49455</v>
      </c>
      <c r="H2730" s="4">
        <v>298955</v>
      </c>
      <c r="I2730" s="188" t="str">
        <f>VLOOKUP(C2730,CATEGORIZACION!$A$1:$C$269,2,FALSE)</f>
        <v>TRANSPORTE</v>
      </c>
      <c r="J2730" s="188" t="s">
        <v>19</v>
      </c>
    </row>
    <row r="2731" spans="1:10" ht="15.75" customHeight="1" x14ac:dyDescent="0.25">
      <c r="A2731" s="1">
        <v>45336</v>
      </c>
      <c r="B2731" s="188" t="s">
        <v>2533</v>
      </c>
      <c r="C2731" s="188" t="s">
        <v>36</v>
      </c>
      <c r="D2731" s="18" t="s">
        <v>37</v>
      </c>
      <c r="E2731" s="4">
        <v>9500</v>
      </c>
      <c r="F2731" s="5">
        <v>100800</v>
      </c>
      <c r="G2731" s="4">
        <v>21168</v>
      </c>
      <c r="H2731" s="4">
        <v>131468</v>
      </c>
      <c r="I2731" s="188" t="str">
        <f>VLOOKUP(C2731,CATEGORIZACION!$A$1:$C$269,2,FALSE)</f>
        <v>TRANSPORTE</v>
      </c>
      <c r="J2731" s="188" t="s">
        <v>19</v>
      </c>
    </row>
    <row r="2732" spans="1:10" ht="15.75" customHeight="1" x14ac:dyDescent="0.25">
      <c r="A2732" s="1">
        <v>45336</v>
      </c>
      <c r="B2732" s="188" t="s">
        <v>2534</v>
      </c>
      <c r="C2732" s="188" t="s">
        <v>36</v>
      </c>
      <c r="D2732" s="18" t="s">
        <v>37</v>
      </c>
      <c r="E2732" s="4">
        <v>9500</v>
      </c>
      <c r="F2732" s="5">
        <v>100800</v>
      </c>
      <c r="G2732" s="4">
        <v>21168</v>
      </c>
      <c r="H2732" s="4">
        <v>131468</v>
      </c>
      <c r="I2732" s="188" t="str">
        <f>VLOOKUP(C2732,CATEGORIZACION!$A$1:$C$269,2,FALSE)</f>
        <v>TRANSPORTE</v>
      </c>
      <c r="J2732" s="188" t="s">
        <v>19</v>
      </c>
    </row>
    <row r="2733" spans="1:10" ht="15.75" customHeight="1" x14ac:dyDescent="0.25">
      <c r="A2733" s="1">
        <v>45336</v>
      </c>
      <c r="B2733" s="188" t="s">
        <v>2535</v>
      </c>
      <c r="C2733" s="188" t="s">
        <v>36</v>
      </c>
      <c r="D2733" s="18" t="s">
        <v>37</v>
      </c>
      <c r="E2733" s="4">
        <v>9500</v>
      </c>
      <c r="F2733" s="5">
        <v>100800</v>
      </c>
      <c r="G2733" s="4">
        <v>21168</v>
      </c>
      <c r="H2733" s="4">
        <v>131468</v>
      </c>
      <c r="I2733" s="188" t="str">
        <f>VLOOKUP(C2733,CATEGORIZACION!$A$1:$C$269,2,FALSE)</f>
        <v>TRANSPORTE</v>
      </c>
      <c r="J2733" s="188" t="s">
        <v>19</v>
      </c>
    </row>
    <row r="2734" spans="1:10" ht="15.75" customHeight="1" x14ac:dyDescent="0.25">
      <c r="A2734" s="1">
        <v>45336</v>
      </c>
      <c r="B2734" s="188" t="s">
        <v>2536</v>
      </c>
      <c r="C2734" s="188" t="s">
        <v>36</v>
      </c>
      <c r="D2734" s="18" t="s">
        <v>37</v>
      </c>
      <c r="E2734" s="4">
        <v>14000</v>
      </c>
      <c r="F2734" s="5">
        <v>174450</v>
      </c>
      <c r="G2734" s="4">
        <v>36634.5</v>
      </c>
      <c r="H2734" s="4">
        <v>225084.5</v>
      </c>
      <c r="I2734" s="188" t="str">
        <f>VLOOKUP(C2734,CATEGORIZACION!$A$1:$C$269,2,FALSE)</f>
        <v>TRANSPORTE</v>
      </c>
      <c r="J2734" s="188" t="s">
        <v>19</v>
      </c>
    </row>
    <row r="2735" spans="1:10" ht="15.75" customHeight="1" x14ac:dyDescent="0.25">
      <c r="A2735" s="1">
        <v>45336</v>
      </c>
      <c r="B2735" s="188" t="s">
        <v>2537</v>
      </c>
      <c r="C2735" s="188" t="s">
        <v>36</v>
      </c>
      <c r="D2735" s="18" t="s">
        <v>37</v>
      </c>
      <c r="E2735" s="4">
        <v>14000</v>
      </c>
      <c r="F2735" s="5">
        <v>174450</v>
      </c>
      <c r="G2735" s="4">
        <v>36634.5</v>
      </c>
      <c r="H2735" s="4">
        <v>225084.5</v>
      </c>
      <c r="I2735" s="188" t="str">
        <f>VLOOKUP(C2735,CATEGORIZACION!$A$1:$C$269,2,FALSE)</f>
        <v>TRANSPORTE</v>
      </c>
      <c r="J2735" s="188" t="s">
        <v>19</v>
      </c>
    </row>
    <row r="2736" spans="1:10" ht="15.75" customHeight="1" x14ac:dyDescent="0.25">
      <c r="A2736" s="1">
        <v>45336</v>
      </c>
      <c r="B2736" s="188" t="s">
        <v>2538</v>
      </c>
      <c r="C2736" s="188" t="s">
        <v>36</v>
      </c>
      <c r="D2736" s="18" t="s">
        <v>37</v>
      </c>
      <c r="E2736" s="4">
        <v>14000</v>
      </c>
      <c r="F2736" s="5">
        <v>174450</v>
      </c>
      <c r="G2736" s="4">
        <v>36634.5</v>
      </c>
      <c r="H2736" s="4">
        <v>225084.5</v>
      </c>
      <c r="I2736" s="188" t="str">
        <f>VLOOKUP(C2736,CATEGORIZACION!$A$1:$C$269,2,FALSE)</f>
        <v>TRANSPORTE</v>
      </c>
      <c r="J2736" s="188" t="s">
        <v>19</v>
      </c>
    </row>
    <row r="2737" spans="1:10" ht="15.75" customHeight="1" x14ac:dyDescent="0.25">
      <c r="A2737" s="1">
        <v>45336</v>
      </c>
      <c r="B2737" s="188" t="s">
        <v>2539</v>
      </c>
      <c r="C2737" s="188" t="s">
        <v>36</v>
      </c>
      <c r="D2737" s="18" t="s">
        <v>37</v>
      </c>
      <c r="E2737" s="4">
        <v>14000</v>
      </c>
      <c r="F2737" s="5">
        <v>174450</v>
      </c>
      <c r="G2737" s="4">
        <v>36634.5</v>
      </c>
      <c r="H2737" s="4">
        <v>225084.5</v>
      </c>
      <c r="I2737" s="188" t="str">
        <f>VLOOKUP(C2737,CATEGORIZACION!$A$1:$C$269,2,FALSE)</f>
        <v>TRANSPORTE</v>
      </c>
      <c r="J2737" s="188" t="s">
        <v>19</v>
      </c>
    </row>
    <row r="2738" spans="1:10" ht="15.75" customHeight="1" x14ac:dyDescent="0.25">
      <c r="A2738" s="1">
        <v>45336</v>
      </c>
      <c r="B2738" s="188" t="s">
        <v>2540</v>
      </c>
      <c r="C2738" s="188" t="s">
        <v>36</v>
      </c>
      <c r="D2738" s="18" t="s">
        <v>37</v>
      </c>
      <c r="E2738" s="4">
        <v>19300</v>
      </c>
      <c r="F2738" s="5">
        <v>237300</v>
      </c>
      <c r="G2738" s="4">
        <v>49833</v>
      </c>
      <c r="H2738" s="4">
        <v>306433</v>
      </c>
      <c r="I2738" s="188" t="str">
        <f>VLOOKUP(C2738,CATEGORIZACION!$A$1:$C$269,2,FALSE)</f>
        <v>TRANSPORTE</v>
      </c>
      <c r="J2738" s="188" t="s">
        <v>19</v>
      </c>
    </row>
    <row r="2739" spans="1:10" ht="15.75" customHeight="1" x14ac:dyDescent="0.25">
      <c r="A2739" s="1">
        <v>45337</v>
      </c>
      <c r="B2739" s="188" t="s">
        <v>2541</v>
      </c>
      <c r="C2739" s="188" t="s">
        <v>84</v>
      </c>
      <c r="D2739" s="18" t="s">
        <v>85</v>
      </c>
      <c r="E2739" s="4">
        <v>97264.39</v>
      </c>
      <c r="F2739" s="5">
        <v>1779959.87</v>
      </c>
      <c r="G2739" s="4">
        <v>373791.57</v>
      </c>
      <c r="H2739" s="4">
        <v>2251015.83</v>
      </c>
      <c r="I2739" s="188" t="str">
        <f>VLOOKUP(C2739,CATEGORIZACION!$A$1:$C$269,2,FALSE)</f>
        <v>PROOVEDORES</v>
      </c>
      <c r="J2739" s="188" t="str">
        <f>VLOOKUP(C2739,CATEGORIZACION!$A$1:$C$269,3,FALSE)</f>
        <v>LOGISTICA</v>
      </c>
    </row>
    <row r="2740" spans="1:10" ht="15.75" customHeight="1" x14ac:dyDescent="0.25">
      <c r="A2740" s="1">
        <v>45337</v>
      </c>
      <c r="B2740" s="188" t="s">
        <v>2542</v>
      </c>
      <c r="C2740" s="188" t="s">
        <v>21</v>
      </c>
      <c r="D2740" s="18" t="s">
        <v>22</v>
      </c>
      <c r="E2740" s="4">
        <v>7520</v>
      </c>
      <c r="F2740" s="5">
        <v>149000</v>
      </c>
      <c r="G2740" s="4">
        <v>31290</v>
      </c>
      <c r="H2740" s="4">
        <v>187810</v>
      </c>
      <c r="I2740" s="188" t="str">
        <f>VLOOKUP(C2740,CATEGORIZACION!$A$1:$C$269,2,FALSE)</f>
        <v>TRANSPORTE</v>
      </c>
      <c r="J2740" s="188" t="s">
        <v>19</v>
      </c>
    </row>
    <row r="2741" spans="1:10" ht="15.75" customHeight="1" x14ac:dyDescent="0.25">
      <c r="A2741" s="1">
        <v>45337</v>
      </c>
      <c r="B2741" s="188" t="s">
        <v>2543</v>
      </c>
      <c r="C2741" s="188" t="s">
        <v>517</v>
      </c>
      <c r="D2741" s="18" t="s">
        <v>518</v>
      </c>
      <c r="E2741" s="4">
        <v>1334.47</v>
      </c>
      <c r="F2741" s="5">
        <v>333617.02</v>
      </c>
      <c r="G2741" s="4">
        <v>70059.570000000007</v>
      </c>
      <c r="H2741" s="4">
        <v>405011.06</v>
      </c>
      <c r="I2741" s="188" t="str">
        <f>VLOOKUP(C2741,CATEGORIZACION!$A$1:$C$269,2,FALSE)</f>
        <v>PROOVEDORES</v>
      </c>
      <c r="J2741" s="188" t="str">
        <f>VLOOKUP(C2741,CATEGORIZACION!$A$1:$C$269,3,FALSE)</f>
        <v>LOGISTICA</v>
      </c>
    </row>
    <row r="2742" spans="1:10" ht="15.75" customHeight="1" x14ac:dyDescent="0.25">
      <c r="A2742" s="1">
        <v>45337</v>
      </c>
      <c r="B2742" s="188" t="s">
        <v>2544</v>
      </c>
      <c r="C2742" s="188" t="s">
        <v>517</v>
      </c>
      <c r="D2742" s="18" t="s">
        <v>518</v>
      </c>
      <c r="E2742" s="4">
        <v>359.96</v>
      </c>
      <c r="F2742" s="5">
        <v>89989.36</v>
      </c>
      <c r="G2742" s="4">
        <v>18897.77</v>
      </c>
      <c r="H2742" s="4">
        <v>109247.09</v>
      </c>
      <c r="I2742" s="188" t="str">
        <f>VLOOKUP(C2742,CATEGORIZACION!$A$1:$C$269,2,FALSE)</f>
        <v>PROOVEDORES</v>
      </c>
      <c r="J2742" s="188" t="str">
        <f>VLOOKUP(C2742,CATEGORIZACION!$A$1:$C$269,3,FALSE)</f>
        <v>LOGISTICA</v>
      </c>
    </row>
    <row r="2743" spans="1:10" ht="15.75" customHeight="1" x14ac:dyDescent="0.25">
      <c r="A2743" s="1">
        <v>45337</v>
      </c>
      <c r="B2743" s="188" t="s">
        <v>2545</v>
      </c>
      <c r="C2743" s="188" t="s">
        <v>36</v>
      </c>
      <c r="D2743" s="18" t="s">
        <v>37</v>
      </c>
      <c r="E2743" s="4">
        <v>19300</v>
      </c>
      <c r="F2743" s="5">
        <v>367650</v>
      </c>
      <c r="G2743" s="4">
        <v>77206.5</v>
      </c>
      <c r="H2743" s="4">
        <v>464156.5</v>
      </c>
      <c r="I2743" s="188" t="str">
        <f>VLOOKUP(C2743,CATEGORIZACION!$A$1:$C$269,2,FALSE)</f>
        <v>TRANSPORTE</v>
      </c>
      <c r="J2743" s="188" t="s">
        <v>19</v>
      </c>
    </row>
    <row r="2744" spans="1:10" ht="15.75" customHeight="1" x14ac:dyDescent="0.25">
      <c r="A2744" s="1">
        <v>45337</v>
      </c>
      <c r="B2744" s="188" t="s">
        <v>2546</v>
      </c>
      <c r="C2744" s="188" t="s">
        <v>36</v>
      </c>
      <c r="D2744" s="18" t="s">
        <v>37</v>
      </c>
      <c r="E2744" s="4">
        <v>19300</v>
      </c>
      <c r="F2744" s="5">
        <v>339550</v>
      </c>
      <c r="G2744" s="4">
        <v>71305.5</v>
      </c>
      <c r="H2744" s="4">
        <v>430155.5</v>
      </c>
      <c r="I2744" s="188" t="str">
        <f>VLOOKUP(C2744,CATEGORIZACION!$A$1:$C$269,2,FALSE)</f>
        <v>TRANSPORTE</v>
      </c>
      <c r="J2744" s="188" t="s">
        <v>19</v>
      </c>
    </row>
    <row r="2745" spans="1:10" ht="15.75" customHeight="1" x14ac:dyDescent="0.25">
      <c r="A2745" s="1">
        <v>45337</v>
      </c>
      <c r="B2745" s="188" t="s">
        <v>2547</v>
      </c>
      <c r="C2745" s="188" t="s">
        <v>529</v>
      </c>
      <c r="D2745" s="18" t="s">
        <v>530</v>
      </c>
      <c r="E2745" s="4">
        <v>0</v>
      </c>
      <c r="F2745" s="5">
        <v>383818.13</v>
      </c>
      <c r="G2745" s="4">
        <v>80601.81</v>
      </c>
      <c r="H2745" s="4">
        <v>464419.94</v>
      </c>
      <c r="I2745" s="188" t="str">
        <f>VLOOKUP(C2745,CATEGORIZACION!$A$1:$C$269,2,FALSE)</f>
        <v>PROOVEDORES</v>
      </c>
      <c r="J2745" s="188" t="str">
        <f>VLOOKUP(C2745,CATEGORIZACION!$A$1:$C$269,3,FALSE)</f>
        <v>LOGISTICA</v>
      </c>
    </row>
    <row r="2746" spans="1:10" ht="15.75" customHeight="1" x14ac:dyDescent="0.25">
      <c r="A2746" s="1">
        <v>45338</v>
      </c>
      <c r="B2746" s="188" t="s">
        <v>2548</v>
      </c>
      <c r="C2746" s="188" t="s">
        <v>17</v>
      </c>
      <c r="D2746" s="18" t="s">
        <v>18</v>
      </c>
      <c r="E2746" s="4">
        <v>43860</v>
      </c>
      <c r="F2746" s="5">
        <v>738000</v>
      </c>
      <c r="G2746" s="4">
        <v>154980</v>
      </c>
      <c r="H2746" s="4">
        <v>936840</v>
      </c>
      <c r="I2746" s="188" t="str">
        <f>VLOOKUP(C2746,CATEGORIZACION!$A$1:$C$269,2,FALSE)</f>
        <v>TRANSPORTE</v>
      </c>
      <c r="J2746" s="188" t="s">
        <v>19</v>
      </c>
    </row>
    <row r="2747" spans="1:10" ht="15.75" customHeight="1" x14ac:dyDescent="0.25">
      <c r="A2747" s="1">
        <v>45338</v>
      </c>
      <c r="B2747" s="188" t="s">
        <v>2549</v>
      </c>
      <c r="C2747" s="188" t="s">
        <v>2210</v>
      </c>
      <c r="D2747" s="18" t="s">
        <v>2211</v>
      </c>
      <c r="E2747" s="4">
        <v>0</v>
      </c>
      <c r="F2747" s="3">
        <v>21921.57</v>
      </c>
      <c r="G2747" s="4">
        <v>4603.53</v>
      </c>
      <c r="H2747" s="4">
        <v>26525.1</v>
      </c>
      <c r="I2747" s="188" t="str">
        <f>VLOOKUP(C2747,CATEGORIZACION!$A$1:$C$269,2,FALSE)</f>
        <v>PROOVEDORES</v>
      </c>
      <c r="J2747" s="188" t="str">
        <f>VLOOKUP(C2747,CATEGORIZACION!$A$1:$C$269,3,FALSE)</f>
        <v>DEPOSITO</v>
      </c>
    </row>
    <row r="2748" spans="1:10" ht="15.75" customHeight="1" x14ac:dyDescent="0.25">
      <c r="A2748" s="1">
        <v>45339</v>
      </c>
      <c r="B2748" s="188" t="s">
        <v>2550</v>
      </c>
      <c r="C2748" s="188" t="s">
        <v>21</v>
      </c>
      <c r="D2748" s="18" t="s">
        <v>22</v>
      </c>
      <c r="E2748" s="4">
        <v>8720</v>
      </c>
      <c r="F2748" s="5">
        <v>204000</v>
      </c>
      <c r="G2748" s="4">
        <v>42840</v>
      </c>
      <c r="H2748" s="4">
        <v>255560</v>
      </c>
      <c r="I2748" s="188" t="str">
        <f>VLOOKUP(C2748,CATEGORIZACION!$A$1:$C$269,2,FALSE)</f>
        <v>TRANSPORTE</v>
      </c>
      <c r="J2748" s="188" t="s">
        <v>19</v>
      </c>
    </row>
    <row r="2749" spans="1:10" ht="15.75" customHeight="1" x14ac:dyDescent="0.25">
      <c r="A2749" s="1">
        <v>45339</v>
      </c>
      <c r="B2749" s="188" t="s">
        <v>2551</v>
      </c>
      <c r="C2749" s="188" t="s">
        <v>21</v>
      </c>
      <c r="D2749" s="18" t="s">
        <v>22</v>
      </c>
      <c r="E2749" s="4">
        <v>15040</v>
      </c>
      <c r="F2749" s="5">
        <v>298000</v>
      </c>
      <c r="G2749" s="4">
        <v>62580</v>
      </c>
      <c r="H2749" s="4">
        <v>375620</v>
      </c>
      <c r="I2749" s="188" t="str">
        <f>VLOOKUP(C2749,CATEGORIZACION!$A$1:$C$269,2,FALSE)</f>
        <v>TRANSPORTE</v>
      </c>
      <c r="J2749" s="188" t="s">
        <v>19</v>
      </c>
    </row>
    <row r="2750" spans="1:10" ht="15.75" customHeight="1" x14ac:dyDescent="0.25">
      <c r="A2750" s="1">
        <v>45339</v>
      </c>
      <c r="B2750" s="188" t="s">
        <v>2552</v>
      </c>
      <c r="C2750" s="188" t="s">
        <v>21</v>
      </c>
      <c r="D2750" s="18" t="s">
        <v>22</v>
      </c>
      <c r="E2750" s="4">
        <v>7520</v>
      </c>
      <c r="F2750" s="5">
        <v>185000</v>
      </c>
      <c r="G2750" s="4">
        <v>38850</v>
      </c>
      <c r="H2750" s="4">
        <v>231370</v>
      </c>
      <c r="I2750" s="188" t="str">
        <f>VLOOKUP(C2750,CATEGORIZACION!$A$1:$C$269,2,FALSE)</f>
        <v>TRANSPORTE</v>
      </c>
      <c r="J2750" s="188" t="s">
        <v>19</v>
      </c>
    </row>
    <row r="2751" spans="1:10" ht="15.75" customHeight="1" x14ac:dyDescent="0.25">
      <c r="A2751" s="1">
        <v>45339</v>
      </c>
      <c r="B2751" s="188" t="s">
        <v>2553</v>
      </c>
      <c r="C2751" s="188" t="s">
        <v>21</v>
      </c>
      <c r="D2751" s="18" t="s">
        <v>22</v>
      </c>
      <c r="E2751" s="4">
        <v>26000</v>
      </c>
      <c r="F2751" s="5">
        <v>450000</v>
      </c>
      <c r="G2751" s="4">
        <v>94500</v>
      </c>
      <c r="H2751" s="4">
        <v>570500</v>
      </c>
      <c r="I2751" s="188" t="str">
        <f>VLOOKUP(C2751,CATEGORIZACION!$A$1:$C$269,2,FALSE)</f>
        <v>TRANSPORTE</v>
      </c>
      <c r="J2751" s="188" t="s">
        <v>19</v>
      </c>
    </row>
    <row r="2752" spans="1:10" ht="15.75" customHeight="1" x14ac:dyDescent="0.25">
      <c r="A2752" s="1">
        <v>45339</v>
      </c>
      <c r="B2752" s="188" t="s">
        <v>2554</v>
      </c>
      <c r="C2752" s="188" t="s">
        <v>918</v>
      </c>
      <c r="D2752" s="18" t="s">
        <v>919</v>
      </c>
      <c r="E2752" s="4">
        <v>472.51</v>
      </c>
      <c r="F2752" s="5">
        <v>33760.44</v>
      </c>
      <c r="G2752" s="4">
        <v>7089.69</v>
      </c>
      <c r="H2752" s="4">
        <v>41322.639999999999</v>
      </c>
      <c r="I2752" s="188" t="str">
        <f>VLOOKUP(C2752,CATEGORIZACION!$A$1:$C$269,2,FALSE)</f>
        <v>PROOVEDORES</v>
      </c>
      <c r="J2752" s="188" t="str">
        <f>VLOOKUP(C2752,CATEGORIZACION!$A$1:$C$269,3,FALSE)</f>
        <v>LOGISTICA</v>
      </c>
    </row>
    <row r="2753" spans="1:10" ht="15.75" customHeight="1" x14ac:dyDescent="0.25">
      <c r="A2753" s="1">
        <v>45339</v>
      </c>
      <c r="B2753" s="188" t="s">
        <v>2555</v>
      </c>
      <c r="C2753" s="188" t="s">
        <v>918</v>
      </c>
      <c r="D2753" s="18" t="s">
        <v>919</v>
      </c>
      <c r="E2753" s="4">
        <v>49.76</v>
      </c>
      <c r="F2753" s="5">
        <v>3553.71</v>
      </c>
      <c r="G2753" s="4">
        <v>746.28</v>
      </c>
      <c r="H2753" s="4">
        <v>4349.75</v>
      </c>
      <c r="I2753" s="188" t="str">
        <f>VLOOKUP(C2753,CATEGORIZACION!$A$1:$C$269,2,FALSE)</f>
        <v>PROOVEDORES</v>
      </c>
      <c r="J2753" s="188" t="str">
        <f>VLOOKUP(C2753,CATEGORIZACION!$A$1:$C$269,3,FALSE)</f>
        <v>LOGISTICA</v>
      </c>
    </row>
    <row r="2754" spans="1:10" ht="15.75" customHeight="1" x14ac:dyDescent="0.25">
      <c r="A2754" s="1">
        <v>45339</v>
      </c>
      <c r="B2754" s="188" t="s">
        <v>2556</v>
      </c>
      <c r="C2754" s="188" t="s">
        <v>804</v>
      </c>
      <c r="D2754" s="18" t="s">
        <v>805</v>
      </c>
      <c r="E2754" s="4">
        <v>181.87000000000057</v>
      </c>
      <c r="F2754" s="5">
        <v>4132.1899999999996</v>
      </c>
      <c r="G2754" s="4">
        <v>867.76</v>
      </c>
      <c r="H2754" s="4">
        <v>5181.82</v>
      </c>
      <c r="I2754" s="188" t="str">
        <f>VLOOKUP(C2754,CATEGORIZACION!$A$1:$C$269,2,FALSE)</f>
        <v>PROOVEDORES</v>
      </c>
      <c r="J2754" s="188" t="str">
        <f>VLOOKUP(C2754,CATEGORIZACION!$A$1:$C$269,3,FALSE)</f>
        <v>LOGISTICA</v>
      </c>
    </row>
    <row r="2755" spans="1:10" ht="15.75" customHeight="1" x14ac:dyDescent="0.25">
      <c r="A2755" s="1">
        <v>45339</v>
      </c>
      <c r="B2755" s="188" t="s">
        <v>2557</v>
      </c>
      <c r="C2755" s="188" t="s">
        <v>804</v>
      </c>
      <c r="D2755" s="18" t="s">
        <v>805</v>
      </c>
      <c r="E2755" s="4">
        <v>2421.64</v>
      </c>
      <c r="F2755" s="5">
        <v>55041.47</v>
      </c>
      <c r="G2755" s="4">
        <v>11558.71</v>
      </c>
      <c r="H2755" s="4">
        <v>69021.820000000007</v>
      </c>
      <c r="I2755" s="188" t="str">
        <f>VLOOKUP(C2755,CATEGORIZACION!$A$1:$C$269,2,FALSE)</f>
        <v>PROOVEDORES</v>
      </c>
      <c r="J2755" s="188" t="str">
        <f>VLOOKUP(C2755,CATEGORIZACION!$A$1:$C$269,3,FALSE)</f>
        <v>LOGISTICA</v>
      </c>
    </row>
    <row r="2756" spans="1:10" ht="15.75" customHeight="1" x14ac:dyDescent="0.25">
      <c r="A2756" s="1">
        <v>45341</v>
      </c>
      <c r="B2756" s="188" t="s">
        <v>2558</v>
      </c>
      <c r="C2756" s="188" t="s">
        <v>21</v>
      </c>
      <c r="D2756" s="18" t="s">
        <v>22</v>
      </c>
      <c r="E2756" s="4">
        <v>17440</v>
      </c>
      <c r="F2756" s="5">
        <v>408000</v>
      </c>
      <c r="G2756" s="4">
        <v>85680</v>
      </c>
      <c r="H2756" s="4">
        <v>511120</v>
      </c>
      <c r="I2756" s="188" t="str">
        <f>VLOOKUP(C2756,CATEGORIZACION!$A$1:$C$269,2,FALSE)</f>
        <v>TRANSPORTE</v>
      </c>
      <c r="J2756" s="188" t="s">
        <v>19</v>
      </c>
    </row>
    <row r="2757" spans="1:10" ht="15.75" customHeight="1" x14ac:dyDescent="0.25">
      <c r="A2757" s="1">
        <v>45341</v>
      </c>
      <c r="B2757" s="188" t="s">
        <v>2559</v>
      </c>
      <c r="C2757" s="188" t="s">
        <v>21</v>
      </c>
      <c r="D2757" s="18" t="s">
        <v>22</v>
      </c>
      <c r="E2757" s="4">
        <v>28110</v>
      </c>
      <c r="F2757" s="5">
        <v>447000</v>
      </c>
      <c r="G2757" s="4">
        <v>93870</v>
      </c>
      <c r="H2757" s="4">
        <v>568980</v>
      </c>
      <c r="I2757" s="188" t="str">
        <f>VLOOKUP(C2757,CATEGORIZACION!$A$1:$C$269,2,FALSE)</f>
        <v>TRANSPORTE</v>
      </c>
      <c r="J2757" s="188" t="s">
        <v>19</v>
      </c>
    </row>
    <row r="2758" spans="1:10" ht="15.75" customHeight="1" x14ac:dyDescent="0.25">
      <c r="A2758" s="1">
        <v>45341</v>
      </c>
      <c r="B2758" s="188" t="s">
        <v>2560</v>
      </c>
      <c r="C2758" s="188" t="s">
        <v>21</v>
      </c>
      <c r="D2758" s="18" t="s">
        <v>22</v>
      </c>
      <c r="E2758" s="4">
        <v>37600</v>
      </c>
      <c r="F2758" s="5">
        <v>815000</v>
      </c>
      <c r="G2758" s="4">
        <v>171150</v>
      </c>
      <c r="H2758" s="4">
        <v>1023750</v>
      </c>
      <c r="I2758" s="188" t="str">
        <f>VLOOKUP(C2758,CATEGORIZACION!$A$1:$C$269,2,FALSE)</f>
        <v>TRANSPORTE</v>
      </c>
      <c r="J2758" s="188" t="s">
        <v>19</v>
      </c>
    </row>
    <row r="2759" spans="1:10" ht="15.75" customHeight="1" x14ac:dyDescent="0.25">
      <c r="A2759" s="1">
        <v>45341</v>
      </c>
      <c r="B2759" s="188" t="s">
        <v>2561</v>
      </c>
      <c r="C2759" s="188" t="s">
        <v>21</v>
      </c>
      <c r="D2759" s="18" t="s">
        <v>22</v>
      </c>
      <c r="E2759" s="4">
        <v>22560</v>
      </c>
      <c r="F2759" s="5">
        <v>555000</v>
      </c>
      <c r="G2759" s="4">
        <v>116550</v>
      </c>
      <c r="H2759" s="4">
        <v>694110</v>
      </c>
      <c r="I2759" s="188" t="str">
        <f>VLOOKUP(C2759,CATEGORIZACION!$A$1:$C$269,2,FALSE)</f>
        <v>TRANSPORTE</v>
      </c>
      <c r="J2759" s="188" t="s">
        <v>19</v>
      </c>
    </row>
    <row r="2760" spans="1:10" ht="15.75" customHeight="1" x14ac:dyDescent="0.25">
      <c r="A2760" s="1">
        <v>45341</v>
      </c>
      <c r="B2760" s="188" t="s">
        <v>2562</v>
      </c>
      <c r="C2760" s="188" t="s">
        <v>36</v>
      </c>
      <c r="D2760" s="18" t="s">
        <v>37</v>
      </c>
      <c r="E2760" s="4">
        <v>28500</v>
      </c>
      <c r="F2760" s="5">
        <v>307500</v>
      </c>
      <c r="G2760" s="4">
        <v>64575</v>
      </c>
      <c r="H2760" s="4">
        <v>400575</v>
      </c>
      <c r="I2760" s="188" t="str">
        <f>VLOOKUP(C2760,CATEGORIZACION!$A$1:$C$269,2,FALSE)</f>
        <v>TRANSPORTE</v>
      </c>
      <c r="J2760" s="188" t="s">
        <v>19</v>
      </c>
    </row>
    <row r="2761" spans="1:10" ht="15.75" customHeight="1" x14ac:dyDescent="0.25">
      <c r="A2761" s="1">
        <v>45341</v>
      </c>
      <c r="B2761" s="188" t="s">
        <v>2563</v>
      </c>
      <c r="C2761" s="188" t="s">
        <v>36</v>
      </c>
      <c r="D2761" s="18" t="s">
        <v>37</v>
      </c>
      <c r="E2761" s="4">
        <v>28500</v>
      </c>
      <c r="F2761" s="5">
        <v>307500</v>
      </c>
      <c r="G2761" s="4">
        <v>64575</v>
      </c>
      <c r="H2761" s="4">
        <v>400575</v>
      </c>
      <c r="I2761" s="188" t="str">
        <f>VLOOKUP(C2761,CATEGORIZACION!$A$1:$C$269,2,FALSE)</f>
        <v>TRANSPORTE</v>
      </c>
      <c r="J2761" s="188" t="s">
        <v>19</v>
      </c>
    </row>
    <row r="2762" spans="1:10" ht="15.75" customHeight="1" x14ac:dyDescent="0.25">
      <c r="A2762" s="1">
        <v>45341</v>
      </c>
      <c r="B2762" s="188" t="s">
        <v>2564</v>
      </c>
      <c r="C2762" s="188" t="s">
        <v>36</v>
      </c>
      <c r="D2762" s="18" t="s">
        <v>37</v>
      </c>
      <c r="E2762" s="4">
        <v>28500</v>
      </c>
      <c r="F2762" s="5">
        <v>307500</v>
      </c>
      <c r="G2762" s="4">
        <v>64575</v>
      </c>
      <c r="H2762" s="4">
        <v>400575</v>
      </c>
      <c r="I2762" s="188" t="str">
        <f>VLOOKUP(C2762,CATEGORIZACION!$A$1:$C$269,2,FALSE)</f>
        <v>TRANSPORTE</v>
      </c>
      <c r="J2762" s="188" t="s">
        <v>19</v>
      </c>
    </row>
    <row r="2763" spans="1:10" ht="15.75" customHeight="1" x14ac:dyDescent="0.25">
      <c r="A2763" s="1">
        <v>45341</v>
      </c>
      <c r="B2763" s="188" t="s">
        <v>2565</v>
      </c>
      <c r="C2763" s="188" t="s">
        <v>36</v>
      </c>
      <c r="D2763" s="18" t="s">
        <v>37</v>
      </c>
      <c r="E2763" s="4">
        <v>28500</v>
      </c>
      <c r="F2763" s="5">
        <v>307500</v>
      </c>
      <c r="G2763" s="4">
        <v>64575</v>
      </c>
      <c r="H2763" s="4">
        <v>400575</v>
      </c>
      <c r="I2763" s="188" t="str">
        <f>VLOOKUP(C2763,CATEGORIZACION!$A$1:$C$269,2,FALSE)</f>
        <v>TRANSPORTE</v>
      </c>
      <c r="J2763" s="188" t="s">
        <v>19</v>
      </c>
    </row>
    <row r="2764" spans="1:10" ht="15.75" customHeight="1" x14ac:dyDescent="0.25">
      <c r="A2764" s="1">
        <v>45341</v>
      </c>
      <c r="B2764" s="188" t="s">
        <v>2566</v>
      </c>
      <c r="C2764" s="188" t="s">
        <v>36</v>
      </c>
      <c r="D2764" s="18" t="s">
        <v>37</v>
      </c>
      <c r="E2764" s="4">
        <v>14000</v>
      </c>
      <c r="F2764" s="5">
        <v>174450</v>
      </c>
      <c r="G2764" s="4">
        <v>36634.5</v>
      </c>
      <c r="H2764" s="4">
        <v>225084.5</v>
      </c>
      <c r="I2764" s="188" t="str">
        <f>VLOOKUP(C2764,CATEGORIZACION!$A$1:$C$269,2,FALSE)</f>
        <v>TRANSPORTE</v>
      </c>
      <c r="J2764" s="188" t="s">
        <v>19</v>
      </c>
    </row>
    <row r="2765" spans="1:10" ht="15.75" customHeight="1" x14ac:dyDescent="0.25">
      <c r="A2765" s="1">
        <v>45341</v>
      </c>
      <c r="B2765" s="188" t="s">
        <v>2567</v>
      </c>
      <c r="C2765" s="188" t="s">
        <v>36</v>
      </c>
      <c r="D2765" s="18" t="s">
        <v>37</v>
      </c>
      <c r="E2765" s="4">
        <v>9500</v>
      </c>
      <c r="F2765" s="5">
        <v>126000</v>
      </c>
      <c r="G2765" s="4">
        <v>26460</v>
      </c>
      <c r="H2765" s="4">
        <v>161960</v>
      </c>
      <c r="I2765" s="188" t="str">
        <f>VLOOKUP(C2765,CATEGORIZACION!$A$1:$C$269,2,FALSE)</f>
        <v>TRANSPORTE</v>
      </c>
      <c r="J2765" s="188" t="s">
        <v>19</v>
      </c>
    </row>
    <row r="2766" spans="1:10" ht="15.75" customHeight="1" x14ac:dyDescent="0.25">
      <c r="A2766" s="1">
        <v>45341</v>
      </c>
      <c r="B2766" s="188" t="s">
        <v>2568</v>
      </c>
      <c r="C2766" s="188" t="s">
        <v>36</v>
      </c>
      <c r="D2766" s="18" t="s">
        <v>37</v>
      </c>
      <c r="E2766" s="4">
        <v>9500</v>
      </c>
      <c r="F2766" s="5">
        <v>126000</v>
      </c>
      <c r="G2766" s="4">
        <v>26460</v>
      </c>
      <c r="H2766" s="4">
        <v>161960</v>
      </c>
      <c r="I2766" s="188" t="str">
        <f>VLOOKUP(C2766,CATEGORIZACION!$A$1:$C$269,2,FALSE)</f>
        <v>TRANSPORTE</v>
      </c>
      <c r="J2766" s="188" t="s">
        <v>19</v>
      </c>
    </row>
    <row r="2767" spans="1:10" ht="15.75" customHeight="1" x14ac:dyDescent="0.25">
      <c r="A2767" s="1">
        <v>45341</v>
      </c>
      <c r="B2767" s="188" t="s">
        <v>2569</v>
      </c>
      <c r="C2767" s="188" t="s">
        <v>36</v>
      </c>
      <c r="D2767" s="18" t="s">
        <v>37</v>
      </c>
      <c r="E2767" s="4">
        <v>9500</v>
      </c>
      <c r="F2767" s="5">
        <v>126000</v>
      </c>
      <c r="G2767" s="4">
        <v>26460</v>
      </c>
      <c r="H2767" s="4">
        <v>161960</v>
      </c>
      <c r="I2767" s="188" t="str">
        <f>VLOOKUP(C2767,CATEGORIZACION!$A$1:$C$269,2,FALSE)</f>
        <v>TRANSPORTE</v>
      </c>
      <c r="J2767" s="188" t="s">
        <v>19</v>
      </c>
    </row>
    <row r="2768" spans="1:10" ht="15.75" customHeight="1" x14ac:dyDescent="0.25">
      <c r="A2768" s="1">
        <v>45341</v>
      </c>
      <c r="B2768" s="188" t="s">
        <v>2570</v>
      </c>
      <c r="C2768" s="188" t="s">
        <v>36</v>
      </c>
      <c r="D2768" s="18" t="s">
        <v>37</v>
      </c>
      <c r="E2768" s="4">
        <v>28500</v>
      </c>
      <c r="F2768" s="5">
        <v>307500</v>
      </c>
      <c r="G2768" s="4">
        <v>64575</v>
      </c>
      <c r="H2768" s="4">
        <v>400575</v>
      </c>
      <c r="I2768" s="188" t="str">
        <f>VLOOKUP(C2768,CATEGORIZACION!$A$1:$C$269,2,FALSE)</f>
        <v>TRANSPORTE</v>
      </c>
      <c r="J2768" s="188" t="s">
        <v>19</v>
      </c>
    </row>
    <row r="2769" spans="1:10" ht="15.75" customHeight="1" x14ac:dyDescent="0.25">
      <c r="A2769" s="1">
        <v>45341</v>
      </c>
      <c r="B2769" s="188" t="s">
        <v>2571</v>
      </c>
      <c r="C2769" s="188" t="s">
        <v>36</v>
      </c>
      <c r="D2769" s="18" t="s">
        <v>37</v>
      </c>
      <c r="E2769" s="4">
        <v>28500</v>
      </c>
      <c r="F2769" s="5">
        <v>307500</v>
      </c>
      <c r="G2769" s="4">
        <v>64575</v>
      </c>
      <c r="H2769" s="4">
        <v>400575</v>
      </c>
      <c r="I2769" s="188" t="str">
        <f>VLOOKUP(C2769,CATEGORIZACION!$A$1:$C$269,2,FALSE)</f>
        <v>TRANSPORTE</v>
      </c>
      <c r="J2769" s="188" t="s">
        <v>19</v>
      </c>
    </row>
    <row r="2770" spans="1:10" ht="15.75" customHeight="1" x14ac:dyDescent="0.25">
      <c r="A2770" s="1">
        <v>45341</v>
      </c>
      <c r="B2770" s="188" t="s">
        <v>2572</v>
      </c>
      <c r="C2770" s="188" t="s">
        <v>36</v>
      </c>
      <c r="D2770" s="18" t="s">
        <v>37</v>
      </c>
      <c r="E2770" s="4">
        <v>28500</v>
      </c>
      <c r="F2770" s="5">
        <v>307500</v>
      </c>
      <c r="G2770" s="4">
        <v>64575</v>
      </c>
      <c r="H2770" s="4">
        <v>400575</v>
      </c>
      <c r="I2770" s="188" t="str">
        <f>VLOOKUP(C2770,CATEGORIZACION!$A$1:$C$269,2,FALSE)</f>
        <v>TRANSPORTE</v>
      </c>
      <c r="J2770" s="188" t="s">
        <v>19</v>
      </c>
    </row>
    <row r="2771" spans="1:10" ht="15.75" customHeight="1" x14ac:dyDescent="0.25">
      <c r="A2771" s="1">
        <v>45341</v>
      </c>
      <c r="B2771" s="188" t="s">
        <v>2573</v>
      </c>
      <c r="C2771" s="188" t="s">
        <v>801</v>
      </c>
      <c r="D2771" s="18" t="s">
        <v>802</v>
      </c>
      <c r="E2771" s="4">
        <v>668.91</v>
      </c>
      <c r="F2771" s="5">
        <v>4777.3500000000004</v>
      </c>
      <c r="G2771" s="4">
        <v>1003.24</v>
      </c>
      <c r="H2771" s="4">
        <v>6449.5</v>
      </c>
      <c r="I2771" s="188" t="str">
        <f>VLOOKUP(C2771,CATEGORIZACION!$A$1:$C$269,2,FALSE)</f>
        <v>PROOVEDORES</v>
      </c>
      <c r="J2771" s="188" t="str">
        <f>VLOOKUP(C2771,CATEGORIZACION!$A$1:$C$269,3,FALSE)</f>
        <v>LOGISTICA</v>
      </c>
    </row>
    <row r="2772" spans="1:10" ht="15.75" customHeight="1" x14ac:dyDescent="0.25">
      <c r="A2772" s="1">
        <v>45341</v>
      </c>
      <c r="B2772" s="188" t="s">
        <v>2574</v>
      </c>
      <c r="C2772" s="188" t="s">
        <v>801</v>
      </c>
      <c r="D2772" s="18" t="s">
        <v>802</v>
      </c>
      <c r="E2772" s="4">
        <v>35028.339999999997</v>
      </c>
      <c r="F2772" s="5">
        <v>250191.23</v>
      </c>
      <c r="G2772" s="4">
        <v>52540.160000000003</v>
      </c>
      <c r="H2772" s="4">
        <v>337759.73</v>
      </c>
      <c r="I2772" s="188" t="str">
        <f>VLOOKUP(C2772,CATEGORIZACION!$A$1:$C$269,2,FALSE)</f>
        <v>PROOVEDORES</v>
      </c>
      <c r="J2772" s="188" t="str">
        <f>VLOOKUP(C2772,CATEGORIZACION!$A$1:$C$269,3,FALSE)</f>
        <v>LOGISTICA</v>
      </c>
    </row>
    <row r="2773" spans="1:10" ht="15.75" customHeight="1" x14ac:dyDescent="0.25">
      <c r="A2773" s="1">
        <v>45341</v>
      </c>
      <c r="B2773" s="188" t="s">
        <v>2575</v>
      </c>
      <c r="C2773" s="188" t="s">
        <v>1050</v>
      </c>
      <c r="D2773" s="18" t="s">
        <v>1051</v>
      </c>
      <c r="E2773" s="4">
        <v>12880.99</v>
      </c>
      <c r="F2773" s="5">
        <v>378852.89</v>
      </c>
      <c r="G2773" s="4">
        <v>79559.11</v>
      </c>
      <c r="H2773" s="4">
        <v>471292.99</v>
      </c>
      <c r="I2773" s="188" t="str">
        <f>VLOOKUP(C2773,CATEGORIZACION!$A$1:$C$269,2,FALSE)</f>
        <v>PROOVEDORES</v>
      </c>
      <c r="J2773" s="188" t="str">
        <f>VLOOKUP(C2773,CATEGORIZACION!$A$1:$C$269,3,FALSE)</f>
        <v>LOGISTICA</v>
      </c>
    </row>
    <row r="2774" spans="1:10" ht="15.75" customHeight="1" x14ac:dyDescent="0.25">
      <c r="A2774" s="1">
        <v>45342</v>
      </c>
      <c r="B2774" s="188" t="s">
        <v>2576</v>
      </c>
      <c r="C2774" s="188" t="s">
        <v>21</v>
      </c>
      <c r="D2774" s="18" t="s">
        <v>22</v>
      </c>
      <c r="E2774" s="4">
        <v>12636</v>
      </c>
      <c r="F2774" s="5">
        <v>474500</v>
      </c>
      <c r="G2774" s="4">
        <v>99645</v>
      </c>
      <c r="H2774" s="4">
        <v>586781</v>
      </c>
      <c r="I2774" s="188" t="str">
        <f>VLOOKUP(C2774,CATEGORIZACION!$A$1:$C$269,2,FALSE)</f>
        <v>TRANSPORTE</v>
      </c>
      <c r="J2774" s="188" t="s">
        <v>19</v>
      </c>
    </row>
    <row r="2775" spans="1:10" ht="15.75" customHeight="1" x14ac:dyDescent="0.25">
      <c r="A2775" s="1">
        <v>45342</v>
      </c>
      <c r="B2775" s="188" t="s">
        <v>2577</v>
      </c>
      <c r="C2775" s="188" t="s">
        <v>21</v>
      </c>
      <c r="D2775" s="18" t="s">
        <v>22</v>
      </c>
      <c r="E2775" s="4">
        <v>9370</v>
      </c>
      <c r="F2775" s="5">
        <v>149000</v>
      </c>
      <c r="G2775" s="4">
        <v>31290</v>
      </c>
      <c r="H2775" s="4">
        <v>189660</v>
      </c>
      <c r="I2775" s="188" t="str">
        <f>VLOOKUP(C2775,CATEGORIZACION!$A$1:$C$269,2,FALSE)</f>
        <v>TRANSPORTE</v>
      </c>
      <c r="J2775" s="188" t="s">
        <v>19</v>
      </c>
    </row>
    <row r="2776" spans="1:10" ht="15.75" customHeight="1" x14ac:dyDescent="0.25">
      <c r="A2776" s="1">
        <v>45342</v>
      </c>
      <c r="B2776" s="188" t="s">
        <v>2578</v>
      </c>
      <c r="C2776" s="188" t="s">
        <v>21</v>
      </c>
      <c r="D2776" s="18" t="s">
        <v>22</v>
      </c>
      <c r="E2776" s="4">
        <v>37600</v>
      </c>
      <c r="F2776" s="5">
        <v>745000</v>
      </c>
      <c r="G2776" s="4">
        <v>156450</v>
      </c>
      <c r="H2776" s="4">
        <v>939050</v>
      </c>
      <c r="I2776" s="188" t="str">
        <f>VLOOKUP(C2776,CATEGORIZACION!$A$1:$C$269,2,FALSE)</f>
        <v>TRANSPORTE</v>
      </c>
      <c r="J2776" s="188" t="s">
        <v>19</v>
      </c>
    </row>
    <row r="2777" spans="1:10" ht="15.75" customHeight="1" x14ac:dyDescent="0.25">
      <c r="A2777" s="1">
        <v>45342</v>
      </c>
      <c r="B2777" s="188" t="s">
        <v>2579</v>
      </c>
      <c r="C2777" s="188" t="s">
        <v>21</v>
      </c>
      <c r="D2777" s="18" t="s">
        <v>22</v>
      </c>
      <c r="E2777" s="4">
        <v>25272</v>
      </c>
      <c r="F2777" s="5">
        <v>854000</v>
      </c>
      <c r="G2777" s="4">
        <v>179340</v>
      </c>
      <c r="H2777" s="4">
        <v>1058612</v>
      </c>
      <c r="I2777" s="188" t="str">
        <f>VLOOKUP(C2777,CATEGORIZACION!$A$1:$C$269,2,FALSE)</f>
        <v>TRANSPORTE</v>
      </c>
      <c r="J2777" s="188" t="s">
        <v>19</v>
      </c>
    </row>
    <row r="2778" spans="1:10" ht="15.75" customHeight="1" x14ac:dyDescent="0.25">
      <c r="A2778" s="1">
        <v>45342</v>
      </c>
      <c r="B2778" s="188" t="s">
        <v>2580</v>
      </c>
      <c r="C2778" s="188" t="s">
        <v>21</v>
      </c>
      <c r="D2778" s="18" t="s">
        <v>22</v>
      </c>
      <c r="E2778" s="4">
        <v>25272</v>
      </c>
      <c r="F2778" s="5">
        <v>555000</v>
      </c>
      <c r="G2778" s="4">
        <v>116550</v>
      </c>
      <c r="H2778" s="4">
        <v>696822</v>
      </c>
      <c r="I2778" s="188" t="str">
        <f>VLOOKUP(C2778,CATEGORIZACION!$A$1:$C$269,2,FALSE)</f>
        <v>TRANSPORTE</v>
      </c>
      <c r="J2778" s="188" t="s">
        <v>19</v>
      </c>
    </row>
    <row r="2779" spans="1:10" ht="15.75" customHeight="1" x14ac:dyDescent="0.25">
      <c r="A2779" s="1">
        <v>45342</v>
      </c>
      <c r="B2779" s="188" t="s">
        <v>2581</v>
      </c>
      <c r="C2779" s="188" t="s">
        <v>253</v>
      </c>
      <c r="D2779" s="18" t="s">
        <v>57</v>
      </c>
      <c r="E2779" s="4">
        <v>0.01</v>
      </c>
      <c r="F2779" s="5">
        <v>321918.59000000003</v>
      </c>
      <c r="G2779" s="4">
        <v>67602.899999999994</v>
      </c>
      <c r="H2779" s="4">
        <v>389521.5</v>
      </c>
      <c r="I2779" s="188" t="str">
        <f>VLOOKUP(C2779,CATEGORIZACION!$A$1:$C$269,2,FALSE)</f>
        <v>PROOVEDORES</v>
      </c>
      <c r="J2779" s="188" t="str">
        <f>VLOOKUP(C2779,CATEGORIZACION!$A$1:$C$269,3,FALSE)</f>
        <v>LOGISTICA</v>
      </c>
    </row>
    <row r="2780" spans="1:10" ht="15.75" customHeight="1" x14ac:dyDescent="0.25">
      <c r="A2780" s="1">
        <v>45342</v>
      </c>
      <c r="B2780" s="188" t="s">
        <v>2582</v>
      </c>
      <c r="C2780" s="188" t="s">
        <v>426</v>
      </c>
      <c r="D2780" s="18" t="s">
        <v>427</v>
      </c>
      <c r="E2780" s="4">
        <v>2495</v>
      </c>
      <c r="F2780" s="5">
        <v>76450.41</v>
      </c>
      <c r="G2780" s="4">
        <v>16054.59</v>
      </c>
      <c r="H2780" s="4">
        <v>95000</v>
      </c>
      <c r="I2780" s="188" t="str">
        <f>VLOOKUP(C2780,CATEGORIZACION!$A$1:$C$269,2,FALSE)</f>
        <v>PROOVEDORES</v>
      </c>
      <c r="J2780" s="188" t="str">
        <f>VLOOKUP(C2780,CATEGORIZACION!$A$1:$C$269,3,FALSE)</f>
        <v>LOGISTICA</v>
      </c>
    </row>
    <row r="2781" spans="1:10" ht="15.75" customHeight="1" x14ac:dyDescent="0.25">
      <c r="A2781" s="1">
        <v>45342</v>
      </c>
      <c r="B2781" s="188" t="s">
        <v>2583</v>
      </c>
      <c r="C2781" s="188" t="s">
        <v>1501</v>
      </c>
      <c r="D2781" s="18" t="s">
        <v>1502</v>
      </c>
      <c r="E2781" s="4">
        <v>278.26</v>
      </c>
      <c r="F2781" s="5">
        <v>19876.03</v>
      </c>
      <c r="G2781" s="4">
        <v>4173.97</v>
      </c>
      <c r="H2781" s="4">
        <v>24328.26</v>
      </c>
      <c r="I2781" s="188" t="str">
        <f>VLOOKUP(C2781,CATEGORIZACION!$A$1:$C$269,2,FALSE)</f>
        <v>PROOVEDORES</v>
      </c>
      <c r="J2781" s="188" t="str">
        <f>VLOOKUP(C2781,CATEGORIZACION!$A$1:$C$269,3,FALSE)</f>
        <v>LOGISTICA</v>
      </c>
    </row>
    <row r="2782" spans="1:10" ht="15.75" customHeight="1" x14ac:dyDescent="0.25">
      <c r="A2782" s="1">
        <v>45343</v>
      </c>
      <c r="B2782" s="188" t="s">
        <v>2584</v>
      </c>
      <c r="C2782" s="188" t="s">
        <v>2585</v>
      </c>
      <c r="D2782" s="18" t="s">
        <v>2586</v>
      </c>
      <c r="E2782" s="4">
        <v>0</v>
      </c>
      <c r="F2782" s="5">
        <v>2710034</v>
      </c>
      <c r="G2782" s="4">
        <v>569107.14</v>
      </c>
      <c r="H2782" s="4">
        <v>3279141.14</v>
      </c>
      <c r="I2782" s="188" t="str">
        <f>VLOOKUP(C2782,CATEGORIZACION!$A$1:$C$269,2,FALSE)</f>
        <v>PROOVEDORES</v>
      </c>
      <c r="J2782" s="188" t="str">
        <f>VLOOKUP(C2782,CATEGORIZACION!$A$1:$C$269,3,FALSE)</f>
        <v>LOGISTICA</v>
      </c>
    </row>
    <row r="2783" spans="1:10" ht="15.75" customHeight="1" x14ac:dyDescent="0.25">
      <c r="A2783" s="1">
        <v>45344</v>
      </c>
      <c r="B2783" s="188" t="s">
        <v>2587</v>
      </c>
      <c r="C2783" s="188" t="s">
        <v>253</v>
      </c>
      <c r="D2783" s="18" t="s">
        <v>57</v>
      </c>
      <c r="E2783" s="4">
        <v>0</v>
      </c>
      <c r="F2783" s="5">
        <v>-57678.35</v>
      </c>
      <c r="G2783" s="4">
        <v>-12112.45</v>
      </c>
      <c r="H2783" s="4">
        <v>-69790.8</v>
      </c>
      <c r="I2783" s="188" t="str">
        <f>VLOOKUP(C2783,CATEGORIZACION!$A$1:$C$269,2,FALSE)</f>
        <v>PROOVEDORES</v>
      </c>
      <c r="J2783" s="188" t="str">
        <f>VLOOKUP(C2783,CATEGORIZACION!$A$1:$C$269,3,FALSE)</f>
        <v>LOGISTICA</v>
      </c>
    </row>
    <row r="2784" spans="1:10" ht="15.75" customHeight="1" x14ac:dyDescent="0.25">
      <c r="A2784" s="1">
        <v>45344</v>
      </c>
      <c r="B2784" s="188" t="s">
        <v>2588</v>
      </c>
      <c r="C2784" s="188" t="s">
        <v>21</v>
      </c>
      <c r="D2784" s="18" t="s">
        <v>22</v>
      </c>
      <c r="E2784" s="4">
        <v>7520</v>
      </c>
      <c r="F2784" s="5">
        <v>149000</v>
      </c>
      <c r="G2784" s="4">
        <v>31290</v>
      </c>
      <c r="H2784" s="4">
        <v>187810</v>
      </c>
      <c r="I2784" s="188" t="str">
        <f>VLOOKUP(C2784,CATEGORIZACION!$A$1:$C$269,2,FALSE)</f>
        <v>TRANSPORTE</v>
      </c>
      <c r="J2784" s="188" t="s">
        <v>19</v>
      </c>
    </row>
    <row r="2785" spans="1:10" ht="15.75" customHeight="1" x14ac:dyDescent="0.25">
      <c r="A2785" s="1">
        <v>45344</v>
      </c>
      <c r="B2785" s="188" t="s">
        <v>2589</v>
      </c>
      <c r="C2785" s="188" t="s">
        <v>21</v>
      </c>
      <c r="D2785" s="18" t="s">
        <v>22</v>
      </c>
      <c r="E2785" s="4">
        <v>7520</v>
      </c>
      <c r="F2785" s="5">
        <v>275000</v>
      </c>
      <c r="G2785" s="4">
        <v>57750</v>
      </c>
      <c r="H2785" s="4">
        <v>340270</v>
      </c>
      <c r="I2785" s="188" t="str">
        <f>VLOOKUP(C2785,CATEGORIZACION!$A$1:$C$269,2,FALSE)</f>
        <v>TRANSPORTE</v>
      </c>
      <c r="J2785" s="188" t="s">
        <v>19</v>
      </c>
    </row>
    <row r="2786" spans="1:10" ht="15.75" customHeight="1" x14ac:dyDescent="0.25">
      <c r="A2786" s="1">
        <v>45345</v>
      </c>
      <c r="B2786" s="188" t="s">
        <v>2590</v>
      </c>
      <c r="C2786" s="188" t="s">
        <v>36</v>
      </c>
      <c r="D2786" s="18" t="s">
        <v>37</v>
      </c>
      <c r="E2786" s="4">
        <v>28500</v>
      </c>
      <c r="F2786" s="5">
        <v>307500</v>
      </c>
      <c r="G2786" s="4">
        <v>64575</v>
      </c>
      <c r="H2786" s="4">
        <v>400575</v>
      </c>
      <c r="I2786" s="188" t="str">
        <f>VLOOKUP(C2786,CATEGORIZACION!$A$1:$C$269,2,FALSE)</f>
        <v>TRANSPORTE</v>
      </c>
      <c r="J2786" s="188" t="s">
        <v>19</v>
      </c>
    </row>
    <row r="2787" spans="1:10" ht="15.75" customHeight="1" x14ac:dyDescent="0.25">
      <c r="A2787" s="1">
        <v>45345</v>
      </c>
      <c r="B2787" s="188" t="s">
        <v>2591</v>
      </c>
      <c r="C2787" s="188" t="s">
        <v>36</v>
      </c>
      <c r="D2787" s="18" t="s">
        <v>37</v>
      </c>
      <c r="E2787" s="4">
        <v>28500</v>
      </c>
      <c r="F2787" s="5">
        <v>307500</v>
      </c>
      <c r="G2787" s="4">
        <v>64575</v>
      </c>
      <c r="H2787" s="4">
        <v>400575</v>
      </c>
      <c r="I2787" s="188" t="str">
        <f>VLOOKUP(C2787,CATEGORIZACION!$A$1:$C$269,2,FALSE)</f>
        <v>TRANSPORTE</v>
      </c>
      <c r="J2787" s="188" t="s">
        <v>19</v>
      </c>
    </row>
    <row r="2788" spans="1:10" ht="15.75" customHeight="1" x14ac:dyDescent="0.25">
      <c r="A2788" s="1">
        <v>45345</v>
      </c>
      <c r="B2788" s="188" t="s">
        <v>2592</v>
      </c>
      <c r="C2788" s="188" t="s">
        <v>36</v>
      </c>
      <c r="D2788" s="18" t="s">
        <v>37</v>
      </c>
      <c r="E2788" s="4">
        <v>28500</v>
      </c>
      <c r="F2788" s="5">
        <v>307500</v>
      </c>
      <c r="G2788" s="4">
        <v>64575</v>
      </c>
      <c r="H2788" s="4">
        <v>400575</v>
      </c>
      <c r="I2788" s="188" t="str">
        <f>VLOOKUP(C2788,CATEGORIZACION!$A$1:$C$269,2,FALSE)</f>
        <v>TRANSPORTE</v>
      </c>
      <c r="J2788" s="188" t="s">
        <v>19</v>
      </c>
    </row>
    <row r="2789" spans="1:10" ht="15.75" customHeight="1" x14ac:dyDescent="0.25">
      <c r="A2789" s="1">
        <v>45345</v>
      </c>
      <c r="B2789" s="188" t="s">
        <v>2593</v>
      </c>
      <c r="C2789" s="188" t="s">
        <v>36</v>
      </c>
      <c r="D2789" s="18" t="s">
        <v>37</v>
      </c>
      <c r="E2789" s="4">
        <v>28500</v>
      </c>
      <c r="F2789" s="5">
        <v>307500</v>
      </c>
      <c r="G2789" s="4">
        <v>64575</v>
      </c>
      <c r="H2789" s="4">
        <v>400575</v>
      </c>
      <c r="I2789" s="188" t="str">
        <f>VLOOKUP(C2789,CATEGORIZACION!$A$1:$C$269,2,FALSE)</f>
        <v>TRANSPORTE</v>
      </c>
      <c r="J2789" s="188" t="s">
        <v>19</v>
      </c>
    </row>
    <row r="2790" spans="1:10" ht="15.75" customHeight="1" x14ac:dyDescent="0.25">
      <c r="A2790" s="1">
        <v>45345</v>
      </c>
      <c r="B2790" s="188" t="s">
        <v>2594</v>
      </c>
      <c r="C2790" s="188" t="s">
        <v>36</v>
      </c>
      <c r="D2790" s="18" t="s">
        <v>37</v>
      </c>
      <c r="E2790" s="4">
        <v>28500</v>
      </c>
      <c r="F2790" s="5">
        <v>307500</v>
      </c>
      <c r="G2790" s="4">
        <v>64575</v>
      </c>
      <c r="H2790" s="4">
        <v>400575</v>
      </c>
      <c r="I2790" s="188" t="str">
        <f>VLOOKUP(C2790,CATEGORIZACION!$A$1:$C$269,2,FALSE)</f>
        <v>TRANSPORTE</v>
      </c>
      <c r="J2790" s="188" t="s">
        <v>19</v>
      </c>
    </row>
    <row r="2791" spans="1:10" ht="15.75" customHeight="1" x14ac:dyDescent="0.25">
      <c r="A2791" s="1">
        <v>45345</v>
      </c>
      <c r="B2791" s="188" t="s">
        <v>2595</v>
      </c>
      <c r="C2791" s="188" t="s">
        <v>36</v>
      </c>
      <c r="D2791" s="18" t="s">
        <v>37</v>
      </c>
      <c r="E2791" s="4">
        <v>28500</v>
      </c>
      <c r="F2791" s="5">
        <v>307500</v>
      </c>
      <c r="G2791" s="4">
        <v>64575</v>
      </c>
      <c r="H2791" s="4">
        <v>400575</v>
      </c>
      <c r="I2791" s="188" t="str">
        <f>VLOOKUP(C2791,CATEGORIZACION!$A$1:$C$269,2,FALSE)</f>
        <v>TRANSPORTE</v>
      </c>
      <c r="J2791" s="188" t="s">
        <v>19</v>
      </c>
    </row>
    <row r="2792" spans="1:10" ht="15.75" customHeight="1" x14ac:dyDescent="0.25">
      <c r="A2792" s="1">
        <v>45345</v>
      </c>
      <c r="B2792" s="188" t="s">
        <v>2596</v>
      </c>
      <c r="C2792" s="188" t="s">
        <v>36</v>
      </c>
      <c r="D2792" s="18" t="s">
        <v>37</v>
      </c>
      <c r="E2792" s="4">
        <v>28500</v>
      </c>
      <c r="F2792" s="5">
        <v>307500</v>
      </c>
      <c r="G2792" s="4">
        <v>64575</v>
      </c>
      <c r="H2792" s="4">
        <v>400575</v>
      </c>
      <c r="I2792" s="188" t="str">
        <f>VLOOKUP(C2792,CATEGORIZACION!$A$1:$C$269,2,FALSE)</f>
        <v>TRANSPORTE</v>
      </c>
      <c r="J2792" s="188" t="s">
        <v>19</v>
      </c>
    </row>
    <row r="2793" spans="1:10" ht="15.75" customHeight="1" x14ac:dyDescent="0.25">
      <c r="A2793" s="1">
        <v>45345</v>
      </c>
      <c r="B2793" s="188" t="s">
        <v>2597</v>
      </c>
      <c r="C2793" s="188" t="s">
        <v>36</v>
      </c>
      <c r="D2793" s="18" t="s">
        <v>37</v>
      </c>
      <c r="E2793" s="4">
        <v>9500</v>
      </c>
      <c r="F2793" s="5">
        <v>126000</v>
      </c>
      <c r="G2793" s="4">
        <v>26460</v>
      </c>
      <c r="H2793" s="4">
        <v>161960</v>
      </c>
      <c r="I2793" s="188" t="str">
        <f>VLOOKUP(C2793,CATEGORIZACION!$A$1:$C$269,2,FALSE)</f>
        <v>TRANSPORTE</v>
      </c>
      <c r="J2793" s="188" t="s">
        <v>19</v>
      </c>
    </row>
    <row r="2794" spans="1:10" ht="15.75" customHeight="1" x14ac:dyDescent="0.25">
      <c r="A2794" s="1">
        <v>45345</v>
      </c>
      <c r="B2794" s="188" t="s">
        <v>2598</v>
      </c>
      <c r="C2794" s="188" t="s">
        <v>36</v>
      </c>
      <c r="D2794" s="18" t="s">
        <v>37</v>
      </c>
      <c r="E2794" s="4">
        <v>9500</v>
      </c>
      <c r="F2794" s="5">
        <v>126000</v>
      </c>
      <c r="G2794" s="4">
        <v>26460</v>
      </c>
      <c r="H2794" s="4">
        <v>161960</v>
      </c>
      <c r="I2794" s="188" t="str">
        <f>VLOOKUP(C2794,CATEGORIZACION!$A$1:$C$269,2,FALSE)</f>
        <v>TRANSPORTE</v>
      </c>
      <c r="J2794" s="188" t="s">
        <v>19</v>
      </c>
    </row>
    <row r="2795" spans="1:10" ht="15.75" customHeight="1" x14ac:dyDescent="0.25">
      <c r="A2795" s="1">
        <v>45345</v>
      </c>
      <c r="B2795" s="188" t="s">
        <v>2599</v>
      </c>
      <c r="C2795" s="188" t="s">
        <v>36</v>
      </c>
      <c r="D2795" s="18" t="s">
        <v>37</v>
      </c>
      <c r="E2795" s="4">
        <v>9500</v>
      </c>
      <c r="F2795" s="5">
        <v>126000</v>
      </c>
      <c r="G2795" s="4">
        <v>26460</v>
      </c>
      <c r="H2795" s="4">
        <v>161960</v>
      </c>
      <c r="I2795" s="188" t="str">
        <f>VLOOKUP(C2795,CATEGORIZACION!$A$1:$C$269,2,FALSE)</f>
        <v>TRANSPORTE</v>
      </c>
      <c r="J2795" s="188" t="s">
        <v>19</v>
      </c>
    </row>
    <row r="2796" spans="1:10" ht="15.75" customHeight="1" x14ac:dyDescent="0.25">
      <c r="A2796" s="1">
        <v>45345</v>
      </c>
      <c r="B2796" s="188" t="s">
        <v>2600</v>
      </c>
      <c r="C2796" s="188" t="s">
        <v>36</v>
      </c>
      <c r="D2796" s="18" t="s">
        <v>37</v>
      </c>
      <c r="E2796" s="4">
        <v>9500</v>
      </c>
      <c r="F2796" s="5">
        <v>126000</v>
      </c>
      <c r="G2796" s="4">
        <v>26460</v>
      </c>
      <c r="H2796" s="4">
        <v>161960</v>
      </c>
      <c r="I2796" s="188" t="str">
        <f>VLOOKUP(C2796,CATEGORIZACION!$A$1:$C$269,2,FALSE)</f>
        <v>TRANSPORTE</v>
      </c>
      <c r="J2796" s="188" t="s">
        <v>19</v>
      </c>
    </row>
    <row r="2797" spans="1:10" ht="15.75" customHeight="1" x14ac:dyDescent="0.25">
      <c r="A2797" s="1">
        <v>45345</v>
      </c>
      <c r="B2797" s="188" t="s">
        <v>2601</v>
      </c>
      <c r="C2797" s="188" t="s">
        <v>214</v>
      </c>
      <c r="D2797" s="18" t="s">
        <v>471</v>
      </c>
      <c r="E2797" s="4">
        <v>264000</v>
      </c>
      <c r="F2797" s="5">
        <v>0</v>
      </c>
      <c r="G2797" s="4">
        <v>0</v>
      </c>
      <c r="H2797" s="4">
        <v>264000</v>
      </c>
      <c r="I2797" s="188" t="str">
        <f>VLOOKUP(C2797,CATEGORIZACION!$A$1:$C$269,2,FALSE)</f>
        <v>PROOVEDORES</v>
      </c>
      <c r="J2797" s="188" t="str">
        <f>VLOOKUP(C2797,CATEGORIZACION!$A$1:$C$269,3,FALSE)</f>
        <v>LOGISTICA</v>
      </c>
    </row>
    <row r="2798" spans="1:10" ht="15.75" customHeight="1" x14ac:dyDescent="0.25">
      <c r="A2798" s="1">
        <v>45346</v>
      </c>
      <c r="B2798" s="188" t="s">
        <v>2602</v>
      </c>
      <c r="C2798" s="188" t="s">
        <v>21</v>
      </c>
      <c r="D2798" s="18" t="s">
        <v>22</v>
      </c>
      <c r="E2798" s="4">
        <v>0</v>
      </c>
      <c r="F2798" s="5">
        <v>226000</v>
      </c>
      <c r="G2798" s="4">
        <v>47460</v>
      </c>
      <c r="H2798" s="4">
        <v>273460</v>
      </c>
      <c r="I2798" s="188" t="str">
        <f>VLOOKUP(C2798,CATEGORIZACION!$A$1:$C$269,2,FALSE)</f>
        <v>TRANSPORTE</v>
      </c>
      <c r="J2798" s="188" t="s">
        <v>19</v>
      </c>
    </row>
    <row r="2799" spans="1:10" ht="15.75" customHeight="1" x14ac:dyDescent="0.25">
      <c r="A2799" s="1">
        <v>45346</v>
      </c>
      <c r="B2799" s="188" t="s">
        <v>2603</v>
      </c>
      <c r="C2799" s="188" t="s">
        <v>21</v>
      </c>
      <c r="D2799" s="18" t="s">
        <v>22</v>
      </c>
      <c r="E2799" s="4">
        <v>73230</v>
      </c>
      <c r="F2799" s="5">
        <v>1341000</v>
      </c>
      <c r="G2799" s="4">
        <v>281610</v>
      </c>
      <c r="H2799" s="4">
        <v>1695840</v>
      </c>
      <c r="I2799" s="188" t="str">
        <f>VLOOKUP(C2799,CATEGORIZACION!$A$1:$C$269,2,FALSE)</f>
        <v>TRANSPORTE</v>
      </c>
      <c r="J2799" s="188" t="s">
        <v>19</v>
      </c>
    </row>
    <row r="2800" spans="1:10" ht="15.75" customHeight="1" x14ac:dyDescent="0.25">
      <c r="A2800" s="1">
        <v>45346</v>
      </c>
      <c r="B2800" s="188" t="s">
        <v>2604</v>
      </c>
      <c r="C2800" s="188" t="s">
        <v>21</v>
      </c>
      <c r="D2800" s="18" t="s">
        <v>22</v>
      </c>
      <c r="E2800" s="4">
        <v>45120</v>
      </c>
      <c r="F2800" s="5">
        <v>894000</v>
      </c>
      <c r="G2800" s="4">
        <v>187740</v>
      </c>
      <c r="H2800" s="4">
        <v>1126860</v>
      </c>
      <c r="I2800" s="188" t="str">
        <f>VLOOKUP(C2800,CATEGORIZACION!$A$1:$C$269,2,FALSE)</f>
        <v>TRANSPORTE</v>
      </c>
      <c r="J2800" s="188" t="s">
        <v>19</v>
      </c>
    </row>
    <row r="2801" spans="1:10" ht="15.75" customHeight="1" x14ac:dyDescent="0.25">
      <c r="A2801" s="1">
        <v>45346</v>
      </c>
      <c r="B2801" s="188" t="s">
        <v>2605</v>
      </c>
      <c r="C2801" s="188" t="s">
        <v>21</v>
      </c>
      <c r="D2801" s="18" t="s">
        <v>22</v>
      </c>
      <c r="E2801" s="4">
        <v>14205</v>
      </c>
      <c r="F2801" s="5">
        <v>429000</v>
      </c>
      <c r="G2801" s="4">
        <v>90090</v>
      </c>
      <c r="H2801" s="4">
        <v>533295</v>
      </c>
      <c r="I2801" s="188" t="str">
        <f>VLOOKUP(C2801,CATEGORIZACION!$A$1:$C$269,2,FALSE)</f>
        <v>TRANSPORTE</v>
      </c>
      <c r="J2801" s="188" t="s">
        <v>19</v>
      </c>
    </row>
    <row r="2802" spans="1:10" ht="15.75" customHeight="1" x14ac:dyDescent="0.25">
      <c r="A2802" s="1">
        <v>45346</v>
      </c>
      <c r="B2802" s="188" t="s">
        <v>2606</v>
      </c>
      <c r="C2802" s="188" t="s">
        <v>21</v>
      </c>
      <c r="D2802" s="18" t="s">
        <v>22</v>
      </c>
      <c r="E2802" s="4">
        <v>15040</v>
      </c>
      <c r="F2802" s="5">
        <v>370000</v>
      </c>
      <c r="G2802" s="4">
        <v>77700</v>
      </c>
      <c r="H2802" s="4">
        <v>462740</v>
      </c>
      <c r="I2802" s="188" t="str">
        <f>VLOOKUP(C2802,CATEGORIZACION!$A$1:$C$269,2,FALSE)</f>
        <v>TRANSPORTE</v>
      </c>
      <c r="J2802" s="188" t="s">
        <v>19</v>
      </c>
    </row>
    <row r="2803" spans="1:10" ht="15.75" customHeight="1" x14ac:dyDescent="0.25">
      <c r="A2803" s="1">
        <v>45349</v>
      </c>
      <c r="B2803" s="188" t="s">
        <v>2607</v>
      </c>
      <c r="C2803" s="188" t="s">
        <v>52</v>
      </c>
      <c r="D2803" s="18" t="s">
        <v>53</v>
      </c>
      <c r="E2803" s="4">
        <v>0</v>
      </c>
      <c r="F2803" s="3">
        <v>175223.14</v>
      </c>
      <c r="G2803" s="4">
        <v>36796.86</v>
      </c>
      <c r="H2803" s="4">
        <v>212020</v>
      </c>
      <c r="I2803" s="188" t="str">
        <f>VLOOKUP(C2803,CATEGORIZACION!$A$1:$C$269,2,FALSE)</f>
        <v>PROOVEDORES</v>
      </c>
      <c r="J2803" s="188" t="str">
        <f>VLOOKUP(C2803,CATEGORIZACION!$A$1:$C$269,3,FALSE)</f>
        <v>DEPOSITO</v>
      </c>
    </row>
    <row r="2804" spans="1:10" ht="15.75" customHeight="1" x14ac:dyDescent="0.25">
      <c r="A2804" s="1">
        <v>45349</v>
      </c>
      <c r="B2804" s="188" t="s">
        <v>2608</v>
      </c>
      <c r="C2804" s="188" t="s">
        <v>87</v>
      </c>
      <c r="D2804" s="18" t="s">
        <v>88</v>
      </c>
      <c r="E2804" s="4">
        <v>0</v>
      </c>
      <c r="F2804" s="5">
        <v>24704</v>
      </c>
      <c r="G2804" s="4">
        <v>5187.84</v>
      </c>
      <c r="H2804" s="4">
        <v>29891.84</v>
      </c>
      <c r="I2804" s="188" t="str">
        <f>VLOOKUP(C2804,CATEGORIZACION!$A$1:$C$269,2,FALSE)</f>
        <v>PROOVEDORES</v>
      </c>
      <c r="J2804" s="188" t="str">
        <f>VLOOKUP(C2804,CATEGORIZACION!$A$1:$C$269,3,FALSE)</f>
        <v>LOGISTICA</v>
      </c>
    </row>
    <row r="2805" spans="1:10" ht="15.75" customHeight="1" x14ac:dyDescent="0.25">
      <c r="A2805" s="1">
        <v>45349</v>
      </c>
      <c r="B2805" s="188" t="s">
        <v>2609</v>
      </c>
      <c r="C2805" s="188" t="s">
        <v>21</v>
      </c>
      <c r="D2805" s="18" t="s">
        <v>22</v>
      </c>
      <c r="E2805" s="4">
        <v>22560</v>
      </c>
      <c r="F2805" s="5">
        <v>483000</v>
      </c>
      <c r="G2805" s="4">
        <v>101430</v>
      </c>
      <c r="H2805" s="4">
        <v>606990</v>
      </c>
      <c r="I2805" s="188" t="str">
        <f>VLOOKUP(C2805,CATEGORIZACION!$A$1:$C$269,2,FALSE)</f>
        <v>TRANSPORTE</v>
      </c>
      <c r="J2805" s="188" t="s">
        <v>19</v>
      </c>
    </row>
    <row r="2806" spans="1:10" ht="15.75" customHeight="1" x14ac:dyDescent="0.25">
      <c r="A2806" s="1">
        <v>45349</v>
      </c>
      <c r="B2806" s="188" t="s">
        <v>2610</v>
      </c>
      <c r="C2806" s="188" t="s">
        <v>21</v>
      </c>
      <c r="D2806" s="18" t="s">
        <v>22</v>
      </c>
      <c r="E2806" s="4">
        <v>8164</v>
      </c>
      <c r="F2806" s="5">
        <v>204000</v>
      </c>
      <c r="G2806" s="4">
        <v>42840</v>
      </c>
      <c r="H2806" s="4">
        <v>255004</v>
      </c>
      <c r="I2806" s="188" t="str">
        <f>VLOOKUP(C2806,CATEGORIZACION!$A$1:$C$269,2,FALSE)</f>
        <v>TRANSPORTE</v>
      </c>
      <c r="J2806" s="188" t="s">
        <v>19</v>
      </c>
    </row>
    <row r="2807" spans="1:10" ht="15.75" customHeight="1" x14ac:dyDescent="0.25">
      <c r="A2807" s="1">
        <v>45349</v>
      </c>
      <c r="B2807" s="188" t="s">
        <v>2611</v>
      </c>
      <c r="C2807" s="188" t="s">
        <v>21</v>
      </c>
      <c r="D2807" s="18" t="s">
        <v>22</v>
      </c>
      <c r="E2807" s="4">
        <v>12634</v>
      </c>
      <c r="F2807" s="5">
        <v>185000</v>
      </c>
      <c r="G2807" s="4">
        <v>38850</v>
      </c>
      <c r="H2807" s="4">
        <v>236484</v>
      </c>
      <c r="I2807" s="188" t="str">
        <f>VLOOKUP(C2807,CATEGORIZACION!$A$1:$C$269,2,FALSE)</f>
        <v>TRANSPORTE</v>
      </c>
      <c r="J2807" s="188" t="s">
        <v>19</v>
      </c>
    </row>
    <row r="2808" spans="1:10" ht="15.75" customHeight="1" x14ac:dyDescent="0.25">
      <c r="A2808" s="1">
        <v>45349</v>
      </c>
      <c r="B2808" s="188" t="s">
        <v>2612</v>
      </c>
      <c r="C2808" s="188" t="s">
        <v>21</v>
      </c>
      <c r="D2808" s="18" t="s">
        <v>22</v>
      </c>
      <c r="E2808" s="4">
        <v>9370</v>
      </c>
      <c r="F2808" s="5">
        <v>185000</v>
      </c>
      <c r="G2808" s="4">
        <v>38850</v>
      </c>
      <c r="H2808" s="4">
        <v>233220</v>
      </c>
      <c r="I2808" s="188" t="str">
        <f>VLOOKUP(C2808,CATEGORIZACION!$A$1:$C$269,2,FALSE)</f>
        <v>TRANSPORTE</v>
      </c>
      <c r="J2808" s="188" t="s">
        <v>19</v>
      </c>
    </row>
    <row r="2809" spans="1:10" ht="15.75" customHeight="1" x14ac:dyDescent="0.25">
      <c r="A2809" s="1">
        <v>45349</v>
      </c>
      <c r="B2809" s="188" t="s">
        <v>2613</v>
      </c>
      <c r="C2809" s="188" t="s">
        <v>21</v>
      </c>
      <c r="D2809" s="18" t="s">
        <v>22</v>
      </c>
      <c r="E2809" s="4">
        <v>12634</v>
      </c>
      <c r="F2809" s="5">
        <v>265000</v>
      </c>
      <c r="G2809" s="4">
        <v>55650</v>
      </c>
      <c r="H2809" s="4">
        <v>333284</v>
      </c>
      <c r="I2809" s="188" t="str">
        <f>VLOOKUP(C2809,CATEGORIZACION!$A$1:$C$269,2,FALSE)</f>
        <v>TRANSPORTE</v>
      </c>
      <c r="J2809" s="188" t="s">
        <v>19</v>
      </c>
    </row>
    <row r="2810" spans="1:10" ht="15.75" customHeight="1" x14ac:dyDescent="0.25">
      <c r="A2810" s="1">
        <v>45349</v>
      </c>
      <c r="B2810" s="188" t="s">
        <v>2614</v>
      </c>
      <c r="C2810" s="188" t="s">
        <v>21</v>
      </c>
      <c r="D2810" s="18" t="s">
        <v>22</v>
      </c>
      <c r="E2810" s="4">
        <v>31140</v>
      </c>
      <c r="F2810" s="5">
        <v>408000</v>
      </c>
      <c r="G2810" s="4">
        <v>85680</v>
      </c>
      <c r="H2810" s="4">
        <v>524820</v>
      </c>
      <c r="I2810" s="188" t="str">
        <f>VLOOKUP(C2810,CATEGORIZACION!$A$1:$C$269,2,FALSE)</f>
        <v>TRANSPORTE</v>
      </c>
      <c r="J2810" s="188" t="s">
        <v>19</v>
      </c>
    </row>
    <row r="2811" spans="1:10" ht="15.75" customHeight="1" x14ac:dyDescent="0.25">
      <c r="A2811" s="1">
        <v>45350</v>
      </c>
      <c r="B2811" s="188" t="s">
        <v>2615</v>
      </c>
      <c r="C2811" s="188" t="s">
        <v>2616</v>
      </c>
      <c r="D2811" s="18" t="s">
        <v>2617</v>
      </c>
      <c r="E2811" s="4">
        <v>0</v>
      </c>
      <c r="F2811" s="5">
        <v>25000</v>
      </c>
      <c r="G2811" s="4">
        <v>5250</v>
      </c>
      <c r="H2811" s="4">
        <v>30250</v>
      </c>
      <c r="I2811" s="188" t="str">
        <f>VLOOKUP(C2811,CATEGORIZACION!$A$1:$C$269,2,FALSE)</f>
        <v>PROOVEDORES</v>
      </c>
      <c r="J2811" s="188" t="str">
        <f>VLOOKUP(C2811,CATEGORIZACION!$A$1:$C$269,3,FALSE)</f>
        <v>LOGISTICA</v>
      </c>
    </row>
    <row r="2812" spans="1:10" ht="15.75" customHeight="1" x14ac:dyDescent="0.25">
      <c r="A2812" s="1">
        <v>45350</v>
      </c>
      <c r="B2812" s="188" t="s">
        <v>2618</v>
      </c>
      <c r="C2812" s="188" t="s">
        <v>1143</v>
      </c>
      <c r="D2812" s="18" t="s">
        <v>1144</v>
      </c>
      <c r="E2812" s="4">
        <v>0</v>
      </c>
      <c r="F2812" s="3">
        <v>560000</v>
      </c>
      <c r="G2812" s="4">
        <v>117600</v>
      </c>
      <c r="H2812" s="4">
        <v>677600</v>
      </c>
      <c r="I2812" s="188" t="str">
        <f>VLOOKUP(C2812,CATEGORIZACION!$A$1:$C$269,2,FALSE)</f>
        <v>PROOVEDORES</v>
      </c>
      <c r="J2812" s="188" t="str">
        <f>VLOOKUP(C2812,CATEGORIZACION!$A$1:$C$269,3,FALSE)</f>
        <v>DEPOSITO</v>
      </c>
    </row>
    <row r="2813" spans="1:10" ht="15.75" customHeight="1" x14ac:dyDescent="0.25">
      <c r="A2813" s="1">
        <v>45350</v>
      </c>
      <c r="B2813" s="188" t="s">
        <v>2619</v>
      </c>
      <c r="C2813" s="188" t="s">
        <v>505</v>
      </c>
      <c r="D2813" s="18" t="s">
        <v>506</v>
      </c>
      <c r="E2813" s="4">
        <v>0</v>
      </c>
      <c r="F2813" s="5">
        <v>8677.69</v>
      </c>
      <c r="G2813" s="4">
        <v>1822.31</v>
      </c>
      <c r="H2813" s="4">
        <v>10500</v>
      </c>
      <c r="I2813" s="188" t="str">
        <f>VLOOKUP(C2813,CATEGORIZACION!$A$1:$C$269,2,FALSE)</f>
        <v>PROOVEDORES</v>
      </c>
      <c r="J2813" s="188" t="str">
        <f>VLOOKUP(C2813,CATEGORIZACION!$A$1:$C$269,3,FALSE)</f>
        <v>LOGISTICA</v>
      </c>
    </row>
    <row r="2814" spans="1:10" ht="15.75" customHeight="1" x14ac:dyDescent="0.25">
      <c r="A2814" s="1">
        <v>45350</v>
      </c>
      <c r="B2814" s="188" t="s">
        <v>2620</v>
      </c>
      <c r="C2814" s="188" t="s">
        <v>339</v>
      </c>
      <c r="D2814" s="18" t="s">
        <v>340</v>
      </c>
      <c r="E2814" s="4">
        <v>0</v>
      </c>
      <c r="F2814" s="5">
        <v>36119.93</v>
      </c>
      <c r="G2814" s="4">
        <v>7585.19</v>
      </c>
      <c r="H2814" s="4">
        <v>43705.120000000003</v>
      </c>
      <c r="I2814" s="188" t="str">
        <f>VLOOKUP(C2814,CATEGORIZACION!$A$1:$C$269,2,FALSE)</f>
        <v>PROOVEDORES</v>
      </c>
      <c r="J2814" s="188" t="str">
        <f>VLOOKUP(C2814,CATEGORIZACION!$A$1:$C$269,3,FALSE)</f>
        <v>LOGISTICA</v>
      </c>
    </row>
    <row r="2815" spans="1:10" ht="15.75" customHeight="1" x14ac:dyDescent="0.25">
      <c r="A2815" s="1">
        <v>45350</v>
      </c>
      <c r="B2815" s="188" t="s">
        <v>2621</v>
      </c>
      <c r="C2815" s="188" t="s">
        <v>21</v>
      </c>
      <c r="D2815" s="18" t="s">
        <v>22</v>
      </c>
      <c r="E2815" s="4">
        <v>7520</v>
      </c>
      <c r="F2815" s="5">
        <v>149000</v>
      </c>
      <c r="G2815" s="4">
        <v>31290</v>
      </c>
      <c r="H2815" s="4">
        <v>187810</v>
      </c>
      <c r="I2815" s="188" t="str">
        <f>VLOOKUP(C2815,CATEGORIZACION!$A$1:$C$269,2,FALSE)</f>
        <v>TRANSPORTE</v>
      </c>
      <c r="J2815" s="188" t="s">
        <v>19</v>
      </c>
    </row>
    <row r="2816" spans="1:10" ht="15.75" customHeight="1" x14ac:dyDescent="0.25">
      <c r="A2816" s="1">
        <v>45350</v>
      </c>
      <c r="B2816" s="188" t="s">
        <v>2622</v>
      </c>
      <c r="C2816" s="188" t="s">
        <v>21</v>
      </c>
      <c r="D2816" s="18" t="s">
        <v>22</v>
      </c>
      <c r="E2816" s="4">
        <v>15040</v>
      </c>
      <c r="F2816" s="5">
        <v>438000</v>
      </c>
      <c r="G2816" s="4">
        <v>91980</v>
      </c>
      <c r="H2816" s="4">
        <v>545020</v>
      </c>
      <c r="I2816" s="188" t="str">
        <f>VLOOKUP(C2816,CATEGORIZACION!$A$1:$C$269,2,FALSE)</f>
        <v>TRANSPORTE</v>
      </c>
      <c r="J2816" s="188" t="s">
        <v>19</v>
      </c>
    </row>
    <row r="2817" spans="1:10" ht="15.75" customHeight="1" x14ac:dyDescent="0.25">
      <c r="A2817" s="1">
        <v>45351</v>
      </c>
      <c r="B2817" s="188" t="s">
        <v>2623</v>
      </c>
      <c r="C2817" s="188" t="s">
        <v>84</v>
      </c>
      <c r="D2817" s="18" t="s">
        <v>85</v>
      </c>
      <c r="E2817" s="4">
        <v>112507.93</v>
      </c>
      <c r="F2817" s="5">
        <v>2045239.66</v>
      </c>
      <c r="G2817" s="4">
        <v>429500.33</v>
      </c>
      <c r="H2817" s="4">
        <v>2587247.92</v>
      </c>
      <c r="I2817" s="188" t="str">
        <f>VLOOKUP(C2817,CATEGORIZACION!$A$1:$C$269,2,FALSE)</f>
        <v>PROOVEDORES</v>
      </c>
      <c r="J2817" s="188" t="str">
        <f>VLOOKUP(C2817,CATEGORIZACION!$A$1:$C$269,3,FALSE)</f>
        <v>LOGISTICA</v>
      </c>
    </row>
    <row r="2818" spans="1:10" ht="15.75" customHeight="1" x14ac:dyDescent="0.25">
      <c r="A2818" s="1">
        <v>45351</v>
      </c>
      <c r="B2818" s="188" t="s">
        <v>2624</v>
      </c>
      <c r="C2818" s="188" t="s">
        <v>84</v>
      </c>
      <c r="D2818" s="18" t="s">
        <v>85</v>
      </c>
      <c r="E2818" s="4"/>
      <c r="F2818" s="5">
        <v>158840</v>
      </c>
      <c r="G2818" s="2">
        <v>317681.12</v>
      </c>
      <c r="H2818" s="5">
        <v>158840</v>
      </c>
      <c r="I2818" s="188" t="str">
        <f>VLOOKUP(C2818,CATEGORIZACION!$A$1:$C$269,2,FALSE)</f>
        <v>PROOVEDORES</v>
      </c>
      <c r="J2818" s="188" t="str">
        <f>VLOOKUP(C2818,CATEGORIZACION!$A$1:$C$269,3,FALSE)</f>
        <v>LOGISTICA</v>
      </c>
    </row>
    <row r="2819" spans="1:10" ht="15.75" customHeight="1" x14ac:dyDescent="0.25">
      <c r="A2819" s="1">
        <v>45351</v>
      </c>
      <c r="B2819" s="188" t="s">
        <v>2625</v>
      </c>
      <c r="C2819" s="188" t="s">
        <v>337</v>
      </c>
      <c r="D2819" s="18" t="s">
        <v>174</v>
      </c>
      <c r="E2819" s="4">
        <v>0</v>
      </c>
      <c r="F2819" s="5">
        <v>152000</v>
      </c>
      <c r="G2819" s="4">
        <v>31920</v>
      </c>
      <c r="H2819" s="4">
        <v>183920</v>
      </c>
      <c r="I2819" s="188" t="str">
        <f>VLOOKUP(C2819,CATEGORIZACION!$A$1:$C$269,2,FALSE)</f>
        <v>TRANSPORTE</v>
      </c>
      <c r="J2819" s="188" t="s">
        <v>19</v>
      </c>
    </row>
    <row r="2820" spans="1:10" ht="15.75" customHeight="1" x14ac:dyDescent="0.25">
      <c r="A2820" s="1">
        <v>45351</v>
      </c>
      <c r="B2820" s="188" t="s">
        <v>2626</v>
      </c>
      <c r="C2820" s="188" t="s">
        <v>337</v>
      </c>
      <c r="D2820" s="18" t="s">
        <v>174</v>
      </c>
      <c r="E2820" s="4">
        <v>0</v>
      </c>
      <c r="F2820" s="5">
        <v>163100</v>
      </c>
      <c r="G2820" s="4">
        <v>34251</v>
      </c>
      <c r="H2820" s="4">
        <v>197351</v>
      </c>
      <c r="I2820" s="188" t="str">
        <f>VLOOKUP(C2820,CATEGORIZACION!$A$1:$C$269,2,FALSE)</f>
        <v>TRANSPORTE</v>
      </c>
      <c r="J2820" s="188" t="s">
        <v>19</v>
      </c>
    </row>
    <row r="2821" spans="1:10" ht="15.75" customHeight="1" x14ac:dyDescent="0.25">
      <c r="A2821" s="1">
        <v>45351</v>
      </c>
      <c r="B2821" s="188" t="s">
        <v>2627</v>
      </c>
      <c r="C2821" s="188" t="s">
        <v>21</v>
      </c>
      <c r="D2821" s="18" t="s">
        <v>22</v>
      </c>
      <c r="E2821" s="4">
        <v>16890</v>
      </c>
      <c r="F2821" s="5">
        <v>334000</v>
      </c>
      <c r="G2821" s="4">
        <v>70140</v>
      </c>
      <c r="H2821" s="4">
        <v>421030</v>
      </c>
      <c r="I2821" s="188" t="str">
        <f>VLOOKUP(C2821,CATEGORIZACION!$A$1:$C$269,2,FALSE)</f>
        <v>TRANSPORTE</v>
      </c>
      <c r="J2821" s="188" t="s">
        <v>19</v>
      </c>
    </row>
    <row r="2822" spans="1:10" ht="15.75" customHeight="1" x14ac:dyDescent="0.25">
      <c r="A2822" s="1">
        <v>45351</v>
      </c>
      <c r="B2822" s="188" t="s">
        <v>2628</v>
      </c>
      <c r="C2822" s="188" t="s">
        <v>21</v>
      </c>
      <c r="D2822" s="18" t="s">
        <v>22</v>
      </c>
      <c r="E2822" s="4">
        <v>7520</v>
      </c>
      <c r="F2822" s="5">
        <v>185000</v>
      </c>
      <c r="G2822" s="4">
        <v>38850</v>
      </c>
      <c r="H2822" s="4">
        <v>231370</v>
      </c>
      <c r="I2822" s="188" t="str">
        <f>VLOOKUP(C2822,CATEGORIZACION!$A$1:$C$269,2,FALSE)</f>
        <v>TRANSPORTE</v>
      </c>
      <c r="J2822" s="188" t="s">
        <v>19</v>
      </c>
    </row>
    <row r="2823" spans="1:10" ht="15.75" customHeight="1" x14ac:dyDescent="0.25">
      <c r="A2823" s="1">
        <v>45351</v>
      </c>
      <c r="B2823" s="188" t="s">
        <v>2629</v>
      </c>
      <c r="C2823" s="188" t="s">
        <v>21</v>
      </c>
      <c r="D2823" s="18" t="s">
        <v>22</v>
      </c>
      <c r="E2823" s="4">
        <v>22560</v>
      </c>
      <c r="F2823" s="5">
        <v>517000</v>
      </c>
      <c r="G2823" s="4">
        <v>108570</v>
      </c>
      <c r="H2823" s="4">
        <v>648130</v>
      </c>
      <c r="I2823" s="188" t="str">
        <f>VLOOKUP(C2823,CATEGORIZACION!$A$1:$C$269,2,FALSE)</f>
        <v>TRANSPORTE</v>
      </c>
      <c r="J2823" s="188" t="s">
        <v>19</v>
      </c>
    </row>
    <row r="2824" spans="1:10" ht="15.75" customHeight="1" x14ac:dyDescent="0.25">
      <c r="A2824" s="1">
        <v>45351</v>
      </c>
      <c r="B2824" s="188" t="s">
        <v>2630</v>
      </c>
      <c r="C2824" s="188" t="s">
        <v>21</v>
      </c>
      <c r="D2824" s="18" t="s">
        <v>22</v>
      </c>
      <c r="E2824" s="4">
        <v>84330</v>
      </c>
      <c r="F2824" s="5">
        <v>2151000</v>
      </c>
      <c r="G2824" s="4">
        <v>451710</v>
      </c>
      <c r="H2824" s="4">
        <v>2687040</v>
      </c>
      <c r="I2824" s="188" t="str">
        <f>VLOOKUP(C2824,CATEGORIZACION!$A$1:$C$269,2,FALSE)</f>
        <v>TRANSPORTE</v>
      </c>
      <c r="J2824" s="188" t="s">
        <v>19</v>
      </c>
    </row>
    <row r="2825" spans="1:10" ht="15.75" customHeight="1" x14ac:dyDescent="0.25">
      <c r="A2825" s="1">
        <v>45351</v>
      </c>
      <c r="B2825" s="188" t="s">
        <v>2631</v>
      </c>
      <c r="C2825" s="188" t="s">
        <v>21</v>
      </c>
      <c r="D2825" s="18" t="s">
        <v>22</v>
      </c>
      <c r="E2825" s="4">
        <v>74960</v>
      </c>
      <c r="F2825" s="5">
        <v>1912000</v>
      </c>
      <c r="G2825" s="4">
        <v>401520</v>
      </c>
      <c r="H2825" s="4">
        <v>2388480</v>
      </c>
      <c r="I2825" s="188" t="str">
        <f>VLOOKUP(C2825,CATEGORIZACION!$A$1:$C$269,2,FALSE)</f>
        <v>TRANSPORTE</v>
      </c>
      <c r="J2825" s="188" t="s">
        <v>19</v>
      </c>
    </row>
    <row r="2826" spans="1:10" ht="15.75" customHeight="1" x14ac:dyDescent="0.25">
      <c r="A2826" s="1">
        <v>45351</v>
      </c>
      <c r="B2826" s="188" t="s">
        <v>2632</v>
      </c>
      <c r="C2826" s="188" t="s">
        <v>21</v>
      </c>
      <c r="D2826" s="18" t="s">
        <v>22</v>
      </c>
      <c r="E2826" s="4">
        <v>130640</v>
      </c>
      <c r="F2826" s="5">
        <v>2040000</v>
      </c>
      <c r="G2826" s="4">
        <v>428400</v>
      </c>
      <c r="H2826" s="4">
        <v>2599040</v>
      </c>
      <c r="I2826" s="188" t="str">
        <f>VLOOKUP(C2826,CATEGORIZACION!$A$1:$C$269,2,FALSE)</f>
        <v>TRANSPORTE</v>
      </c>
      <c r="J2826" s="188" t="s">
        <v>19</v>
      </c>
    </row>
    <row r="2827" spans="1:10" ht="15.75" customHeight="1" x14ac:dyDescent="0.25">
      <c r="A2827" s="1">
        <v>45351</v>
      </c>
      <c r="B2827" s="188" t="s">
        <v>2633</v>
      </c>
      <c r="C2827" s="188" t="s">
        <v>21</v>
      </c>
      <c r="D2827" s="18" t="s">
        <v>22</v>
      </c>
      <c r="E2827" s="4">
        <v>60160</v>
      </c>
      <c r="F2827" s="5">
        <v>1262000</v>
      </c>
      <c r="G2827" s="4">
        <v>265020</v>
      </c>
      <c r="H2827" s="4">
        <v>1587180</v>
      </c>
      <c r="I2827" s="188" t="str">
        <f>VLOOKUP(C2827,CATEGORIZACION!$A$1:$C$269,2,FALSE)</f>
        <v>TRANSPORTE</v>
      </c>
      <c r="J2827" s="188" t="s">
        <v>19</v>
      </c>
    </row>
    <row r="2828" spans="1:10" ht="15.75" customHeight="1" x14ac:dyDescent="0.25">
      <c r="A2828" s="1">
        <v>45351</v>
      </c>
      <c r="B2828" s="188" t="s">
        <v>2634</v>
      </c>
      <c r="C2828" s="188" t="s">
        <v>21</v>
      </c>
      <c r="D2828" s="18" t="s">
        <v>22</v>
      </c>
      <c r="E2828" s="4">
        <v>31140</v>
      </c>
      <c r="F2828" s="5">
        <v>408000</v>
      </c>
      <c r="G2828" s="4">
        <v>85680</v>
      </c>
      <c r="H2828" s="4">
        <v>524820</v>
      </c>
      <c r="I2828" s="188" t="str">
        <f>VLOOKUP(C2828,CATEGORIZACION!$A$1:$C$269,2,FALSE)</f>
        <v>TRANSPORTE</v>
      </c>
      <c r="J2828" s="188" t="s">
        <v>19</v>
      </c>
    </row>
    <row r="2829" spans="1:10" ht="15.75" customHeight="1" x14ac:dyDescent="0.25">
      <c r="A2829" s="1">
        <v>45351</v>
      </c>
      <c r="B2829" s="188" t="s">
        <v>2635</v>
      </c>
      <c r="C2829" s="188" t="s">
        <v>21</v>
      </c>
      <c r="D2829" s="18" t="s">
        <v>22</v>
      </c>
      <c r="E2829" s="4">
        <v>7520</v>
      </c>
      <c r="F2829" s="5">
        <v>185000</v>
      </c>
      <c r="G2829" s="4">
        <v>38850</v>
      </c>
      <c r="H2829" s="4">
        <v>231370</v>
      </c>
      <c r="I2829" s="188" t="str">
        <f>VLOOKUP(C2829,CATEGORIZACION!$A$1:$C$269,2,FALSE)</f>
        <v>TRANSPORTE</v>
      </c>
      <c r="J2829" s="188" t="s">
        <v>19</v>
      </c>
    </row>
    <row r="2830" spans="1:10" ht="15.75" customHeight="1" x14ac:dyDescent="0.25">
      <c r="A2830" s="1">
        <v>45351</v>
      </c>
      <c r="B2830" s="188" t="s">
        <v>2636</v>
      </c>
      <c r="C2830" s="188" t="s">
        <v>21</v>
      </c>
      <c r="D2830" s="18" t="s">
        <v>22</v>
      </c>
      <c r="E2830" s="4">
        <v>24820</v>
      </c>
      <c r="F2830" s="5">
        <v>510000</v>
      </c>
      <c r="G2830" s="4">
        <v>107100</v>
      </c>
      <c r="H2830" s="4">
        <v>641920</v>
      </c>
      <c r="I2830" s="188" t="str">
        <f>VLOOKUP(C2830,CATEGORIZACION!$A$1:$C$269,2,FALSE)</f>
        <v>TRANSPORTE</v>
      </c>
      <c r="J2830" s="188" t="s">
        <v>19</v>
      </c>
    </row>
    <row r="2831" spans="1:10" ht="15.75" customHeight="1" x14ac:dyDescent="0.25">
      <c r="A2831" s="1">
        <v>45351</v>
      </c>
      <c r="B2831" s="188" t="s">
        <v>2637</v>
      </c>
      <c r="C2831" s="188" t="s">
        <v>21</v>
      </c>
      <c r="D2831" s="18" t="s">
        <v>22</v>
      </c>
      <c r="E2831" s="4">
        <v>8720</v>
      </c>
      <c r="F2831" s="5">
        <v>356000</v>
      </c>
      <c r="G2831" s="4">
        <v>74760</v>
      </c>
      <c r="H2831" s="4">
        <v>439480</v>
      </c>
      <c r="I2831" s="188" t="str">
        <f>VLOOKUP(C2831,CATEGORIZACION!$A$1:$C$269,2,FALSE)</f>
        <v>TRANSPORTE</v>
      </c>
      <c r="J2831" s="188" t="s">
        <v>19</v>
      </c>
    </row>
    <row r="2832" spans="1:10" ht="15.75" customHeight="1" x14ac:dyDescent="0.25">
      <c r="A2832" s="1">
        <v>45351</v>
      </c>
      <c r="B2832" s="188" t="s">
        <v>2638</v>
      </c>
      <c r="C2832" s="188" t="s">
        <v>21</v>
      </c>
      <c r="D2832" s="18" t="s">
        <v>22</v>
      </c>
      <c r="E2832" s="4">
        <v>15040</v>
      </c>
      <c r="F2832" s="5">
        <v>370000</v>
      </c>
      <c r="G2832" s="4">
        <v>77700</v>
      </c>
      <c r="H2832" s="4">
        <v>462740</v>
      </c>
      <c r="I2832" s="188" t="str">
        <f>VLOOKUP(C2832,CATEGORIZACION!$A$1:$C$269,2,FALSE)</f>
        <v>TRANSPORTE</v>
      </c>
      <c r="J2832" s="188" t="s">
        <v>19</v>
      </c>
    </row>
    <row r="2833" spans="1:10" ht="15.75" customHeight="1" x14ac:dyDescent="0.25">
      <c r="A2833" s="1">
        <v>45351</v>
      </c>
      <c r="B2833" s="188" t="s">
        <v>2639</v>
      </c>
      <c r="C2833" s="188" t="s">
        <v>153</v>
      </c>
      <c r="D2833" s="18" t="s">
        <v>154</v>
      </c>
      <c r="E2833" s="4">
        <v>267.67</v>
      </c>
      <c r="F2833" s="3">
        <v>66916.45</v>
      </c>
      <c r="G2833" s="4">
        <v>14052.45</v>
      </c>
      <c r="H2833" s="4">
        <v>81236.570000000007</v>
      </c>
      <c r="I2833" s="188" t="str">
        <f>VLOOKUP(C2833,CATEGORIZACION!$A$1:$C$269,2,FALSE)</f>
        <v>PROOVEDORES</v>
      </c>
      <c r="J2833" s="188" t="str">
        <f>VLOOKUP(C2833,CATEGORIZACION!$A$1:$C$269,3,FALSE)</f>
        <v>DEPOSITO</v>
      </c>
    </row>
    <row r="2834" spans="1:10" ht="15.75" customHeight="1" x14ac:dyDescent="0.25">
      <c r="A2834" s="1">
        <v>45351</v>
      </c>
      <c r="B2834" s="188" t="s">
        <v>2640</v>
      </c>
      <c r="C2834" s="188" t="s">
        <v>375</v>
      </c>
      <c r="D2834" s="18" t="s">
        <v>376</v>
      </c>
      <c r="E2834" s="4">
        <v>4298.72</v>
      </c>
      <c r="F2834" s="5">
        <v>97698.35</v>
      </c>
      <c r="G2834" s="4">
        <v>20516.650000000001</v>
      </c>
      <c r="H2834" s="4">
        <v>122513.72</v>
      </c>
      <c r="I2834" s="188" t="str">
        <f>VLOOKUP(C2834,CATEGORIZACION!$A$1:$C$269,2,FALSE)</f>
        <v>PROOVEDORES</v>
      </c>
      <c r="J2834" s="188" t="str">
        <f>VLOOKUP(C2834,CATEGORIZACION!$A$1:$C$269,3,FALSE)</f>
        <v>LOGISTICA</v>
      </c>
    </row>
    <row r="2835" spans="1:10" ht="15.75" customHeight="1" x14ac:dyDescent="0.25">
      <c r="A2835" s="1">
        <v>45351</v>
      </c>
      <c r="B2835" s="188" t="s">
        <v>82</v>
      </c>
      <c r="C2835" s="188" t="s">
        <v>2641</v>
      </c>
      <c r="D2835" s="18"/>
      <c r="E2835" s="4"/>
      <c r="F2835" s="5">
        <v>4357800</v>
      </c>
      <c r="G2835" s="4"/>
      <c r="H2835" s="4"/>
      <c r="I2835" s="188" t="str">
        <f>VLOOKUP(C2835,CATEGORIZACION!$A$1:$C$269,2,FALSE)</f>
        <v>SUELDOS</v>
      </c>
      <c r="J2835" s="188" t="s">
        <v>19</v>
      </c>
    </row>
    <row r="2836" spans="1:10" ht="15.75" customHeight="1" x14ac:dyDescent="0.25">
      <c r="A2836" s="1">
        <v>45351</v>
      </c>
      <c r="B2836" s="188" t="s">
        <v>82</v>
      </c>
      <c r="C2836" s="188" t="s">
        <v>2642</v>
      </c>
      <c r="D2836" s="18"/>
      <c r="E2836" s="4"/>
      <c r="F2836" s="3">
        <v>0</v>
      </c>
      <c r="G2836" s="4"/>
      <c r="H2836" s="4"/>
      <c r="I2836" s="188" t="str">
        <f>VLOOKUP(C2836,CATEGORIZACION!$A$1:$C$269,2,FALSE)</f>
        <v>SUELDOS</v>
      </c>
      <c r="J2836" s="188" t="s">
        <v>103</v>
      </c>
    </row>
    <row r="2837" spans="1:10" ht="15.75" customHeight="1" x14ac:dyDescent="0.25">
      <c r="A2837" s="1">
        <v>45351</v>
      </c>
      <c r="B2837" s="188" t="s">
        <v>82</v>
      </c>
      <c r="C2837" s="188" t="s">
        <v>188</v>
      </c>
      <c r="D2837" s="188"/>
      <c r="E2837" s="4"/>
      <c r="F2837" s="3">
        <v>2622400</v>
      </c>
      <c r="G2837" s="4"/>
      <c r="H2837" s="4"/>
      <c r="I2837" s="188" t="str">
        <f>VLOOKUP(C2837,CATEGORIZACION!$A$1:$C$269,2,FALSE)</f>
        <v>SUELDOS</v>
      </c>
      <c r="J2837" s="188" t="s">
        <v>103</v>
      </c>
    </row>
    <row r="2838" spans="1:10" ht="15.75" customHeight="1" x14ac:dyDescent="0.25">
      <c r="A2838" s="1">
        <v>45351</v>
      </c>
      <c r="B2838" s="188" t="s">
        <v>82</v>
      </c>
      <c r="C2838" s="188" t="s">
        <v>189</v>
      </c>
      <c r="D2838" s="188"/>
      <c r="E2838" s="4"/>
      <c r="F2838" s="3">
        <v>289200</v>
      </c>
      <c r="G2838" s="4"/>
      <c r="H2838" s="4"/>
      <c r="I2838" s="188" t="str">
        <f>VLOOKUP(C2838,CATEGORIZACION!$A$1:$C$269,2,FALSE)</f>
        <v>SUELDOS</v>
      </c>
      <c r="J2838" s="188" t="s">
        <v>103</v>
      </c>
    </row>
    <row r="2839" spans="1:10" ht="15.75" customHeight="1" x14ac:dyDescent="0.25">
      <c r="A2839" s="1">
        <v>45351</v>
      </c>
      <c r="B2839" s="188" t="s">
        <v>82</v>
      </c>
      <c r="C2839" s="188" t="s">
        <v>1114</v>
      </c>
      <c r="D2839" s="188"/>
      <c r="E2839" s="4"/>
      <c r="F2839" s="3">
        <v>0</v>
      </c>
      <c r="G2839" s="4"/>
      <c r="H2839" s="4"/>
      <c r="I2839" s="188" t="str">
        <f>VLOOKUP(C2839,CATEGORIZACION!$A$1:$C$269,2,FALSE)</f>
        <v>SUELDOS</v>
      </c>
      <c r="J2839" s="188" t="s">
        <v>103</v>
      </c>
    </row>
    <row r="2840" spans="1:10" ht="15.75" customHeight="1" x14ac:dyDescent="0.25">
      <c r="A2840" s="1">
        <v>45351</v>
      </c>
      <c r="B2840" s="188" t="s">
        <v>82</v>
      </c>
      <c r="C2840" s="188" t="s">
        <v>1115</v>
      </c>
      <c r="D2840" s="188"/>
      <c r="E2840" s="4"/>
      <c r="F2840" s="5">
        <v>0</v>
      </c>
      <c r="G2840" s="4"/>
      <c r="H2840" s="4"/>
      <c r="I2840" s="188" t="str">
        <f>VLOOKUP(C2840,CATEGORIZACION!$A$1:$C$269,2,FALSE)</f>
        <v>SUELDOS</v>
      </c>
      <c r="J2840" s="188" t="s">
        <v>19</v>
      </c>
    </row>
    <row r="2841" spans="1:10" ht="15.75" customHeight="1" x14ac:dyDescent="0.25">
      <c r="A2841" s="1">
        <v>45351</v>
      </c>
      <c r="B2841" s="188" t="s">
        <v>82</v>
      </c>
      <c r="C2841" s="188" t="s">
        <v>190</v>
      </c>
      <c r="D2841" s="188"/>
      <c r="E2841" s="4"/>
      <c r="F2841" s="5">
        <v>4845400</v>
      </c>
      <c r="G2841" s="4"/>
      <c r="H2841" s="4"/>
      <c r="I2841" s="188" t="str">
        <f>VLOOKUP(C2841,CATEGORIZACION!$A$1:$C$269,2,FALSE)</f>
        <v>SUELDOS</v>
      </c>
      <c r="J2841" s="188" t="s">
        <v>19</v>
      </c>
    </row>
    <row r="2842" spans="1:10" ht="15.75" customHeight="1" x14ac:dyDescent="0.25">
      <c r="A2842" s="1">
        <v>45351</v>
      </c>
      <c r="B2842" s="188" t="s">
        <v>82</v>
      </c>
      <c r="C2842" s="188" t="s">
        <v>191</v>
      </c>
      <c r="D2842" s="188"/>
      <c r="E2842" s="4"/>
      <c r="F2842" s="5">
        <v>1412200</v>
      </c>
      <c r="G2842" s="4"/>
      <c r="H2842" s="4"/>
      <c r="I2842" s="188" t="str">
        <f>VLOOKUP(C2842,CATEGORIZACION!$A$1:$C$269,2,FALSE)</f>
        <v>SUELDOS</v>
      </c>
      <c r="J2842" s="188" t="s">
        <v>19</v>
      </c>
    </row>
    <row r="2843" spans="1:10" ht="15.75" customHeight="1" x14ac:dyDescent="0.25">
      <c r="A2843" s="1">
        <v>45351</v>
      </c>
      <c r="B2843" s="188" t="s">
        <v>82</v>
      </c>
      <c r="C2843" s="188" t="s">
        <v>192</v>
      </c>
      <c r="D2843" s="188"/>
      <c r="E2843" s="4"/>
      <c r="F2843" s="3">
        <v>300000</v>
      </c>
      <c r="G2843" s="4"/>
      <c r="H2843" s="4"/>
      <c r="I2843" s="188" t="str">
        <f>VLOOKUP(C2843,CATEGORIZACION!$A$1:$C$269,2,FALSE)</f>
        <v>SUELDOS</v>
      </c>
      <c r="J2843" s="188" t="s">
        <v>103</v>
      </c>
    </row>
    <row r="2844" spans="1:10" ht="15.75" customHeight="1" x14ac:dyDescent="0.25">
      <c r="A2844" s="1">
        <v>45351</v>
      </c>
      <c r="B2844" s="188" t="s">
        <v>82</v>
      </c>
      <c r="C2844" s="188" t="s">
        <v>193</v>
      </c>
      <c r="D2844" s="188"/>
      <c r="E2844" s="4"/>
      <c r="F2844" s="5">
        <v>600000</v>
      </c>
      <c r="G2844" s="4"/>
      <c r="H2844" s="4"/>
      <c r="I2844" s="188" t="str">
        <f>VLOOKUP(C2844,CATEGORIZACION!$A$1:$C$269,2,FALSE)</f>
        <v>SUELDOS</v>
      </c>
      <c r="J2844" s="188" t="s">
        <v>19</v>
      </c>
    </row>
    <row r="2845" spans="1:10" ht="15.75" customHeight="1" x14ac:dyDescent="0.25">
      <c r="A2845" s="1">
        <v>45351</v>
      </c>
      <c r="B2845" s="188" t="s">
        <v>82</v>
      </c>
      <c r="C2845" s="188" t="s">
        <v>194</v>
      </c>
      <c r="D2845" s="188"/>
      <c r="E2845" s="4"/>
      <c r="F2845" s="3">
        <v>2054250</v>
      </c>
      <c r="G2845" s="4"/>
      <c r="H2845" s="4"/>
      <c r="I2845" s="188" t="str">
        <f>VLOOKUP(C2845,CATEGORIZACION!$A$1:$C$269,2,FALSE)</f>
        <v>ALQUILER</v>
      </c>
      <c r="J2845" s="188" t="s">
        <v>103</v>
      </c>
    </row>
    <row r="2846" spans="1:10" ht="15.75" customHeight="1" x14ac:dyDescent="0.25">
      <c r="A2846" s="1">
        <v>45351</v>
      </c>
      <c r="B2846" s="188" t="s">
        <v>82</v>
      </c>
      <c r="C2846" s="188" t="s">
        <v>196</v>
      </c>
      <c r="D2846" s="188"/>
      <c r="E2846" s="4"/>
      <c r="F2846" s="3">
        <v>712482</v>
      </c>
      <c r="G2846" s="4"/>
      <c r="H2846" s="4"/>
      <c r="I2846" s="188" t="str">
        <f>VLOOKUP(C2846,CATEGORIZACION!$A$1:$C$269,2,FALSE)</f>
        <v>ALQUILER</v>
      </c>
      <c r="J2846" s="188" t="s">
        <v>103</v>
      </c>
    </row>
    <row r="2847" spans="1:10" ht="15.75" customHeight="1" x14ac:dyDescent="0.25">
      <c r="A2847" s="1">
        <v>45351</v>
      </c>
      <c r="B2847" s="188" t="s">
        <v>82</v>
      </c>
      <c r="C2847" s="188" t="s">
        <v>197</v>
      </c>
      <c r="D2847" s="188"/>
      <c r="E2847" s="4"/>
      <c r="F2847" s="3">
        <v>69442</v>
      </c>
      <c r="G2847" s="4"/>
      <c r="H2847" s="4"/>
      <c r="I2847" s="188" t="str">
        <f>VLOOKUP(C2847,CATEGORIZACION!$A$1:$C$269,2,FALSE)</f>
        <v>ALQUILER</v>
      </c>
      <c r="J2847" s="188" t="s">
        <v>103</v>
      </c>
    </row>
    <row r="2848" spans="1:10" ht="15.75" customHeight="1" x14ac:dyDescent="0.25">
      <c r="A2848" s="1">
        <v>45351</v>
      </c>
      <c r="B2848" s="188" t="s">
        <v>82</v>
      </c>
      <c r="C2848" s="188" t="s">
        <v>198</v>
      </c>
      <c r="D2848" s="188"/>
      <c r="E2848" s="4"/>
      <c r="F2848" s="3">
        <v>335000</v>
      </c>
      <c r="G2848" s="4"/>
      <c r="H2848" s="4"/>
      <c r="I2848" s="188" t="str">
        <f>VLOOKUP(C2848,CATEGORIZACION!$A$1:$C$269,2,FALSE)</f>
        <v>ALQUILER</v>
      </c>
      <c r="J2848" s="188" t="s">
        <v>103</v>
      </c>
    </row>
    <row r="2849" spans="1:10" ht="15.75" customHeight="1" x14ac:dyDescent="0.25">
      <c r="A2849" s="1">
        <v>45351</v>
      </c>
      <c r="B2849" s="188" t="s">
        <v>82</v>
      </c>
      <c r="C2849" s="188" t="s">
        <v>199</v>
      </c>
      <c r="D2849" s="188"/>
      <c r="E2849" s="4"/>
      <c r="F2849" s="3">
        <v>6000</v>
      </c>
      <c r="G2849" s="4"/>
      <c r="H2849" s="4"/>
      <c r="I2849" s="188" t="str">
        <f>VLOOKUP(C2849,CATEGORIZACION!$A$1:$C$269,2,FALSE)</f>
        <v>PROOVEDORES</v>
      </c>
      <c r="J2849" s="188" t="str">
        <f>VLOOKUP(C2849,CATEGORIZACION!$A$1:$C$269,3,FALSE)</f>
        <v>DEPOSITO</v>
      </c>
    </row>
    <row r="2850" spans="1:10" ht="15.75" customHeight="1" x14ac:dyDescent="0.25">
      <c r="A2850" s="1">
        <v>45351</v>
      </c>
      <c r="B2850" s="188" t="s">
        <v>82</v>
      </c>
      <c r="C2850" s="188" t="s">
        <v>200</v>
      </c>
      <c r="D2850" s="188"/>
      <c r="E2850" s="4"/>
      <c r="F2850" s="5">
        <v>781000</v>
      </c>
      <c r="G2850" s="4"/>
      <c r="H2850" s="4"/>
      <c r="I2850" s="188" t="str">
        <f>VLOOKUP(C2850,CATEGORIZACION!$A$1:$C$269,2,FALSE)</f>
        <v>PROOVEDORES</v>
      </c>
      <c r="J2850" s="188" t="str">
        <f>VLOOKUP(C2850,CATEGORIZACION!$A$1:$C$269,3,FALSE)</f>
        <v>LOGISTICA</v>
      </c>
    </row>
    <row r="2851" spans="1:10" ht="15.75" customHeight="1" x14ac:dyDescent="0.25">
      <c r="A2851" s="1">
        <v>45351</v>
      </c>
      <c r="B2851" s="188" t="s">
        <v>82</v>
      </c>
      <c r="C2851" s="188" t="s">
        <v>203</v>
      </c>
      <c r="D2851" s="188"/>
      <c r="E2851" s="4"/>
      <c r="F2851" s="5">
        <v>0</v>
      </c>
      <c r="G2851" s="4"/>
      <c r="H2851" s="4"/>
      <c r="I2851" s="188" t="str">
        <f>VLOOKUP(C2851,CATEGORIZACION!$A$1:$C$269,2,FALSE)</f>
        <v>PROOVEDORES</v>
      </c>
      <c r="J2851" s="188" t="str">
        <f>VLOOKUP(C2851,CATEGORIZACION!$A$1:$C$269,3,FALSE)</f>
        <v>LOGISTICA</v>
      </c>
    </row>
    <row r="2852" spans="1:10" ht="15.75" customHeight="1" x14ac:dyDescent="0.25">
      <c r="A2852" s="1">
        <v>45351</v>
      </c>
      <c r="B2852" s="188" t="s">
        <v>82</v>
      </c>
      <c r="C2852" s="188" t="s">
        <v>204</v>
      </c>
      <c r="D2852" s="188"/>
      <c r="E2852" s="4"/>
      <c r="F2852" s="5">
        <v>1930794</v>
      </c>
      <c r="G2852" s="4"/>
      <c r="H2852" s="4"/>
      <c r="I2852" s="188" t="str">
        <f>VLOOKUP(C2852,CATEGORIZACION!$A$1:$C$269,2,FALSE)</f>
        <v>PROOVEDORES</v>
      </c>
      <c r="J2852" s="188" t="str">
        <f>VLOOKUP(C2852,CATEGORIZACION!$A$1:$C$269,3,FALSE)</f>
        <v>LOGISTICA</v>
      </c>
    </row>
    <row r="2853" spans="1:10" ht="15.75" customHeight="1" x14ac:dyDescent="0.25">
      <c r="A2853" s="1">
        <v>45351</v>
      </c>
      <c r="B2853" s="188" t="s">
        <v>82</v>
      </c>
      <c r="C2853" s="188" t="s">
        <v>205</v>
      </c>
      <c r="D2853" s="188"/>
      <c r="E2853" s="4"/>
      <c r="F2853" s="92">
        <v>265811</v>
      </c>
      <c r="G2853" s="4"/>
      <c r="H2853" s="4"/>
      <c r="I2853" s="188" t="str">
        <f>VLOOKUP(C2853,CATEGORIZACION!$A$1:$C$269,2,FALSE)</f>
        <v>AFIP</v>
      </c>
      <c r="J2853" s="188" t="s">
        <v>19</v>
      </c>
    </row>
    <row r="2854" spans="1:10" ht="15.75" customHeight="1" x14ac:dyDescent="0.25">
      <c r="A2854" s="1">
        <v>45351</v>
      </c>
      <c r="B2854" s="188" t="s">
        <v>82</v>
      </c>
      <c r="C2854" s="188" t="s">
        <v>690</v>
      </c>
      <c r="D2854" s="188"/>
      <c r="E2854" s="4"/>
      <c r="F2854" s="202">
        <v>1136981</v>
      </c>
      <c r="G2854" s="4"/>
      <c r="H2854" s="4"/>
      <c r="I2854" s="188" t="str">
        <f>VLOOKUP(C2854,CATEGORIZACION!$A$1:$C$269,2,FALSE)</f>
        <v>AFIP</v>
      </c>
      <c r="J2854" s="188" t="s">
        <v>103</v>
      </c>
    </row>
    <row r="2855" spans="1:10" ht="15.75" customHeight="1" x14ac:dyDescent="0.25">
      <c r="A2855" s="1">
        <v>45351</v>
      </c>
      <c r="B2855" s="188" t="s">
        <v>82</v>
      </c>
      <c r="C2855" s="188" t="s">
        <v>206</v>
      </c>
      <c r="D2855" s="188"/>
      <c r="E2855" s="4"/>
      <c r="F2855" s="92">
        <v>1819287</v>
      </c>
      <c r="G2855" s="4"/>
      <c r="H2855" s="4"/>
      <c r="I2855" s="188" t="str">
        <f>VLOOKUP(C2855,CATEGORIZACION!$A$1:$C$269,2,FALSE)</f>
        <v>AFIP</v>
      </c>
      <c r="J2855" s="188" t="s">
        <v>19</v>
      </c>
    </row>
    <row r="2856" spans="1:10" ht="15.75" customHeight="1" x14ac:dyDescent="0.25">
      <c r="A2856" s="1">
        <v>45351</v>
      </c>
      <c r="B2856" s="188" t="s">
        <v>82</v>
      </c>
      <c r="C2856" s="188" t="s">
        <v>207</v>
      </c>
      <c r="D2856" s="188"/>
      <c r="E2856" s="4"/>
      <c r="F2856" s="92" t="s">
        <v>2643</v>
      </c>
      <c r="G2856" s="4"/>
      <c r="H2856" s="4"/>
      <c r="I2856" s="188" t="str">
        <f>VLOOKUP(C2856,CATEGORIZACION!$A$1:$C$269,2,FALSE)</f>
        <v>AFIP</v>
      </c>
      <c r="J2856" s="188" t="s">
        <v>19</v>
      </c>
    </row>
    <row r="2857" spans="1:10" ht="15.75" customHeight="1" x14ac:dyDescent="0.25">
      <c r="A2857" s="1">
        <v>45351</v>
      </c>
      <c r="B2857" s="188" t="s">
        <v>82</v>
      </c>
      <c r="C2857" s="188" t="s">
        <v>208</v>
      </c>
      <c r="D2857" s="188"/>
      <c r="E2857" s="4"/>
      <c r="F2857" s="93"/>
      <c r="G2857" s="4"/>
      <c r="H2857" s="4"/>
      <c r="I2857" s="188" t="str">
        <f>VLOOKUP(C2857,CATEGORIZACION!$A$1:$C$269,2,FALSE)</f>
        <v>AFIP</v>
      </c>
      <c r="J2857" s="188" t="s">
        <v>19</v>
      </c>
    </row>
    <row r="2858" spans="1:10" ht="15.75" customHeight="1" x14ac:dyDescent="0.25">
      <c r="A2858" s="1">
        <v>45351</v>
      </c>
      <c r="B2858" s="188" t="s">
        <v>82</v>
      </c>
      <c r="C2858" s="188" t="s">
        <v>209</v>
      </c>
      <c r="D2858" s="188"/>
      <c r="E2858" s="4"/>
      <c r="F2858" s="92">
        <v>0</v>
      </c>
      <c r="G2858" s="4"/>
      <c r="H2858" s="4"/>
      <c r="I2858" s="188" t="str">
        <f>VLOOKUP(C2858,CATEGORIZACION!$A$1:$C$269,2,FALSE)</f>
        <v>PROOVEDORES</v>
      </c>
      <c r="J2858" s="188" t="str">
        <f>VLOOKUP(C2858,CATEGORIZACION!$A$1:$C$269,3,FALSE)</f>
        <v>LOGISTICA</v>
      </c>
    </row>
    <row r="2859" spans="1:10" ht="15.75" customHeight="1" x14ac:dyDescent="0.25">
      <c r="A2859" s="1">
        <v>45351</v>
      </c>
      <c r="B2859" s="188" t="s">
        <v>82</v>
      </c>
      <c r="C2859" s="188" t="s">
        <v>210</v>
      </c>
      <c r="D2859" s="188"/>
      <c r="E2859" s="4"/>
      <c r="F2859" s="92">
        <v>388524.82</v>
      </c>
      <c r="G2859" s="4"/>
      <c r="H2859" s="4"/>
      <c r="I2859" s="188" t="str">
        <f>VLOOKUP(C2859,CATEGORIZACION!$A$1:$C$269,2,FALSE)</f>
        <v>PROOVEDORES</v>
      </c>
      <c r="J2859" s="188" t="str">
        <f>VLOOKUP(C2859,CATEGORIZACION!$A$1:$C$269,3,FALSE)</f>
        <v>LOGISTICA</v>
      </c>
    </row>
    <row r="2860" spans="1:10" ht="15.75" customHeight="1" x14ac:dyDescent="0.25">
      <c r="A2860" s="1">
        <v>45351</v>
      </c>
      <c r="B2860" s="188" t="s">
        <v>82</v>
      </c>
      <c r="C2860" s="188" t="s">
        <v>211</v>
      </c>
      <c r="D2860" s="188"/>
      <c r="E2860" s="4"/>
      <c r="F2860" s="92">
        <v>10938.87</v>
      </c>
      <c r="G2860" s="4"/>
      <c r="H2860" s="4"/>
      <c r="I2860" s="188" t="str">
        <f>VLOOKUP(C2860,CATEGORIZACION!$A$1:$C$269,2,FALSE)</f>
        <v>PROOVEDORES</v>
      </c>
      <c r="J2860" s="188" t="str">
        <f>VLOOKUP(C2860,CATEGORIZACION!$A$1:$C$269,3,FALSE)</f>
        <v>LOGISTICA</v>
      </c>
    </row>
    <row r="2861" spans="1:10" ht="15.75" customHeight="1" x14ac:dyDescent="0.25">
      <c r="A2861" s="1">
        <v>45351</v>
      </c>
      <c r="B2861" s="188" t="s">
        <v>82</v>
      </c>
      <c r="C2861" s="188" t="s">
        <v>2174</v>
      </c>
      <c r="D2861" s="188"/>
      <c r="E2861" s="4"/>
      <c r="F2861" s="92">
        <v>119546.09</v>
      </c>
      <c r="G2861" s="4"/>
      <c r="H2861" s="4"/>
      <c r="I2861" s="188" t="str">
        <f>VLOOKUP(C2861,CATEGORIZACION!$A$1:$C$269,2,FALSE)</f>
        <v>PROOVEDORES</v>
      </c>
      <c r="J2861" s="188" t="str">
        <f>VLOOKUP(C2861,CATEGORIZACION!$A$1:$C$269,3,FALSE)</f>
        <v>LOGISTICA</v>
      </c>
    </row>
    <row r="2862" spans="1:10" ht="15.75" customHeight="1" x14ac:dyDescent="0.25">
      <c r="A2862" s="1">
        <v>45351</v>
      </c>
      <c r="B2862" s="188" t="s">
        <v>82</v>
      </c>
      <c r="C2862" s="188" t="s">
        <v>2644</v>
      </c>
      <c r="D2862" s="188"/>
      <c r="E2862" s="4"/>
      <c r="F2862" s="5">
        <v>601225.68999999994</v>
      </c>
      <c r="G2862" s="4"/>
      <c r="H2862" s="4"/>
      <c r="I2862" s="188" t="str">
        <f>VLOOKUP(C2862,CATEGORIZACION!$A$1:$C$269,2,FALSE)</f>
        <v>PROOVEDORES</v>
      </c>
      <c r="J2862" s="188" t="str">
        <f>VLOOKUP(C2862,CATEGORIZACION!$A$1:$C$269,3,FALSE)</f>
        <v>LOGISTICA</v>
      </c>
    </row>
    <row r="2863" spans="1:10" ht="15.75" customHeight="1" x14ac:dyDescent="0.25">
      <c r="A2863" s="1">
        <v>45351</v>
      </c>
      <c r="B2863" s="188" t="s">
        <v>82</v>
      </c>
      <c r="C2863" s="188" t="s">
        <v>2645</v>
      </c>
      <c r="D2863" s="188"/>
      <c r="E2863" s="4"/>
      <c r="F2863" s="3">
        <v>3551428.51</v>
      </c>
      <c r="G2863" s="4"/>
      <c r="H2863" s="4"/>
      <c r="I2863" s="188" t="str">
        <f>VLOOKUP(C2863,CATEGORIZACION!$A$1:$C$269,2,FALSE)</f>
        <v>PROOVEDORES</v>
      </c>
      <c r="J2863" s="188" t="str">
        <f>VLOOKUP(C2863,CATEGORIZACION!$A$1:$C$269,3,FALSE)</f>
        <v>LOGISTICA</v>
      </c>
    </row>
    <row r="2864" spans="1:10" ht="15.75" customHeight="1" x14ac:dyDescent="0.25">
      <c r="A2864" s="1">
        <v>45351</v>
      </c>
      <c r="B2864" s="188" t="s">
        <v>82</v>
      </c>
      <c r="C2864" s="188" t="s">
        <v>213</v>
      </c>
      <c r="D2864" s="188"/>
      <c r="E2864" s="4"/>
      <c r="F2864" s="9"/>
      <c r="G2864" s="4"/>
      <c r="H2864" s="4"/>
      <c r="I2864" s="188" t="str">
        <f>VLOOKUP(C2864,CATEGORIZACION!$A$1:$C$269,2,FALSE)</f>
        <v>AFIP</v>
      </c>
      <c r="J2864" s="188" t="s">
        <v>19</v>
      </c>
    </row>
    <row r="2865" spans="1:10" ht="15.75" customHeight="1" x14ac:dyDescent="0.25">
      <c r="A2865" s="1">
        <v>45351</v>
      </c>
      <c r="B2865" s="188" t="s">
        <v>82</v>
      </c>
      <c r="C2865" s="188" t="s">
        <v>2484</v>
      </c>
      <c r="D2865" s="188"/>
      <c r="E2865" s="4"/>
      <c r="F2865" s="3">
        <v>30000</v>
      </c>
      <c r="G2865" s="4"/>
      <c r="H2865" s="4"/>
      <c r="I2865" s="188" t="str">
        <f>VLOOKUP(C2865,CATEGORIZACION!$A$1:$C$269,2,FALSE)</f>
        <v>PROOVEDORES</v>
      </c>
      <c r="J2865" s="188" t="str">
        <f>VLOOKUP(C2865,CATEGORIZACION!$A$1:$C$269,3,FALSE)</f>
        <v>DEPOSITO</v>
      </c>
    </row>
    <row r="2866" spans="1:10" ht="15.75" customHeight="1" x14ac:dyDescent="0.25">
      <c r="A2866" s="1">
        <v>45351</v>
      </c>
      <c r="B2866" s="188" t="s">
        <v>82</v>
      </c>
      <c r="C2866" s="188" t="s">
        <v>2483</v>
      </c>
      <c r="D2866" s="188"/>
      <c r="E2866" s="4"/>
      <c r="F2866" s="3">
        <v>144000</v>
      </c>
      <c r="G2866" s="4"/>
      <c r="H2866" s="4"/>
      <c r="I2866" s="188" t="str">
        <f>VLOOKUP(C2866,CATEGORIZACION!$A$1:$C$269,2,FALSE)</f>
        <v>PROOVEDORES</v>
      </c>
      <c r="J2866" s="188" t="str">
        <f>VLOOKUP(C2866,CATEGORIZACION!$A$1:$C$269,3,FALSE)</f>
        <v>DEPOSITO</v>
      </c>
    </row>
    <row r="2867" spans="1:10" ht="15.75" customHeight="1" x14ac:dyDescent="0.25">
      <c r="A2867" s="1">
        <v>45351</v>
      </c>
      <c r="B2867" s="188" t="s">
        <v>82</v>
      </c>
      <c r="C2867" s="188" t="s">
        <v>2486</v>
      </c>
      <c r="D2867" s="188"/>
      <c r="E2867" s="4"/>
      <c r="F2867" s="3">
        <v>418000</v>
      </c>
      <c r="G2867" s="4"/>
      <c r="H2867" s="4"/>
      <c r="I2867" s="188" t="str">
        <f>VLOOKUP(C2867,CATEGORIZACION!$A$1:$C$269,2,FALSE)</f>
        <v>PROOVEDORES</v>
      </c>
      <c r="J2867" s="188" t="str">
        <f>VLOOKUP(C2867,CATEGORIZACION!$A$1:$C$269,3,FALSE)</f>
        <v>DEPOSITO</v>
      </c>
    </row>
    <row r="2868" spans="1:10" ht="15.75" customHeight="1" x14ac:dyDescent="0.25">
      <c r="A2868" s="1">
        <v>45351</v>
      </c>
      <c r="B2868" s="188" t="s">
        <v>82</v>
      </c>
      <c r="C2868" s="188" t="s">
        <v>2485</v>
      </c>
      <c r="D2868" s="188"/>
      <c r="E2868" s="4"/>
      <c r="F2868" s="3">
        <v>117000</v>
      </c>
      <c r="G2868" s="4"/>
      <c r="H2868" s="4"/>
      <c r="I2868" s="188" t="str">
        <f>VLOOKUP(C2868,CATEGORIZACION!$A$1:$C$269,2,FALSE)</f>
        <v>PROOVEDORES</v>
      </c>
      <c r="J2868" s="188" t="str">
        <f>VLOOKUP(C2868,CATEGORIZACION!$A$1:$C$269,3,FALSE)</f>
        <v>DEPOSITO</v>
      </c>
    </row>
    <row r="2869" spans="1:10" ht="15.75" customHeight="1" x14ac:dyDescent="0.25">
      <c r="A2869" s="1">
        <v>45289</v>
      </c>
      <c r="B2869" s="10" t="s">
        <v>2646</v>
      </c>
      <c r="C2869" s="188" t="s">
        <v>84</v>
      </c>
      <c r="D2869" s="188"/>
      <c r="E2869" s="4"/>
      <c r="F2869" s="10">
        <v>1357470.04</v>
      </c>
      <c r="G2869" s="10">
        <v>285068.71000000002</v>
      </c>
      <c r="H2869" s="10">
        <v>1685371.41</v>
      </c>
      <c r="I2869" s="188" t="str">
        <f>VLOOKUP(C2869,CATEGORIZACION!$A$1:$C$269,2,FALSE)</f>
        <v>PROOVEDORES</v>
      </c>
      <c r="J2869" s="188" t="str">
        <f>VLOOKUP(C2869,CATEGORIZACION!$A$1:$C$269,3,FALSE)</f>
        <v>LOGISTICA</v>
      </c>
    </row>
    <row r="2870" spans="1:10" ht="15.75" customHeight="1" x14ac:dyDescent="0.25">
      <c r="A2870" s="1">
        <v>44957</v>
      </c>
      <c r="B2870" s="188" t="s">
        <v>82</v>
      </c>
      <c r="C2870" s="105" t="s">
        <v>690</v>
      </c>
      <c r="D2870" s="188"/>
      <c r="E2870" s="4"/>
      <c r="F2870" s="3">
        <v>321308</v>
      </c>
      <c r="G2870" s="4"/>
      <c r="H2870" s="4"/>
      <c r="I2870" s="188" t="str">
        <f>VLOOKUP(C2870,CATEGORIZACION!$A$1:$C$269,2,FALSE)</f>
        <v>AFIP</v>
      </c>
      <c r="J2870" s="188" t="str">
        <f>VLOOKUP(C2870,CATEGORIZACION!$A$1:$C$269,3,FALSE)</f>
        <v>DEPOSITO</v>
      </c>
    </row>
    <row r="2871" spans="1:10" ht="15.75" customHeight="1" x14ac:dyDescent="0.25">
      <c r="A2871" s="1">
        <v>44985</v>
      </c>
      <c r="B2871" s="188" t="s">
        <v>82</v>
      </c>
      <c r="C2871" s="105" t="s">
        <v>690</v>
      </c>
      <c r="D2871" s="188"/>
      <c r="E2871" s="4"/>
      <c r="F2871" s="3">
        <v>321308</v>
      </c>
      <c r="G2871" s="4"/>
      <c r="H2871" s="4"/>
      <c r="I2871" s="188" t="str">
        <f>VLOOKUP(C2871,CATEGORIZACION!$A$1:$C$269,2,FALSE)</f>
        <v>AFIP</v>
      </c>
      <c r="J2871" s="188" t="str">
        <f>VLOOKUP(C2871,CATEGORIZACION!$A$1:$C$269,3,FALSE)</f>
        <v>DEPOSITO</v>
      </c>
    </row>
    <row r="2872" spans="1:10" ht="15.75" customHeight="1" x14ac:dyDescent="0.25">
      <c r="A2872" s="1">
        <v>45016</v>
      </c>
      <c r="B2872" s="188" t="s">
        <v>82</v>
      </c>
      <c r="C2872" s="105" t="s">
        <v>690</v>
      </c>
      <c r="D2872" s="188"/>
      <c r="E2872" s="4"/>
      <c r="F2872" s="3">
        <v>452206</v>
      </c>
      <c r="G2872" s="4"/>
      <c r="H2872" s="4"/>
      <c r="I2872" s="188" t="str">
        <f>VLOOKUP(C2872,CATEGORIZACION!$A$1:$C$269,2,FALSE)</f>
        <v>AFIP</v>
      </c>
      <c r="J2872" s="188" t="str">
        <f>VLOOKUP(C2872,CATEGORIZACION!$A$1:$C$269,3,FALSE)</f>
        <v>DEPOSITO</v>
      </c>
    </row>
    <row r="2873" spans="1:10" ht="15.75" customHeight="1" x14ac:dyDescent="0.25">
      <c r="A2873" s="1">
        <v>45077</v>
      </c>
      <c r="B2873" s="188" t="s">
        <v>82</v>
      </c>
      <c r="C2873" s="105" t="s">
        <v>690</v>
      </c>
      <c r="D2873" s="188"/>
      <c r="E2873" s="4"/>
      <c r="F2873" s="3">
        <v>501399</v>
      </c>
      <c r="G2873" s="4"/>
      <c r="H2873" s="4"/>
      <c r="I2873" s="188" t="str">
        <f>VLOOKUP(C2873,CATEGORIZACION!$A$1:$C$269,2,FALSE)</f>
        <v>AFIP</v>
      </c>
      <c r="J2873" s="188" t="s">
        <v>103</v>
      </c>
    </row>
    <row r="2874" spans="1:10" ht="15.75" customHeight="1" x14ac:dyDescent="0.25">
      <c r="A2874" s="1">
        <v>45373</v>
      </c>
      <c r="B2874" s="188" t="s">
        <v>82</v>
      </c>
      <c r="C2874" s="188" t="s">
        <v>2647</v>
      </c>
      <c r="D2874" s="188"/>
      <c r="E2874" s="4"/>
      <c r="F2874" s="3">
        <v>5120850</v>
      </c>
      <c r="G2874" s="4"/>
      <c r="H2874" s="3">
        <v>5120850</v>
      </c>
      <c r="I2874" s="188" t="s">
        <v>1816</v>
      </c>
      <c r="J2874" s="188" t="s">
        <v>19</v>
      </c>
    </row>
    <row r="2875" spans="1:10" ht="15.75" customHeight="1" x14ac:dyDescent="0.25">
      <c r="A2875" s="1">
        <v>45367</v>
      </c>
      <c r="B2875" s="188" t="s">
        <v>82</v>
      </c>
      <c r="C2875" s="188" t="s">
        <v>2648</v>
      </c>
      <c r="D2875" s="188"/>
      <c r="E2875" s="4"/>
      <c r="F2875" s="3">
        <v>3643878</v>
      </c>
      <c r="G2875" s="4"/>
      <c r="H2875" s="3">
        <v>3643878</v>
      </c>
      <c r="I2875" s="188" t="s">
        <v>1816</v>
      </c>
      <c r="J2875" s="188" t="s">
        <v>19</v>
      </c>
    </row>
    <row r="2876" spans="1:10" ht="15" customHeight="1" x14ac:dyDescent="0.25">
      <c r="A2876" s="104">
        <v>45352</v>
      </c>
      <c r="B2876" s="105" t="s">
        <v>2649</v>
      </c>
      <c r="C2876" s="105" t="s">
        <v>49</v>
      </c>
      <c r="D2876" s="105" t="s">
        <v>50</v>
      </c>
      <c r="E2876" s="106">
        <v>0</v>
      </c>
      <c r="F2876" s="201">
        <v>421100</v>
      </c>
      <c r="G2876" s="106">
        <v>88431</v>
      </c>
      <c r="H2876" s="106">
        <v>509531</v>
      </c>
      <c r="I2876" t="str">
        <f>VLOOKUP(C2876,CATEGORIZACION!$A$2:$C$256,2,FALSE)</f>
        <v>PROOVEDORES</v>
      </c>
      <c r="J2876" t="str">
        <f>VLOOKUP(C2876,CATEGORIZACION!$A$2:$C$256,3,FALSE)</f>
        <v>DEPOSITO</v>
      </c>
    </row>
    <row r="2877" spans="1:10" ht="15" customHeight="1" x14ac:dyDescent="0.25">
      <c r="A2877" s="104">
        <v>45352</v>
      </c>
      <c r="B2877" s="105" t="s">
        <v>2650</v>
      </c>
      <c r="C2877" s="105" t="s">
        <v>49</v>
      </c>
      <c r="D2877" s="105" t="s">
        <v>50</v>
      </c>
      <c r="E2877" s="106">
        <v>0</v>
      </c>
      <c r="F2877" s="201">
        <v>421100</v>
      </c>
      <c r="G2877" s="106">
        <v>88431</v>
      </c>
      <c r="H2877" s="106">
        <v>509531</v>
      </c>
      <c r="I2877" t="str">
        <f>VLOOKUP(C2877,CATEGORIZACION!$A$2:$C$256,2,FALSE)</f>
        <v>PROOVEDORES</v>
      </c>
      <c r="J2877" t="str">
        <f>VLOOKUP(C2877,CATEGORIZACION!$A$2:$C$256,3,FALSE)</f>
        <v>DEPOSITO</v>
      </c>
    </row>
    <row r="2878" spans="1:10" ht="15" customHeight="1" x14ac:dyDescent="0.25">
      <c r="A2878" s="104">
        <v>45352</v>
      </c>
      <c r="B2878" s="105" t="s">
        <v>2651</v>
      </c>
      <c r="C2878" s="105" t="s">
        <v>14</v>
      </c>
      <c r="D2878" s="105" t="s">
        <v>15</v>
      </c>
      <c r="E2878" s="106">
        <v>0</v>
      </c>
      <c r="F2878" s="201">
        <v>103380</v>
      </c>
      <c r="G2878" s="106">
        <v>21709.8</v>
      </c>
      <c r="H2878" s="106">
        <v>125089.8</v>
      </c>
      <c r="I2878" t="str">
        <f>VLOOKUP(C2878,CATEGORIZACION!$A$2:$C$256,2,FALSE)</f>
        <v>PROOVEDORES</v>
      </c>
      <c r="J2878" t="str">
        <f>VLOOKUP(C2878,CATEGORIZACION!$A$2:$C$256,3,FALSE)</f>
        <v>DEPOSITO</v>
      </c>
    </row>
    <row r="2879" spans="1:10" ht="15" customHeight="1" x14ac:dyDescent="0.25">
      <c r="A2879" s="104">
        <v>45352</v>
      </c>
      <c r="B2879" s="105" t="s">
        <v>2652</v>
      </c>
      <c r="C2879" s="105" t="s">
        <v>17</v>
      </c>
      <c r="D2879" s="105" t="s">
        <v>18</v>
      </c>
      <c r="E2879" s="106">
        <v>22067</v>
      </c>
      <c r="F2879" s="106">
        <v>522000</v>
      </c>
      <c r="G2879" s="106">
        <v>109620</v>
      </c>
      <c r="H2879" s="106">
        <v>653687</v>
      </c>
      <c r="I2879" t="str">
        <f>VLOOKUP(C2879,CATEGORIZACION!$A$2:$C$256,2,FALSE)</f>
        <v>TRANSPORTE</v>
      </c>
      <c r="J2879" t="str">
        <f>VLOOKUP(C2879,CATEGORIZACION!$A$2:$C$256,3,FALSE)</f>
        <v>LOGISTICA</v>
      </c>
    </row>
    <row r="2880" spans="1:10" ht="15" customHeight="1" x14ac:dyDescent="0.25">
      <c r="A2880" s="104">
        <v>45352</v>
      </c>
      <c r="B2880" s="105" t="s">
        <v>2653</v>
      </c>
      <c r="C2880" s="105" t="s">
        <v>17</v>
      </c>
      <c r="D2880" s="105" t="s">
        <v>18</v>
      </c>
      <c r="E2880" s="106">
        <v>53376</v>
      </c>
      <c r="F2880" s="106">
        <v>900000</v>
      </c>
      <c r="G2880" s="106">
        <v>189000</v>
      </c>
      <c r="H2880" s="106">
        <v>1142376</v>
      </c>
      <c r="I2880" t="str">
        <f>VLOOKUP(C2880,CATEGORIZACION!$A$2:$C$256,2,FALSE)</f>
        <v>TRANSPORTE</v>
      </c>
      <c r="J2880" t="str">
        <f>VLOOKUP(C2880,CATEGORIZACION!$A$2:$C$256,3,FALSE)</f>
        <v>LOGISTICA</v>
      </c>
    </row>
    <row r="2881" spans="1:10" ht="15" customHeight="1" x14ac:dyDescent="0.25">
      <c r="A2881" s="104">
        <v>45352</v>
      </c>
      <c r="B2881" s="105" t="s">
        <v>2654</v>
      </c>
      <c r="C2881" s="105" t="s">
        <v>218</v>
      </c>
      <c r="D2881" s="105" t="s">
        <v>219</v>
      </c>
      <c r="E2881" s="106">
        <v>0</v>
      </c>
      <c r="F2881" s="106">
        <v>416295.44</v>
      </c>
      <c r="G2881" s="106">
        <v>87422.04</v>
      </c>
      <c r="H2881" s="106">
        <v>503717.48</v>
      </c>
      <c r="I2881" t="str">
        <f>VLOOKUP(C2881,CATEGORIZACION!$A$2:$C$256,2,FALSE)</f>
        <v>PROOVEDORES</v>
      </c>
      <c r="J2881" t="str">
        <f>VLOOKUP(C2881,CATEGORIZACION!$A$2:$C$256,3,FALSE)</f>
        <v>LOGISTICA</v>
      </c>
    </row>
    <row r="2882" spans="1:10" ht="15" customHeight="1" x14ac:dyDescent="0.25">
      <c r="A2882" s="104">
        <v>45355</v>
      </c>
      <c r="B2882" s="105" t="s">
        <v>2655</v>
      </c>
      <c r="C2882" s="105" t="s">
        <v>87</v>
      </c>
      <c r="D2882" s="105" t="s">
        <v>88</v>
      </c>
      <c r="E2882" s="106">
        <v>0</v>
      </c>
      <c r="F2882" s="106">
        <v>59300</v>
      </c>
      <c r="G2882" s="106">
        <v>12453</v>
      </c>
      <c r="H2882" s="106">
        <v>71753</v>
      </c>
      <c r="I2882" t="str">
        <f>VLOOKUP(C2882,CATEGORIZACION!$A$2:$C$256,2,FALSE)</f>
        <v>PROOVEDORES</v>
      </c>
      <c r="J2882" t="str">
        <f>VLOOKUP(C2882,CATEGORIZACION!$A$2:$C$256,3,FALSE)</f>
        <v>LOGISTICA</v>
      </c>
    </row>
    <row r="2883" spans="1:10" ht="15" customHeight="1" x14ac:dyDescent="0.25">
      <c r="A2883" s="104">
        <v>45355</v>
      </c>
      <c r="B2883" s="105" t="s">
        <v>2656</v>
      </c>
      <c r="C2883" s="105" t="s">
        <v>21</v>
      </c>
      <c r="D2883" s="105" t="s">
        <v>22</v>
      </c>
      <c r="E2883" s="106">
        <v>15040</v>
      </c>
      <c r="F2883" s="106">
        <v>518000</v>
      </c>
      <c r="G2883" s="106">
        <v>108780</v>
      </c>
      <c r="H2883" s="106">
        <v>641820</v>
      </c>
      <c r="I2883" t="str">
        <f>VLOOKUP(C2883,CATEGORIZACION!$A$2:$C$256,2,FALSE)</f>
        <v>TRANSPORTE</v>
      </c>
      <c r="J2883" t="str">
        <f>VLOOKUP(C2883,CATEGORIZACION!$A$2:$C$256,3,FALSE)</f>
        <v>LOGISTICA</v>
      </c>
    </row>
    <row r="2884" spans="1:10" ht="15" customHeight="1" x14ac:dyDescent="0.25">
      <c r="A2884" s="104">
        <v>45355</v>
      </c>
      <c r="B2884" s="105" t="s">
        <v>2657</v>
      </c>
      <c r="C2884" s="105" t="s">
        <v>21</v>
      </c>
      <c r="D2884" s="105" t="s">
        <v>22</v>
      </c>
      <c r="E2884" s="106">
        <v>36490</v>
      </c>
      <c r="F2884" s="106">
        <v>955000</v>
      </c>
      <c r="G2884" s="106">
        <v>200550</v>
      </c>
      <c r="H2884" s="106">
        <v>1192040</v>
      </c>
      <c r="I2884" t="str">
        <f>VLOOKUP(C2884,CATEGORIZACION!$A$2:$C$256,2,FALSE)</f>
        <v>TRANSPORTE</v>
      </c>
      <c r="J2884" t="str">
        <f>VLOOKUP(C2884,CATEGORIZACION!$A$2:$C$256,3,FALSE)</f>
        <v>LOGISTICA</v>
      </c>
    </row>
    <row r="2885" spans="1:10" ht="15" customHeight="1" x14ac:dyDescent="0.25">
      <c r="A2885" s="104">
        <v>45355</v>
      </c>
      <c r="B2885" s="105" t="s">
        <v>2658</v>
      </c>
      <c r="C2885" s="105" t="s">
        <v>21</v>
      </c>
      <c r="D2885" s="105" t="s">
        <v>22</v>
      </c>
      <c r="E2885" s="106">
        <v>15685</v>
      </c>
      <c r="F2885" s="106">
        <v>285000</v>
      </c>
      <c r="G2885" s="106">
        <v>59850</v>
      </c>
      <c r="H2885" s="106">
        <v>360535</v>
      </c>
      <c r="I2885" t="str">
        <f>VLOOKUP(C2885,CATEGORIZACION!$A$2:$C$256,2,FALSE)</f>
        <v>TRANSPORTE</v>
      </c>
      <c r="J2885" t="str">
        <f>VLOOKUP(C2885,CATEGORIZACION!$A$2:$C$256,3,FALSE)</f>
        <v>LOGISTICA</v>
      </c>
    </row>
    <row r="2886" spans="1:10" ht="15" customHeight="1" x14ac:dyDescent="0.25">
      <c r="A2886" s="104">
        <v>45355</v>
      </c>
      <c r="B2886" s="105" t="s">
        <v>2659</v>
      </c>
      <c r="C2886" s="105" t="s">
        <v>253</v>
      </c>
      <c r="D2886" s="105" t="s">
        <v>57</v>
      </c>
      <c r="E2886" s="106">
        <v>0</v>
      </c>
      <c r="F2886" s="106">
        <v>606373.72</v>
      </c>
      <c r="G2886" s="106">
        <v>127338.48</v>
      </c>
      <c r="H2886" s="106">
        <v>733712.2</v>
      </c>
      <c r="I2886" t="str">
        <f>VLOOKUP(C2886,CATEGORIZACION!$A$2:$C$256,2,FALSE)</f>
        <v>PROOVEDORES</v>
      </c>
      <c r="J2886" t="str">
        <f>VLOOKUP(C2886,CATEGORIZACION!$A$2:$C$256,3,FALSE)</f>
        <v>LOGISTICA</v>
      </c>
    </row>
    <row r="2887" spans="1:10" ht="15" customHeight="1" x14ac:dyDescent="0.25">
      <c r="A2887" s="104">
        <v>45355</v>
      </c>
      <c r="B2887" s="105" t="s">
        <v>2660</v>
      </c>
      <c r="C2887" s="105" t="s">
        <v>801</v>
      </c>
      <c r="D2887" s="105" t="s">
        <v>802</v>
      </c>
      <c r="E2887" s="106">
        <v>1111.21</v>
      </c>
      <c r="F2887" s="106">
        <v>7936.48</v>
      </c>
      <c r="G2887" s="106">
        <v>1666.66</v>
      </c>
      <c r="H2887" s="106">
        <v>10714.35</v>
      </c>
      <c r="I2887" t="str">
        <f>VLOOKUP(C2887,CATEGORIZACION!$A$2:$C$256,2,FALSE)</f>
        <v>PROOVEDORES</v>
      </c>
      <c r="J2887" t="str">
        <f>VLOOKUP(C2887,CATEGORIZACION!$A$2:$C$256,3,FALSE)</f>
        <v>LOGISTICA</v>
      </c>
    </row>
    <row r="2888" spans="1:10" ht="15" customHeight="1" x14ac:dyDescent="0.25">
      <c r="A2888" s="104">
        <v>45355</v>
      </c>
      <c r="B2888" s="105" t="s">
        <v>2661</v>
      </c>
      <c r="C2888" s="105" t="s">
        <v>801</v>
      </c>
      <c r="D2888" s="105" t="s">
        <v>802</v>
      </c>
      <c r="E2888" s="106">
        <v>42955.78</v>
      </c>
      <c r="F2888" s="106">
        <v>306813.25</v>
      </c>
      <c r="G2888" s="106">
        <v>64430.78</v>
      </c>
      <c r="H2888" s="106">
        <v>414199.81</v>
      </c>
      <c r="I2888" t="str">
        <f>VLOOKUP(C2888,CATEGORIZACION!$A$2:$C$256,2,FALSE)</f>
        <v>PROOVEDORES</v>
      </c>
      <c r="J2888" t="str">
        <f>VLOOKUP(C2888,CATEGORIZACION!$A$2:$C$256,3,FALSE)</f>
        <v>LOGISTICA</v>
      </c>
    </row>
    <row r="2889" spans="1:10" ht="15" customHeight="1" x14ac:dyDescent="0.25">
      <c r="A2889" s="104">
        <v>45355</v>
      </c>
      <c r="B2889" s="105" t="s">
        <v>2662</v>
      </c>
      <c r="C2889" s="105" t="s">
        <v>918</v>
      </c>
      <c r="D2889" s="105" t="s">
        <v>919</v>
      </c>
      <c r="E2889" s="106">
        <v>580.8300000000047</v>
      </c>
      <c r="F2889" s="106">
        <v>41487.699999999997</v>
      </c>
      <c r="G2889" s="106">
        <v>8712.42</v>
      </c>
      <c r="H2889" s="106">
        <v>50780.95</v>
      </c>
      <c r="I2889" t="str">
        <f>VLOOKUP(C2889,CATEGORIZACION!$A$2:$C$256,2,FALSE)</f>
        <v>PROOVEDORES</v>
      </c>
      <c r="J2889" t="str">
        <f>VLOOKUP(C2889,CATEGORIZACION!$A$2:$C$256,3,FALSE)</f>
        <v>LOGISTICA</v>
      </c>
    </row>
    <row r="2890" spans="1:10" ht="15" customHeight="1" x14ac:dyDescent="0.25">
      <c r="A2890" s="104">
        <v>45355</v>
      </c>
      <c r="B2890" s="105" t="s">
        <v>2663</v>
      </c>
      <c r="C2890" s="105" t="s">
        <v>918</v>
      </c>
      <c r="D2890" s="105" t="s">
        <v>919</v>
      </c>
      <c r="E2890" s="106">
        <v>31.41</v>
      </c>
      <c r="F2890" s="106">
        <v>3140.49</v>
      </c>
      <c r="G2890" s="106">
        <v>659.5</v>
      </c>
      <c r="H2890" s="106">
        <v>3831.4</v>
      </c>
      <c r="I2890" t="str">
        <f>VLOOKUP(C2890,CATEGORIZACION!$A$2:$C$256,2,FALSE)</f>
        <v>PROOVEDORES</v>
      </c>
      <c r="J2890" t="str">
        <f>VLOOKUP(C2890,CATEGORIZACION!$A$2:$C$256,3,FALSE)</f>
        <v>LOGISTICA</v>
      </c>
    </row>
    <row r="2891" spans="1:10" ht="15" customHeight="1" x14ac:dyDescent="0.25">
      <c r="A2891" s="104">
        <v>45355</v>
      </c>
      <c r="B2891" s="105" t="s">
        <v>2664</v>
      </c>
      <c r="C2891" s="105" t="s">
        <v>804</v>
      </c>
      <c r="D2891" s="105" t="s">
        <v>805</v>
      </c>
      <c r="E2891" s="106">
        <v>178.19999999999942</v>
      </c>
      <c r="F2891" s="106">
        <v>4049.58</v>
      </c>
      <c r="G2891" s="106">
        <v>850.41</v>
      </c>
      <c r="H2891" s="106">
        <v>5078.1899999999996</v>
      </c>
      <c r="I2891" t="str">
        <f>VLOOKUP(C2891,CATEGORIZACION!$A$2:$C$256,2,FALSE)</f>
        <v>PROOVEDORES</v>
      </c>
      <c r="J2891" t="str">
        <f>VLOOKUP(C2891,CATEGORIZACION!$A$2:$C$256,3,FALSE)</f>
        <v>LOGISTICA</v>
      </c>
    </row>
    <row r="2892" spans="1:10" ht="15" customHeight="1" x14ac:dyDescent="0.25">
      <c r="A2892" s="104">
        <v>45355</v>
      </c>
      <c r="B2892" s="105" t="s">
        <v>2665</v>
      </c>
      <c r="C2892" s="105" t="s">
        <v>804</v>
      </c>
      <c r="D2892" s="105" t="s">
        <v>805</v>
      </c>
      <c r="E2892" s="106">
        <v>2996.22</v>
      </c>
      <c r="F2892" s="106">
        <v>68099.3</v>
      </c>
      <c r="G2892" s="106">
        <v>14300.85</v>
      </c>
      <c r="H2892" s="106">
        <v>85396.37</v>
      </c>
      <c r="I2892" t="str">
        <f>VLOOKUP(C2892,CATEGORIZACION!$A$2:$C$256,2,FALSE)</f>
        <v>PROOVEDORES</v>
      </c>
      <c r="J2892" t="str">
        <f>VLOOKUP(C2892,CATEGORIZACION!$A$2:$C$256,3,FALSE)</f>
        <v>LOGISTICA</v>
      </c>
    </row>
    <row r="2893" spans="1:10" ht="15" customHeight="1" x14ac:dyDescent="0.25">
      <c r="A2893" s="104">
        <v>45356</v>
      </c>
      <c r="B2893" s="105" t="s">
        <v>2666</v>
      </c>
      <c r="C2893" s="105" t="s">
        <v>101</v>
      </c>
      <c r="D2893" s="105" t="s">
        <v>102</v>
      </c>
      <c r="E2893" s="106">
        <v>0</v>
      </c>
      <c r="F2893" s="201">
        <v>2054250</v>
      </c>
      <c r="G2893" s="106">
        <v>431392.5</v>
      </c>
      <c r="H2893" s="106">
        <v>2485642.5</v>
      </c>
      <c r="I2893" t="str">
        <f>VLOOKUP(C2893,CATEGORIZACION!$A$2:$C$256,2,FALSE)</f>
        <v>ALQUILER</v>
      </c>
      <c r="J2893" t="str">
        <f>VLOOKUP(C2893,CATEGORIZACION!$A$2:$C$256,3,FALSE)</f>
        <v>DEPOSITO</v>
      </c>
    </row>
    <row r="2894" spans="1:10" ht="15" customHeight="1" x14ac:dyDescent="0.25">
      <c r="A2894" s="104">
        <v>45357</v>
      </c>
      <c r="B2894" s="105" t="s">
        <v>1330</v>
      </c>
      <c r="C2894" s="105" t="s">
        <v>441</v>
      </c>
      <c r="D2894" s="105" t="s">
        <v>442</v>
      </c>
      <c r="E2894" s="106">
        <v>0</v>
      </c>
      <c r="F2894" s="201">
        <v>2839200</v>
      </c>
      <c r="G2894" s="106">
        <v>596232</v>
      </c>
      <c r="H2894" s="106">
        <v>3435432</v>
      </c>
      <c r="I2894" t="str">
        <f>VLOOKUP(C2894,CATEGORIZACION!$A$2:$C$256,2,FALSE)</f>
        <v>ALQUILER</v>
      </c>
      <c r="J2894" t="str">
        <f>VLOOKUP(C2894,CATEGORIZACION!$A$2:$C$256,3,FALSE)</f>
        <v>DEPOSITO</v>
      </c>
    </row>
    <row r="2895" spans="1:10" ht="15" customHeight="1" x14ac:dyDescent="0.25">
      <c r="A2895" s="104">
        <v>45357</v>
      </c>
      <c r="B2895" s="105" t="s">
        <v>2667</v>
      </c>
      <c r="C2895" s="105" t="s">
        <v>1143</v>
      </c>
      <c r="D2895" s="105" t="s">
        <v>1144</v>
      </c>
      <c r="E2895" s="106">
        <v>0</v>
      </c>
      <c r="F2895" s="201">
        <v>1061910</v>
      </c>
      <c r="G2895" s="106">
        <v>223001.1</v>
      </c>
      <c r="H2895" s="106">
        <v>1284911.1000000001</v>
      </c>
      <c r="I2895" t="str">
        <f>VLOOKUP(C2895,CATEGORIZACION!$A$2:$C$256,2,FALSE)</f>
        <v>PROOVEDORES</v>
      </c>
      <c r="J2895" t="str">
        <f>VLOOKUP(C2895,CATEGORIZACION!$A$2:$C$256,3,FALSE)</f>
        <v>DEPOSITO</v>
      </c>
    </row>
    <row r="2896" spans="1:10" ht="15" customHeight="1" x14ac:dyDescent="0.25">
      <c r="A2896" s="104">
        <v>45357</v>
      </c>
      <c r="B2896" s="105" t="s">
        <v>2668</v>
      </c>
      <c r="C2896" s="105" t="s">
        <v>1143</v>
      </c>
      <c r="D2896" s="105" t="s">
        <v>1144</v>
      </c>
      <c r="E2896" s="106">
        <v>0</v>
      </c>
      <c r="F2896" s="201">
        <v>651000</v>
      </c>
      <c r="G2896" s="106">
        <v>136710</v>
      </c>
      <c r="H2896" s="106">
        <v>787710</v>
      </c>
      <c r="I2896" t="str">
        <f>VLOOKUP(C2896,CATEGORIZACION!$A$2:$C$256,2,FALSE)</f>
        <v>PROOVEDORES</v>
      </c>
      <c r="J2896" t="str">
        <f>VLOOKUP(C2896,CATEGORIZACION!$A$2:$C$256,3,FALSE)</f>
        <v>DEPOSITO</v>
      </c>
    </row>
    <row r="2897" spans="1:10" ht="15" customHeight="1" x14ac:dyDescent="0.25">
      <c r="A2897" s="104">
        <v>45357</v>
      </c>
      <c r="B2897" s="105" t="s">
        <v>2669</v>
      </c>
      <c r="C2897" s="105" t="s">
        <v>21</v>
      </c>
      <c r="D2897" s="105" t="s">
        <v>22</v>
      </c>
      <c r="E2897" s="106">
        <v>22560</v>
      </c>
      <c r="F2897" s="106">
        <v>780000</v>
      </c>
      <c r="G2897" s="106">
        <v>163800</v>
      </c>
      <c r="H2897" s="106">
        <v>966360</v>
      </c>
      <c r="I2897" t="str">
        <f>VLOOKUP(C2897,CATEGORIZACION!$A$2:$C$256,2,FALSE)</f>
        <v>TRANSPORTE</v>
      </c>
      <c r="J2897" t="str">
        <f>VLOOKUP(C2897,CATEGORIZACION!$A$2:$C$256,3,FALSE)</f>
        <v>LOGISTICA</v>
      </c>
    </row>
    <row r="2898" spans="1:10" ht="15" customHeight="1" x14ac:dyDescent="0.25">
      <c r="A2898" s="104">
        <v>45357</v>
      </c>
      <c r="B2898" s="105" t="s">
        <v>2670</v>
      </c>
      <c r="C2898" s="105" t="s">
        <v>21</v>
      </c>
      <c r="D2898" s="105" t="s">
        <v>22</v>
      </c>
      <c r="E2898" s="106">
        <v>3694</v>
      </c>
      <c r="F2898" s="106">
        <v>215000</v>
      </c>
      <c r="G2898" s="106">
        <v>45150</v>
      </c>
      <c r="H2898" s="106">
        <v>263844</v>
      </c>
      <c r="I2898" t="str">
        <f>VLOOKUP(C2898,CATEGORIZACION!$A$2:$C$256,2,FALSE)</f>
        <v>TRANSPORTE</v>
      </c>
      <c r="J2898" t="str">
        <f>VLOOKUP(C2898,CATEGORIZACION!$A$2:$C$256,3,FALSE)</f>
        <v>LOGISTICA</v>
      </c>
    </row>
    <row r="2899" spans="1:10" ht="15" customHeight="1" x14ac:dyDescent="0.25">
      <c r="A2899" s="104">
        <v>45357</v>
      </c>
      <c r="B2899" s="105" t="s">
        <v>2671</v>
      </c>
      <c r="C2899" s="105" t="s">
        <v>21</v>
      </c>
      <c r="D2899" s="105" t="s">
        <v>22</v>
      </c>
      <c r="E2899" s="106">
        <v>7520</v>
      </c>
      <c r="F2899" s="106">
        <v>230000</v>
      </c>
      <c r="G2899" s="106">
        <v>48300</v>
      </c>
      <c r="H2899" s="106">
        <v>285820</v>
      </c>
      <c r="I2899" t="str">
        <f>VLOOKUP(C2899,CATEGORIZACION!$A$2:$C$256,2,FALSE)</f>
        <v>TRANSPORTE</v>
      </c>
      <c r="J2899" t="str">
        <f>VLOOKUP(C2899,CATEGORIZACION!$A$2:$C$256,3,FALSE)</f>
        <v>LOGISTICA</v>
      </c>
    </row>
    <row r="2900" spans="1:10" ht="15" customHeight="1" x14ac:dyDescent="0.25">
      <c r="A2900" s="104">
        <v>45357</v>
      </c>
      <c r="B2900" s="105" t="s">
        <v>2672</v>
      </c>
      <c r="C2900" s="105" t="s">
        <v>1501</v>
      </c>
      <c r="D2900" s="105" t="s">
        <v>1502</v>
      </c>
      <c r="E2900" s="106">
        <v>333.81</v>
      </c>
      <c r="F2900" s="106">
        <v>23842.97</v>
      </c>
      <c r="G2900" s="106">
        <v>5007.0200000000004</v>
      </c>
      <c r="H2900" s="106">
        <v>29183.8</v>
      </c>
      <c r="I2900" t="str">
        <f>VLOOKUP(C2900,CATEGORIZACION!$A$2:$C$256,2,FALSE)</f>
        <v>PROOVEDORES</v>
      </c>
      <c r="J2900" t="str">
        <f>VLOOKUP(C2900,CATEGORIZACION!$A$2:$C$256,3,FALSE)</f>
        <v>LOGISTICA</v>
      </c>
    </row>
    <row r="2901" spans="1:10" ht="15" customHeight="1" x14ac:dyDescent="0.25">
      <c r="A2901" s="104">
        <v>45358</v>
      </c>
      <c r="B2901" s="105" t="s">
        <v>2673</v>
      </c>
      <c r="C2901" s="105" t="s">
        <v>218</v>
      </c>
      <c r="D2901" s="105" t="s">
        <v>219</v>
      </c>
      <c r="E2901" s="106">
        <v>0</v>
      </c>
      <c r="F2901" s="106">
        <v>-30432.32</v>
      </c>
      <c r="G2901" s="106">
        <v>-6390.79</v>
      </c>
      <c r="H2901" s="106">
        <v>-36823.11</v>
      </c>
      <c r="I2901" t="str">
        <f>VLOOKUP(C2901,CATEGORIZACION!$A$2:$C$256,2,FALSE)</f>
        <v>PROOVEDORES</v>
      </c>
      <c r="J2901" t="str">
        <f>VLOOKUP(C2901,CATEGORIZACION!$A$2:$C$256,3,FALSE)</f>
        <v>LOGISTICA</v>
      </c>
    </row>
    <row r="2902" spans="1:10" ht="15" customHeight="1" x14ac:dyDescent="0.25">
      <c r="A2902" s="104">
        <v>45358</v>
      </c>
      <c r="B2902" s="105" t="s">
        <v>2674</v>
      </c>
      <c r="C2902" s="105" t="s">
        <v>36</v>
      </c>
      <c r="D2902" s="105" t="s">
        <v>37</v>
      </c>
      <c r="E2902" s="106">
        <v>3000000</v>
      </c>
      <c r="F2902" s="106">
        <v>0</v>
      </c>
      <c r="G2902" s="106">
        <v>0</v>
      </c>
      <c r="H2902" s="106">
        <v>3000000</v>
      </c>
      <c r="I2902" t="str">
        <f>VLOOKUP(C2902,CATEGORIZACION!$A$2:$C$256,2,FALSE)</f>
        <v>TRANSPORTE</v>
      </c>
      <c r="J2902" t="str">
        <f>VLOOKUP(C2902,CATEGORIZACION!$A$2:$C$256,3,FALSE)</f>
        <v>LOGISTICA</v>
      </c>
    </row>
    <row r="2903" spans="1:10" ht="15" customHeight="1" x14ac:dyDescent="0.25">
      <c r="A2903" s="104">
        <v>45358</v>
      </c>
      <c r="B2903" s="105" t="s">
        <v>2675</v>
      </c>
      <c r="C2903" s="105" t="s">
        <v>21</v>
      </c>
      <c r="D2903" s="105" t="s">
        <v>22</v>
      </c>
      <c r="E2903" s="106">
        <v>103070</v>
      </c>
      <c r="F2903" s="106">
        <v>2408000</v>
      </c>
      <c r="G2903" s="106">
        <v>505680</v>
      </c>
      <c r="H2903" s="106">
        <v>3016750</v>
      </c>
      <c r="I2903" t="str">
        <f>VLOOKUP(C2903,CATEGORIZACION!$A$2:$C$256,2,FALSE)</f>
        <v>TRANSPORTE</v>
      </c>
      <c r="J2903" t="str">
        <f>VLOOKUP(C2903,CATEGORIZACION!$A$2:$C$256,3,FALSE)</f>
        <v>LOGISTICA</v>
      </c>
    </row>
    <row r="2904" spans="1:10" ht="15" customHeight="1" x14ac:dyDescent="0.25">
      <c r="A2904" s="104">
        <v>45359</v>
      </c>
      <c r="B2904" s="105" t="s">
        <v>2676</v>
      </c>
      <c r="C2904" s="105" t="s">
        <v>36</v>
      </c>
      <c r="D2904" s="105" t="s">
        <v>37</v>
      </c>
      <c r="E2904" s="106">
        <v>0</v>
      </c>
      <c r="F2904" s="106">
        <v>-105000</v>
      </c>
      <c r="G2904" s="106">
        <v>-22050</v>
      </c>
      <c r="H2904" s="106">
        <v>-127050</v>
      </c>
      <c r="I2904" t="str">
        <f>VLOOKUP(C2904,CATEGORIZACION!$A$2:$C$256,2,FALSE)</f>
        <v>TRANSPORTE</v>
      </c>
      <c r="J2904" t="str">
        <f>VLOOKUP(C2904,CATEGORIZACION!$A$2:$C$256,3,FALSE)</f>
        <v>LOGISTICA</v>
      </c>
    </row>
    <row r="2905" spans="1:10" ht="15" customHeight="1" x14ac:dyDescent="0.25">
      <c r="A2905" s="104">
        <v>45359</v>
      </c>
      <c r="B2905" s="105" t="s">
        <v>2677</v>
      </c>
      <c r="C2905" s="105" t="s">
        <v>36</v>
      </c>
      <c r="D2905" s="105" t="s">
        <v>37</v>
      </c>
      <c r="E2905" s="106">
        <v>0</v>
      </c>
      <c r="F2905" s="106">
        <v>-167500</v>
      </c>
      <c r="G2905" s="106">
        <v>-35175</v>
      </c>
      <c r="H2905" s="106">
        <v>-202675</v>
      </c>
      <c r="I2905" t="str">
        <f>VLOOKUP(C2905,CATEGORIZACION!$A$2:$C$256,2,FALSE)</f>
        <v>TRANSPORTE</v>
      </c>
      <c r="J2905" t="str">
        <f>VLOOKUP(C2905,CATEGORIZACION!$A$2:$C$256,3,FALSE)</f>
        <v>LOGISTICA</v>
      </c>
    </row>
    <row r="2906" spans="1:10" ht="15" customHeight="1" x14ac:dyDescent="0.25">
      <c r="A2906" s="104">
        <v>45359</v>
      </c>
      <c r="B2906" s="105" t="s">
        <v>2678</v>
      </c>
      <c r="C2906" s="105" t="s">
        <v>17</v>
      </c>
      <c r="D2906" s="105" t="s">
        <v>18</v>
      </c>
      <c r="E2906" s="106">
        <v>86891</v>
      </c>
      <c r="F2906" s="106">
        <v>1495000</v>
      </c>
      <c r="G2906" s="106">
        <v>313950</v>
      </c>
      <c r="H2906" s="106">
        <v>1895841</v>
      </c>
      <c r="I2906" t="str">
        <f>VLOOKUP(C2906,CATEGORIZACION!$A$2:$C$256,2,FALSE)</f>
        <v>TRANSPORTE</v>
      </c>
      <c r="J2906" t="str">
        <f>VLOOKUP(C2906,CATEGORIZACION!$A$2:$C$256,3,FALSE)</f>
        <v>LOGISTICA</v>
      </c>
    </row>
    <row r="2907" spans="1:10" ht="15" customHeight="1" x14ac:dyDescent="0.25">
      <c r="A2907" s="104">
        <v>45359</v>
      </c>
      <c r="B2907" s="105" t="s">
        <v>2679</v>
      </c>
      <c r="C2907" s="105" t="s">
        <v>36</v>
      </c>
      <c r="D2907" s="105" t="s">
        <v>37</v>
      </c>
      <c r="E2907" s="106">
        <v>19300</v>
      </c>
      <c r="F2907" s="106">
        <v>237300</v>
      </c>
      <c r="G2907" s="106">
        <v>49833</v>
      </c>
      <c r="H2907" s="106">
        <v>306433</v>
      </c>
      <c r="I2907" t="str">
        <f>VLOOKUP(C2907,CATEGORIZACION!$A$2:$C$256,2,FALSE)</f>
        <v>TRANSPORTE</v>
      </c>
      <c r="J2907" t="str">
        <f>VLOOKUP(C2907,CATEGORIZACION!$A$2:$C$256,3,FALSE)</f>
        <v>LOGISTICA</v>
      </c>
    </row>
    <row r="2908" spans="1:10" ht="15" customHeight="1" x14ac:dyDescent="0.25">
      <c r="A2908" s="104">
        <v>45359</v>
      </c>
      <c r="B2908" s="105" t="s">
        <v>2680</v>
      </c>
      <c r="C2908" s="105" t="s">
        <v>36</v>
      </c>
      <c r="D2908" s="105" t="s">
        <v>37</v>
      </c>
      <c r="E2908" s="106">
        <v>14000</v>
      </c>
      <c r="F2908" s="106">
        <v>191900</v>
      </c>
      <c r="G2908" s="106">
        <v>40299</v>
      </c>
      <c r="H2908" s="106">
        <v>246199</v>
      </c>
      <c r="I2908" t="str">
        <f>VLOOKUP(C2908,CATEGORIZACION!$A$2:$C$256,2,FALSE)</f>
        <v>TRANSPORTE</v>
      </c>
      <c r="J2908" t="str">
        <f>VLOOKUP(C2908,CATEGORIZACION!$A$2:$C$256,3,FALSE)</f>
        <v>LOGISTICA</v>
      </c>
    </row>
    <row r="2909" spans="1:10" ht="15" customHeight="1" x14ac:dyDescent="0.25">
      <c r="A2909" s="104">
        <v>45359</v>
      </c>
      <c r="B2909" s="105" t="s">
        <v>2681</v>
      </c>
      <c r="C2909" s="105" t="s">
        <v>36</v>
      </c>
      <c r="D2909" s="105" t="s">
        <v>37</v>
      </c>
      <c r="E2909" s="106">
        <v>9500</v>
      </c>
      <c r="F2909" s="106">
        <v>126000</v>
      </c>
      <c r="G2909" s="106">
        <v>26460</v>
      </c>
      <c r="H2909" s="106">
        <v>161960</v>
      </c>
      <c r="I2909" t="str">
        <f>VLOOKUP(C2909,CATEGORIZACION!$A$2:$C$256,2,FALSE)</f>
        <v>TRANSPORTE</v>
      </c>
      <c r="J2909" t="str">
        <f>VLOOKUP(C2909,CATEGORIZACION!$A$2:$C$256,3,FALSE)</f>
        <v>LOGISTICA</v>
      </c>
    </row>
    <row r="2910" spans="1:10" ht="15" customHeight="1" x14ac:dyDescent="0.25">
      <c r="A2910" s="104">
        <v>45359</v>
      </c>
      <c r="B2910" s="105" t="s">
        <v>2682</v>
      </c>
      <c r="C2910" s="105" t="s">
        <v>36</v>
      </c>
      <c r="D2910" s="105" t="s">
        <v>37</v>
      </c>
      <c r="E2910" s="106">
        <v>14000</v>
      </c>
      <c r="F2910" s="106">
        <v>174450</v>
      </c>
      <c r="G2910" s="106">
        <v>36634.5</v>
      </c>
      <c r="H2910" s="106">
        <v>225084.5</v>
      </c>
      <c r="I2910" t="str">
        <f>VLOOKUP(C2910,CATEGORIZACION!$A$2:$C$256,2,FALSE)</f>
        <v>TRANSPORTE</v>
      </c>
      <c r="J2910" t="str">
        <f>VLOOKUP(C2910,CATEGORIZACION!$A$2:$C$256,3,FALSE)</f>
        <v>LOGISTICA</v>
      </c>
    </row>
    <row r="2911" spans="1:10" ht="15" customHeight="1" x14ac:dyDescent="0.25">
      <c r="A2911" s="104">
        <v>45359</v>
      </c>
      <c r="B2911" s="105" t="s">
        <v>2683</v>
      </c>
      <c r="C2911" s="105" t="s">
        <v>36</v>
      </c>
      <c r="D2911" s="105" t="s">
        <v>37</v>
      </c>
      <c r="E2911" s="106">
        <v>0</v>
      </c>
      <c r="F2911" s="106">
        <v>167500</v>
      </c>
      <c r="G2911" s="106">
        <v>35175</v>
      </c>
      <c r="H2911" s="106">
        <v>202675</v>
      </c>
      <c r="I2911" t="str">
        <f>VLOOKUP(C2911,CATEGORIZACION!$A$2:$C$256,2,FALSE)</f>
        <v>TRANSPORTE</v>
      </c>
      <c r="J2911" t="str">
        <f>VLOOKUP(C2911,CATEGORIZACION!$A$2:$C$256,3,FALSE)</f>
        <v>LOGISTICA</v>
      </c>
    </row>
    <row r="2912" spans="1:10" ht="15" customHeight="1" x14ac:dyDescent="0.25">
      <c r="A2912" s="104">
        <v>45359</v>
      </c>
      <c r="B2912" s="105" t="s">
        <v>2684</v>
      </c>
      <c r="C2912" s="105" t="s">
        <v>36</v>
      </c>
      <c r="D2912" s="105" t="s">
        <v>37</v>
      </c>
      <c r="E2912" s="106">
        <v>14000</v>
      </c>
      <c r="F2912" s="106">
        <v>174450</v>
      </c>
      <c r="G2912" s="106">
        <v>36634.5</v>
      </c>
      <c r="H2912" s="106">
        <v>225084.5</v>
      </c>
      <c r="I2912" t="str">
        <f>VLOOKUP(C2912,CATEGORIZACION!$A$2:$C$256,2,FALSE)</f>
        <v>TRANSPORTE</v>
      </c>
      <c r="J2912" t="str">
        <f>VLOOKUP(C2912,CATEGORIZACION!$A$2:$C$256,3,FALSE)</f>
        <v>LOGISTICA</v>
      </c>
    </row>
    <row r="2913" spans="1:10" ht="15" customHeight="1" x14ac:dyDescent="0.25">
      <c r="A2913" s="104">
        <v>45359</v>
      </c>
      <c r="B2913" s="105" t="s">
        <v>2685</v>
      </c>
      <c r="C2913" s="105" t="s">
        <v>36</v>
      </c>
      <c r="D2913" s="105" t="s">
        <v>37</v>
      </c>
      <c r="E2913" s="106">
        <v>11000</v>
      </c>
      <c r="F2913" s="106">
        <v>167500</v>
      </c>
      <c r="G2913" s="106">
        <v>35175</v>
      </c>
      <c r="H2913" s="106">
        <v>213675</v>
      </c>
      <c r="I2913" t="str">
        <f>VLOOKUP(C2913,CATEGORIZACION!$A$2:$C$256,2,FALSE)</f>
        <v>TRANSPORTE</v>
      </c>
      <c r="J2913" t="str">
        <f>VLOOKUP(C2913,CATEGORIZACION!$A$2:$C$256,3,FALSE)</f>
        <v>LOGISTICA</v>
      </c>
    </row>
    <row r="2914" spans="1:10" ht="15" customHeight="1" x14ac:dyDescent="0.25">
      <c r="A2914" s="104">
        <v>45359</v>
      </c>
      <c r="B2914" s="105" t="s">
        <v>2686</v>
      </c>
      <c r="C2914" s="105" t="s">
        <v>36</v>
      </c>
      <c r="D2914" s="105" t="s">
        <v>37</v>
      </c>
      <c r="E2914" s="106">
        <v>14000</v>
      </c>
      <c r="F2914" s="106">
        <v>191900</v>
      </c>
      <c r="G2914" s="106">
        <v>40299</v>
      </c>
      <c r="H2914" s="106">
        <v>246199</v>
      </c>
      <c r="I2914" t="str">
        <f>VLOOKUP(C2914,CATEGORIZACION!$A$2:$C$256,2,FALSE)</f>
        <v>TRANSPORTE</v>
      </c>
      <c r="J2914" t="str">
        <f>VLOOKUP(C2914,CATEGORIZACION!$A$2:$C$256,3,FALSE)</f>
        <v>LOGISTICA</v>
      </c>
    </row>
    <row r="2915" spans="1:10" ht="15" customHeight="1" x14ac:dyDescent="0.25">
      <c r="A2915" s="104">
        <v>45359</v>
      </c>
      <c r="B2915" s="105" t="s">
        <v>2687</v>
      </c>
      <c r="C2915" s="105" t="s">
        <v>36</v>
      </c>
      <c r="D2915" s="105" t="s">
        <v>37</v>
      </c>
      <c r="E2915" s="106">
        <v>14000</v>
      </c>
      <c r="F2915" s="106">
        <v>174450</v>
      </c>
      <c r="G2915" s="106">
        <v>36634.5</v>
      </c>
      <c r="H2915" s="106">
        <v>225084.5</v>
      </c>
      <c r="I2915" t="str">
        <f>VLOOKUP(C2915,CATEGORIZACION!$A$2:$C$256,2,FALSE)</f>
        <v>TRANSPORTE</v>
      </c>
      <c r="J2915" t="str">
        <f>VLOOKUP(C2915,CATEGORIZACION!$A$2:$C$256,3,FALSE)</f>
        <v>LOGISTICA</v>
      </c>
    </row>
    <row r="2916" spans="1:10" ht="15" customHeight="1" x14ac:dyDescent="0.25">
      <c r="A2916" s="104">
        <v>45359</v>
      </c>
      <c r="B2916" s="105" t="s">
        <v>2688</v>
      </c>
      <c r="C2916" s="105" t="s">
        <v>529</v>
      </c>
      <c r="D2916" s="105" t="s">
        <v>530</v>
      </c>
      <c r="E2916" s="106">
        <v>0</v>
      </c>
      <c r="F2916" s="106">
        <v>451000</v>
      </c>
      <c r="G2916" s="106">
        <v>94710</v>
      </c>
      <c r="H2916" s="106">
        <v>545710</v>
      </c>
      <c r="I2916" t="str">
        <f>VLOOKUP(C2916,CATEGORIZACION!$A$2:$C$256,2,FALSE)</f>
        <v>PROOVEDORES</v>
      </c>
      <c r="J2916" t="str">
        <f>VLOOKUP(C2916,CATEGORIZACION!$A$2:$C$256,3,FALSE)</f>
        <v>LOGISTICA</v>
      </c>
    </row>
    <row r="2917" spans="1:10" ht="15" customHeight="1" x14ac:dyDescent="0.25">
      <c r="A2917" s="104">
        <v>45359</v>
      </c>
      <c r="B2917" s="105" t="s">
        <v>2689</v>
      </c>
      <c r="C2917" s="105" t="s">
        <v>2690</v>
      </c>
      <c r="D2917" s="105" t="s">
        <v>471</v>
      </c>
      <c r="E2917" s="106">
        <v>264000</v>
      </c>
      <c r="F2917" s="106">
        <v>0</v>
      </c>
      <c r="G2917" s="106">
        <v>0</v>
      </c>
      <c r="H2917" s="106">
        <v>264000</v>
      </c>
      <c r="I2917" t="str">
        <f>VLOOKUP(C2917,CATEGORIZACION!$A$2:$C$256,2,FALSE)</f>
        <v>SUELDOS</v>
      </c>
      <c r="J2917" t="str">
        <f>VLOOKUP(C2917,CATEGORIZACION!$A$2:$C$256,3,FALSE)</f>
        <v>LOGISTICA</v>
      </c>
    </row>
    <row r="2918" spans="1:10" ht="15" customHeight="1" x14ac:dyDescent="0.25">
      <c r="A2918" s="104">
        <v>45362</v>
      </c>
      <c r="B2918" s="105" t="s">
        <v>2691</v>
      </c>
      <c r="C2918" s="105" t="s">
        <v>21</v>
      </c>
      <c r="D2918" s="105" t="s">
        <v>22</v>
      </c>
      <c r="E2918" s="106">
        <v>12410</v>
      </c>
      <c r="F2918" s="106">
        <v>285000</v>
      </c>
      <c r="G2918" s="106">
        <v>59850</v>
      </c>
      <c r="H2918" s="106">
        <v>357260</v>
      </c>
      <c r="I2918" t="str">
        <f>VLOOKUP(C2918,CATEGORIZACION!$A$2:$C$256,2,FALSE)</f>
        <v>TRANSPORTE</v>
      </c>
      <c r="J2918" t="str">
        <f>VLOOKUP(C2918,CATEGORIZACION!$A$2:$C$256,3,FALSE)</f>
        <v>LOGISTICA</v>
      </c>
    </row>
    <row r="2919" spans="1:10" ht="15" customHeight="1" x14ac:dyDescent="0.25">
      <c r="A2919" s="104">
        <v>45362</v>
      </c>
      <c r="B2919" s="105" t="s">
        <v>2692</v>
      </c>
      <c r="C2919" s="105" t="s">
        <v>21</v>
      </c>
      <c r="D2919" s="105" t="s">
        <v>22</v>
      </c>
      <c r="E2919" s="106">
        <v>24820</v>
      </c>
      <c r="F2919" s="106">
        <v>570000</v>
      </c>
      <c r="G2919" s="106">
        <v>119700</v>
      </c>
      <c r="H2919" s="106">
        <v>714520</v>
      </c>
      <c r="I2919" t="str">
        <f>VLOOKUP(C2919,CATEGORIZACION!$A$2:$C$256,2,FALSE)</f>
        <v>TRANSPORTE</v>
      </c>
      <c r="J2919" t="str">
        <f>VLOOKUP(C2919,CATEGORIZACION!$A$2:$C$256,3,FALSE)</f>
        <v>LOGISTICA</v>
      </c>
    </row>
    <row r="2920" spans="1:10" ht="15" customHeight="1" x14ac:dyDescent="0.25">
      <c r="A2920" s="104">
        <v>45362</v>
      </c>
      <c r="B2920" s="105" t="s">
        <v>2693</v>
      </c>
      <c r="C2920" s="105" t="s">
        <v>21</v>
      </c>
      <c r="D2920" s="105" t="s">
        <v>22</v>
      </c>
      <c r="E2920" s="106">
        <v>37480</v>
      </c>
      <c r="F2920" s="106">
        <v>1134000</v>
      </c>
      <c r="G2920" s="106">
        <v>238140</v>
      </c>
      <c r="H2920" s="106">
        <v>1409620</v>
      </c>
      <c r="I2920" t="str">
        <f>VLOOKUP(C2920,CATEGORIZACION!$A$2:$C$256,2,FALSE)</f>
        <v>TRANSPORTE</v>
      </c>
      <c r="J2920" t="str">
        <f>VLOOKUP(C2920,CATEGORIZACION!$A$2:$C$256,3,FALSE)</f>
        <v>LOGISTICA</v>
      </c>
    </row>
    <row r="2921" spans="1:10" ht="15" customHeight="1" x14ac:dyDescent="0.25">
      <c r="A2921" s="104">
        <v>45362</v>
      </c>
      <c r="B2921" s="105" t="s">
        <v>2694</v>
      </c>
      <c r="C2921" s="105" t="s">
        <v>21</v>
      </c>
      <c r="D2921" s="105" t="s">
        <v>22</v>
      </c>
      <c r="E2921" s="106">
        <v>18740</v>
      </c>
      <c r="F2921" s="106">
        <v>420000</v>
      </c>
      <c r="G2921" s="106">
        <v>88200</v>
      </c>
      <c r="H2921" s="106">
        <v>526940</v>
      </c>
      <c r="I2921" t="str">
        <f>VLOOKUP(C2921,CATEGORIZACION!$A$2:$C$256,2,FALSE)</f>
        <v>TRANSPORTE</v>
      </c>
      <c r="J2921" t="str">
        <f>VLOOKUP(C2921,CATEGORIZACION!$A$2:$C$256,3,FALSE)</f>
        <v>LOGISTICA</v>
      </c>
    </row>
    <row r="2922" spans="1:10" ht="15" customHeight="1" x14ac:dyDescent="0.25">
      <c r="A2922" s="104">
        <v>45362</v>
      </c>
      <c r="B2922" s="105" t="s">
        <v>2695</v>
      </c>
      <c r="C2922" s="105" t="s">
        <v>36</v>
      </c>
      <c r="D2922" s="105" t="s">
        <v>37</v>
      </c>
      <c r="E2922" s="106">
        <v>21500</v>
      </c>
      <c r="F2922" s="106">
        <v>307500</v>
      </c>
      <c r="G2922" s="106">
        <v>64575</v>
      </c>
      <c r="H2922" s="106">
        <v>393575</v>
      </c>
      <c r="I2922" t="str">
        <f>VLOOKUP(C2922,CATEGORIZACION!$A$2:$C$256,2,FALSE)</f>
        <v>TRANSPORTE</v>
      </c>
      <c r="J2922" t="str">
        <f>VLOOKUP(C2922,CATEGORIZACION!$A$2:$C$256,3,FALSE)</f>
        <v>LOGISTICA</v>
      </c>
    </row>
    <row r="2923" spans="1:10" ht="15" customHeight="1" x14ac:dyDescent="0.25">
      <c r="A2923" s="104">
        <v>45362</v>
      </c>
      <c r="B2923" s="105" t="s">
        <v>2696</v>
      </c>
      <c r="C2923" s="105" t="s">
        <v>36</v>
      </c>
      <c r="D2923" s="105" t="s">
        <v>37</v>
      </c>
      <c r="E2923" s="106">
        <v>28500</v>
      </c>
      <c r="F2923" s="106">
        <v>307500</v>
      </c>
      <c r="G2923" s="106">
        <v>64575</v>
      </c>
      <c r="H2923" s="106">
        <v>400575</v>
      </c>
      <c r="I2923" t="str">
        <f>VLOOKUP(C2923,CATEGORIZACION!$A$2:$C$256,2,FALSE)</f>
        <v>TRANSPORTE</v>
      </c>
      <c r="J2923" t="str">
        <f>VLOOKUP(C2923,CATEGORIZACION!$A$2:$C$256,3,FALSE)</f>
        <v>LOGISTICA</v>
      </c>
    </row>
    <row r="2924" spans="1:10" ht="15" customHeight="1" x14ac:dyDescent="0.25">
      <c r="A2924" s="104">
        <v>45362</v>
      </c>
      <c r="B2924" s="105" t="s">
        <v>2697</v>
      </c>
      <c r="C2924" s="105" t="s">
        <v>36</v>
      </c>
      <c r="D2924" s="105" t="s">
        <v>37</v>
      </c>
      <c r="E2924" s="106">
        <v>28500</v>
      </c>
      <c r="F2924" s="106">
        <v>307500</v>
      </c>
      <c r="G2924" s="106">
        <v>64575</v>
      </c>
      <c r="H2924" s="106">
        <v>400575</v>
      </c>
      <c r="I2924" t="str">
        <f>VLOOKUP(C2924,CATEGORIZACION!$A$2:$C$256,2,FALSE)</f>
        <v>TRANSPORTE</v>
      </c>
      <c r="J2924" t="str">
        <f>VLOOKUP(C2924,CATEGORIZACION!$A$2:$C$256,3,FALSE)</f>
        <v>LOGISTICA</v>
      </c>
    </row>
    <row r="2925" spans="1:10" ht="15" customHeight="1" x14ac:dyDescent="0.25">
      <c r="A2925" s="104">
        <v>45362</v>
      </c>
      <c r="B2925" s="105" t="s">
        <v>2698</v>
      </c>
      <c r="C2925" s="105" t="s">
        <v>36</v>
      </c>
      <c r="D2925" s="105" t="s">
        <v>37</v>
      </c>
      <c r="E2925" s="106">
        <v>9500</v>
      </c>
      <c r="F2925" s="106">
        <v>126000</v>
      </c>
      <c r="G2925" s="106">
        <v>26460</v>
      </c>
      <c r="H2925" s="106">
        <v>161960</v>
      </c>
      <c r="I2925" t="str">
        <f>VLOOKUP(C2925,CATEGORIZACION!$A$2:$C$256,2,FALSE)</f>
        <v>TRANSPORTE</v>
      </c>
      <c r="J2925" t="str">
        <f>VLOOKUP(C2925,CATEGORIZACION!$A$2:$C$256,3,FALSE)</f>
        <v>LOGISTICA</v>
      </c>
    </row>
    <row r="2926" spans="1:10" ht="15" customHeight="1" x14ac:dyDescent="0.25">
      <c r="A2926" s="104">
        <v>45362</v>
      </c>
      <c r="B2926" s="105" t="s">
        <v>2699</v>
      </c>
      <c r="C2926" s="105" t="s">
        <v>36</v>
      </c>
      <c r="D2926" s="105" t="s">
        <v>37</v>
      </c>
      <c r="E2926" s="106">
        <v>9500</v>
      </c>
      <c r="F2926" s="106">
        <v>167500</v>
      </c>
      <c r="G2926" s="106">
        <v>35175</v>
      </c>
      <c r="H2926" s="106">
        <v>212175</v>
      </c>
      <c r="I2926" t="str">
        <f>VLOOKUP(C2926,CATEGORIZACION!$A$2:$C$256,2,FALSE)</f>
        <v>TRANSPORTE</v>
      </c>
      <c r="J2926" t="str">
        <f>VLOOKUP(C2926,CATEGORIZACION!$A$2:$C$256,3,FALSE)</f>
        <v>LOGISTICA</v>
      </c>
    </row>
    <row r="2927" spans="1:10" ht="15" customHeight="1" x14ac:dyDescent="0.25">
      <c r="A2927" s="104">
        <v>45363</v>
      </c>
      <c r="B2927" s="105" t="s">
        <v>2700</v>
      </c>
      <c r="C2927" s="105" t="s">
        <v>21</v>
      </c>
      <c r="D2927" s="105" t="s">
        <v>22</v>
      </c>
      <c r="E2927" s="106">
        <v>3694</v>
      </c>
      <c r="F2927" s="106">
        <v>322500</v>
      </c>
      <c r="G2927" s="106">
        <v>67725</v>
      </c>
      <c r="H2927" s="106">
        <v>393919</v>
      </c>
      <c r="I2927" t="str">
        <f>VLOOKUP(C2927,CATEGORIZACION!$A$2:$C$256,2,FALSE)</f>
        <v>TRANSPORTE</v>
      </c>
      <c r="J2927" t="str">
        <f>VLOOKUP(C2927,CATEGORIZACION!$A$2:$C$256,3,FALSE)</f>
        <v>LOGISTICA</v>
      </c>
    </row>
    <row r="2928" spans="1:10" ht="15" customHeight="1" x14ac:dyDescent="0.25">
      <c r="A2928" s="104">
        <v>45364</v>
      </c>
      <c r="B2928" s="105" t="s">
        <v>2701</v>
      </c>
      <c r="C2928" s="105" t="s">
        <v>2702</v>
      </c>
      <c r="D2928" s="105" t="s">
        <v>2703</v>
      </c>
      <c r="E2928" s="106">
        <v>0</v>
      </c>
      <c r="F2928" s="106">
        <v>569000</v>
      </c>
      <c r="G2928" s="106">
        <v>119490</v>
      </c>
      <c r="H2928" s="106">
        <v>688490</v>
      </c>
      <c r="I2928" t="str">
        <f>VLOOKUP(C2928,CATEGORIZACION!$A$2:$C$256,2,FALSE)</f>
        <v>PROOVEDORES</v>
      </c>
      <c r="J2928" t="str">
        <f>VLOOKUP(C2928,CATEGORIZACION!$A$2:$C$256,3,FALSE)</f>
        <v>LOGISTICA</v>
      </c>
    </row>
    <row r="2929" spans="1:10" ht="15" customHeight="1" x14ac:dyDescent="0.25">
      <c r="A2929" s="104">
        <v>45365</v>
      </c>
      <c r="B2929" s="105" t="s">
        <v>2704</v>
      </c>
      <c r="C2929" s="105" t="s">
        <v>36</v>
      </c>
      <c r="D2929" s="105" t="s">
        <v>37</v>
      </c>
      <c r="E2929" s="106">
        <v>0</v>
      </c>
      <c r="F2929" s="106">
        <v>-379680</v>
      </c>
      <c r="G2929" s="106">
        <v>-79732.800000000003</v>
      </c>
      <c r="H2929" s="106">
        <v>-459412.8</v>
      </c>
      <c r="I2929" t="str">
        <f>VLOOKUP(C2929,CATEGORIZACION!$A$2:$C$256,2,FALSE)</f>
        <v>TRANSPORTE</v>
      </c>
      <c r="J2929" t="str">
        <f>VLOOKUP(C2929,CATEGORIZACION!$A$2:$C$256,3,FALSE)</f>
        <v>LOGISTICA</v>
      </c>
    </row>
    <row r="2930" spans="1:10" ht="15" customHeight="1" x14ac:dyDescent="0.25">
      <c r="A2930" s="104">
        <v>45365</v>
      </c>
      <c r="B2930" s="105" t="s">
        <v>2705</v>
      </c>
      <c r="C2930" s="105" t="s">
        <v>21</v>
      </c>
      <c r="D2930" s="105" t="s">
        <v>22</v>
      </c>
      <c r="E2930" s="106">
        <v>30080</v>
      </c>
      <c r="F2930" s="106">
        <v>840000</v>
      </c>
      <c r="G2930" s="106">
        <v>176400</v>
      </c>
      <c r="H2930" s="106">
        <v>1046480</v>
      </c>
      <c r="I2930" t="str">
        <f>VLOOKUP(C2930,CATEGORIZACION!$A$2:$C$256,2,FALSE)</f>
        <v>TRANSPORTE</v>
      </c>
      <c r="J2930" t="str">
        <f>VLOOKUP(C2930,CATEGORIZACION!$A$2:$C$256,3,FALSE)</f>
        <v>LOGISTICA</v>
      </c>
    </row>
    <row r="2931" spans="1:10" ht="15" customHeight="1" x14ac:dyDescent="0.25">
      <c r="A2931" s="104">
        <v>45365</v>
      </c>
      <c r="B2931" s="105" t="s">
        <v>2706</v>
      </c>
      <c r="C2931" s="105" t="s">
        <v>2707</v>
      </c>
      <c r="D2931" s="105" t="s">
        <v>2708</v>
      </c>
      <c r="E2931" s="106">
        <v>0.01</v>
      </c>
      <c r="F2931" s="106">
        <v>7404.95</v>
      </c>
      <c r="G2931" s="106">
        <v>1555.04</v>
      </c>
      <c r="H2931" s="106">
        <v>8960</v>
      </c>
      <c r="I2931" t="str">
        <f>VLOOKUP(C2931,CATEGORIZACION!$A$2:$C$256,2,FALSE)</f>
        <v>PROOVEDORES</v>
      </c>
      <c r="J2931" t="str">
        <f>VLOOKUP(C2931,CATEGORIZACION!$A$2:$C$256,3,FALSE)</f>
        <v>LOGISTICA</v>
      </c>
    </row>
    <row r="2932" spans="1:10" ht="15" customHeight="1" x14ac:dyDescent="0.25">
      <c r="A2932" s="104">
        <v>45365</v>
      </c>
      <c r="B2932" s="105" t="s">
        <v>2709</v>
      </c>
      <c r="C2932" s="105" t="s">
        <v>36</v>
      </c>
      <c r="D2932" s="105" t="s">
        <v>37</v>
      </c>
      <c r="E2932" s="106">
        <v>7400</v>
      </c>
      <c r="F2932" s="106">
        <v>379680</v>
      </c>
      <c r="G2932" s="106">
        <v>79732.800000000003</v>
      </c>
      <c r="H2932" s="106">
        <v>466812.8</v>
      </c>
      <c r="I2932" t="str">
        <f>VLOOKUP(C2932,CATEGORIZACION!$A$2:$C$256,2,FALSE)</f>
        <v>TRANSPORTE</v>
      </c>
      <c r="J2932" t="str">
        <f>VLOOKUP(C2932,CATEGORIZACION!$A$2:$C$256,3,FALSE)</f>
        <v>LOGISTICA</v>
      </c>
    </row>
    <row r="2933" spans="1:10" ht="15" customHeight="1" x14ac:dyDescent="0.25">
      <c r="A2933" s="104">
        <v>45365</v>
      </c>
      <c r="B2933" s="105" t="s">
        <v>2710</v>
      </c>
      <c r="C2933" s="105" t="s">
        <v>36</v>
      </c>
      <c r="D2933" s="105" t="s">
        <v>37</v>
      </c>
      <c r="E2933" s="106">
        <v>0</v>
      </c>
      <c r="F2933" s="106">
        <v>379680</v>
      </c>
      <c r="G2933" s="106">
        <v>79732.800000000003</v>
      </c>
      <c r="H2933" s="106">
        <v>459412.8</v>
      </c>
      <c r="I2933" t="str">
        <f>VLOOKUP(C2933,CATEGORIZACION!$A$2:$C$256,2,FALSE)</f>
        <v>TRANSPORTE</v>
      </c>
      <c r="J2933" t="str">
        <f>VLOOKUP(C2933,CATEGORIZACION!$A$2:$C$256,3,FALSE)</f>
        <v>LOGISTICA</v>
      </c>
    </row>
    <row r="2934" spans="1:10" ht="15" customHeight="1" x14ac:dyDescent="0.25">
      <c r="A2934" s="104">
        <v>45365</v>
      </c>
      <c r="B2934" s="105" t="s">
        <v>2711</v>
      </c>
      <c r="C2934" s="105" t="s">
        <v>36</v>
      </c>
      <c r="D2934" s="105" t="s">
        <v>37</v>
      </c>
      <c r="E2934" s="106">
        <v>7400</v>
      </c>
      <c r="F2934" s="106">
        <v>379680</v>
      </c>
      <c r="G2934" s="106">
        <v>79732.800000000003</v>
      </c>
      <c r="H2934" s="106">
        <v>466812.8</v>
      </c>
      <c r="I2934" t="str">
        <f>VLOOKUP(C2934,CATEGORIZACION!$A$2:$C$256,2,FALSE)</f>
        <v>TRANSPORTE</v>
      </c>
      <c r="J2934" t="str">
        <f>VLOOKUP(C2934,CATEGORIZACION!$A$2:$C$256,3,FALSE)</f>
        <v>LOGISTICA</v>
      </c>
    </row>
    <row r="2935" spans="1:10" ht="15" customHeight="1" x14ac:dyDescent="0.25">
      <c r="A2935" s="104">
        <v>45365</v>
      </c>
      <c r="B2935" s="105" t="s">
        <v>2712</v>
      </c>
      <c r="C2935" s="105" t="s">
        <v>36</v>
      </c>
      <c r="D2935" s="105" t="s">
        <v>37</v>
      </c>
      <c r="E2935" s="106">
        <v>7400</v>
      </c>
      <c r="F2935" s="106">
        <v>325440</v>
      </c>
      <c r="G2935" s="106">
        <v>68342.399999999994</v>
      </c>
      <c r="H2935" s="106">
        <v>401182.4</v>
      </c>
      <c r="I2935" t="str">
        <f>VLOOKUP(C2935,CATEGORIZACION!$A$2:$C$256,2,FALSE)</f>
        <v>TRANSPORTE</v>
      </c>
      <c r="J2935" t="str">
        <f>VLOOKUP(C2935,CATEGORIZACION!$A$2:$C$256,3,FALSE)</f>
        <v>LOGISTICA</v>
      </c>
    </row>
    <row r="2936" spans="1:10" ht="15" customHeight="1" x14ac:dyDescent="0.25">
      <c r="A2936" s="104">
        <v>45365</v>
      </c>
      <c r="B2936" s="105" t="s">
        <v>2713</v>
      </c>
      <c r="C2936" s="105" t="s">
        <v>36</v>
      </c>
      <c r="D2936" s="105" t="s">
        <v>37</v>
      </c>
      <c r="E2936" s="106">
        <v>7400</v>
      </c>
      <c r="F2936" s="106">
        <v>325440</v>
      </c>
      <c r="G2936" s="106">
        <v>68342.399999999994</v>
      </c>
      <c r="H2936" s="106">
        <v>401182.4</v>
      </c>
      <c r="I2936" t="str">
        <f>VLOOKUP(C2936,CATEGORIZACION!$A$2:$C$256,2,FALSE)</f>
        <v>TRANSPORTE</v>
      </c>
      <c r="J2936" t="str">
        <f>VLOOKUP(C2936,CATEGORIZACION!$A$2:$C$256,3,FALSE)</f>
        <v>LOGISTICA</v>
      </c>
    </row>
    <row r="2937" spans="1:10" ht="15" customHeight="1" x14ac:dyDescent="0.25">
      <c r="A2937" s="104">
        <v>45365</v>
      </c>
      <c r="B2937" s="105" t="s">
        <v>2714</v>
      </c>
      <c r="C2937" s="105" t="s">
        <v>36</v>
      </c>
      <c r="D2937" s="105" t="s">
        <v>37</v>
      </c>
      <c r="E2937" s="106">
        <v>23000</v>
      </c>
      <c r="F2937" s="106">
        <v>284760</v>
      </c>
      <c r="G2937" s="106">
        <v>59799.6</v>
      </c>
      <c r="H2937" s="106">
        <v>367559.6</v>
      </c>
      <c r="I2937" t="str">
        <f>VLOOKUP(C2937,CATEGORIZACION!$A$2:$C$256,2,FALSE)</f>
        <v>TRANSPORTE</v>
      </c>
      <c r="J2937" t="str">
        <f>VLOOKUP(C2937,CATEGORIZACION!$A$2:$C$256,3,FALSE)</f>
        <v>LOGISTICA</v>
      </c>
    </row>
    <row r="2938" spans="1:10" ht="15" customHeight="1" x14ac:dyDescent="0.25">
      <c r="A2938" s="104">
        <v>45366</v>
      </c>
      <c r="B2938" s="105" t="s">
        <v>2715</v>
      </c>
      <c r="C2938" s="105" t="s">
        <v>84</v>
      </c>
      <c r="D2938" s="105" t="s">
        <v>85</v>
      </c>
      <c r="E2938" s="106">
        <v>133070.19</v>
      </c>
      <c r="F2938" s="106">
        <v>1687610.7</v>
      </c>
      <c r="G2938" s="106">
        <v>354398.25</v>
      </c>
      <c r="H2938" s="106">
        <v>2175079.14</v>
      </c>
      <c r="I2938" t="str">
        <f>VLOOKUP(C2938,CATEGORIZACION!$A$2:$C$256,2,FALSE)</f>
        <v>PROOVEDORES</v>
      </c>
      <c r="J2938" t="str">
        <f>VLOOKUP(C2938,CATEGORIZACION!$A$2:$C$256,3,FALSE)</f>
        <v>LOGISTICA</v>
      </c>
    </row>
    <row r="2939" spans="1:10" ht="15" customHeight="1" x14ac:dyDescent="0.25">
      <c r="A2939" s="104">
        <v>45367</v>
      </c>
      <c r="B2939" s="105" t="s">
        <v>2716</v>
      </c>
      <c r="C2939" s="105" t="s">
        <v>21</v>
      </c>
      <c r="D2939" s="105" t="s">
        <v>22</v>
      </c>
      <c r="E2939" s="106">
        <v>17005</v>
      </c>
      <c r="F2939" s="106">
        <v>460000</v>
      </c>
      <c r="G2939" s="106">
        <v>96600</v>
      </c>
      <c r="H2939" s="106">
        <v>573605</v>
      </c>
      <c r="I2939" t="str">
        <f>VLOOKUP(C2939,CATEGORIZACION!$A$2:$C$256,2,FALSE)</f>
        <v>TRANSPORTE</v>
      </c>
      <c r="J2939" t="str">
        <f>VLOOKUP(C2939,CATEGORIZACION!$A$2:$C$256,3,FALSE)</f>
        <v>LOGISTICA</v>
      </c>
    </row>
    <row r="2940" spans="1:10" ht="15" customHeight="1" x14ac:dyDescent="0.25">
      <c r="A2940" s="104">
        <v>45367</v>
      </c>
      <c r="B2940" s="105" t="s">
        <v>2717</v>
      </c>
      <c r="C2940" s="105" t="s">
        <v>21</v>
      </c>
      <c r="D2940" s="105" t="s">
        <v>22</v>
      </c>
      <c r="E2940" s="106">
        <v>12410</v>
      </c>
      <c r="F2940" s="106">
        <v>642500</v>
      </c>
      <c r="G2940" s="106">
        <v>134925</v>
      </c>
      <c r="H2940" s="106">
        <v>789835</v>
      </c>
      <c r="I2940" t="str">
        <f>VLOOKUP(C2940,CATEGORIZACION!$A$2:$C$256,2,FALSE)</f>
        <v>TRANSPORTE</v>
      </c>
      <c r="J2940" t="str">
        <f>VLOOKUP(C2940,CATEGORIZACION!$A$2:$C$256,3,FALSE)</f>
        <v>LOGISTICA</v>
      </c>
    </row>
    <row r="2941" spans="1:10" ht="15" customHeight="1" x14ac:dyDescent="0.25">
      <c r="A2941" s="104">
        <v>45367</v>
      </c>
      <c r="B2941" s="105" t="s">
        <v>2718</v>
      </c>
      <c r="C2941" s="105" t="s">
        <v>21</v>
      </c>
      <c r="D2941" s="105" t="s">
        <v>22</v>
      </c>
      <c r="E2941" s="106">
        <v>30080</v>
      </c>
      <c r="F2941" s="106">
        <v>840000</v>
      </c>
      <c r="G2941" s="106">
        <v>176400</v>
      </c>
      <c r="H2941" s="106">
        <v>1046480</v>
      </c>
      <c r="I2941" t="str">
        <f>VLOOKUP(C2941,CATEGORIZACION!$A$2:$C$256,2,FALSE)</f>
        <v>TRANSPORTE</v>
      </c>
      <c r="J2941" t="str">
        <f>VLOOKUP(C2941,CATEGORIZACION!$A$2:$C$256,3,FALSE)</f>
        <v>LOGISTICA</v>
      </c>
    </row>
    <row r="2942" spans="1:10" ht="15" customHeight="1" x14ac:dyDescent="0.25">
      <c r="A2942" s="104">
        <v>45367</v>
      </c>
      <c r="B2942" s="105" t="s">
        <v>2719</v>
      </c>
      <c r="C2942" s="105" t="s">
        <v>21</v>
      </c>
      <c r="D2942" s="105" t="s">
        <v>22</v>
      </c>
      <c r="E2942" s="106">
        <v>52640</v>
      </c>
      <c r="F2942" s="106">
        <v>1470000</v>
      </c>
      <c r="G2942" s="106">
        <v>308700</v>
      </c>
      <c r="H2942" s="106">
        <v>1831340</v>
      </c>
      <c r="I2942" t="str">
        <f>VLOOKUP(C2942,CATEGORIZACION!$A$2:$C$256,2,FALSE)</f>
        <v>TRANSPORTE</v>
      </c>
      <c r="J2942" t="str">
        <f>VLOOKUP(C2942,CATEGORIZACION!$A$2:$C$256,3,FALSE)</f>
        <v>LOGISTICA</v>
      </c>
    </row>
    <row r="2943" spans="1:10" ht="15" customHeight="1" x14ac:dyDescent="0.25">
      <c r="A2943" s="104">
        <v>45367</v>
      </c>
      <c r="B2943" s="105" t="s">
        <v>2720</v>
      </c>
      <c r="C2943" s="105" t="s">
        <v>21</v>
      </c>
      <c r="D2943" s="105" t="s">
        <v>22</v>
      </c>
      <c r="E2943" s="106">
        <v>18740</v>
      </c>
      <c r="F2943" s="106">
        <v>420000</v>
      </c>
      <c r="G2943" s="106">
        <v>88200</v>
      </c>
      <c r="H2943" s="106">
        <v>526940</v>
      </c>
      <c r="I2943" t="str">
        <f>VLOOKUP(C2943,CATEGORIZACION!$A$2:$C$256,2,FALSE)</f>
        <v>TRANSPORTE</v>
      </c>
      <c r="J2943" t="str">
        <f>VLOOKUP(C2943,CATEGORIZACION!$A$2:$C$256,3,FALSE)</f>
        <v>LOGISTICA</v>
      </c>
    </row>
    <row r="2944" spans="1:10" ht="15" customHeight="1" x14ac:dyDescent="0.25">
      <c r="A2944" s="104">
        <v>45367</v>
      </c>
      <c r="B2944" s="105" t="s">
        <v>2721</v>
      </c>
      <c r="C2944" s="105" t="s">
        <v>21</v>
      </c>
      <c r="D2944" s="105" t="s">
        <v>22</v>
      </c>
      <c r="E2944" s="106">
        <v>37480</v>
      </c>
      <c r="F2944" s="106">
        <v>840000</v>
      </c>
      <c r="G2944" s="106">
        <v>176400</v>
      </c>
      <c r="H2944" s="106">
        <v>1053880</v>
      </c>
      <c r="I2944" t="str">
        <f>VLOOKUP(C2944,CATEGORIZACION!$A$2:$C$256,2,FALSE)</f>
        <v>TRANSPORTE</v>
      </c>
      <c r="J2944" t="str">
        <f>VLOOKUP(C2944,CATEGORIZACION!$A$2:$C$256,3,FALSE)</f>
        <v>LOGISTICA</v>
      </c>
    </row>
    <row r="2945" spans="1:10" ht="15" customHeight="1" x14ac:dyDescent="0.25">
      <c r="A2945" s="104">
        <v>45367</v>
      </c>
      <c r="B2945" s="105" t="s">
        <v>2722</v>
      </c>
      <c r="C2945" s="105" t="s">
        <v>21</v>
      </c>
      <c r="D2945" s="105" t="s">
        <v>22</v>
      </c>
      <c r="E2945" s="106">
        <v>56220</v>
      </c>
      <c r="F2945" s="106">
        <v>1260000</v>
      </c>
      <c r="G2945" s="106">
        <v>264600</v>
      </c>
      <c r="H2945" s="106">
        <v>1580820</v>
      </c>
      <c r="I2945" t="str">
        <f>VLOOKUP(C2945,CATEGORIZACION!$A$2:$C$256,2,FALSE)</f>
        <v>TRANSPORTE</v>
      </c>
      <c r="J2945" t="str">
        <f>VLOOKUP(C2945,CATEGORIZACION!$A$2:$C$256,3,FALSE)</f>
        <v>LOGISTICA</v>
      </c>
    </row>
    <row r="2946" spans="1:10" ht="15" customHeight="1" x14ac:dyDescent="0.25">
      <c r="A2946" s="104">
        <v>45368</v>
      </c>
      <c r="B2946" s="105" t="s">
        <v>2723</v>
      </c>
      <c r="C2946" s="105" t="s">
        <v>36</v>
      </c>
      <c r="D2946" s="105" t="s">
        <v>37</v>
      </c>
      <c r="E2946" s="106">
        <v>12600</v>
      </c>
      <c r="F2946" s="106">
        <v>126000</v>
      </c>
      <c r="G2946" s="106">
        <v>26460</v>
      </c>
      <c r="H2946" s="106">
        <v>165060</v>
      </c>
      <c r="I2946" t="str">
        <f>VLOOKUP(C2946,CATEGORIZACION!$A$2:$C$256,2,FALSE)</f>
        <v>TRANSPORTE</v>
      </c>
      <c r="J2946" t="str">
        <f>VLOOKUP(C2946,CATEGORIZACION!$A$2:$C$256,3,FALSE)</f>
        <v>LOGISTICA</v>
      </c>
    </row>
    <row r="2947" spans="1:10" ht="15" customHeight="1" x14ac:dyDescent="0.25">
      <c r="A2947" s="104">
        <v>45368</v>
      </c>
      <c r="B2947" s="105" t="s">
        <v>2724</v>
      </c>
      <c r="C2947" s="105" t="s">
        <v>36</v>
      </c>
      <c r="D2947" s="105" t="s">
        <v>37</v>
      </c>
      <c r="E2947" s="106">
        <v>12600</v>
      </c>
      <c r="F2947" s="106">
        <v>126000</v>
      </c>
      <c r="G2947" s="106">
        <v>26460</v>
      </c>
      <c r="H2947" s="106">
        <v>165060</v>
      </c>
      <c r="I2947" t="str">
        <f>VLOOKUP(C2947,CATEGORIZACION!$A$2:$C$256,2,FALSE)</f>
        <v>TRANSPORTE</v>
      </c>
      <c r="J2947" t="str">
        <f>VLOOKUP(C2947,CATEGORIZACION!$A$2:$C$256,3,FALSE)</f>
        <v>LOGISTICA</v>
      </c>
    </row>
    <row r="2948" spans="1:10" ht="15" customHeight="1" x14ac:dyDescent="0.25">
      <c r="A2948" s="104">
        <v>45368</v>
      </c>
      <c r="B2948" s="105" t="s">
        <v>2725</v>
      </c>
      <c r="C2948" s="105" t="s">
        <v>36</v>
      </c>
      <c r="D2948" s="105" t="s">
        <v>37</v>
      </c>
      <c r="E2948" s="106">
        <v>14000</v>
      </c>
      <c r="F2948" s="106">
        <v>235500</v>
      </c>
      <c r="G2948" s="106">
        <v>49455</v>
      </c>
      <c r="H2948" s="106">
        <v>298955</v>
      </c>
      <c r="I2948" t="str">
        <f>VLOOKUP(C2948,CATEGORIZACION!$A$2:$C$256,2,FALSE)</f>
        <v>TRANSPORTE</v>
      </c>
      <c r="J2948" t="str">
        <f>VLOOKUP(C2948,CATEGORIZACION!$A$2:$C$256,3,FALSE)</f>
        <v>LOGISTICA</v>
      </c>
    </row>
    <row r="2949" spans="1:10" ht="15" customHeight="1" x14ac:dyDescent="0.25">
      <c r="A2949" s="104">
        <v>45368</v>
      </c>
      <c r="B2949" s="105" t="s">
        <v>2726</v>
      </c>
      <c r="C2949" s="105" t="s">
        <v>36</v>
      </c>
      <c r="D2949" s="105" t="s">
        <v>37</v>
      </c>
      <c r="E2949" s="106">
        <v>0</v>
      </c>
      <c r="F2949" s="106">
        <v>158600</v>
      </c>
      <c r="G2949" s="106">
        <v>33306</v>
      </c>
      <c r="H2949" s="106">
        <v>191906</v>
      </c>
      <c r="I2949" t="str">
        <f>VLOOKUP(C2949,CATEGORIZACION!$A$2:$C$256,2,FALSE)</f>
        <v>TRANSPORTE</v>
      </c>
      <c r="J2949" t="str">
        <f>VLOOKUP(C2949,CATEGORIZACION!$A$2:$C$256,3,FALSE)</f>
        <v>LOGISTICA</v>
      </c>
    </row>
    <row r="2950" spans="1:10" ht="15" customHeight="1" x14ac:dyDescent="0.25">
      <c r="A2950" s="104">
        <v>45368</v>
      </c>
      <c r="B2950" s="105" t="s">
        <v>2727</v>
      </c>
      <c r="C2950" s="105" t="s">
        <v>36</v>
      </c>
      <c r="D2950" s="105" t="s">
        <v>37</v>
      </c>
      <c r="E2950" s="106">
        <v>0</v>
      </c>
      <c r="F2950" s="106">
        <v>158600</v>
      </c>
      <c r="G2950" s="106">
        <v>33306</v>
      </c>
      <c r="H2950" s="106">
        <v>191906</v>
      </c>
      <c r="I2950" t="str">
        <f>VLOOKUP(C2950,CATEGORIZACION!$A$2:$C$256,2,FALSE)</f>
        <v>TRANSPORTE</v>
      </c>
      <c r="J2950" t="str">
        <f>VLOOKUP(C2950,CATEGORIZACION!$A$2:$C$256,3,FALSE)</f>
        <v>LOGISTICA</v>
      </c>
    </row>
    <row r="2951" spans="1:10" ht="15" customHeight="1" x14ac:dyDescent="0.25">
      <c r="A2951" s="104">
        <v>45368</v>
      </c>
      <c r="B2951" s="105" t="s">
        <v>2728</v>
      </c>
      <c r="C2951" s="105" t="s">
        <v>36</v>
      </c>
      <c r="D2951" s="105" t="s">
        <v>37</v>
      </c>
      <c r="E2951" s="106">
        <v>0</v>
      </c>
      <c r="F2951" s="106">
        <v>158600</v>
      </c>
      <c r="G2951" s="106">
        <v>33306</v>
      </c>
      <c r="H2951" s="106">
        <v>191906</v>
      </c>
      <c r="I2951" t="str">
        <f>VLOOKUP(C2951,CATEGORIZACION!$A$2:$C$256,2,FALSE)</f>
        <v>TRANSPORTE</v>
      </c>
      <c r="J2951" t="str">
        <f>VLOOKUP(C2951,CATEGORIZACION!$A$2:$C$256,3,FALSE)</f>
        <v>LOGISTICA</v>
      </c>
    </row>
    <row r="2952" spans="1:10" ht="15" customHeight="1" x14ac:dyDescent="0.25">
      <c r="A2952" s="104">
        <v>45368</v>
      </c>
      <c r="B2952" s="105" t="s">
        <v>2729</v>
      </c>
      <c r="C2952" s="105" t="s">
        <v>918</v>
      </c>
      <c r="D2952" s="105" t="s">
        <v>919</v>
      </c>
      <c r="E2952" s="106">
        <v>19.010000000000002</v>
      </c>
      <c r="F2952" s="106">
        <v>1900.83</v>
      </c>
      <c r="G2952" s="106">
        <v>399.17</v>
      </c>
      <c r="H2952" s="106">
        <v>2319.0100000000002</v>
      </c>
      <c r="I2952" t="str">
        <f>VLOOKUP(C2952,CATEGORIZACION!$A$2:$C$256,2,FALSE)</f>
        <v>PROOVEDORES</v>
      </c>
      <c r="J2952" t="str">
        <f>VLOOKUP(C2952,CATEGORIZACION!$A$2:$C$256,3,FALSE)</f>
        <v>LOGISTICA</v>
      </c>
    </row>
    <row r="2953" spans="1:10" ht="15" customHeight="1" x14ac:dyDescent="0.25">
      <c r="A2953" s="104">
        <v>45368</v>
      </c>
      <c r="B2953" s="105" t="s">
        <v>2730</v>
      </c>
      <c r="C2953" s="105" t="s">
        <v>918</v>
      </c>
      <c r="D2953" s="105" t="s">
        <v>919</v>
      </c>
      <c r="E2953" s="106">
        <v>749.54999999999063</v>
      </c>
      <c r="F2953" s="106">
        <v>53553.89</v>
      </c>
      <c r="G2953" s="106">
        <v>11246.32</v>
      </c>
      <c r="H2953" s="106">
        <v>65549.759999999995</v>
      </c>
      <c r="I2953" t="str">
        <f>VLOOKUP(C2953,CATEGORIZACION!$A$2:$C$256,2,FALSE)</f>
        <v>PROOVEDORES</v>
      </c>
      <c r="J2953" t="str">
        <f>VLOOKUP(C2953,CATEGORIZACION!$A$2:$C$256,3,FALSE)</f>
        <v>LOGISTICA</v>
      </c>
    </row>
    <row r="2954" spans="1:10" ht="15" customHeight="1" x14ac:dyDescent="0.25">
      <c r="A2954" s="104">
        <v>45368</v>
      </c>
      <c r="B2954" s="105" t="s">
        <v>2731</v>
      </c>
      <c r="C2954" s="105" t="s">
        <v>804</v>
      </c>
      <c r="D2954" s="105" t="s">
        <v>805</v>
      </c>
      <c r="E2954" s="106">
        <v>12.41</v>
      </c>
      <c r="F2954" s="106">
        <v>1239.6600000000001</v>
      </c>
      <c r="G2954" s="106">
        <v>260.33</v>
      </c>
      <c r="H2954" s="106">
        <v>1512.4</v>
      </c>
      <c r="I2954" t="str">
        <f>VLOOKUP(C2954,CATEGORIZACION!$A$2:$C$256,2,FALSE)</f>
        <v>PROOVEDORES</v>
      </c>
      <c r="J2954" t="str">
        <f>VLOOKUP(C2954,CATEGORIZACION!$A$2:$C$256,3,FALSE)</f>
        <v>LOGISTICA</v>
      </c>
    </row>
    <row r="2955" spans="1:10" ht="15" customHeight="1" x14ac:dyDescent="0.25">
      <c r="A2955" s="104">
        <v>45368</v>
      </c>
      <c r="B2955" s="105" t="s">
        <v>2732</v>
      </c>
      <c r="C2955" s="105" t="s">
        <v>804</v>
      </c>
      <c r="D2955" s="105" t="s">
        <v>805</v>
      </c>
      <c r="E2955" s="106">
        <v>2627.18</v>
      </c>
      <c r="F2955" s="106">
        <v>59710.82</v>
      </c>
      <c r="G2955" s="106">
        <v>12539.27</v>
      </c>
      <c r="H2955" s="106">
        <v>74877.27</v>
      </c>
      <c r="I2955" t="str">
        <f>VLOOKUP(C2955,CATEGORIZACION!$A$2:$C$256,2,FALSE)</f>
        <v>PROOVEDORES</v>
      </c>
      <c r="J2955" t="str">
        <f>VLOOKUP(C2955,CATEGORIZACION!$A$2:$C$256,3,FALSE)</f>
        <v>LOGISTICA</v>
      </c>
    </row>
    <row r="2956" spans="1:10" ht="15" customHeight="1" x14ac:dyDescent="0.25">
      <c r="A2956" s="104">
        <v>45369</v>
      </c>
      <c r="B2956" s="105" t="s">
        <v>700</v>
      </c>
      <c r="C2956" s="105" t="s">
        <v>21</v>
      </c>
      <c r="D2956" s="105" t="s">
        <v>22</v>
      </c>
      <c r="E2956" s="106">
        <v>-13000</v>
      </c>
      <c r="F2956" s="106">
        <v>-225000</v>
      </c>
      <c r="G2956" s="106">
        <v>-47250</v>
      </c>
      <c r="H2956" s="106">
        <v>-285250</v>
      </c>
      <c r="I2956" t="str">
        <f>VLOOKUP(C2956,CATEGORIZACION!$A$2:$C$256,2,FALSE)</f>
        <v>TRANSPORTE</v>
      </c>
      <c r="J2956" t="str">
        <f>VLOOKUP(C2956,CATEGORIZACION!$A$2:$C$256,3,FALSE)</f>
        <v>LOGISTICA</v>
      </c>
    </row>
    <row r="2957" spans="1:10" ht="15" customHeight="1" x14ac:dyDescent="0.25">
      <c r="A2957" s="104">
        <v>45369</v>
      </c>
      <c r="B2957" s="105" t="s">
        <v>2733</v>
      </c>
      <c r="C2957" s="105" t="s">
        <v>1143</v>
      </c>
      <c r="D2957" s="105" t="s">
        <v>1144</v>
      </c>
      <c r="E2957" s="106">
        <v>0</v>
      </c>
      <c r="F2957" s="201">
        <v>617868</v>
      </c>
      <c r="G2957" s="106">
        <v>129752.28</v>
      </c>
      <c r="H2957" s="106">
        <v>747620.28</v>
      </c>
      <c r="I2957" t="str">
        <f>VLOOKUP(C2957,CATEGORIZACION!$A$2:$C$256,2,FALSE)</f>
        <v>PROOVEDORES</v>
      </c>
      <c r="J2957" t="str">
        <f>VLOOKUP(C2957,CATEGORIZACION!$A$2:$C$256,3,FALSE)</f>
        <v>DEPOSITO</v>
      </c>
    </row>
    <row r="2958" spans="1:10" ht="15" customHeight="1" x14ac:dyDescent="0.25">
      <c r="A2958" s="104">
        <v>45369</v>
      </c>
      <c r="B2958" s="105" t="s">
        <v>2734</v>
      </c>
      <c r="C2958" s="105" t="s">
        <v>2735</v>
      </c>
      <c r="D2958" s="105" t="s">
        <v>2736</v>
      </c>
      <c r="E2958" s="106">
        <v>0.01</v>
      </c>
      <c r="F2958" s="106">
        <v>12396.69</v>
      </c>
      <c r="G2958" s="106">
        <v>2603.3000000000002</v>
      </c>
      <c r="H2958" s="106">
        <v>15000</v>
      </c>
      <c r="I2958" t="str">
        <f>VLOOKUP(C2958,CATEGORIZACION!$A$2:$C$256,2,FALSE)</f>
        <v>PROOVEDORES</v>
      </c>
      <c r="J2958" t="str">
        <f>VLOOKUP(C2958,CATEGORIZACION!$A$2:$C$256,3,FALSE)</f>
        <v>LOGISTICA</v>
      </c>
    </row>
    <row r="2959" spans="1:10" ht="15" customHeight="1" x14ac:dyDescent="0.25">
      <c r="A2959" s="104">
        <v>45369</v>
      </c>
      <c r="B2959" s="105" t="s">
        <v>2737</v>
      </c>
      <c r="C2959" s="105" t="s">
        <v>2738</v>
      </c>
      <c r="D2959" s="105" t="s">
        <v>2739</v>
      </c>
      <c r="E2959" s="106">
        <v>9.3132257461547854E-12</v>
      </c>
      <c r="F2959" s="106">
        <v>70247.929999999993</v>
      </c>
      <c r="G2959" s="106">
        <v>14752.07</v>
      </c>
      <c r="H2959" s="106">
        <v>85000</v>
      </c>
      <c r="I2959" t="str">
        <f>VLOOKUP(C2959,CATEGORIZACION!$A$2:$C$256,2,FALSE)</f>
        <v>PROOVEDORES</v>
      </c>
      <c r="J2959" t="str">
        <f>VLOOKUP(C2959,CATEGORIZACION!$A$2:$C$256,3,FALSE)</f>
        <v>LOGISTICA</v>
      </c>
    </row>
    <row r="2960" spans="1:10" ht="15" customHeight="1" x14ac:dyDescent="0.25">
      <c r="A2960" s="104">
        <v>45369</v>
      </c>
      <c r="B2960" s="105" t="s">
        <v>2740</v>
      </c>
      <c r="C2960" s="188" t="s">
        <v>1818</v>
      </c>
      <c r="D2960" s="105" t="s">
        <v>1815</v>
      </c>
      <c r="E2960" s="106">
        <v>0</v>
      </c>
      <c r="F2960" s="3">
        <v>569421.49</v>
      </c>
      <c r="G2960" s="106">
        <v>119578.51</v>
      </c>
      <c r="H2960" s="106">
        <v>689000</v>
      </c>
      <c r="I2960" t="str">
        <f>VLOOKUP(C2960,CATEGORIZACION!$A$2:$C$256,2,FALSE)</f>
        <v>PROOVEDORES</v>
      </c>
      <c r="J2960" t="str">
        <f>VLOOKUP(C2960,CATEGORIZACION!$A$2:$C$256,3,FALSE)</f>
        <v>LOGISTICA</v>
      </c>
    </row>
    <row r="2961" spans="1:10" ht="15" customHeight="1" x14ac:dyDescent="0.25">
      <c r="A2961" s="104">
        <v>45369</v>
      </c>
      <c r="B2961" s="105" t="s">
        <v>2741</v>
      </c>
      <c r="C2961" s="105" t="s">
        <v>21</v>
      </c>
      <c r="D2961" s="105" t="s">
        <v>22</v>
      </c>
      <c r="E2961" s="106">
        <v>84330</v>
      </c>
      <c r="F2961" s="106">
        <v>1890000</v>
      </c>
      <c r="G2961" s="106">
        <v>396900</v>
      </c>
      <c r="H2961" s="106">
        <v>2371230</v>
      </c>
      <c r="I2961" t="str">
        <f>VLOOKUP(C2961,CATEGORIZACION!$A$2:$C$256,2,FALSE)</f>
        <v>TRANSPORTE</v>
      </c>
      <c r="J2961" t="str">
        <f>VLOOKUP(C2961,CATEGORIZACION!$A$2:$C$256,3,FALSE)</f>
        <v>LOGISTICA</v>
      </c>
    </row>
    <row r="2962" spans="1:10" ht="15" customHeight="1" x14ac:dyDescent="0.25">
      <c r="A2962" s="104">
        <v>45369</v>
      </c>
      <c r="B2962" s="105" t="s">
        <v>2742</v>
      </c>
      <c r="C2962" s="105" t="s">
        <v>21</v>
      </c>
      <c r="D2962" s="105" t="s">
        <v>22</v>
      </c>
      <c r="E2962" s="106">
        <v>37480</v>
      </c>
      <c r="F2962" s="106">
        <v>840000</v>
      </c>
      <c r="G2962" s="106">
        <v>176400</v>
      </c>
      <c r="H2962" s="106">
        <v>1053880</v>
      </c>
      <c r="I2962" t="str">
        <f>VLOOKUP(C2962,CATEGORIZACION!$A$2:$C$256,2,FALSE)</f>
        <v>TRANSPORTE</v>
      </c>
      <c r="J2962" t="str">
        <f>VLOOKUP(C2962,CATEGORIZACION!$A$2:$C$256,3,FALSE)</f>
        <v>LOGISTICA</v>
      </c>
    </row>
    <row r="2963" spans="1:10" ht="15" customHeight="1" x14ac:dyDescent="0.25">
      <c r="A2963" s="104">
        <v>45369</v>
      </c>
      <c r="B2963" s="105" t="s">
        <v>2743</v>
      </c>
      <c r="C2963" s="105" t="s">
        <v>36</v>
      </c>
      <c r="D2963" s="105" t="s">
        <v>37</v>
      </c>
      <c r="E2963" s="106">
        <v>14000</v>
      </c>
      <c r="F2963" s="106">
        <v>174450</v>
      </c>
      <c r="G2963" s="106">
        <v>36634.5</v>
      </c>
      <c r="H2963" s="106">
        <v>225084.5</v>
      </c>
      <c r="I2963" t="str">
        <f>VLOOKUP(C2963,CATEGORIZACION!$A$2:$C$256,2,FALSE)</f>
        <v>TRANSPORTE</v>
      </c>
      <c r="J2963" t="str">
        <f>VLOOKUP(C2963,CATEGORIZACION!$A$2:$C$256,3,FALSE)</f>
        <v>LOGISTICA</v>
      </c>
    </row>
    <row r="2964" spans="1:10" ht="15" customHeight="1" x14ac:dyDescent="0.25">
      <c r="A2964" s="104">
        <v>45369</v>
      </c>
      <c r="B2964" s="105" t="s">
        <v>2744</v>
      </c>
      <c r="C2964" s="105" t="s">
        <v>36</v>
      </c>
      <c r="D2964" s="105" t="s">
        <v>37</v>
      </c>
      <c r="E2964" s="106">
        <v>23000</v>
      </c>
      <c r="F2964" s="106">
        <v>284760</v>
      </c>
      <c r="G2964" s="106">
        <v>59799.6</v>
      </c>
      <c r="H2964" s="106">
        <v>367559.6</v>
      </c>
      <c r="I2964" t="str">
        <f>VLOOKUP(C2964,CATEGORIZACION!$A$2:$C$256,2,FALSE)</f>
        <v>TRANSPORTE</v>
      </c>
      <c r="J2964" t="str">
        <f>VLOOKUP(C2964,CATEGORIZACION!$A$2:$C$256,3,FALSE)</f>
        <v>LOGISTICA</v>
      </c>
    </row>
    <row r="2965" spans="1:10" ht="15" customHeight="1" x14ac:dyDescent="0.25">
      <c r="A2965" s="104">
        <v>45369</v>
      </c>
      <c r="B2965" s="105" t="s">
        <v>2745</v>
      </c>
      <c r="C2965" s="105" t="s">
        <v>36</v>
      </c>
      <c r="D2965" s="105" t="s">
        <v>37</v>
      </c>
      <c r="E2965" s="106">
        <v>14000</v>
      </c>
      <c r="F2965" s="106">
        <v>191900</v>
      </c>
      <c r="G2965" s="106">
        <v>40299</v>
      </c>
      <c r="H2965" s="106">
        <v>246199</v>
      </c>
      <c r="I2965" t="str">
        <f>VLOOKUP(C2965,CATEGORIZACION!$A$2:$C$256,2,FALSE)</f>
        <v>TRANSPORTE</v>
      </c>
      <c r="J2965" t="str">
        <f>VLOOKUP(C2965,CATEGORIZACION!$A$2:$C$256,3,FALSE)</f>
        <v>LOGISTICA</v>
      </c>
    </row>
    <row r="2966" spans="1:10" ht="15" customHeight="1" x14ac:dyDescent="0.25">
      <c r="A2966" s="104">
        <v>45369</v>
      </c>
      <c r="B2966" s="105" t="s">
        <v>2746</v>
      </c>
      <c r="C2966" s="105" t="s">
        <v>36</v>
      </c>
      <c r="D2966" s="105" t="s">
        <v>37</v>
      </c>
      <c r="E2966" s="106">
        <v>14000</v>
      </c>
      <c r="F2966" s="106">
        <v>191900</v>
      </c>
      <c r="G2966" s="106">
        <v>40299</v>
      </c>
      <c r="H2966" s="106">
        <v>246199</v>
      </c>
      <c r="I2966" t="str">
        <f>VLOOKUP(C2966,CATEGORIZACION!$A$2:$C$256,2,FALSE)</f>
        <v>TRANSPORTE</v>
      </c>
      <c r="J2966" t="str">
        <f>VLOOKUP(C2966,CATEGORIZACION!$A$2:$C$256,3,FALSE)</f>
        <v>LOGISTICA</v>
      </c>
    </row>
    <row r="2967" spans="1:10" ht="15" customHeight="1" x14ac:dyDescent="0.25">
      <c r="A2967" s="104">
        <v>45369</v>
      </c>
      <c r="B2967" s="105" t="s">
        <v>2747</v>
      </c>
      <c r="C2967" s="105" t="s">
        <v>36</v>
      </c>
      <c r="D2967" s="105" t="s">
        <v>37</v>
      </c>
      <c r="E2967" s="106">
        <v>18000</v>
      </c>
      <c r="F2967" s="106">
        <v>339550</v>
      </c>
      <c r="G2967" s="106">
        <v>71305.5</v>
      </c>
      <c r="H2967" s="106">
        <v>428855.5</v>
      </c>
      <c r="I2967" t="str">
        <f>VLOOKUP(C2967,CATEGORIZACION!$A$2:$C$256,2,FALSE)</f>
        <v>TRANSPORTE</v>
      </c>
      <c r="J2967" t="str">
        <f>VLOOKUP(C2967,CATEGORIZACION!$A$2:$C$256,3,FALSE)</f>
        <v>LOGISTICA</v>
      </c>
    </row>
    <row r="2968" spans="1:10" ht="15" customHeight="1" x14ac:dyDescent="0.25">
      <c r="A2968" s="104">
        <v>45369</v>
      </c>
      <c r="B2968" s="105" t="s">
        <v>2748</v>
      </c>
      <c r="C2968" s="105" t="s">
        <v>426</v>
      </c>
      <c r="D2968" s="105" t="s">
        <v>427</v>
      </c>
      <c r="E2968" s="106">
        <v>4990</v>
      </c>
      <c r="F2968" s="106">
        <v>177694.22</v>
      </c>
      <c r="G2968" s="106">
        <v>37315.79</v>
      </c>
      <c r="H2968" s="106">
        <v>220000.01</v>
      </c>
      <c r="I2968" t="str">
        <f>VLOOKUP(C2968,CATEGORIZACION!$A$2:$C$256,2,FALSE)</f>
        <v>PROOVEDORES</v>
      </c>
      <c r="J2968" t="str">
        <f>VLOOKUP(C2968,CATEGORIZACION!$A$2:$C$256,3,FALSE)</f>
        <v>LOGISTICA</v>
      </c>
    </row>
    <row r="2969" spans="1:10" ht="15" customHeight="1" x14ac:dyDescent="0.25">
      <c r="A2969" s="104">
        <v>45369</v>
      </c>
      <c r="B2969" s="105" t="s">
        <v>2749</v>
      </c>
      <c r="C2969" s="105" t="s">
        <v>801</v>
      </c>
      <c r="D2969" s="105" t="s">
        <v>802</v>
      </c>
      <c r="E2969" s="106">
        <v>45844.11</v>
      </c>
      <c r="F2969" s="106">
        <v>327445.52</v>
      </c>
      <c r="G2969" s="106">
        <v>68763.56</v>
      </c>
      <c r="H2969" s="106">
        <v>442053.19</v>
      </c>
      <c r="I2969" t="str">
        <f>VLOOKUP(C2969,CATEGORIZACION!$A$2:$C$256,2,FALSE)</f>
        <v>PROOVEDORES</v>
      </c>
      <c r="J2969" t="str">
        <f>VLOOKUP(C2969,CATEGORIZACION!$A$2:$C$256,3,FALSE)</f>
        <v>LOGISTICA</v>
      </c>
    </row>
    <row r="2970" spans="1:10" ht="15" customHeight="1" x14ac:dyDescent="0.25">
      <c r="A2970" s="104">
        <v>45369</v>
      </c>
      <c r="B2970" s="105" t="s">
        <v>2750</v>
      </c>
      <c r="C2970" s="105" t="s">
        <v>801</v>
      </c>
      <c r="D2970" s="105" t="s">
        <v>802</v>
      </c>
      <c r="E2970" s="106">
        <v>1033.6600000000001</v>
      </c>
      <c r="F2970" s="106">
        <v>7382.66</v>
      </c>
      <c r="G2970" s="106">
        <v>1550.36</v>
      </c>
      <c r="H2970" s="106">
        <v>9966.68</v>
      </c>
      <c r="I2970" t="str">
        <f>VLOOKUP(C2970,CATEGORIZACION!$A$2:$C$256,2,FALSE)</f>
        <v>PROOVEDORES</v>
      </c>
      <c r="J2970" t="str">
        <f>VLOOKUP(C2970,CATEGORIZACION!$A$2:$C$256,3,FALSE)</f>
        <v>LOGISTICA</v>
      </c>
    </row>
    <row r="2971" spans="1:10" ht="15" customHeight="1" x14ac:dyDescent="0.25">
      <c r="A2971" s="104">
        <v>45370</v>
      </c>
      <c r="B2971" s="105" t="s">
        <v>2131</v>
      </c>
      <c r="C2971" s="105" t="s">
        <v>17</v>
      </c>
      <c r="D2971" s="105" t="s">
        <v>18</v>
      </c>
      <c r="E2971" s="106">
        <v>69427</v>
      </c>
      <c r="F2971" s="106">
        <v>902000</v>
      </c>
      <c r="G2971" s="106">
        <v>189420</v>
      </c>
      <c r="H2971" s="106">
        <v>1160847</v>
      </c>
      <c r="I2971" t="str">
        <f>VLOOKUP(C2971,CATEGORIZACION!$A$2:$C$256,2,FALSE)</f>
        <v>TRANSPORTE</v>
      </c>
      <c r="J2971" t="str">
        <f>VLOOKUP(C2971,CATEGORIZACION!$A$2:$C$256,3,FALSE)</f>
        <v>LOGISTICA</v>
      </c>
    </row>
    <row r="2972" spans="1:10" ht="15" customHeight="1" x14ac:dyDescent="0.25">
      <c r="A2972" s="104">
        <v>45370</v>
      </c>
      <c r="B2972" s="105" t="s">
        <v>2751</v>
      </c>
      <c r="C2972" s="105" t="s">
        <v>17</v>
      </c>
      <c r="D2972" s="105" t="s">
        <v>18</v>
      </c>
      <c r="E2972" s="106">
        <v>84246</v>
      </c>
      <c r="F2972" s="106">
        <v>1596000</v>
      </c>
      <c r="G2972" s="106">
        <v>335160</v>
      </c>
      <c r="H2972" s="106">
        <v>2015406</v>
      </c>
      <c r="I2972" t="str">
        <f>VLOOKUP(C2972,CATEGORIZACION!$A$2:$C$256,2,FALSE)</f>
        <v>TRANSPORTE</v>
      </c>
      <c r="J2972" t="str">
        <f>VLOOKUP(C2972,CATEGORIZACION!$A$2:$C$256,3,FALSE)</f>
        <v>LOGISTICA</v>
      </c>
    </row>
    <row r="2973" spans="1:10" ht="15" customHeight="1" x14ac:dyDescent="0.25">
      <c r="A2973" s="104">
        <v>45370</v>
      </c>
      <c r="B2973" s="105" t="s">
        <v>2752</v>
      </c>
      <c r="C2973" s="105" t="s">
        <v>253</v>
      </c>
      <c r="D2973" s="105" t="s">
        <v>57</v>
      </c>
      <c r="E2973" s="106">
        <v>0</v>
      </c>
      <c r="F2973" s="106">
        <v>11665.29</v>
      </c>
      <c r="G2973" s="106">
        <v>2449.71</v>
      </c>
      <c r="H2973" s="106">
        <v>14115</v>
      </c>
      <c r="I2973" t="str">
        <f>VLOOKUP(C2973,CATEGORIZACION!$A$2:$C$256,2,FALSE)</f>
        <v>PROOVEDORES</v>
      </c>
      <c r="J2973" t="str">
        <f>VLOOKUP(C2973,CATEGORIZACION!$A$2:$C$256,3,FALSE)</f>
        <v>LOGISTICA</v>
      </c>
    </row>
    <row r="2974" spans="1:10" ht="15" customHeight="1" x14ac:dyDescent="0.25">
      <c r="A2974" s="104">
        <v>45371</v>
      </c>
      <c r="B2974" s="105" t="s">
        <v>2753</v>
      </c>
      <c r="C2974" s="105" t="s">
        <v>21</v>
      </c>
      <c r="D2974" s="105" t="s">
        <v>22</v>
      </c>
      <c r="E2974" s="106">
        <v>28110</v>
      </c>
      <c r="F2974" s="106">
        <v>630000</v>
      </c>
      <c r="G2974" s="106">
        <v>132300</v>
      </c>
      <c r="H2974" s="106">
        <v>790410</v>
      </c>
      <c r="I2974" t="str">
        <f>VLOOKUP(C2974,CATEGORIZACION!$A$2:$C$256,2,FALSE)</f>
        <v>TRANSPORTE</v>
      </c>
      <c r="J2974" t="str">
        <f>VLOOKUP(C2974,CATEGORIZACION!$A$2:$C$256,3,FALSE)</f>
        <v>LOGISTICA</v>
      </c>
    </row>
    <row r="2975" spans="1:10" ht="15" customHeight="1" x14ac:dyDescent="0.25">
      <c r="A2975" s="104">
        <v>45371</v>
      </c>
      <c r="B2975" s="105" t="s">
        <v>2754</v>
      </c>
      <c r="C2975" s="105" t="s">
        <v>21</v>
      </c>
      <c r="D2975" s="105" t="s">
        <v>22</v>
      </c>
      <c r="E2975" s="106">
        <v>31370</v>
      </c>
      <c r="F2975" s="106">
        <v>570000</v>
      </c>
      <c r="G2975" s="106">
        <v>119700</v>
      </c>
      <c r="H2975" s="106">
        <v>721070</v>
      </c>
      <c r="I2975" t="str">
        <f>VLOOKUP(C2975,CATEGORIZACION!$A$2:$C$256,2,FALSE)</f>
        <v>TRANSPORTE</v>
      </c>
      <c r="J2975" t="str">
        <f>VLOOKUP(C2975,CATEGORIZACION!$A$2:$C$256,3,FALSE)</f>
        <v>LOGISTICA</v>
      </c>
    </row>
    <row r="2976" spans="1:10" ht="15" customHeight="1" x14ac:dyDescent="0.25">
      <c r="A2976" s="104">
        <v>45371</v>
      </c>
      <c r="B2976" s="105" t="s">
        <v>2755</v>
      </c>
      <c r="C2976" s="105" t="s">
        <v>21</v>
      </c>
      <c r="D2976" s="105" t="s">
        <v>22</v>
      </c>
      <c r="E2976" s="106">
        <v>25272</v>
      </c>
      <c r="F2976" s="106">
        <v>1140000</v>
      </c>
      <c r="G2976" s="106">
        <v>239400</v>
      </c>
      <c r="H2976" s="106">
        <v>1404672</v>
      </c>
      <c r="I2976" t="str">
        <f>VLOOKUP(C2976,CATEGORIZACION!$A$2:$C$256,2,FALSE)</f>
        <v>TRANSPORTE</v>
      </c>
      <c r="J2976" t="str">
        <f>VLOOKUP(C2976,CATEGORIZACION!$A$2:$C$256,3,FALSE)</f>
        <v>LOGISTICA</v>
      </c>
    </row>
    <row r="2977" spans="1:10" ht="15" customHeight="1" x14ac:dyDescent="0.25">
      <c r="A2977" s="104">
        <v>45371</v>
      </c>
      <c r="B2977" s="105" t="s">
        <v>2756</v>
      </c>
      <c r="C2977" s="105" t="s">
        <v>21</v>
      </c>
      <c r="D2977" s="105" t="s">
        <v>22</v>
      </c>
      <c r="E2977" s="106">
        <v>24726</v>
      </c>
      <c r="F2977" s="106">
        <v>570000</v>
      </c>
      <c r="G2977" s="106">
        <v>119700</v>
      </c>
      <c r="H2977" s="106">
        <v>714426</v>
      </c>
      <c r="I2977" t="str">
        <f>VLOOKUP(C2977,CATEGORIZACION!$A$2:$C$256,2,FALSE)</f>
        <v>TRANSPORTE</v>
      </c>
      <c r="J2977" t="str">
        <f>VLOOKUP(C2977,CATEGORIZACION!$A$2:$C$256,3,FALSE)</f>
        <v>LOGISTICA</v>
      </c>
    </row>
    <row r="2978" spans="1:10" ht="15" customHeight="1" x14ac:dyDescent="0.25">
      <c r="A2978" s="104">
        <v>45371</v>
      </c>
      <c r="B2978" s="105" t="s">
        <v>2757</v>
      </c>
      <c r="C2978" s="105" t="s">
        <v>36</v>
      </c>
      <c r="D2978" s="105" t="s">
        <v>37</v>
      </c>
      <c r="E2978" s="106">
        <v>14000</v>
      </c>
      <c r="F2978" s="106">
        <v>174450</v>
      </c>
      <c r="G2978" s="106">
        <v>36634.5</v>
      </c>
      <c r="H2978" s="106">
        <v>225084.5</v>
      </c>
      <c r="I2978" t="str">
        <f>VLOOKUP(C2978,CATEGORIZACION!$A$2:$C$256,2,FALSE)</f>
        <v>TRANSPORTE</v>
      </c>
      <c r="J2978" t="str">
        <f>VLOOKUP(C2978,CATEGORIZACION!$A$2:$C$256,3,FALSE)</f>
        <v>LOGISTICA</v>
      </c>
    </row>
    <row r="2979" spans="1:10" ht="15" customHeight="1" x14ac:dyDescent="0.25">
      <c r="A2979" s="104">
        <v>45371</v>
      </c>
      <c r="B2979" s="105" t="s">
        <v>2758</v>
      </c>
      <c r="C2979" s="105" t="s">
        <v>36</v>
      </c>
      <c r="D2979" s="105" t="s">
        <v>37</v>
      </c>
      <c r="E2979" s="106">
        <v>14000</v>
      </c>
      <c r="F2979" s="106">
        <v>174450</v>
      </c>
      <c r="G2979" s="106">
        <v>36634.5</v>
      </c>
      <c r="H2979" s="106">
        <v>225084.5</v>
      </c>
      <c r="I2979" t="str">
        <f>VLOOKUP(C2979,CATEGORIZACION!$A$2:$C$256,2,FALSE)</f>
        <v>TRANSPORTE</v>
      </c>
      <c r="J2979" t="str">
        <f>VLOOKUP(C2979,CATEGORIZACION!$A$2:$C$256,3,FALSE)</f>
        <v>LOGISTICA</v>
      </c>
    </row>
    <row r="2980" spans="1:10" ht="15" customHeight="1" x14ac:dyDescent="0.25">
      <c r="A2980" s="104">
        <v>45371</v>
      </c>
      <c r="B2980" s="105" t="s">
        <v>2759</v>
      </c>
      <c r="C2980" s="105" t="s">
        <v>36</v>
      </c>
      <c r="D2980" s="105" t="s">
        <v>37</v>
      </c>
      <c r="E2980" s="106">
        <v>14000</v>
      </c>
      <c r="F2980" s="106">
        <v>174450</v>
      </c>
      <c r="G2980" s="106">
        <v>36634.5</v>
      </c>
      <c r="H2980" s="106">
        <v>225084.5</v>
      </c>
      <c r="I2980" t="str">
        <f>VLOOKUP(C2980,CATEGORIZACION!$A$2:$C$256,2,FALSE)</f>
        <v>TRANSPORTE</v>
      </c>
      <c r="J2980" t="str">
        <f>VLOOKUP(C2980,CATEGORIZACION!$A$2:$C$256,3,FALSE)</f>
        <v>LOGISTICA</v>
      </c>
    </row>
    <row r="2981" spans="1:10" ht="15" customHeight="1" x14ac:dyDescent="0.25">
      <c r="A2981" s="104">
        <v>45371</v>
      </c>
      <c r="B2981" s="105" t="s">
        <v>2760</v>
      </c>
      <c r="C2981" s="105" t="s">
        <v>36</v>
      </c>
      <c r="D2981" s="105" t="s">
        <v>37</v>
      </c>
      <c r="E2981" s="106">
        <v>14000</v>
      </c>
      <c r="F2981" s="106">
        <v>174450</v>
      </c>
      <c r="G2981" s="106">
        <v>36634.5</v>
      </c>
      <c r="H2981" s="106">
        <v>225084.5</v>
      </c>
      <c r="I2981" t="str">
        <f>VLOOKUP(C2981,CATEGORIZACION!$A$2:$C$256,2,FALSE)</f>
        <v>TRANSPORTE</v>
      </c>
      <c r="J2981" t="str">
        <f>VLOOKUP(C2981,CATEGORIZACION!$A$2:$C$256,3,FALSE)</f>
        <v>LOGISTICA</v>
      </c>
    </row>
    <row r="2982" spans="1:10" ht="15" customHeight="1" x14ac:dyDescent="0.25">
      <c r="A2982" s="104">
        <v>45371</v>
      </c>
      <c r="B2982" s="105" t="s">
        <v>2761</v>
      </c>
      <c r="C2982" s="105" t="s">
        <v>36</v>
      </c>
      <c r="D2982" s="105" t="s">
        <v>37</v>
      </c>
      <c r="E2982" s="106">
        <v>14000</v>
      </c>
      <c r="F2982" s="106">
        <v>174450</v>
      </c>
      <c r="G2982" s="106">
        <v>36634.5</v>
      </c>
      <c r="H2982" s="106">
        <v>225084.5</v>
      </c>
      <c r="I2982" t="str">
        <f>VLOOKUP(C2982,CATEGORIZACION!$A$2:$C$256,2,FALSE)</f>
        <v>TRANSPORTE</v>
      </c>
      <c r="J2982" t="str">
        <f>VLOOKUP(C2982,CATEGORIZACION!$A$2:$C$256,3,FALSE)</f>
        <v>LOGISTICA</v>
      </c>
    </row>
    <row r="2983" spans="1:10" ht="15" customHeight="1" x14ac:dyDescent="0.25">
      <c r="A2983" s="104">
        <v>45371</v>
      </c>
      <c r="B2983" s="105" t="s">
        <v>2762</v>
      </c>
      <c r="C2983" s="105" t="s">
        <v>36</v>
      </c>
      <c r="D2983" s="105" t="s">
        <v>37</v>
      </c>
      <c r="E2983" s="106">
        <v>18000</v>
      </c>
      <c r="F2983" s="106">
        <v>339550</v>
      </c>
      <c r="G2983" s="106">
        <v>71305.5</v>
      </c>
      <c r="H2983" s="106">
        <v>428855.5</v>
      </c>
      <c r="I2983" t="str">
        <f>VLOOKUP(C2983,CATEGORIZACION!$A$2:$C$256,2,FALSE)</f>
        <v>TRANSPORTE</v>
      </c>
      <c r="J2983" t="str">
        <f>VLOOKUP(C2983,CATEGORIZACION!$A$2:$C$256,3,FALSE)</f>
        <v>LOGISTICA</v>
      </c>
    </row>
    <row r="2984" spans="1:10" ht="15" customHeight="1" x14ac:dyDescent="0.25">
      <c r="A2984" s="104">
        <v>45371</v>
      </c>
      <c r="B2984" s="105" t="s">
        <v>2763</v>
      </c>
      <c r="C2984" s="105" t="s">
        <v>1050</v>
      </c>
      <c r="D2984" s="105" t="s">
        <v>1051</v>
      </c>
      <c r="E2984" s="106">
        <v>851.74</v>
      </c>
      <c r="F2984" s="106">
        <v>25051.24</v>
      </c>
      <c r="G2984" s="106">
        <v>5260.76</v>
      </c>
      <c r="H2984" s="106">
        <v>31163.74</v>
      </c>
      <c r="I2984" t="str">
        <f>VLOOKUP(C2984,CATEGORIZACION!$A$2:$C$256,2,FALSE)</f>
        <v>PROOVEDORES</v>
      </c>
      <c r="J2984" t="str">
        <f>VLOOKUP(C2984,CATEGORIZACION!$A$2:$C$256,3,FALSE)</f>
        <v>LOGISTICA</v>
      </c>
    </row>
    <row r="2985" spans="1:10" ht="15" customHeight="1" x14ac:dyDescent="0.25">
      <c r="A2985" s="104">
        <v>45372</v>
      </c>
      <c r="B2985" s="105" t="s">
        <v>2764</v>
      </c>
      <c r="C2985" s="105" t="s">
        <v>36</v>
      </c>
      <c r="D2985" s="105" t="s">
        <v>37</v>
      </c>
      <c r="E2985" s="106">
        <v>14000</v>
      </c>
      <c r="F2985" s="106">
        <v>174450</v>
      </c>
      <c r="G2985" s="106">
        <v>36634.5</v>
      </c>
      <c r="H2985" s="106">
        <v>225084.5</v>
      </c>
      <c r="I2985" t="str">
        <f>VLOOKUP(C2985,CATEGORIZACION!$A$2:$C$256,2,FALSE)</f>
        <v>TRANSPORTE</v>
      </c>
      <c r="J2985" t="str">
        <f>VLOOKUP(C2985,CATEGORIZACION!$A$2:$C$256,3,FALSE)</f>
        <v>LOGISTICA</v>
      </c>
    </row>
    <row r="2986" spans="1:10" ht="15" customHeight="1" x14ac:dyDescent="0.25">
      <c r="A2986" s="104">
        <v>45372</v>
      </c>
      <c r="B2986" s="105" t="s">
        <v>2765</v>
      </c>
      <c r="C2986" s="105" t="s">
        <v>36</v>
      </c>
      <c r="D2986" s="105" t="s">
        <v>37</v>
      </c>
      <c r="E2986" s="106">
        <v>14000</v>
      </c>
      <c r="F2986" s="106">
        <v>174450</v>
      </c>
      <c r="G2986" s="106">
        <v>36634.5</v>
      </c>
      <c r="H2986" s="106">
        <v>225084.5</v>
      </c>
      <c r="I2986" t="str">
        <f>VLOOKUP(C2986,CATEGORIZACION!$A$2:$C$256,2,FALSE)</f>
        <v>TRANSPORTE</v>
      </c>
      <c r="J2986" t="str">
        <f>VLOOKUP(C2986,CATEGORIZACION!$A$2:$C$256,3,FALSE)</f>
        <v>LOGISTICA</v>
      </c>
    </row>
    <row r="2987" spans="1:10" ht="15" customHeight="1" x14ac:dyDescent="0.25">
      <c r="A2987" s="104">
        <v>45372</v>
      </c>
      <c r="B2987" s="105" t="s">
        <v>2766</v>
      </c>
      <c r="C2987" s="105" t="s">
        <v>36</v>
      </c>
      <c r="D2987" s="105" t="s">
        <v>37</v>
      </c>
      <c r="E2987" s="106">
        <v>14000</v>
      </c>
      <c r="F2987" s="106">
        <v>174450</v>
      </c>
      <c r="G2987" s="106">
        <v>36634.5</v>
      </c>
      <c r="H2987" s="106">
        <v>225084.5</v>
      </c>
      <c r="I2987" t="str">
        <f>VLOOKUP(C2987,CATEGORIZACION!$A$2:$C$256,2,FALSE)</f>
        <v>TRANSPORTE</v>
      </c>
      <c r="J2987" t="str">
        <f>VLOOKUP(C2987,CATEGORIZACION!$A$2:$C$256,3,FALSE)</f>
        <v>LOGISTICA</v>
      </c>
    </row>
    <row r="2988" spans="1:10" ht="15" customHeight="1" x14ac:dyDescent="0.25">
      <c r="A2988" s="104">
        <v>45372</v>
      </c>
      <c r="B2988" s="105" t="s">
        <v>2767</v>
      </c>
      <c r="C2988" s="105" t="s">
        <v>36</v>
      </c>
      <c r="D2988" s="105" t="s">
        <v>37</v>
      </c>
      <c r="E2988" s="106">
        <v>14000</v>
      </c>
      <c r="F2988" s="106">
        <v>174450</v>
      </c>
      <c r="G2988" s="106">
        <v>36634.5</v>
      </c>
      <c r="H2988" s="106">
        <v>225084.5</v>
      </c>
      <c r="I2988" t="str">
        <f>VLOOKUP(C2988,CATEGORIZACION!$A$2:$C$256,2,FALSE)</f>
        <v>TRANSPORTE</v>
      </c>
      <c r="J2988" t="str">
        <f>VLOOKUP(C2988,CATEGORIZACION!$A$2:$C$256,3,FALSE)</f>
        <v>LOGISTICA</v>
      </c>
    </row>
    <row r="2989" spans="1:10" ht="15" customHeight="1" x14ac:dyDescent="0.25">
      <c r="A2989" s="104">
        <v>45372</v>
      </c>
      <c r="B2989" s="105" t="s">
        <v>2768</v>
      </c>
      <c r="C2989" s="105" t="s">
        <v>36</v>
      </c>
      <c r="D2989" s="105" t="s">
        <v>37</v>
      </c>
      <c r="E2989" s="106">
        <v>14000</v>
      </c>
      <c r="F2989" s="106">
        <v>174450</v>
      </c>
      <c r="G2989" s="106">
        <v>36634.5</v>
      </c>
      <c r="H2989" s="106">
        <v>225084.5</v>
      </c>
      <c r="I2989" t="str">
        <f>VLOOKUP(C2989,CATEGORIZACION!$A$2:$C$256,2,FALSE)</f>
        <v>TRANSPORTE</v>
      </c>
      <c r="J2989" t="str">
        <f>VLOOKUP(C2989,CATEGORIZACION!$A$2:$C$256,3,FALSE)</f>
        <v>LOGISTICA</v>
      </c>
    </row>
    <row r="2990" spans="1:10" ht="15" customHeight="1" x14ac:dyDescent="0.25">
      <c r="A2990" s="104">
        <v>45372</v>
      </c>
      <c r="B2990" s="105" t="s">
        <v>2769</v>
      </c>
      <c r="C2990" s="105" t="s">
        <v>36</v>
      </c>
      <c r="D2990" s="105" t="s">
        <v>37</v>
      </c>
      <c r="E2990" s="106">
        <v>14000</v>
      </c>
      <c r="F2990" s="106">
        <v>174450</v>
      </c>
      <c r="G2990" s="106">
        <v>36634.5</v>
      </c>
      <c r="H2990" s="106">
        <v>225084.5</v>
      </c>
      <c r="I2990" t="str">
        <f>VLOOKUP(C2990,CATEGORIZACION!$A$2:$C$256,2,FALSE)</f>
        <v>TRANSPORTE</v>
      </c>
      <c r="J2990" t="str">
        <f>VLOOKUP(C2990,CATEGORIZACION!$A$2:$C$256,3,FALSE)</f>
        <v>LOGISTICA</v>
      </c>
    </row>
    <row r="2991" spans="1:10" ht="15" customHeight="1" x14ac:dyDescent="0.25">
      <c r="A2991" s="104">
        <v>45372</v>
      </c>
      <c r="B2991" s="105" t="s">
        <v>2770</v>
      </c>
      <c r="C2991" s="105" t="s">
        <v>1501</v>
      </c>
      <c r="D2991" s="105" t="s">
        <v>1502</v>
      </c>
      <c r="E2991" s="106">
        <v>485.38</v>
      </c>
      <c r="F2991" s="106">
        <v>34669.42</v>
      </c>
      <c r="G2991" s="106">
        <v>7280.58</v>
      </c>
      <c r="H2991" s="106">
        <v>42435.38</v>
      </c>
      <c r="I2991" t="str">
        <f>VLOOKUP(C2991,CATEGORIZACION!$A$2:$C$256,2,FALSE)</f>
        <v>PROOVEDORES</v>
      </c>
      <c r="J2991" t="str">
        <f>VLOOKUP(C2991,CATEGORIZACION!$A$2:$C$256,3,FALSE)</f>
        <v>LOGISTICA</v>
      </c>
    </row>
    <row r="2992" spans="1:10" ht="15" customHeight="1" x14ac:dyDescent="0.25">
      <c r="A2992" s="104">
        <v>45372</v>
      </c>
      <c r="B2992" s="105" t="s">
        <v>2771</v>
      </c>
      <c r="C2992" s="105" t="s">
        <v>1501</v>
      </c>
      <c r="D2992" s="105" t="s">
        <v>1502</v>
      </c>
      <c r="E2992" s="106">
        <v>0.01</v>
      </c>
      <c r="F2992" s="106">
        <v>991.73</v>
      </c>
      <c r="G2992" s="106">
        <v>208.26</v>
      </c>
      <c r="H2992" s="106">
        <v>1200</v>
      </c>
      <c r="I2992" t="str">
        <f>VLOOKUP(C2992,CATEGORIZACION!$A$2:$C$256,2,FALSE)</f>
        <v>PROOVEDORES</v>
      </c>
      <c r="J2992" t="str">
        <f>VLOOKUP(C2992,CATEGORIZACION!$A$2:$C$256,3,FALSE)</f>
        <v>LOGISTICA</v>
      </c>
    </row>
    <row r="2993" spans="1:10" ht="15" customHeight="1" x14ac:dyDescent="0.25">
      <c r="A2993" s="104">
        <v>45373</v>
      </c>
      <c r="B2993" s="105" t="s">
        <v>2772</v>
      </c>
      <c r="C2993" s="105" t="s">
        <v>21</v>
      </c>
      <c r="D2993" s="105" t="s">
        <v>22</v>
      </c>
      <c r="E2993" s="106">
        <v>84330</v>
      </c>
      <c r="F2993" s="106">
        <v>1890000</v>
      </c>
      <c r="G2993" s="106">
        <v>396900</v>
      </c>
      <c r="H2993" s="106">
        <v>2371230</v>
      </c>
      <c r="I2993" t="str">
        <f>VLOOKUP(C2993,CATEGORIZACION!$A$2:$C$256,2,FALSE)</f>
        <v>TRANSPORTE</v>
      </c>
      <c r="J2993" t="str">
        <f>VLOOKUP(C2993,CATEGORIZACION!$A$2:$C$256,3,FALSE)</f>
        <v>LOGISTICA</v>
      </c>
    </row>
    <row r="2994" spans="1:10" ht="15" customHeight="1" x14ac:dyDescent="0.25">
      <c r="A2994" s="104">
        <v>45373</v>
      </c>
      <c r="B2994" s="105" t="s">
        <v>2773</v>
      </c>
      <c r="C2994" s="105" t="s">
        <v>36</v>
      </c>
      <c r="D2994" s="105" t="s">
        <v>37</v>
      </c>
      <c r="E2994" s="106">
        <v>15000</v>
      </c>
      <c r="F2994" s="106">
        <v>316400</v>
      </c>
      <c r="G2994" s="106">
        <v>66444</v>
      </c>
      <c r="H2994" s="106">
        <v>397844</v>
      </c>
      <c r="I2994" t="str">
        <f>VLOOKUP(C2994,CATEGORIZACION!$A$2:$C$256,2,FALSE)</f>
        <v>TRANSPORTE</v>
      </c>
      <c r="J2994" t="str">
        <f>VLOOKUP(C2994,CATEGORIZACION!$A$2:$C$256,3,FALSE)</f>
        <v>LOGISTICA</v>
      </c>
    </row>
    <row r="2995" spans="1:10" ht="15" customHeight="1" x14ac:dyDescent="0.25">
      <c r="A2995" s="104">
        <v>45373</v>
      </c>
      <c r="B2995" s="105" t="s">
        <v>2774</v>
      </c>
      <c r="C2995" s="105" t="s">
        <v>36</v>
      </c>
      <c r="D2995" s="105" t="s">
        <v>37</v>
      </c>
      <c r="E2995" s="106">
        <v>15000</v>
      </c>
      <c r="F2995" s="106">
        <v>361600</v>
      </c>
      <c r="G2995" s="106">
        <v>75936</v>
      </c>
      <c r="H2995" s="106">
        <v>452536</v>
      </c>
      <c r="I2995" t="str">
        <f>VLOOKUP(C2995,CATEGORIZACION!$A$2:$C$256,2,FALSE)</f>
        <v>TRANSPORTE</v>
      </c>
      <c r="J2995" t="str">
        <f>VLOOKUP(C2995,CATEGORIZACION!$A$2:$C$256,3,FALSE)</f>
        <v>LOGISTICA</v>
      </c>
    </row>
    <row r="2996" spans="1:10" ht="15" customHeight="1" x14ac:dyDescent="0.25">
      <c r="A2996" s="104">
        <v>45373</v>
      </c>
      <c r="B2996" s="105" t="s">
        <v>2775</v>
      </c>
      <c r="C2996" s="105" t="s">
        <v>36</v>
      </c>
      <c r="D2996" s="105" t="s">
        <v>37</v>
      </c>
      <c r="E2996" s="106">
        <v>15000</v>
      </c>
      <c r="F2996" s="106">
        <v>316400</v>
      </c>
      <c r="G2996" s="106">
        <v>66444</v>
      </c>
      <c r="H2996" s="106">
        <v>397844</v>
      </c>
      <c r="I2996" t="str">
        <f>VLOOKUP(C2996,CATEGORIZACION!$A$2:$C$256,2,FALSE)</f>
        <v>TRANSPORTE</v>
      </c>
      <c r="J2996" t="str">
        <f>VLOOKUP(C2996,CATEGORIZACION!$A$2:$C$256,3,FALSE)</f>
        <v>LOGISTICA</v>
      </c>
    </row>
    <row r="2997" spans="1:10" ht="15" customHeight="1" x14ac:dyDescent="0.25">
      <c r="A2997" s="104">
        <v>45373</v>
      </c>
      <c r="B2997" s="105" t="s">
        <v>2776</v>
      </c>
      <c r="C2997" s="105" t="s">
        <v>36</v>
      </c>
      <c r="D2997" s="105" t="s">
        <v>37</v>
      </c>
      <c r="E2997" s="106">
        <v>14000</v>
      </c>
      <c r="F2997" s="106">
        <v>235500</v>
      </c>
      <c r="G2997" s="106">
        <v>49455</v>
      </c>
      <c r="H2997" s="106">
        <v>298955</v>
      </c>
      <c r="I2997" t="str">
        <f>VLOOKUP(C2997,CATEGORIZACION!$A$2:$C$256,2,FALSE)</f>
        <v>TRANSPORTE</v>
      </c>
      <c r="J2997" t="str">
        <f>VLOOKUP(C2997,CATEGORIZACION!$A$2:$C$256,3,FALSE)</f>
        <v>LOGISTICA</v>
      </c>
    </row>
    <row r="2998" spans="1:10" ht="15" customHeight="1" x14ac:dyDescent="0.25">
      <c r="A2998" s="104">
        <v>45373</v>
      </c>
      <c r="B2998" s="105" t="s">
        <v>2777</v>
      </c>
      <c r="C2998" s="105" t="s">
        <v>36</v>
      </c>
      <c r="D2998" s="105" t="s">
        <v>37</v>
      </c>
      <c r="E2998" s="106">
        <v>14000</v>
      </c>
      <c r="F2998" s="106">
        <v>235500</v>
      </c>
      <c r="G2998" s="106">
        <v>49455</v>
      </c>
      <c r="H2998" s="106">
        <v>298955</v>
      </c>
      <c r="I2998" t="str">
        <f>VLOOKUP(C2998,CATEGORIZACION!$A$2:$C$256,2,FALSE)</f>
        <v>TRANSPORTE</v>
      </c>
      <c r="J2998" t="str">
        <f>VLOOKUP(C2998,CATEGORIZACION!$A$2:$C$256,3,FALSE)</f>
        <v>LOGISTICA</v>
      </c>
    </row>
    <row r="2999" spans="1:10" ht="15" customHeight="1" x14ac:dyDescent="0.25">
      <c r="A2999" s="104">
        <v>45373</v>
      </c>
      <c r="B2999" s="105" t="s">
        <v>2778</v>
      </c>
      <c r="C2999" s="105" t="s">
        <v>36</v>
      </c>
      <c r="D2999" s="105" t="s">
        <v>37</v>
      </c>
      <c r="E2999" s="106">
        <v>14000</v>
      </c>
      <c r="F2999" s="106">
        <v>174450</v>
      </c>
      <c r="G2999" s="106">
        <v>36634.5</v>
      </c>
      <c r="H2999" s="106">
        <v>225084.5</v>
      </c>
      <c r="I2999" t="str">
        <f>VLOOKUP(C2999,CATEGORIZACION!$A$2:$C$256,2,FALSE)</f>
        <v>TRANSPORTE</v>
      </c>
      <c r="J2999" t="str">
        <f>VLOOKUP(C2999,CATEGORIZACION!$A$2:$C$256,3,FALSE)</f>
        <v>LOGISTICA</v>
      </c>
    </row>
    <row r="3000" spans="1:10" ht="15" customHeight="1" x14ac:dyDescent="0.25">
      <c r="A3000" s="104">
        <v>45373</v>
      </c>
      <c r="B3000" s="105" t="s">
        <v>2779</v>
      </c>
      <c r="C3000" s="105" t="s">
        <v>36</v>
      </c>
      <c r="D3000" s="105" t="s">
        <v>37</v>
      </c>
      <c r="E3000" s="106">
        <v>14000</v>
      </c>
      <c r="F3000" s="106">
        <v>174450</v>
      </c>
      <c r="G3000" s="106">
        <v>36634.5</v>
      </c>
      <c r="H3000" s="106">
        <v>225084.5</v>
      </c>
      <c r="I3000" t="str">
        <f>VLOOKUP(C3000,CATEGORIZACION!$A$2:$C$256,2,FALSE)</f>
        <v>TRANSPORTE</v>
      </c>
      <c r="J3000" t="str">
        <f>VLOOKUP(C3000,CATEGORIZACION!$A$2:$C$256,3,FALSE)</f>
        <v>LOGISTICA</v>
      </c>
    </row>
    <row r="3001" spans="1:10" ht="15" customHeight="1" x14ac:dyDescent="0.25">
      <c r="A3001" s="104">
        <v>45374</v>
      </c>
      <c r="B3001" s="105" t="s">
        <v>2780</v>
      </c>
      <c r="C3001" s="105" t="s">
        <v>21</v>
      </c>
      <c r="D3001" s="105" t="s">
        <v>22</v>
      </c>
      <c r="E3001" s="106">
        <v>27235</v>
      </c>
      <c r="F3001" s="106">
        <v>2009600</v>
      </c>
      <c r="G3001" s="106">
        <v>422016</v>
      </c>
      <c r="H3001" s="106">
        <v>2458851</v>
      </c>
      <c r="I3001" t="str">
        <f>VLOOKUP(C3001,CATEGORIZACION!$A$2:$C$256,2,FALSE)</f>
        <v>TRANSPORTE</v>
      </c>
      <c r="J3001" t="str">
        <f>VLOOKUP(C3001,CATEGORIZACION!$A$2:$C$256,3,FALSE)</f>
        <v>LOGISTICA</v>
      </c>
    </row>
    <row r="3002" spans="1:10" ht="15" customHeight="1" x14ac:dyDescent="0.25">
      <c r="A3002" s="104">
        <v>45374</v>
      </c>
      <c r="B3002" s="105" t="s">
        <v>2781</v>
      </c>
      <c r="C3002" s="105" t="s">
        <v>21</v>
      </c>
      <c r="D3002" s="105" t="s">
        <v>22</v>
      </c>
      <c r="E3002" s="106">
        <v>37600</v>
      </c>
      <c r="F3002" s="106">
        <v>1050000</v>
      </c>
      <c r="G3002" s="106">
        <v>220500</v>
      </c>
      <c r="H3002" s="106">
        <v>1308100</v>
      </c>
      <c r="I3002" t="str">
        <f>VLOOKUP(C3002,CATEGORIZACION!$A$2:$C$256,2,FALSE)</f>
        <v>TRANSPORTE</v>
      </c>
      <c r="J3002" t="str">
        <f>VLOOKUP(C3002,CATEGORIZACION!$A$2:$C$256,3,FALSE)</f>
        <v>LOGISTICA</v>
      </c>
    </row>
    <row r="3003" spans="1:10" ht="15" customHeight="1" x14ac:dyDescent="0.25">
      <c r="A3003" s="104">
        <v>45375</v>
      </c>
      <c r="B3003" s="105" t="s">
        <v>2246</v>
      </c>
      <c r="C3003" s="105" t="s">
        <v>46</v>
      </c>
      <c r="D3003" s="105" t="s">
        <v>47</v>
      </c>
      <c r="E3003" s="106">
        <v>0</v>
      </c>
      <c r="F3003" s="106">
        <v>1330245.5</v>
      </c>
      <c r="G3003" s="106">
        <v>279351.56</v>
      </c>
      <c r="H3003" s="106">
        <v>1609597.06</v>
      </c>
      <c r="I3003" t="str">
        <f>VLOOKUP(C3003,CATEGORIZACION!$A$2:$C$256,2,FALSE)</f>
        <v>TRANSPORTE</v>
      </c>
      <c r="J3003" t="str">
        <f>VLOOKUP(C3003,CATEGORIZACION!$A$2:$C$256,3,FALSE)</f>
        <v>LOGISTICA</v>
      </c>
    </row>
    <row r="3004" spans="1:10" ht="15" customHeight="1" x14ac:dyDescent="0.25">
      <c r="A3004" s="104">
        <v>45376</v>
      </c>
      <c r="B3004" s="105" t="s">
        <v>2782</v>
      </c>
      <c r="C3004" s="105" t="s">
        <v>2783</v>
      </c>
      <c r="D3004" s="105" t="s">
        <v>2784</v>
      </c>
      <c r="E3004" s="106">
        <v>0</v>
      </c>
      <c r="F3004" s="106">
        <v>120000</v>
      </c>
      <c r="G3004" s="106">
        <v>25200</v>
      </c>
      <c r="H3004" s="106">
        <v>145200</v>
      </c>
      <c r="I3004" t="str">
        <f>VLOOKUP(C3004,CATEGORIZACION!$A$2:$C$256,2,FALSE)</f>
        <v>PROOVEDORES</v>
      </c>
      <c r="J3004" t="str">
        <f>VLOOKUP(C3004,CATEGORIZACION!$A$2:$C$256,3,FALSE)</f>
        <v>LOGISTICA</v>
      </c>
    </row>
    <row r="3005" spans="1:10" ht="15" customHeight="1" x14ac:dyDescent="0.25">
      <c r="A3005" s="104">
        <v>45376</v>
      </c>
      <c r="B3005" s="105" t="s">
        <v>2785</v>
      </c>
      <c r="C3005" s="105" t="s">
        <v>339</v>
      </c>
      <c r="D3005" s="105" t="s">
        <v>340</v>
      </c>
      <c r="E3005" s="106">
        <v>0</v>
      </c>
      <c r="F3005" s="106">
        <v>307139.76</v>
      </c>
      <c r="G3005" s="106">
        <v>64499.35</v>
      </c>
      <c r="H3005" s="106">
        <v>371639.11</v>
      </c>
      <c r="I3005" t="str">
        <f>VLOOKUP(C3005,CATEGORIZACION!$A$2:$C$256,2,FALSE)</f>
        <v>PROOVEDORES</v>
      </c>
      <c r="J3005" t="str">
        <f>VLOOKUP(C3005,CATEGORIZACION!$A$2:$C$256,3,FALSE)</f>
        <v>LOGISTICA</v>
      </c>
    </row>
    <row r="3006" spans="1:10" ht="15" customHeight="1" x14ac:dyDescent="0.25">
      <c r="A3006" s="104">
        <v>45376</v>
      </c>
      <c r="B3006" s="105" t="s">
        <v>2658</v>
      </c>
      <c r="C3006" s="105" t="s">
        <v>87</v>
      </c>
      <c r="D3006" s="105" t="s">
        <v>88</v>
      </c>
      <c r="E3006" s="106">
        <v>0</v>
      </c>
      <c r="F3006" s="106">
        <v>29650</v>
      </c>
      <c r="G3006" s="106">
        <v>6226.5</v>
      </c>
      <c r="H3006" s="106">
        <v>35876.5</v>
      </c>
      <c r="I3006" t="str">
        <f>VLOOKUP(C3006,CATEGORIZACION!$A$2:$C$256,2,FALSE)</f>
        <v>PROOVEDORES</v>
      </c>
      <c r="J3006" t="str">
        <f>VLOOKUP(C3006,CATEGORIZACION!$A$2:$C$256,3,FALSE)</f>
        <v>LOGISTICA</v>
      </c>
    </row>
    <row r="3007" spans="1:10" ht="15" customHeight="1" x14ac:dyDescent="0.25">
      <c r="A3007" s="104">
        <v>45376</v>
      </c>
      <c r="B3007" s="105" t="s">
        <v>2786</v>
      </c>
      <c r="C3007" s="105" t="s">
        <v>21</v>
      </c>
      <c r="D3007" s="105" t="s">
        <v>22</v>
      </c>
      <c r="E3007" s="106">
        <v>0</v>
      </c>
      <c r="F3007" s="106">
        <v>430000</v>
      </c>
      <c r="G3007" s="106">
        <v>90300</v>
      </c>
      <c r="H3007" s="106">
        <v>520300</v>
      </c>
      <c r="I3007" t="str">
        <f>VLOOKUP(C3007,CATEGORIZACION!$A$2:$C$256,2,FALSE)</f>
        <v>TRANSPORTE</v>
      </c>
      <c r="J3007" t="str">
        <f>VLOOKUP(C3007,CATEGORIZACION!$A$2:$C$256,3,FALSE)</f>
        <v>LOGISTICA</v>
      </c>
    </row>
    <row r="3008" spans="1:10" ht="15" customHeight="1" x14ac:dyDescent="0.25">
      <c r="A3008" s="104">
        <v>45376</v>
      </c>
      <c r="B3008" s="105" t="s">
        <v>2787</v>
      </c>
      <c r="C3008" s="105" t="s">
        <v>21</v>
      </c>
      <c r="D3008" s="105" t="s">
        <v>22</v>
      </c>
      <c r="E3008" s="106">
        <v>16000</v>
      </c>
      <c r="F3008" s="106">
        <v>285000</v>
      </c>
      <c r="G3008" s="106">
        <v>59850</v>
      </c>
      <c r="H3008" s="106">
        <v>360850</v>
      </c>
      <c r="I3008" t="str">
        <f>VLOOKUP(C3008,CATEGORIZACION!$A$2:$C$256,2,FALSE)</f>
        <v>TRANSPORTE</v>
      </c>
      <c r="J3008" t="str">
        <f>VLOOKUP(C3008,CATEGORIZACION!$A$2:$C$256,3,FALSE)</f>
        <v>LOGISTICA</v>
      </c>
    </row>
    <row r="3009" spans="1:10" ht="15" customHeight="1" x14ac:dyDescent="0.25">
      <c r="A3009" s="104">
        <v>45376</v>
      </c>
      <c r="B3009" s="105" t="s">
        <v>2788</v>
      </c>
      <c r="C3009" s="105" t="s">
        <v>21</v>
      </c>
      <c r="D3009" s="105" t="s">
        <v>22</v>
      </c>
      <c r="E3009" s="106">
        <v>65590</v>
      </c>
      <c r="F3009" s="106">
        <v>1470000</v>
      </c>
      <c r="G3009" s="106">
        <v>308700</v>
      </c>
      <c r="H3009" s="106">
        <v>1844290</v>
      </c>
      <c r="I3009" t="str">
        <f>VLOOKUP(C3009,CATEGORIZACION!$A$2:$C$256,2,FALSE)</f>
        <v>TRANSPORTE</v>
      </c>
      <c r="J3009" t="str">
        <f>VLOOKUP(C3009,CATEGORIZACION!$A$2:$C$256,3,FALSE)</f>
        <v>LOGISTICA</v>
      </c>
    </row>
    <row r="3010" spans="1:10" ht="15" customHeight="1" x14ac:dyDescent="0.25">
      <c r="A3010" s="104">
        <v>45376</v>
      </c>
      <c r="B3010" s="105" t="s">
        <v>2789</v>
      </c>
      <c r="C3010" s="105" t="s">
        <v>21</v>
      </c>
      <c r="D3010" s="105" t="s">
        <v>22</v>
      </c>
      <c r="E3010" s="106">
        <v>93700</v>
      </c>
      <c r="F3010" s="106">
        <v>2100000</v>
      </c>
      <c r="G3010" s="106">
        <v>441000</v>
      </c>
      <c r="H3010" s="106">
        <v>2634700</v>
      </c>
      <c r="I3010" t="str">
        <f>VLOOKUP(C3010,CATEGORIZACION!$A$2:$C$256,2,FALSE)</f>
        <v>TRANSPORTE</v>
      </c>
      <c r="J3010" t="str">
        <f>VLOOKUP(C3010,CATEGORIZACION!$A$2:$C$256,3,FALSE)</f>
        <v>LOGISTICA</v>
      </c>
    </row>
    <row r="3011" spans="1:10" ht="15" customHeight="1" x14ac:dyDescent="0.25">
      <c r="A3011" s="104">
        <v>45376</v>
      </c>
      <c r="B3011" s="105" t="s">
        <v>2790</v>
      </c>
      <c r="C3011" s="105" t="s">
        <v>21</v>
      </c>
      <c r="D3011" s="105" t="s">
        <v>22</v>
      </c>
      <c r="E3011" s="106">
        <v>12635</v>
      </c>
      <c r="F3011" s="106">
        <v>582500</v>
      </c>
      <c r="G3011" s="106">
        <v>122325</v>
      </c>
      <c r="H3011" s="106">
        <v>717460</v>
      </c>
      <c r="I3011" t="str">
        <f>VLOOKUP(C3011,CATEGORIZACION!$A$2:$C$256,2,FALSE)</f>
        <v>TRANSPORTE</v>
      </c>
      <c r="J3011" t="str">
        <f>VLOOKUP(C3011,CATEGORIZACION!$A$2:$C$256,3,FALSE)</f>
        <v>LOGISTICA</v>
      </c>
    </row>
    <row r="3012" spans="1:10" ht="15" customHeight="1" x14ac:dyDescent="0.25">
      <c r="A3012" s="104">
        <v>45376</v>
      </c>
      <c r="B3012" s="105" t="s">
        <v>2791</v>
      </c>
      <c r="C3012" s="105" t="s">
        <v>21</v>
      </c>
      <c r="D3012" s="105" t="s">
        <v>22</v>
      </c>
      <c r="E3012" s="106">
        <v>12635</v>
      </c>
      <c r="F3012" s="106">
        <v>390000</v>
      </c>
      <c r="G3012" s="106">
        <v>81900</v>
      </c>
      <c r="H3012" s="106">
        <v>484535</v>
      </c>
      <c r="I3012" t="str">
        <f>VLOOKUP(C3012,CATEGORIZACION!$A$2:$C$256,2,FALSE)</f>
        <v>TRANSPORTE</v>
      </c>
      <c r="J3012" t="str">
        <f>VLOOKUP(C3012,CATEGORIZACION!$A$2:$C$256,3,FALSE)</f>
        <v>LOGISTICA</v>
      </c>
    </row>
    <row r="3013" spans="1:10" ht="15" customHeight="1" x14ac:dyDescent="0.25">
      <c r="A3013" s="104">
        <v>45376</v>
      </c>
      <c r="B3013" s="105" t="s">
        <v>2792</v>
      </c>
      <c r="C3013" s="105" t="s">
        <v>21</v>
      </c>
      <c r="D3013" s="105" t="s">
        <v>22</v>
      </c>
      <c r="E3013" s="106">
        <v>15040</v>
      </c>
      <c r="F3013" s="106">
        <v>520000</v>
      </c>
      <c r="G3013" s="106">
        <v>109200</v>
      </c>
      <c r="H3013" s="106">
        <v>644240</v>
      </c>
      <c r="I3013" t="str">
        <f>VLOOKUP(C3013,CATEGORIZACION!$A$2:$C$256,2,FALSE)</f>
        <v>TRANSPORTE</v>
      </c>
      <c r="J3013" t="str">
        <f>VLOOKUP(C3013,CATEGORIZACION!$A$2:$C$256,3,FALSE)</f>
        <v>LOGISTICA</v>
      </c>
    </row>
    <row r="3014" spans="1:10" ht="15" customHeight="1" x14ac:dyDescent="0.25">
      <c r="A3014" s="104">
        <v>45376</v>
      </c>
      <c r="B3014" s="105" t="s">
        <v>2793</v>
      </c>
      <c r="C3014" s="105" t="s">
        <v>36</v>
      </c>
      <c r="D3014" s="105" t="s">
        <v>37</v>
      </c>
      <c r="E3014" s="106">
        <v>14000</v>
      </c>
      <c r="F3014" s="106">
        <v>174450</v>
      </c>
      <c r="G3014" s="106">
        <v>36634.5</v>
      </c>
      <c r="H3014" s="106">
        <v>225084.5</v>
      </c>
      <c r="I3014" t="str">
        <f>VLOOKUP(C3014,CATEGORIZACION!$A$2:$C$256,2,FALSE)</f>
        <v>TRANSPORTE</v>
      </c>
      <c r="J3014" t="str">
        <f>VLOOKUP(C3014,CATEGORIZACION!$A$2:$C$256,3,FALSE)</f>
        <v>LOGISTICA</v>
      </c>
    </row>
    <row r="3015" spans="1:10" ht="15" customHeight="1" x14ac:dyDescent="0.25">
      <c r="A3015" s="104">
        <v>45376</v>
      </c>
      <c r="B3015" s="105" t="s">
        <v>2794</v>
      </c>
      <c r="C3015" s="105" t="s">
        <v>36</v>
      </c>
      <c r="D3015" s="105" t="s">
        <v>37</v>
      </c>
      <c r="E3015" s="106">
        <v>29300</v>
      </c>
      <c r="F3015" s="106">
        <v>329300</v>
      </c>
      <c r="G3015" s="106">
        <v>69153</v>
      </c>
      <c r="H3015" s="106">
        <v>427753</v>
      </c>
      <c r="I3015" t="str">
        <f>VLOOKUP(C3015,CATEGORIZACION!$A$2:$C$256,2,FALSE)</f>
        <v>TRANSPORTE</v>
      </c>
      <c r="J3015" t="str">
        <f>VLOOKUP(C3015,CATEGORIZACION!$A$2:$C$256,3,FALSE)</f>
        <v>LOGISTICA</v>
      </c>
    </row>
    <row r="3016" spans="1:10" ht="15" customHeight="1" x14ac:dyDescent="0.25">
      <c r="A3016" s="104">
        <v>45376</v>
      </c>
      <c r="B3016" s="105" t="s">
        <v>2795</v>
      </c>
      <c r="C3016" s="105" t="s">
        <v>36</v>
      </c>
      <c r="D3016" s="105" t="s">
        <v>37</v>
      </c>
      <c r="E3016" s="106">
        <v>28500</v>
      </c>
      <c r="F3016" s="106">
        <v>307500</v>
      </c>
      <c r="G3016" s="106">
        <v>64575</v>
      </c>
      <c r="H3016" s="106">
        <v>400575</v>
      </c>
      <c r="I3016" t="str">
        <f>VLOOKUP(C3016,CATEGORIZACION!$A$2:$C$256,2,FALSE)</f>
        <v>TRANSPORTE</v>
      </c>
      <c r="J3016" t="str">
        <f>VLOOKUP(C3016,CATEGORIZACION!$A$2:$C$256,3,FALSE)</f>
        <v>LOGISTICA</v>
      </c>
    </row>
    <row r="3017" spans="1:10" ht="15" customHeight="1" x14ac:dyDescent="0.25">
      <c r="A3017" s="104">
        <v>45376</v>
      </c>
      <c r="B3017" s="105" t="s">
        <v>2796</v>
      </c>
      <c r="C3017" s="105" t="s">
        <v>36</v>
      </c>
      <c r="D3017" s="105" t="s">
        <v>37</v>
      </c>
      <c r="E3017" s="106">
        <v>14000</v>
      </c>
      <c r="F3017" s="106">
        <v>191900</v>
      </c>
      <c r="G3017" s="106">
        <v>40299</v>
      </c>
      <c r="H3017" s="106">
        <v>246199</v>
      </c>
      <c r="I3017" t="str">
        <f>VLOOKUP(C3017,CATEGORIZACION!$A$2:$C$256,2,FALSE)</f>
        <v>TRANSPORTE</v>
      </c>
      <c r="J3017" t="str">
        <f>VLOOKUP(C3017,CATEGORIZACION!$A$2:$C$256,3,FALSE)</f>
        <v>LOGISTICA</v>
      </c>
    </row>
    <row r="3018" spans="1:10" ht="15" customHeight="1" x14ac:dyDescent="0.25">
      <c r="A3018" s="104">
        <v>45376</v>
      </c>
      <c r="B3018" s="105" t="s">
        <v>2797</v>
      </c>
      <c r="C3018" s="105" t="s">
        <v>36</v>
      </c>
      <c r="D3018" s="105" t="s">
        <v>37</v>
      </c>
      <c r="E3018" s="106">
        <v>28500</v>
      </c>
      <c r="F3018" s="106">
        <v>307500</v>
      </c>
      <c r="G3018" s="106">
        <v>64575</v>
      </c>
      <c r="H3018" s="106">
        <v>400575</v>
      </c>
      <c r="I3018" t="str">
        <f>VLOOKUP(C3018,CATEGORIZACION!$A$2:$C$256,2,FALSE)</f>
        <v>TRANSPORTE</v>
      </c>
      <c r="J3018" t="str">
        <f>VLOOKUP(C3018,CATEGORIZACION!$A$2:$C$256,3,FALSE)</f>
        <v>LOGISTICA</v>
      </c>
    </row>
    <row r="3019" spans="1:10" ht="15" customHeight="1" x14ac:dyDescent="0.25">
      <c r="A3019" s="104">
        <v>45376</v>
      </c>
      <c r="B3019" s="105" t="s">
        <v>2798</v>
      </c>
      <c r="C3019" s="105" t="s">
        <v>36</v>
      </c>
      <c r="D3019" s="105" t="s">
        <v>37</v>
      </c>
      <c r="E3019" s="106">
        <v>28500</v>
      </c>
      <c r="F3019" s="106">
        <v>307500</v>
      </c>
      <c r="G3019" s="106">
        <v>64575</v>
      </c>
      <c r="H3019" s="106">
        <v>400575</v>
      </c>
      <c r="I3019" t="str">
        <f>VLOOKUP(C3019,CATEGORIZACION!$A$2:$C$256,2,FALSE)</f>
        <v>TRANSPORTE</v>
      </c>
      <c r="J3019" t="str">
        <f>VLOOKUP(C3019,CATEGORIZACION!$A$2:$C$256,3,FALSE)</f>
        <v>LOGISTICA</v>
      </c>
    </row>
    <row r="3020" spans="1:10" ht="15" customHeight="1" x14ac:dyDescent="0.25">
      <c r="A3020" s="104">
        <v>45376</v>
      </c>
      <c r="B3020" s="105" t="s">
        <v>2799</v>
      </c>
      <c r="C3020" s="105" t="s">
        <v>36</v>
      </c>
      <c r="D3020" s="105" t="s">
        <v>37</v>
      </c>
      <c r="E3020" s="106">
        <v>28500</v>
      </c>
      <c r="F3020" s="106">
        <v>307500</v>
      </c>
      <c r="G3020" s="106">
        <v>64575</v>
      </c>
      <c r="H3020" s="106">
        <v>400575</v>
      </c>
      <c r="I3020" t="str">
        <f>VLOOKUP(C3020,CATEGORIZACION!$A$2:$C$256,2,FALSE)</f>
        <v>TRANSPORTE</v>
      </c>
      <c r="J3020" t="str">
        <f>VLOOKUP(C3020,CATEGORIZACION!$A$2:$C$256,3,FALSE)</f>
        <v>LOGISTICA</v>
      </c>
    </row>
    <row r="3021" spans="1:10" ht="15" customHeight="1" x14ac:dyDescent="0.25">
      <c r="A3021" s="104">
        <v>45376</v>
      </c>
      <c r="B3021" s="105" t="s">
        <v>2800</v>
      </c>
      <c r="C3021" s="105" t="s">
        <v>36</v>
      </c>
      <c r="D3021" s="105" t="s">
        <v>37</v>
      </c>
      <c r="E3021" s="106">
        <v>28500</v>
      </c>
      <c r="F3021" s="106">
        <v>307500</v>
      </c>
      <c r="G3021" s="106">
        <v>64575</v>
      </c>
      <c r="H3021" s="106">
        <v>400575</v>
      </c>
      <c r="I3021" t="str">
        <f>VLOOKUP(C3021,CATEGORIZACION!$A$2:$C$256,2,FALSE)</f>
        <v>TRANSPORTE</v>
      </c>
      <c r="J3021" t="str">
        <f>VLOOKUP(C3021,CATEGORIZACION!$A$2:$C$256,3,FALSE)</f>
        <v>LOGISTICA</v>
      </c>
    </row>
    <row r="3022" spans="1:10" ht="15" customHeight="1" x14ac:dyDescent="0.25">
      <c r="A3022" s="104">
        <v>45376</v>
      </c>
      <c r="B3022" s="105" t="s">
        <v>2801</v>
      </c>
      <c r="C3022" s="105" t="s">
        <v>36</v>
      </c>
      <c r="D3022" s="105" t="s">
        <v>37</v>
      </c>
      <c r="E3022" s="106">
        <v>7000</v>
      </c>
      <c r="F3022" s="106">
        <v>167500</v>
      </c>
      <c r="G3022" s="106">
        <v>35175</v>
      </c>
      <c r="H3022" s="106">
        <v>209675</v>
      </c>
      <c r="I3022" t="str">
        <f>VLOOKUP(C3022,CATEGORIZACION!$A$2:$C$256,2,FALSE)</f>
        <v>TRANSPORTE</v>
      </c>
      <c r="J3022" t="str">
        <f>VLOOKUP(C3022,CATEGORIZACION!$A$2:$C$256,3,FALSE)</f>
        <v>LOGISTICA</v>
      </c>
    </row>
    <row r="3023" spans="1:10" ht="15" customHeight="1" x14ac:dyDescent="0.25">
      <c r="A3023" s="104">
        <v>45376</v>
      </c>
      <c r="B3023" s="105" t="s">
        <v>2802</v>
      </c>
      <c r="C3023" s="105" t="s">
        <v>36</v>
      </c>
      <c r="D3023" s="105" t="s">
        <v>37</v>
      </c>
      <c r="E3023" s="106">
        <v>16700</v>
      </c>
      <c r="F3023" s="106">
        <v>407460</v>
      </c>
      <c r="G3023" s="106">
        <v>85566.6</v>
      </c>
      <c r="H3023" s="106">
        <v>509726.6</v>
      </c>
      <c r="I3023" t="str">
        <f>VLOOKUP(C3023,CATEGORIZACION!$A$2:$C$256,2,FALSE)</f>
        <v>TRANSPORTE</v>
      </c>
      <c r="J3023" t="str">
        <f>VLOOKUP(C3023,CATEGORIZACION!$A$2:$C$256,3,FALSE)</f>
        <v>LOGISTICA</v>
      </c>
    </row>
    <row r="3024" spans="1:10" ht="15" customHeight="1" x14ac:dyDescent="0.25">
      <c r="A3024" s="104">
        <v>45377</v>
      </c>
      <c r="B3024" s="105" t="s">
        <v>2803</v>
      </c>
      <c r="C3024" s="105" t="s">
        <v>52</v>
      </c>
      <c r="D3024" s="105" t="s">
        <v>53</v>
      </c>
      <c r="E3024" s="106">
        <v>0</v>
      </c>
      <c r="F3024" s="201">
        <v>162413.24</v>
      </c>
      <c r="G3024" s="106">
        <v>34106.78</v>
      </c>
      <c r="H3024" s="106">
        <v>196520.02</v>
      </c>
      <c r="I3024" t="str">
        <f>VLOOKUP(C3024,CATEGORIZACION!$A$2:$C$256,2,FALSE)</f>
        <v>PROOVEDORES</v>
      </c>
      <c r="J3024" t="str">
        <f>VLOOKUP(C3024,CATEGORIZACION!$A$2:$C$256,3,FALSE)</f>
        <v>DEPOSITO</v>
      </c>
    </row>
    <row r="3025" spans="1:10" ht="15" customHeight="1" x14ac:dyDescent="0.25">
      <c r="A3025" s="104">
        <v>45377</v>
      </c>
      <c r="B3025" s="105" t="s">
        <v>2804</v>
      </c>
      <c r="C3025" s="105" t="s">
        <v>21</v>
      </c>
      <c r="D3025" s="105" t="s">
        <v>22</v>
      </c>
      <c r="E3025" s="106">
        <v>65590</v>
      </c>
      <c r="F3025" s="106">
        <v>2345000</v>
      </c>
      <c r="G3025" s="106">
        <v>492450</v>
      </c>
      <c r="H3025" s="106">
        <v>2903040</v>
      </c>
      <c r="I3025" t="str">
        <f>VLOOKUP(C3025,CATEGORIZACION!$A$2:$C$256,2,FALSE)</f>
        <v>TRANSPORTE</v>
      </c>
      <c r="J3025" t="str">
        <f>VLOOKUP(C3025,CATEGORIZACION!$A$2:$C$256,3,FALSE)</f>
        <v>LOGISTICA</v>
      </c>
    </row>
    <row r="3026" spans="1:10" ht="15" customHeight="1" x14ac:dyDescent="0.25">
      <c r="A3026" s="104">
        <v>45377</v>
      </c>
      <c r="B3026" s="105" t="s">
        <v>2805</v>
      </c>
      <c r="C3026" s="105" t="s">
        <v>21</v>
      </c>
      <c r="D3026" s="105" t="s">
        <v>22</v>
      </c>
      <c r="E3026" s="106">
        <v>65590</v>
      </c>
      <c r="F3026" s="106">
        <v>2345000</v>
      </c>
      <c r="G3026" s="106">
        <v>492450</v>
      </c>
      <c r="H3026" s="106">
        <v>2903040</v>
      </c>
      <c r="I3026" t="str">
        <f>VLOOKUP(C3026,CATEGORIZACION!$A$2:$C$256,2,FALSE)</f>
        <v>TRANSPORTE</v>
      </c>
      <c r="J3026" t="str">
        <f>VLOOKUP(C3026,CATEGORIZACION!$A$2:$C$256,3,FALSE)</f>
        <v>LOGISTICA</v>
      </c>
    </row>
    <row r="3027" spans="1:10" ht="15" customHeight="1" x14ac:dyDescent="0.25">
      <c r="A3027" s="104">
        <v>45377</v>
      </c>
      <c r="B3027" s="105" t="s">
        <v>2806</v>
      </c>
      <c r="C3027" s="105" t="s">
        <v>21</v>
      </c>
      <c r="D3027" s="105" t="s">
        <v>22</v>
      </c>
      <c r="E3027" s="106">
        <v>65590</v>
      </c>
      <c r="F3027" s="106">
        <v>1791000</v>
      </c>
      <c r="G3027" s="106">
        <v>376110</v>
      </c>
      <c r="H3027" s="106">
        <v>2232700</v>
      </c>
      <c r="I3027" t="str">
        <f>VLOOKUP(C3027,CATEGORIZACION!$A$2:$C$256,2,FALSE)</f>
        <v>TRANSPORTE</v>
      </c>
      <c r="J3027" t="str">
        <f>VLOOKUP(C3027,CATEGORIZACION!$A$2:$C$256,3,FALSE)</f>
        <v>LOGISTICA</v>
      </c>
    </row>
    <row r="3028" spans="1:10" ht="15" customHeight="1" x14ac:dyDescent="0.25">
      <c r="A3028" s="104">
        <v>45377</v>
      </c>
      <c r="B3028" s="105" t="s">
        <v>2807</v>
      </c>
      <c r="C3028" s="105" t="s">
        <v>21</v>
      </c>
      <c r="D3028" s="105" t="s">
        <v>22</v>
      </c>
      <c r="E3028" s="106">
        <v>477870</v>
      </c>
      <c r="F3028" s="106">
        <v>1246000</v>
      </c>
      <c r="G3028" s="106">
        <v>261660</v>
      </c>
      <c r="H3028" s="106">
        <v>1985530</v>
      </c>
      <c r="I3028" t="str">
        <f>VLOOKUP(C3028,CATEGORIZACION!$A$2:$C$256,2,FALSE)</f>
        <v>TRANSPORTE</v>
      </c>
      <c r="J3028" t="str">
        <f>VLOOKUP(C3028,CATEGORIZACION!$A$2:$C$256,3,FALSE)</f>
        <v>LOGISTICA</v>
      </c>
    </row>
    <row r="3029" spans="1:10" ht="15" customHeight="1" x14ac:dyDescent="0.25">
      <c r="A3029" s="104">
        <v>45377</v>
      </c>
      <c r="B3029" s="105" t="s">
        <v>2808</v>
      </c>
      <c r="C3029" s="105" t="s">
        <v>21</v>
      </c>
      <c r="D3029" s="105" t="s">
        <v>22</v>
      </c>
      <c r="E3029" s="106">
        <v>22560</v>
      </c>
      <c r="F3029" s="106">
        <v>780000</v>
      </c>
      <c r="G3029" s="106">
        <v>163800</v>
      </c>
      <c r="H3029" s="106">
        <v>966360</v>
      </c>
      <c r="I3029" t="str">
        <f>VLOOKUP(C3029,CATEGORIZACION!$A$2:$C$256,2,FALSE)</f>
        <v>TRANSPORTE</v>
      </c>
      <c r="J3029" t="str">
        <f>VLOOKUP(C3029,CATEGORIZACION!$A$2:$C$256,3,FALSE)</f>
        <v>LOGISTICA</v>
      </c>
    </row>
    <row r="3030" spans="1:10" ht="15" customHeight="1" x14ac:dyDescent="0.25">
      <c r="A3030" s="104">
        <v>45378</v>
      </c>
      <c r="B3030" s="105" t="s">
        <v>2809</v>
      </c>
      <c r="C3030" s="105" t="s">
        <v>84</v>
      </c>
      <c r="D3030" s="105" t="s">
        <v>85</v>
      </c>
      <c r="E3030" s="106">
        <v>152776.26</v>
      </c>
      <c r="F3030" s="106">
        <v>2018863.58</v>
      </c>
      <c r="G3030" s="106">
        <v>423961.35</v>
      </c>
      <c r="H3030" s="106">
        <v>2595601.19</v>
      </c>
      <c r="I3030" t="str">
        <f>VLOOKUP(C3030,CATEGORIZACION!$A$2:$C$256,2,FALSE)</f>
        <v>PROOVEDORES</v>
      </c>
      <c r="J3030" t="str">
        <f>VLOOKUP(C3030,CATEGORIZACION!$A$2:$C$256,3,FALSE)</f>
        <v>LOGISTICA</v>
      </c>
    </row>
    <row r="3031" spans="1:10" ht="15" customHeight="1" x14ac:dyDescent="0.25">
      <c r="A3031" s="104">
        <v>45378</v>
      </c>
      <c r="B3031" s="105" t="s">
        <v>2810</v>
      </c>
      <c r="C3031" s="105" t="s">
        <v>84</v>
      </c>
      <c r="D3031" s="105" t="s">
        <v>85</v>
      </c>
      <c r="E3031" s="106"/>
      <c r="F3031" s="106">
        <v>159000</v>
      </c>
      <c r="G3031" s="106"/>
      <c r="H3031" s="106">
        <v>1959999.99</v>
      </c>
      <c r="I3031" t="str">
        <f>VLOOKUP(C3031,CATEGORIZACION!$A$2:$C$256,2,FALSE)</f>
        <v>PROOVEDORES</v>
      </c>
      <c r="J3031" t="str">
        <f>VLOOKUP(C3031,CATEGORIZACION!$A$2:$C$256,3,FALSE)</f>
        <v>LOGISTICA</v>
      </c>
    </row>
    <row r="3032" spans="1:10" ht="15" customHeight="1" x14ac:dyDescent="0.25">
      <c r="A3032" s="104">
        <v>45378</v>
      </c>
      <c r="B3032" s="105" t="s">
        <v>2811</v>
      </c>
      <c r="C3032" s="105" t="s">
        <v>21</v>
      </c>
      <c r="D3032" s="105" t="s">
        <v>22</v>
      </c>
      <c r="E3032" s="106">
        <v>0</v>
      </c>
      <c r="F3032" s="106">
        <v>806250</v>
      </c>
      <c r="G3032" s="106">
        <v>169312.5</v>
      </c>
      <c r="H3032" s="106">
        <v>975562.5</v>
      </c>
      <c r="I3032" t="str">
        <f>VLOOKUP(C3032,CATEGORIZACION!$A$2:$C$256,2,FALSE)</f>
        <v>TRANSPORTE</v>
      </c>
      <c r="J3032" t="str">
        <f>VLOOKUP(C3032,CATEGORIZACION!$A$2:$C$256,3,FALSE)</f>
        <v>LOGISTICA</v>
      </c>
    </row>
    <row r="3033" spans="1:10" ht="15" customHeight="1" x14ac:dyDescent="0.25">
      <c r="A3033" s="104">
        <v>45378</v>
      </c>
      <c r="B3033" s="105" t="s">
        <v>2812</v>
      </c>
      <c r="C3033" s="105" t="s">
        <v>21</v>
      </c>
      <c r="D3033" s="105" t="s">
        <v>22</v>
      </c>
      <c r="E3033" s="106">
        <v>74960</v>
      </c>
      <c r="F3033" s="106">
        <v>2680000</v>
      </c>
      <c r="G3033" s="106">
        <v>562800</v>
      </c>
      <c r="H3033" s="106">
        <v>3317760</v>
      </c>
      <c r="I3033" t="str">
        <f>VLOOKUP(C3033,CATEGORIZACION!$A$2:$C$256,2,FALSE)</f>
        <v>TRANSPORTE</v>
      </c>
      <c r="J3033" t="str">
        <f>VLOOKUP(C3033,CATEGORIZACION!$A$2:$C$256,3,FALSE)</f>
        <v>LOGISTICA</v>
      </c>
    </row>
    <row r="3034" spans="1:10" ht="15" customHeight="1" x14ac:dyDescent="0.25">
      <c r="A3034" s="104">
        <v>45378</v>
      </c>
      <c r="B3034" s="105" t="s">
        <v>2813</v>
      </c>
      <c r="C3034" s="105" t="s">
        <v>21</v>
      </c>
      <c r="D3034" s="105" t="s">
        <v>22</v>
      </c>
      <c r="E3034" s="106">
        <v>74960</v>
      </c>
      <c r="F3034" s="106">
        <v>1680000</v>
      </c>
      <c r="G3034" s="106">
        <v>352800</v>
      </c>
      <c r="H3034" s="106">
        <v>2107760</v>
      </c>
      <c r="I3034" t="str">
        <f>VLOOKUP(C3034,CATEGORIZACION!$A$2:$C$256,2,FALSE)</f>
        <v>TRANSPORTE</v>
      </c>
      <c r="J3034" t="str">
        <f>VLOOKUP(C3034,CATEGORIZACION!$A$2:$C$256,3,FALSE)</f>
        <v>LOGISTICA</v>
      </c>
    </row>
    <row r="3035" spans="1:10" ht="15" customHeight="1" x14ac:dyDescent="0.25">
      <c r="A3035" s="104">
        <v>45378</v>
      </c>
      <c r="B3035" s="105" t="s">
        <v>2814</v>
      </c>
      <c r="C3035" s="105" t="s">
        <v>21</v>
      </c>
      <c r="D3035" s="105" t="s">
        <v>22</v>
      </c>
      <c r="E3035" s="106">
        <v>12635</v>
      </c>
      <c r="F3035" s="106">
        <v>600000</v>
      </c>
      <c r="G3035" s="106">
        <v>126000</v>
      </c>
      <c r="H3035" s="106">
        <v>738635</v>
      </c>
      <c r="I3035" t="str">
        <f>VLOOKUP(C3035,CATEGORIZACION!$A$2:$C$256,2,FALSE)</f>
        <v>TRANSPORTE</v>
      </c>
      <c r="J3035" t="str">
        <f>VLOOKUP(C3035,CATEGORIZACION!$A$2:$C$256,3,FALSE)</f>
        <v>LOGISTICA</v>
      </c>
    </row>
    <row r="3036" spans="1:10" ht="15" customHeight="1" x14ac:dyDescent="0.25">
      <c r="A3036" s="104">
        <v>45378</v>
      </c>
      <c r="B3036" s="105" t="s">
        <v>2815</v>
      </c>
      <c r="C3036" s="105" t="s">
        <v>21</v>
      </c>
      <c r="D3036" s="105" t="s">
        <v>22</v>
      </c>
      <c r="E3036" s="106">
        <v>15040</v>
      </c>
      <c r="F3036" s="106">
        <v>950000</v>
      </c>
      <c r="G3036" s="106">
        <v>199500</v>
      </c>
      <c r="H3036" s="106">
        <v>1164540</v>
      </c>
      <c r="I3036" t="str">
        <f>VLOOKUP(C3036,CATEGORIZACION!$A$2:$C$256,2,FALSE)</f>
        <v>TRANSPORTE</v>
      </c>
      <c r="J3036" t="str">
        <f>VLOOKUP(C3036,CATEGORIZACION!$A$2:$C$256,3,FALSE)</f>
        <v>LOGISTICA</v>
      </c>
    </row>
    <row r="3037" spans="1:10" ht="15" customHeight="1" x14ac:dyDescent="0.25">
      <c r="A3037" s="104">
        <v>45378</v>
      </c>
      <c r="B3037" s="105" t="s">
        <v>2816</v>
      </c>
      <c r="C3037" s="105" t="s">
        <v>21</v>
      </c>
      <c r="D3037" s="105" t="s">
        <v>22</v>
      </c>
      <c r="E3037" s="106">
        <v>22205</v>
      </c>
      <c r="F3037" s="106">
        <v>315000</v>
      </c>
      <c r="G3037" s="106">
        <v>66150</v>
      </c>
      <c r="H3037" s="106">
        <v>403355</v>
      </c>
      <c r="I3037" t="str">
        <f>VLOOKUP(C3037,CATEGORIZACION!$A$2:$C$256,2,FALSE)</f>
        <v>TRANSPORTE</v>
      </c>
      <c r="J3037" t="str">
        <f>VLOOKUP(C3037,CATEGORIZACION!$A$2:$C$256,3,FALSE)</f>
        <v>LOGISTICA</v>
      </c>
    </row>
    <row r="3038" spans="1:10" ht="15" customHeight="1" x14ac:dyDescent="0.25">
      <c r="A3038" s="104">
        <v>45378</v>
      </c>
      <c r="B3038" s="105" t="s">
        <v>2817</v>
      </c>
      <c r="C3038" s="105" t="s">
        <v>21</v>
      </c>
      <c r="D3038" s="105" t="s">
        <v>22</v>
      </c>
      <c r="E3038" s="106">
        <v>29035</v>
      </c>
      <c r="F3038" s="106">
        <v>535000</v>
      </c>
      <c r="G3038" s="106">
        <v>112350</v>
      </c>
      <c r="H3038" s="106">
        <v>676385</v>
      </c>
      <c r="I3038" t="str">
        <f>VLOOKUP(C3038,CATEGORIZACION!$A$2:$C$256,2,FALSE)</f>
        <v>TRANSPORTE</v>
      </c>
      <c r="J3038" t="str">
        <f>VLOOKUP(C3038,CATEGORIZACION!$A$2:$C$256,3,FALSE)</f>
        <v>LOGISTICA</v>
      </c>
    </row>
    <row r="3039" spans="1:10" ht="15" customHeight="1" x14ac:dyDescent="0.25">
      <c r="A3039" s="104">
        <v>45378</v>
      </c>
      <c r="B3039" s="105" t="s">
        <v>2818</v>
      </c>
      <c r="C3039" s="105" t="s">
        <v>21</v>
      </c>
      <c r="D3039" s="105" t="s">
        <v>22</v>
      </c>
      <c r="E3039" s="106">
        <v>37230</v>
      </c>
      <c r="F3039" s="106">
        <v>1800000</v>
      </c>
      <c r="G3039" s="106">
        <v>378000</v>
      </c>
      <c r="H3039" s="106">
        <v>2215230</v>
      </c>
      <c r="I3039" t="str">
        <f>VLOOKUP(C3039,CATEGORIZACION!$A$2:$C$256,2,FALSE)</f>
        <v>TRANSPORTE</v>
      </c>
      <c r="J3039" t="str">
        <f>VLOOKUP(C3039,CATEGORIZACION!$A$2:$C$256,3,FALSE)</f>
        <v>LOGISTICA</v>
      </c>
    </row>
    <row r="3040" spans="1:10" ht="15" customHeight="1" x14ac:dyDescent="0.25">
      <c r="A3040" s="104">
        <v>45378</v>
      </c>
      <c r="B3040" s="105" t="s">
        <v>2819</v>
      </c>
      <c r="C3040" s="105" t="s">
        <v>21</v>
      </c>
      <c r="D3040" s="105" t="s">
        <v>22</v>
      </c>
      <c r="E3040" s="106">
        <v>25270</v>
      </c>
      <c r="F3040" s="106">
        <v>1030000</v>
      </c>
      <c r="G3040" s="106">
        <v>216300</v>
      </c>
      <c r="H3040" s="106">
        <v>1271570</v>
      </c>
      <c r="I3040" t="str">
        <f>VLOOKUP(C3040,CATEGORIZACION!$A$2:$C$256,2,FALSE)</f>
        <v>TRANSPORTE</v>
      </c>
      <c r="J3040" t="str">
        <f>VLOOKUP(C3040,CATEGORIZACION!$A$2:$C$256,3,FALSE)</f>
        <v>LOGISTICA</v>
      </c>
    </row>
    <row r="3041" spans="1:10" ht="15" customHeight="1" x14ac:dyDescent="0.25">
      <c r="A3041" s="104">
        <v>45378</v>
      </c>
      <c r="B3041" s="105" t="s">
        <v>2820</v>
      </c>
      <c r="C3041" s="105" t="s">
        <v>21</v>
      </c>
      <c r="D3041" s="105" t="s">
        <v>22</v>
      </c>
      <c r="E3041" s="106">
        <v>6318</v>
      </c>
      <c r="F3041" s="106">
        <v>260000</v>
      </c>
      <c r="G3041" s="106">
        <v>54600</v>
      </c>
      <c r="H3041" s="106">
        <v>320918</v>
      </c>
      <c r="I3041" t="str">
        <f>VLOOKUP(C3041,CATEGORIZACION!$A$2:$C$256,2,FALSE)</f>
        <v>TRANSPORTE</v>
      </c>
      <c r="J3041" t="str">
        <f>VLOOKUP(C3041,CATEGORIZACION!$A$2:$C$256,3,FALSE)</f>
        <v>LOGISTICA</v>
      </c>
    </row>
    <row r="3042" spans="1:10" ht="15" customHeight="1" x14ac:dyDescent="0.25">
      <c r="A3042" s="104">
        <v>45378</v>
      </c>
      <c r="B3042" s="105" t="s">
        <v>2821</v>
      </c>
      <c r="C3042" s="105" t="s">
        <v>36</v>
      </c>
      <c r="D3042" s="105" t="s">
        <v>37</v>
      </c>
      <c r="E3042" s="106">
        <v>23000</v>
      </c>
      <c r="F3042" s="106">
        <v>237300</v>
      </c>
      <c r="G3042" s="106">
        <v>49833</v>
      </c>
      <c r="H3042" s="106">
        <v>310133</v>
      </c>
      <c r="I3042" t="str">
        <f>VLOOKUP(C3042,CATEGORIZACION!$A$2:$C$256,2,FALSE)</f>
        <v>TRANSPORTE</v>
      </c>
      <c r="J3042" t="str">
        <f>VLOOKUP(C3042,CATEGORIZACION!$A$2:$C$256,3,FALSE)</f>
        <v>LOGISTICA</v>
      </c>
    </row>
    <row r="3043" spans="1:10" ht="15" customHeight="1" x14ac:dyDescent="0.25">
      <c r="A3043" s="104">
        <v>45379</v>
      </c>
      <c r="B3043" s="105" t="s">
        <v>2822</v>
      </c>
      <c r="C3043" s="105" t="s">
        <v>2823</v>
      </c>
      <c r="D3043" s="105" t="s">
        <v>2824</v>
      </c>
      <c r="E3043" s="106">
        <v>0</v>
      </c>
      <c r="F3043" s="106">
        <v>25313.31</v>
      </c>
      <c r="G3043" s="106">
        <v>5315.8</v>
      </c>
      <c r="H3043" s="106">
        <v>30629.11</v>
      </c>
      <c r="I3043" t="str">
        <f>VLOOKUP(C3043,CATEGORIZACION!$A$2:$C$256,2,FALSE)</f>
        <v>PROOVEDORES</v>
      </c>
      <c r="J3043" t="str">
        <f>VLOOKUP(C3043,CATEGORIZACION!$A$2:$C$256,3,FALSE)</f>
        <v>LOGISTICA</v>
      </c>
    </row>
    <row r="3044" spans="1:10" ht="15" customHeight="1" x14ac:dyDescent="0.25">
      <c r="A3044" s="104">
        <v>45380</v>
      </c>
      <c r="B3044" s="105" t="s">
        <v>2825</v>
      </c>
      <c r="C3044" s="105" t="s">
        <v>1143</v>
      </c>
      <c r="D3044" s="105" t="s">
        <v>1144</v>
      </c>
      <c r="E3044" s="106">
        <v>0</v>
      </c>
      <c r="F3044" s="201">
        <v>975510</v>
      </c>
      <c r="G3044" s="106">
        <v>204857.1</v>
      </c>
      <c r="H3044" s="106">
        <v>1180367.1000000001</v>
      </c>
      <c r="I3044" t="str">
        <f>VLOOKUP(C3044,CATEGORIZACION!$A$2:$C$256,2,FALSE)</f>
        <v>PROOVEDORES</v>
      </c>
      <c r="J3044" t="str">
        <f>VLOOKUP(C3044,CATEGORIZACION!$A$2:$C$256,3,FALSE)</f>
        <v>DEPOSITO</v>
      </c>
    </row>
    <row r="3045" spans="1:10" ht="15" customHeight="1" x14ac:dyDescent="0.25">
      <c r="A3045" s="104">
        <v>45381</v>
      </c>
      <c r="B3045" s="105" t="s">
        <v>2826</v>
      </c>
      <c r="C3045" s="105" t="s">
        <v>17</v>
      </c>
      <c r="D3045" s="105" t="s">
        <v>18</v>
      </c>
      <c r="E3045" s="106">
        <v>71161</v>
      </c>
      <c r="F3045" s="106">
        <v>1262000</v>
      </c>
      <c r="G3045" s="106">
        <v>265020</v>
      </c>
      <c r="H3045" s="106">
        <v>1598181</v>
      </c>
      <c r="I3045" t="str">
        <f>VLOOKUP(C3045,CATEGORIZACION!$A$2:$C$256,2,FALSE)</f>
        <v>TRANSPORTE</v>
      </c>
      <c r="J3045" t="str">
        <f>VLOOKUP(C3045,CATEGORIZACION!$A$2:$C$256,3,FALSE)</f>
        <v>LOGISTICA</v>
      </c>
    </row>
    <row r="3046" spans="1:10" ht="15" customHeight="1" x14ac:dyDescent="0.25">
      <c r="A3046" s="104">
        <v>45382</v>
      </c>
      <c r="B3046" s="105" t="s">
        <v>2827</v>
      </c>
      <c r="C3046" s="105" t="s">
        <v>36</v>
      </c>
      <c r="D3046" s="105" t="s">
        <v>37</v>
      </c>
      <c r="E3046" s="106">
        <v>23000</v>
      </c>
      <c r="F3046" s="106">
        <v>339550</v>
      </c>
      <c r="G3046" s="106">
        <v>71305.5</v>
      </c>
      <c r="H3046" s="106">
        <v>433855.5</v>
      </c>
      <c r="I3046" t="str">
        <f>VLOOKUP(C3046,CATEGORIZACION!$A$2:$C$256,2,FALSE)</f>
        <v>TRANSPORTE</v>
      </c>
      <c r="J3046" t="str">
        <f>VLOOKUP(C3046,CATEGORIZACION!$A$2:$C$256,3,FALSE)</f>
        <v>LOGISTICA</v>
      </c>
    </row>
    <row r="3047" spans="1:10" ht="15" customHeight="1" x14ac:dyDescent="0.25">
      <c r="A3047" s="104">
        <v>45382</v>
      </c>
      <c r="B3047" s="105" t="s">
        <v>2828</v>
      </c>
      <c r="C3047" s="105" t="s">
        <v>36</v>
      </c>
      <c r="D3047" s="105" t="s">
        <v>37</v>
      </c>
      <c r="E3047" s="106">
        <v>23000</v>
      </c>
      <c r="F3047" s="106">
        <v>339550</v>
      </c>
      <c r="G3047" s="106">
        <v>71305.5</v>
      </c>
      <c r="H3047" s="106">
        <v>433855.5</v>
      </c>
      <c r="I3047" t="str">
        <f>VLOOKUP(C3047,CATEGORIZACION!$A$2:$C$256,2,FALSE)</f>
        <v>TRANSPORTE</v>
      </c>
      <c r="J3047" t="str">
        <f>VLOOKUP(C3047,CATEGORIZACION!$A$2:$C$256,3,FALSE)</f>
        <v>LOGISTICA</v>
      </c>
    </row>
    <row r="3048" spans="1:10" ht="15" customHeight="1" x14ac:dyDescent="0.25">
      <c r="A3048" s="104">
        <v>45382</v>
      </c>
      <c r="B3048" s="105" t="s">
        <v>2829</v>
      </c>
      <c r="C3048" s="105" t="s">
        <v>36</v>
      </c>
      <c r="D3048" s="105" t="s">
        <v>37</v>
      </c>
      <c r="E3048" s="106">
        <v>28500</v>
      </c>
      <c r="F3048" s="106">
        <v>307500</v>
      </c>
      <c r="G3048" s="106">
        <v>64575</v>
      </c>
      <c r="H3048" s="106">
        <v>400575</v>
      </c>
      <c r="I3048" t="str">
        <f>VLOOKUP(C3048,CATEGORIZACION!$A$2:$C$256,2,FALSE)</f>
        <v>TRANSPORTE</v>
      </c>
      <c r="J3048" t="str">
        <f>VLOOKUP(C3048,CATEGORIZACION!$A$2:$C$256,3,FALSE)</f>
        <v>LOGISTICA</v>
      </c>
    </row>
    <row r="3049" spans="1:10" ht="15" customHeight="1" x14ac:dyDescent="0.25">
      <c r="A3049" s="104">
        <v>45382</v>
      </c>
      <c r="B3049" s="105" t="s">
        <v>2830</v>
      </c>
      <c r="C3049" s="105" t="s">
        <v>36</v>
      </c>
      <c r="D3049" s="105" t="s">
        <v>37</v>
      </c>
      <c r="E3049" s="106">
        <v>12600</v>
      </c>
      <c r="F3049" s="106">
        <v>126000</v>
      </c>
      <c r="G3049" s="106">
        <v>26460</v>
      </c>
      <c r="H3049" s="106">
        <v>165060</v>
      </c>
      <c r="I3049" t="str">
        <f>VLOOKUP(C3049,CATEGORIZACION!$A$2:$C$256,2,FALSE)</f>
        <v>TRANSPORTE</v>
      </c>
      <c r="J3049" t="str">
        <f>VLOOKUP(C3049,CATEGORIZACION!$A$2:$C$256,3,FALSE)</f>
        <v>LOGISTICA</v>
      </c>
    </row>
    <row r="3050" spans="1:10" ht="15" customHeight="1" x14ac:dyDescent="0.25">
      <c r="A3050" s="104">
        <v>45382</v>
      </c>
      <c r="B3050" s="105" t="s">
        <v>2831</v>
      </c>
      <c r="C3050" s="105" t="s">
        <v>36</v>
      </c>
      <c r="D3050" s="105" t="s">
        <v>37</v>
      </c>
      <c r="E3050" s="106">
        <v>12600</v>
      </c>
      <c r="F3050" s="106">
        <v>126000</v>
      </c>
      <c r="G3050" s="106">
        <v>26460</v>
      </c>
      <c r="H3050" s="106">
        <v>165060</v>
      </c>
      <c r="I3050" t="str">
        <f>VLOOKUP(C3050,CATEGORIZACION!$A$2:$C$256,2,FALSE)</f>
        <v>TRANSPORTE</v>
      </c>
      <c r="J3050" t="str">
        <f>VLOOKUP(C3050,CATEGORIZACION!$A$2:$C$256,3,FALSE)</f>
        <v>LOGISTICA</v>
      </c>
    </row>
    <row r="3051" spans="1:10" ht="15" customHeight="1" x14ac:dyDescent="0.25">
      <c r="A3051" s="104">
        <v>45382</v>
      </c>
      <c r="B3051" s="105" t="s">
        <v>2832</v>
      </c>
      <c r="C3051" s="105" t="s">
        <v>36</v>
      </c>
      <c r="D3051" s="105" t="s">
        <v>37</v>
      </c>
      <c r="E3051" s="106">
        <v>14000</v>
      </c>
      <c r="F3051" s="106">
        <v>174450</v>
      </c>
      <c r="G3051" s="106">
        <v>36634.5</v>
      </c>
      <c r="H3051" s="106">
        <v>225084.5</v>
      </c>
      <c r="I3051" t="str">
        <f>VLOOKUP(C3051,CATEGORIZACION!$A$2:$C$256,2,FALSE)</f>
        <v>TRANSPORTE</v>
      </c>
      <c r="J3051" t="str">
        <f>VLOOKUP(C3051,CATEGORIZACION!$A$2:$C$256,3,FALSE)</f>
        <v>LOGISTICA</v>
      </c>
    </row>
    <row r="3052" spans="1:10" ht="15" customHeight="1" x14ac:dyDescent="0.25">
      <c r="A3052" s="104">
        <v>45382</v>
      </c>
      <c r="B3052" s="105" t="s">
        <v>2833</v>
      </c>
      <c r="C3052" s="105" t="s">
        <v>36</v>
      </c>
      <c r="D3052" s="105" t="s">
        <v>37</v>
      </c>
      <c r="E3052" s="106">
        <v>14000</v>
      </c>
      <c r="F3052" s="106">
        <v>174450</v>
      </c>
      <c r="G3052" s="106">
        <v>36634.5</v>
      </c>
      <c r="H3052" s="106">
        <v>225084.5</v>
      </c>
      <c r="I3052" t="str">
        <f>VLOOKUP(C3052,CATEGORIZACION!$A$2:$C$256,2,FALSE)</f>
        <v>TRANSPORTE</v>
      </c>
      <c r="J3052" t="str">
        <f>VLOOKUP(C3052,CATEGORIZACION!$A$2:$C$256,3,FALSE)</f>
        <v>LOGISTICA</v>
      </c>
    </row>
    <row r="3053" spans="1:10" ht="15" customHeight="1" x14ac:dyDescent="0.25">
      <c r="A3053" s="104">
        <v>45382</v>
      </c>
      <c r="B3053" s="105" t="s">
        <v>2834</v>
      </c>
      <c r="C3053" s="105" t="s">
        <v>36</v>
      </c>
      <c r="D3053" s="105" t="s">
        <v>37</v>
      </c>
      <c r="E3053" s="106">
        <v>22300</v>
      </c>
      <c r="F3053" s="106">
        <v>339550</v>
      </c>
      <c r="G3053" s="106">
        <v>71305.5</v>
      </c>
      <c r="H3053" s="106">
        <v>433155.5</v>
      </c>
      <c r="I3053" t="str">
        <f>VLOOKUP(C3053,CATEGORIZACION!$A$2:$C$256,2,FALSE)</f>
        <v>TRANSPORTE</v>
      </c>
      <c r="J3053" t="str">
        <f>VLOOKUP(C3053,CATEGORIZACION!$A$2:$C$256,3,FALSE)</f>
        <v>LOGISTICA</v>
      </c>
    </row>
    <row r="3054" spans="1:10" ht="15" customHeight="1" x14ac:dyDescent="0.25">
      <c r="A3054" s="104">
        <v>45382</v>
      </c>
      <c r="B3054" s="105" t="s">
        <v>2835</v>
      </c>
      <c r="C3054" s="105" t="s">
        <v>36</v>
      </c>
      <c r="D3054" s="105" t="s">
        <v>37</v>
      </c>
      <c r="E3054" s="106">
        <v>14000</v>
      </c>
      <c r="F3054" s="106">
        <v>174450</v>
      </c>
      <c r="G3054" s="106">
        <v>36634.5</v>
      </c>
      <c r="H3054" s="106">
        <v>225084.5</v>
      </c>
      <c r="I3054" t="str">
        <f>VLOOKUP(C3054,CATEGORIZACION!$A$2:$C$256,2,FALSE)</f>
        <v>TRANSPORTE</v>
      </c>
      <c r="J3054" t="str">
        <f>VLOOKUP(C3054,CATEGORIZACION!$A$2:$C$256,3,FALSE)</f>
        <v>LOGISTICA</v>
      </c>
    </row>
    <row r="3055" spans="1:10" ht="15" customHeight="1" x14ac:dyDescent="0.25">
      <c r="A3055" s="104">
        <v>45382</v>
      </c>
      <c r="B3055" s="105" t="s">
        <v>2836</v>
      </c>
      <c r="C3055" s="105" t="s">
        <v>36</v>
      </c>
      <c r="D3055" s="105" t="s">
        <v>37</v>
      </c>
      <c r="E3055" s="106">
        <v>14000</v>
      </c>
      <c r="F3055" s="106">
        <v>174450</v>
      </c>
      <c r="G3055" s="106">
        <v>36634.5</v>
      </c>
      <c r="H3055" s="106">
        <v>225084.5</v>
      </c>
      <c r="I3055" t="str">
        <f>VLOOKUP(C3055,CATEGORIZACION!$A$2:$C$256,2,FALSE)</f>
        <v>TRANSPORTE</v>
      </c>
      <c r="J3055" t="str">
        <f>VLOOKUP(C3055,CATEGORIZACION!$A$2:$C$256,3,FALSE)</f>
        <v>LOGISTICA</v>
      </c>
    </row>
    <row r="3056" spans="1:10" ht="15" customHeight="1" x14ac:dyDescent="0.25">
      <c r="A3056" s="104">
        <v>45382</v>
      </c>
      <c r="B3056" s="105" t="s">
        <v>2837</v>
      </c>
      <c r="C3056" s="105" t="s">
        <v>36</v>
      </c>
      <c r="D3056" s="105" t="s">
        <v>37</v>
      </c>
      <c r="E3056" s="106">
        <v>28500</v>
      </c>
      <c r="F3056" s="106">
        <v>307500</v>
      </c>
      <c r="G3056" s="106">
        <v>64575</v>
      </c>
      <c r="H3056" s="106">
        <v>400575</v>
      </c>
      <c r="I3056" t="str">
        <f>VLOOKUP(C3056,CATEGORIZACION!$A$2:$C$256,2,FALSE)</f>
        <v>TRANSPORTE</v>
      </c>
      <c r="J3056" t="str">
        <f>VLOOKUP(C3056,CATEGORIZACION!$A$2:$C$256,3,FALSE)</f>
        <v>LOGISTICA</v>
      </c>
    </row>
    <row r="3057" spans="1:10" ht="15" customHeight="1" x14ac:dyDescent="0.25">
      <c r="A3057" s="104">
        <v>45382</v>
      </c>
      <c r="B3057" s="105" t="s">
        <v>2838</v>
      </c>
      <c r="C3057" s="105" t="s">
        <v>36</v>
      </c>
      <c r="D3057" s="105" t="s">
        <v>37</v>
      </c>
      <c r="E3057" s="106">
        <v>28500</v>
      </c>
      <c r="F3057" s="106">
        <v>307500</v>
      </c>
      <c r="G3057" s="106">
        <v>64575</v>
      </c>
      <c r="H3057" s="106">
        <v>400575</v>
      </c>
      <c r="I3057" t="str">
        <f>VLOOKUP(C3057,CATEGORIZACION!$A$2:$C$256,2,FALSE)</f>
        <v>TRANSPORTE</v>
      </c>
      <c r="J3057" t="str">
        <f>VLOOKUP(C3057,CATEGORIZACION!$A$2:$C$256,3,FALSE)</f>
        <v>LOGISTICA</v>
      </c>
    </row>
    <row r="3058" spans="1:10" ht="15" customHeight="1" x14ac:dyDescent="0.25">
      <c r="A3058" s="104">
        <v>45382</v>
      </c>
      <c r="B3058" s="105" t="s">
        <v>2839</v>
      </c>
      <c r="C3058" s="105" t="s">
        <v>36</v>
      </c>
      <c r="D3058" s="105" t="s">
        <v>37</v>
      </c>
      <c r="E3058" s="106">
        <v>28500</v>
      </c>
      <c r="F3058" s="106">
        <v>307500</v>
      </c>
      <c r="G3058" s="106">
        <v>64575</v>
      </c>
      <c r="H3058" s="106">
        <v>400575</v>
      </c>
      <c r="I3058" t="str">
        <f>VLOOKUP(C3058,CATEGORIZACION!$A$2:$C$256,2,FALSE)</f>
        <v>TRANSPORTE</v>
      </c>
      <c r="J3058" t="str">
        <f>VLOOKUP(C3058,CATEGORIZACION!$A$2:$C$256,3,FALSE)</f>
        <v>LOGISTICA</v>
      </c>
    </row>
    <row r="3059" spans="1:10" ht="15" customHeight="1" x14ac:dyDescent="0.25">
      <c r="A3059" s="104">
        <v>45382</v>
      </c>
      <c r="B3059" s="105" t="s">
        <v>2840</v>
      </c>
      <c r="C3059" s="105" t="s">
        <v>36</v>
      </c>
      <c r="D3059" s="105" t="s">
        <v>37</v>
      </c>
      <c r="E3059" s="106">
        <v>28500</v>
      </c>
      <c r="F3059" s="106">
        <v>307500</v>
      </c>
      <c r="G3059" s="106">
        <v>64575</v>
      </c>
      <c r="H3059" s="106">
        <v>400575</v>
      </c>
      <c r="I3059" t="str">
        <f>VLOOKUP(C3059,CATEGORIZACION!$A$2:$C$256,2,FALSE)</f>
        <v>TRANSPORTE</v>
      </c>
      <c r="J3059" t="str">
        <f>VLOOKUP(C3059,CATEGORIZACION!$A$2:$C$256,3,FALSE)</f>
        <v>LOGISTICA</v>
      </c>
    </row>
    <row r="3060" spans="1:10" ht="15" customHeight="1" x14ac:dyDescent="0.25">
      <c r="A3060" s="104">
        <v>45382</v>
      </c>
      <c r="B3060" s="105" t="s">
        <v>2841</v>
      </c>
      <c r="C3060" s="105" t="s">
        <v>36</v>
      </c>
      <c r="D3060" s="105" t="s">
        <v>37</v>
      </c>
      <c r="E3060" s="106">
        <v>29000</v>
      </c>
      <c r="F3060" s="106">
        <v>444550</v>
      </c>
      <c r="G3060" s="106">
        <v>93355.5</v>
      </c>
      <c r="H3060" s="106">
        <v>566905.5</v>
      </c>
      <c r="I3060" t="str">
        <f>VLOOKUP(C3060,CATEGORIZACION!$A$2:$C$256,2,FALSE)</f>
        <v>TRANSPORTE</v>
      </c>
      <c r="J3060" t="str">
        <f>VLOOKUP(C3060,CATEGORIZACION!$A$2:$C$256,3,FALSE)</f>
        <v>LOGISTICA</v>
      </c>
    </row>
    <row r="3061" spans="1:10" ht="15" customHeight="1" x14ac:dyDescent="0.25">
      <c r="A3061" s="104">
        <v>45382</v>
      </c>
      <c r="B3061" s="105" t="s">
        <v>2842</v>
      </c>
      <c r="C3061" s="105" t="s">
        <v>36</v>
      </c>
      <c r="D3061" s="105" t="s">
        <v>37</v>
      </c>
      <c r="E3061" s="106">
        <v>29000</v>
      </c>
      <c r="F3061" s="106">
        <v>444550</v>
      </c>
      <c r="G3061" s="106">
        <v>93355.5</v>
      </c>
      <c r="H3061" s="106">
        <v>566905.5</v>
      </c>
      <c r="I3061" t="str">
        <f>VLOOKUP(C3061,CATEGORIZACION!$A$2:$C$256,2,FALSE)</f>
        <v>TRANSPORTE</v>
      </c>
      <c r="J3061" t="str">
        <f>VLOOKUP(C3061,CATEGORIZACION!$A$2:$C$256,3,FALSE)</f>
        <v>LOGISTICA</v>
      </c>
    </row>
    <row r="3062" spans="1:10" ht="15" customHeight="1" x14ac:dyDescent="0.25">
      <c r="A3062" s="104">
        <v>45382</v>
      </c>
      <c r="B3062" s="105" t="s">
        <v>2843</v>
      </c>
      <c r="C3062" s="105" t="s">
        <v>36</v>
      </c>
      <c r="D3062" s="105" t="s">
        <v>37</v>
      </c>
      <c r="E3062" s="106">
        <v>26000</v>
      </c>
      <c r="F3062" s="106">
        <v>339550</v>
      </c>
      <c r="G3062" s="106">
        <v>71305.5</v>
      </c>
      <c r="H3062" s="106">
        <v>436855.5</v>
      </c>
      <c r="I3062" t="str">
        <f>VLOOKUP(C3062,CATEGORIZACION!$A$2:$C$256,2,FALSE)</f>
        <v>TRANSPORTE</v>
      </c>
      <c r="J3062" t="str">
        <f>VLOOKUP(C3062,CATEGORIZACION!$A$2:$C$256,3,FALSE)</f>
        <v>LOGISTICA</v>
      </c>
    </row>
    <row r="3063" spans="1:10" ht="15" customHeight="1" x14ac:dyDescent="0.25">
      <c r="A3063" s="104">
        <v>45382</v>
      </c>
      <c r="B3063" s="105" t="s">
        <v>2844</v>
      </c>
      <c r="C3063" s="105" t="s">
        <v>36</v>
      </c>
      <c r="D3063" s="105" t="s">
        <v>37</v>
      </c>
      <c r="E3063" s="106">
        <v>22300</v>
      </c>
      <c r="F3063" s="106">
        <v>237300</v>
      </c>
      <c r="G3063" s="106">
        <v>49833</v>
      </c>
      <c r="H3063" s="106">
        <v>309433</v>
      </c>
      <c r="I3063" t="str">
        <f>VLOOKUP(C3063,CATEGORIZACION!$A$2:$C$256,2,FALSE)</f>
        <v>TRANSPORTE</v>
      </c>
      <c r="J3063" t="str">
        <f>VLOOKUP(C3063,CATEGORIZACION!$A$2:$C$256,3,FALSE)</f>
        <v>LOGISTICA</v>
      </c>
    </row>
    <row r="3064" spans="1:10" ht="15" customHeight="1" x14ac:dyDescent="0.25">
      <c r="A3064" s="104">
        <v>45382</v>
      </c>
      <c r="B3064" s="105" t="s">
        <v>2845</v>
      </c>
      <c r="C3064" s="105" t="s">
        <v>36</v>
      </c>
      <c r="D3064" s="105" t="s">
        <v>37</v>
      </c>
      <c r="E3064" s="106">
        <v>22300</v>
      </c>
      <c r="F3064" s="106">
        <v>237300</v>
      </c>
      <c r="G3064" s="106">
        <v>49833</v>
      </c>
      <c r="H3064" s="106">
        <v>309433</v>
      </c>
      <c r="I3064" t="str">
        <f>VLOOKUP(C3064,CATEGORIZACION!$A$2:$C$256,2,FALSE)</f>
        <v>TRANSPORTE</v>
      </c>
      <c r="J3064" t="str">
        <f>VLOOKUP(C3064,CATEGORIZACION!$A$2:$C$256,3,FALSE)</f>
        <v>LOGISTICA</v>
      </c>
    </row>
    <row r="3065" spans="1:10" ht="15" customHeight="1" x14ac:dyDescent="0.25">
      <c r="A3065" s="104">
        <v>45382</v>
      </c>
      <c r="B3065" s="105" t="s">
        <v>2846</v>
      </c>
      <c r="C3065" s="105" t="s">
        <v>36</v>
      </c>
      <c r="D3065" s="105" t="s">
        <v>37</v>
      </c>
      <c r="E3065" s="106">
        <v>14500</v>
      </c>
      <c r="F3065" s="106">
        <v>237300</v>
      </c>
      <c r="G3065" s="106">
        <v>49833</v>
      </c>
      <c r="H3065" s="106">
        <v>301633</v>
      </c>
      <c r="I3065" t="str">
        <f>VLOOKUP(C3065,CATEGORIZACION!$A$2:$C$256,2,FALSE)</f>
        <v>TRANSPORTE</v>
      </c>
      <c r="J3065" t="str">
        <f>VLOOKUP(C3065,CATEGORIZACION!$A$2:$C$256,3,FALSE)</f>
        <v>LOGISTICA</v>
      </c>
    </row>
    <row r="3066" spans="1:10" ht="15" customHeight="1" x14ac:dyDescent="0.25">
      <c r="A3066" s="189">
        <v>45382</v>
      </c>
      <c r="B3066" t="s">
        <v>82</v>
      </c>
      <c r="C3066" s="188" t="s">
        <v>2641</v>
      </c>
      <c r="F3066" s="116">
        <v>4357000</v>
      </c>
      <c r="H3066" s="116">
        <v>4357000</v>
      </c>
      <c r="I3066" t="str">
        <f>VLOOKUP(C3066,CATEGORIZACION!$A$2:$C$256,2,FALSE)</f>
        <v>SUELDOS</v>
      </c>
      <c r="J3066" t="str">
        <f>VLOOKUP(C3066,CATEGORIZACION!$A$2:$C$256,3,FALSE)</f>
        <v>LOGISTICA</v>
      </c>
    </row>
    <row r="3067" spans="1:10" ht="15" customHeight="1" x14ac:dyDescent="0.25">
      <c r="A3067" s="189">
        <v>45382</v>
      </c>
      <c r="B3067" t="s">
        <v>82</v>
      </c>
      <c r="C3067" s="188" t="s">
        <v>2642</v>
      </c>
      <c r="F3067" s="116">
        <v>1129412</v>
      </c>
      <c r="H3067" s="116">
        <v>1129412</v>
      </c>
      <c r="I3067" t="str">
        <f>VLOOKUP(C3067,CATEGORIZACION!$A$2:$C$256,2,FALSE)</f>
        <v>SUELDOS</v>
      </c>
      <c r="J3067" t="str">
        <f>VLOOKUP(C3067,CATEGORIZACION!$A$2:$C$256,3,FALSE)</f>
        <v>DEPOSITO</v>
      </c>
    </row>
    <row r="3068" spans="1:10" ht="15" customHeight="1" x14ac:dyDescent="0.25">
      <c r="A3068" s="189">
        <v>45382</v>
      </c>
      <c r="B3068" t="s">
        <v>82</v>
      </c>
      <c r="C3068" s="188" t="s">
        <v>188</v>
      </c>
      <c r="F3068" s="116">
        <v>3491100</v>
      </c>
      <c r="H3068" s="116">
        <v>3491100</v>
      </c>
      <c r="I3068" t="str">
        <f>VLOOKUP(C3068,CATEGORIZACION!$A$2:$C$256,2,FALSE)</f>
        <v>SUELDOS</v>
      </c>
      <c r="J3068" t="str">
        <f>VLOOKUP(C3068,CATEGORIZACION!$A$2:$C$256,3,FALSE)</f>
        <v>DEPOSITO</v>
      </c>
    </row>
    <row r="3069" spans="1:10" ht="15" customHeight="1" x14ac:dyDescent="0.25">
      <c r="A3069" s="189">
        <v>45382</v>
      </c>
      <c r="B3069" t="s">
        <v>82</v>
      </c>
      <c r="C3069" s="188" t="s">
        <v>189</v>
      </c>
      <c r="F3069" s="116">
        <v>1500000</v>
      </c>
      <c r="H3069" s="116">
        <v>1500000</v>
      </c>
      <c r="I3069" t="str">
        <f>VLOOKUP(C3069,CATEGORIZACION!$A$2:$C$256,2,FALSE)</f>
        <v>SUELDOS</v>
      </c>
      <c r="J3069" t="str">
        <f>VLOOKUP(C3069,CATEGORIZACION!$A$2:$C$256,3,FALSE)</f>
        <v>DEPOSITO</v>
      </c>
    </row>
    <row r="3070" spans="1:10" ht="15" customHeight="1" x14ac:dyDescent="0.25">
      <c r="A3070" s="189">
        <v>45382</v>
      </c>
      <c r="B3070" t="s">
        <v>82</v>
      </c>
      <c r="C3070" s="188" t="s">
        <v>1114</v>
      </c>
      <c r="F3070" s="116">
        <v>0</v>
      </c>
      <c r="H3070" s="116">
        <v>0</v>
      </c>
      <c r="I3070" t="str">
        <f>VLOOKUP(C3070,CATEGORIZACION!$A$2:$C$256,2,FALSE)</f>
        <v>SUELDOS</v>
      </c>
      <c r="J3070" t="str">
        <f>VLOOKUP(C3070,CATEGORIZACION!$A$2:$C$256,3,FALSE)</f>
        <v>DEPOSITO</v>
      </c>
    </row>
    <row r="3071" spans="1:10" ht="15" customHeight="1" x14ac:dyDescent="0.25">
      <c r="A3071" s="189">
        <v>45382</v>
      </c>
      <c r="B3071" t="s">
        <v>82</v>
      </c>
      <c r="C3071" s="188" t="s">
        <v>1115</v>
      </c>
      <c r="F3071" s="116">
        <v>0</v>
      </c>
      <c r="H3071" s="116">
        <v>0</v>
      </c>
      <c r="I3071" t="str">
        <f>VLOOKUP(C3071,CATEGORIZACION!$A$2:$C$256,2,FALSE)</f>
        <v>SUELDOS</v>
      </c>
      <c r="J3071" t="str">
        <f>VLOOKUP(C3071,CATEGORIZACION!$A$2:$C$256,3,FALSE)</f>
        <v>LOGISTICA</v>
      </c>
    </row>
    <row r="3072" spans="1:10" ht="15" customHeight="1" x14ac:dyDescent="0.25">
      <c r="A3072" s="189">
        <v>45382</v>
      </c>
      <c r="B3072" t="s">
        <v>82</v>
      </c>
      <c r="C3072" s="188" t="s">
        <v>190</v>
      </c>
      <c r="F3072" s="116">
        <v>5062633</v>
      </c>
      <c r="H3072" s="116">
        <v>5062633</v>
      </c>
      <c r="I3072" t="str">
        <f>VLOOKUP(C3072,CATEGORIZACION!$A$2:$C$256,2,FALSE)</f>
        <v>SUELDOS</v>
      </c>
      <c r="J3072" t="str">
        <f>VLOOKUP(C3072,CATEGORIZACION!$A$2:$C$256,3,FALSE)</f>
        <v>LOGISTICA</v>
      </c>
    </row>
    <row r="3073" spans="1:10" ht="15" customHeight="1" x14ac:dyDescent="0.25">
      <c r="A3073" s="189">
        <v>45382</v>
      </c>
      <c r="B3073" t="s">
        <v>82</v>
      </c>
      <c r="C3073" s="188" t="s">
        <v>191</v>
      </c>
      <c r="F3073" s="116">
        <v>1409000</v>
      </c>
      <c r="H3073" s="116">
        <v>1409000</v>
      </c>
      <c r="I3073" t="str">
        <f>VLOOKUP(C3073,CATEGORIZACION!$A$2:$C$256,2,FALSE)</f>
        <v>SUELDOS</v>
      </c>
      <c r="J3073" t="str">
        <f>VLOOKUP(C3073,CATEGORIZACION!$A$2:$C$256,3,FALSE)</f>
        <v>LOGISTICA</v>
      </c>
    </row>
    <row r="3074" spans="1:10" ht="15" customHeight="1" x14ac:dyDescent="0.25">
      <c r="A3074" s="189">
        <v>45382</v>
      </c>
      <c r="B3074" t="s">
        <v>82</v>
      </c>
      <c r="C3074" s="188" t="s">
        <v>192</v>
      </c>
      <c r="F3074" s="116">
        <v>300000</v>
      </c>
      <c r="H3074" s="116">
        <v>300000</v>
      </c>
      <c r="I3074" t="str">
        <f>VLOOKUP(C3074,CATEGORIZACION!$A$2:$C$256,2,FALSE)</f>
        <v>SUELDOS</v>
      </c>
      <c r="J3074" t="str">
        <f>VLOOKUP(C3074,CATEGORIZACION!$A$2:$C$256,3,FALSE)</f>
        <v>DEPOSITO</v>
      </c>
    </row>
    <row r="3075" spans="1:10" ht="15" customHeight="1" x14ac:dyDescent="0.25">
      <c r="A3075" s="189">
        <v>45382</v>
      </c>
      <c r="B3075" t="s">
        <v>82</v>
      </c>
      <c r="C3075" s="188" t="s">
        <v>193</v>
      </c>
      <c r="F3075" s="116">
        <v>540000</v>
      </c>
      <c r="H3075" s="116">
        <v>540000</v>
      </c>
      <c r="I3075" t="str">
        <f>VLOOKUP(C3075,CATEGORIZACION!$A$2:$C$256,2,FALSE)</f>
        <v>SUELDOS</v>
      </c>
      <c r="J3075" t="str">
        <f>VLOOKUP(C3075,CATEGORIZACION!$A$2:$C$256,3,FALSE)</f>
        <v>LOGISTICA</v>
      </c>
    </row>
    <row r="3076" spans="1:10" ht="15" customHeight="1" x14ac:dyDescent="0.25">
      <c r="A3076" s="189">
        <v>45382</v>
      </c>
      <c r="B3076" t="s">
        <v>82</v>
      </c>
      <c r="C3076" s="188" t="s">
        <v>194</v>
      </c>
      <c r="F3076" s="116">
        <v>2054250</v>
      </c>
      <c r="H3076" s="116">
        <v>2054250</v>
      </c>
      <c r="I3076" t="str">
        <f>VLOOKUP(C3076,CATEGORIZACION!$A$2:$C$256,2,FALSE)</f>
        <v>ALQUILER</v>
      </c>
      <c r="J3076" t="str">
        <f>VLOOKUP(C3076,CATEGORIZACION!$A$2:$C$256,3,FALSE)</f>
        <v>DEPOSITO</v>
      </c>
    </row>
    <row r="3077" spans="1:10" ht="15" customHeight="1" x14ac:dyDescent="0.25">
      <c r="A3077" s="189">
        <v>45382</v>
      </c>
      <c r="B3077" t="s">
        <v>82</v>
      </c>
      <c r="C3077" s="188" t="s">
        <v>196</v>
      </c>
      <c r="F3077" s="116">
        <v>845122</v>
      </c>
      <c r="H3077" s="116">
        <v>845122</v>
      </c>
      <c r="I3077" t="str">
        <f>VLOOKUP(C3077,CATEGORIZACION!$A$2:$C$256,2,FALSE)</f>
        <v>ALQUILER</v>
      </c>
      <c r="J3077" t="str">
        <f>VLOOKUP(C3077,CATEGORIZACION!$A$2:$C$256,3,FALSE)</f>
        <v>DEPOSITO</v>
      </c>
    </row>
    <row r="3078" spans="1:10" ht="15" customHeight="1" x14ac:dyDescent="0.25">
      <c r="A3078" s="189">
        <v>45382</v>
      </c>
      <c r="B3078" t="s">
        <v>82</v>
      </c>
      <c r="C3078" s="188" t="s">
        <v>197</v>
      </c>
      <c r="F3078" s="116">
        <v>64859</v>
      </c>
      <c r="H3078" s="116">
        <v>64859</v>
      </c>
      <c r="I3078" t="str">
        <f>VLOOKUP(C3078,CATEGORIZACION!$A$2:$C$256,2,FALSE)</f>
        <v>ALQUILER</v>
      </c>
      <c r="J3078" t="str">
        <f>VLOOKUP(C3078,CATEGORIZACION!$A$2:$C$256,3,FALSE)</f>
        <v>DEPOSITO</v>
      </c>
    </row>
    <row r="3079" spans="1:10" ht="15" customHeight="1" x14ac:dyDescent="0.25">
      <c r="A3079" s="189">
        <v>45382</v>
      </c>
      <c r="B3079" t="s">
        <v>82</v>
      </c>
      <c r="C3079" s="188" t="s">
        <v>198</v>
      </c>
      <c r="F3079" s="116">
        <v>570000</v>
      </c>
      <c r="H3079" s="116">
        <v>570000</v>
      </c>
      <c r="I3079" t="str">
        <f>VLOOKUP(C3079,CATEGORIZACION!$A$2:$C$256,2,FALSE)</f>
        <v>ALQUILER</v>
      </c>
      <c r="J3079" t="str">
        <f>VLOOKUP(C3079,CATEGORIZACION!$A$2:$C$256,3,FALSE)</f>
        <v>DEPOSITO</v>
      </c>
    </row>
    <row r="3080" spans="1:10" ht="15" customHeight="1" x14ac:dyDescent="0.25">
      <c r="A3080" s="189">
        <v>45382</v>
      </c>
      <c r="B3080" t="s">
        <v>82</v>
      </c>
      <c r="C3080" s="188" t="s">
        <v>199</v>
      </c>
      <c r="F3080" s="116">
        <v>314000</v>
      </c>
      <c r="H3080" s="116">
        <v>314000</v>
      </c>
      <c r="I3080" t="str">
        <f>VLOOKUP(C3080,CATEGORIZACION!$A$2:$C$256,2,FALSE)</f>
        <v>PROOVEDORES</v>
      </c>
      <c r="J3080" t="str">
        <f>VLOOKUP(C3080,CATEGORIZACION!$A$2:$C$256,3,FALSE)</f>
        <v>DEPOSITO</v>
      </c>
    </row>
    <row r="3081" spans="1:10" ht="15" customHeight="1" x14ac:dyDescent="0.25">
      <c r="A3081" s="189">
        <v>45382</v>
      </c>
      <c r="B3081" t="s">
        <v>82</v>
      </c>
      <c r="C3081" s="188" t="s">
        <v>200</v>
      </c>
      <c r="F3081" s="116">
        <v>304000</v>
      </c>
      <c r="H3081" s="116">
        <v>304000</v>
      </c>
      <c r="I3081" t="str">
        <f>VLOOKUP(C3081,CATEGORIZACION!$A$2:$C$256,2,FALSE)</f>
        <v>PROOVEDORES</v>
      </c>
      <c r="J3081" t="str">
        <f>VLOOKUP(C3081,CATEGORIZACION!$A$2:$C$256,3,FALSE)</f>
        <v>LOGISTICA</v>
      </c>
    </row>
    <row r="3082" spans="1:10" ht="15" customHeight="1" x14ac:dyDescent="0.25">
      <c r="A3082" s="189">
        <v>45382</v>
      </c>
      <c r="B3082" t="s">
        <v>82</v>
      </c>
      <c r="C3082" s="188" t="s">
        <v>203</v>
      </c>
      <c r="H3082" s="116"/>
      <c r="I3082" t="str">
        <f>VLOOKUP(C3082,CATEGORIZACION!$A$2:$C$256,2,FALSE)</f>
        <v>PROOVEDORES</v>
      </c>
      <c r="J3082" t="str">
        <f>VLOOKUP(C3082,CATEGORIZACION!$A$2:$C$256,3,FALSE)</f>
        <v>LOGISTICA</v>
      </c>
    </row>
    <row r="3083" spans="1:10" ht="15" customHeight="1" x14ac:dyDescent="0.25">
      <c r="A3083" s="189">
        <v>45382</v>
      </c>
      <c r="B3083" t="s">
        <v>82</v>
      </c>
      <c r="C3083" s="188" t="s">
        <v>204</v>
      </c>
      <c r="F3083" s="116">
        <v>1898046</v>
      </c>
      <c r="H3083" s="116">
        <v>1898046</v>
      </c>
      <c r="I3083" t="str">
        <f>VLOOKUP(C3083,CATEGORIZACION!$A$2:$C$256,2,FALSE)</f>
        <v>PROOVEDORES</v>
      </c>
      <c r="J3083" t="str">
        <f>VLOOKUP(C3083,CATEGORIZACION!$A$2:$C$256,3,FALSE)</f>
        <v>LOGISTICA</v>
      </c>
    </row>
    <row r="3084" spans="1:10" ht="15" customHeight="1" x14ac:dyDescent="0.25">
      <c r="A3084" s="189">
        <v>45382</v>
      </c>
      <c r="B3084" t="s">
        <v>82</v>
      </c>
      <c r="C3084" s="188" t="s">
        <v>205</v>
      </c>
      <c r="F3084" s="200"/>
      <c r="H3084" s="200"/>
      <c r="I3084" t="str">
        <f>VLOOKUP(C3084,CATEGORIZACION!$A$2:$C$256,2,FALSE)</f>
        <v>AFIP</v>
      </c>
      <c r="J3084" t="str">
        <f>VLOOKUP(C3084,CATEGORIZACION!$A$2:$C$256,3,FALSE)</f>
        <v>LOGISTICA</v>
      </c>
    </row>
    <row r="3085" spans="1:10" ht="15" customHeight="1" x14ac:dyDescent="0.25">
      <c r="A3085" s="189">
        <v>45382</v>
      </c>
      <c r="B3085" t="s">
        <v>82</v>
      </c>
      <c r="C3085" s="188" t="s">
        <v>690</v>
      </c>
      <c r="F3085" s="237">
        <v>1876069</v>
      </c>
      <c r="H3085" s="237">
        <v>1876069</v>
      </c>
      <c r="I3085" t="str">
        <f>VLOOKUP(C3085,CATEGORIZACION!$A$2:$C$256,2,FALSE)</f>
        <v>AFIP</v>
      </c>
      <c r="J3085" t="str">
        <f>VLOOKUP(C3085,CATEGORIZACION!$A$2:$C$256,3,FALSE)</f>
        <v>DEPOSITO</v>
      </c>
    </row>
    <row r="3086" spans="1:10" ht="15" customHeight="1" x14ac:dyDescent="0.25">
      <c r="A3086" s="189">
        <v>45382</v>
      </c>
      <c r="B3086" t="s">
        <v>82</v>
      </c>
      <c r="C3086" s="188" t="s">
        <v>206</v>
      </c>
      <c r="F3086" s="237">
        <v>1876069</v>
      </c>
      <c r="H3086" s="237">
        <v>1876069</v>
      </c>
      <c r="I3086" t="str">
        <f>VLOOKUP(C3086,CATEGORIZACION!$A$2:$C$256,2,FALSE)</f>
        <v>AFIP</v>
      </c>
      <c r="J3086" t="str">
        <f>VLOOKUP(C3086,CATEGORIZACION!$A$2:$C$256,3,FALSE)</f>
        <v>LOGISTICA</v>
      </c>
    </row>
    <row r="3087" spans="1:10" ht="15" customHeight="1" x14ac:dyDescent="0.25">
      <c r="A3087" s="189">
        <v>45382</v>
      </c>
      <c r="B3087" t="s">
        <v>82</v>
      </c>
      <c r="C3087" s="188" t="s">
        <v>207</v>
      </c>
      <c r="F3087" s="200"/>
      <c r="H3087" s="200"/>
      <c r="I3087" t="str">
        <f>VLOOKUP(C3087,CATEGORIZACION!$A$2:$C$256,2,FALSE)</f>
        <v>AFIP</v>
      </c>
      <c r="J3087" t="str">
        <f>VLOOKUP(C3087,CATEGORIZACION!$A$2:$C$256,3,FALSE)</f>
        <v>LOGISTICA</v>
      </c>
    </row>
    <row r="3088" spans="1:10" ht="15" customHeight="1" x14ac:dyDescent="0.25">
      <c r="A3088" s="189">
        <v>45382</v>
      </c>
      <c r="B3088" t="s">
        <v>82</v>
      </c>
      <c r="C3088" s="188" t="s">
        <v>208</v>
      </c>
      <c r="F3088" s="200"/>
      <c r="H3088" s="200"/>
      <c r="I3088" t="str">
        <f>VLOOKUP(C3088,CATEGORIZACION!$A$2:$C$256,2,FALSE)</f>
        <v>AFIP</v>
      </c>
      <c r="J3088" t="str">
        <f>VLOOKUP(C3088,CATEGORIZACION!$A$2:$C$256,3,FALSE)</f>
        <v>LOGISTICA</v>
      </c>
    </row>
    <row r="3089" spans="1:10" ht="15" customHeight="1" x14ac:dyDescent="0.25">
      <c r="A3089" s="189">
        <v>45382</v>
      </c>
      <c r="B3089" t="s">
        <v>82</v>
      </c>
      <c r="C3089" s="188" t="s">
        <v>209</v>
      </c>
      <c r="F3089" s="200"/>
      <c r="H3089" s="200"/>
      <c r="I3089" t="str">
        <f>VLOOKUP(C3089,CATEGORIZACION!$A$2:$C$256,2,FALSE)</f>
        <v>PROOVEDORES</v>
      </c>
      <c r="J3089" t="str">
        <f>VLOOKUP(C3089,CATEGORIZACION!$A$2:$C$256,3,FALSE)</f>
        <v>LOGISTICA</v>
      </c>
    </row>
    <row r="3090" spans="1:10" ht="15" customHeight="1" x14ac:dyDescent="0.25">
      <c r="A3090" s="189">
        <v>45382</v>
      </c>
      <c r="B3090" t="s">
        <v>82</v>
      </c>
      <c r="C3090" s="188" t="s">
        <v>210</v>
      </c>
      <c r="F3090" s="200"/>
      <c r="H3090" s="200"/>
      <c r="I3090" t="str">
        <f>VLOOKUP(C3090,CATEGORIZACION!$A$2:$C$256,2,FALSE)</f>
        <v>PROOVEDORES</v>
      </c>
      <c r="J3090" t="str">
        <f>VLOOKUP(C3090,CATEGORIZACION!$A$2:$C$256,3,FALSE)</f>
        <v>LOGISTICA</v>
      </c>
    </row>
    <row r="3091" spans="1:10" ht="15" customHeight="1" x14ac:dyDescent="0.25">
      <c r="A3091" s="189">
        <v>45382</v>
      </c>
      <c r="B3091" t="s">
        <v>82</v>
      </c>
      <c r="C3091" s="188" t="s">
        <v>211</v>
      </c>
      <c r="F3091" s="200"/>
      <c r="H3091" s="200"/>
      <c r="I3091" t="str">
        <f>VLOOKUP(C3091,CATEGORIZACION!$A$2:$C$256,2,FALSE)</f>
        <v>PROOVEDORES</v>
      </c>
      <c r="J3091" t="str">
        <f>VLOOKUP(C3091,CATEGORIZACION!$A$2:$C$256,3,FALSE)</f>
        <v>LOGISTICA</v>
      </c>
    </row>
    <row r="3092" spans="1:10" ht="15" customHeight="1" x14ac:dyDescent="0.25">
      <c r="A3092" s="189">
        <v>45382</v>
      </c>
      <c r="B3092" t="s">
        <v>82</v>
      </c>
      <c r="C3092" s="188" t="s">
        <v>2174</v>
      </c>
      <c r="F3092" s="200"/>
      <c r="H3092" s="200"/>
      <c r="I3092" t="str">
        <f>VLOOKUP(C3092,CATEGORIZACION!$A$2:$C$256,2,FALSE)</f>
        <v>PROOVEDORES</v>
      </c>
      <c r="J3092" t="str">
        <f>VLOOKUP(C3092,CATEGORIZACION!$A$2:$C$256,3,FALSE)</f>
        <v>LOGISTICA</v>
      </c>
    </row>
    <row r="3093" spans="1:10" ht="15" customHeight="1" x14ac:dyDescent="0.25">
      <c r="A3093" s="189">
        <v>45382</v>
      </c>
      <c r="B3093" t="s">
        <v>82</v>
      </c>
      <c r="C3093" s="188" t="s">
        <v>2644</v>
      </c>
      <c r="F3093" s="116">
        <v>601250</v>
      </c>
      <c r="H3093" s="116">
        <v>601250</v>
      </c>
      <c r="I3093" t="str">
        <f>VLOOKUP(C3093,CATEGORIZACION!$A$2:$C$256,2,FALSE)</f>
        <v>PROOVEDORES</v>
      </c>
      <c r="J3093" t="str">
        <f>VLOOKUP(C3093,CATEGORIZACION!$A$2:$C$256,3,FALSE)</f>
        <v>LOGISTICA</v>
      </c>
    </row>
    <row r="3094" spans="1:10" ht="15" customHeight="1" x14ac:dyDescent="0.25">
      <c r="A3094" s="189">
        <v>45382</v>
      </c>
      <c r="B3094" t="s">
        <v>82</v>
      </c>
      <c r="C3094" s="188" t="s">
        <v>213</v>
      </c>
      <c r="H3094" s="116"/>
      <c r="I3094" t="str">
        <f>VLOOKUP(C3094,CATEGORIZACION!$A$2:$C$256,2,FALSE)</f>
        <v>AFIP</v>
      </c>
      <c r="J3094" t="str">
        <f>VLOOKUP(C3094,CATEGORIZACION!$A$2:$C$256,3,FALSE)</f>
        <v>LOGISTICA</v>
      </c>
    </row>
    <row r="3095" spans="1:10" ht="15" customHeight="1" x14ac:dyDescent="0.25">
      <c r="A3095" s="189">
        <v>45382</v>
      </c>
      <c r="B3095" t="s">
        <v>82</v>
      </c>
      <c r="C3095" s="188" t="s">
        <v>2484</v>
      </c>
      <c r="F3095" s="116">
        <v>20000</v>
      </c>
      <c r="H3095" s="116">
        <v>20000</v>
      </c>
      <c r="I3095" t="str">
        <f>VLOOKUP(C3095,CATEGORIZACION!$A$2:$C$256,2,FALSE)</f>
        <v>PROOVEDORES</v>
      </c>
      <c r="J3095" t="str">
        <f>VLOOKUP(C3095,CATEGORIZACION!$A$2:$C$256,3,FALSE)</f>
        <v>DEPOSITO</v>
      </c>
    </row>
    <row r="3096" spans="1:10" ht="15" customHeight="1" x14ac:dyDescent="0.25">
      <c r="A3096" s="189">
        <v>45382</v>
      </c>
      <c r="B3096" t="s">
        <v>82</v>
      </c>
      <c r="C3096" s="188" t="s">
        <v>2483</v>
      </c>
      <c r="F3096" s="116">
        <v>72000</v>
      </c>
      <c r="H3096" s="116">
        <v>72000</v>
      </c>
      <c r="I3096" t="str">
        <f>VLOOKUP(C3096,CATEGORIZACION!$A$2:$C$256,2,FALSE)</f>
        <v>PROOVEDORES</v>
      </c>
      <c r="J3096" t="str">
        <f>VLOOKUP(C3096,CATEGORIZACION!$A$2:$C$256,3,FALSE)</f>
        <v>DEPOSITO</v>
      </c>
    </row>
    <row r="3097" spans="1:10" ht="15" customHeight="1" x14ac:dyDescent="0.25">
      <c r="A3097" s="189">
        <v>45382</v>
      </c>
      <c r="B3097" t="s">
        <v>82</v>
      </c>
      <c r="C3097" s="188" t="s">
        <v>2486</v>
      </c>
      <c r="F3097" s="116">
        <v>0</v>
      </c>
      <c r="H3097" s="116">
        <v>0</v>
      </c>
      <c r="I3097" t="str">
        <f>VLOOKUP(C3097,CATEGORIZACION!$A$2:$C$256,2,FALSE)</f>
        <v>PROOVEDORES</v>
      </c>
      <c r="J3097" t="str">
        <f>VLOOKUP(C3097,CATEGORIZACION!$A$2:$C$256,3,FALSE)</f>
        <v>DEPOSITO</v>
      </c>
    </row>
    <row r="3098" spans="1:10" ht="15" customHeight="1" x14ac:dyDescent="0.25">
      <c r="A3098" s="189">
        <v>45382</v>
      </c>
      <c r="B3098" t="s">
        <v>82</v>
      </c>
      <c r="C3098" s="188" t="s">
        <v>2485</v>
      </c>
      <c r="F3098" s="116">
        <v>90000</v>
      </c>
      <c r="H3098" s="116">
        <v>90000</v>
      </c>
      <c r="I3098" t="str">
        <f>VLOOKUP(C3098,CATEGORIZACION!$A$2:$C$256,2,FALSE)</f>
        <v>PROOVEDORES</v>
      </c>
      <c r="J3098" t="str">
        <f>VLOOKUP(C3098,CATEGORIZACION!$A$2:$C$256,3,FALSE)</f>
        <v>DEPOSITO</v>
      </c>
    </row>
    <row r="3099" spans="1:10" ht="15" customHeight="1" x14ac:dyDescent="0.25">
      <c r="A3099" s="189">
        <v>45382</v>
      </c>
      <c r="B3099" t="s">
        <v>82</v>
      </c>
      <c r="C3099" s="188" t="s">
        <v>195</v>
      </c>
      <c r="F3099" s="116">
        <v>1216800</v>
      </c>
      <c r="H3099" s="116">
        <v>1216800</v>
      </c>
      <c r="I3099" t="s">
        <v>1816</v>
      </c>
      <c r="J3099" t="s">
        <v>103</v>
      </c>
    </row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66E5-0856-442D-B529-E0BF8E7FC57D}">
  <dimension ref="A1:X2001"/>
  <sheetViews>
    <sheetView topLeftCell="G119" zoomScale="85" zoomScaleNormal="85" workbookViewId="0">
      <selection activeCell="H137" sqref="H137"/>
    </sheetView>
  </sheetViews>
  <sheetFormatPr baseColWidth="10" defaultRowHeight="15" x14ac:dyDescent="0.25"/>
  <cols>
    <col min="1" max="1" width="4.28515625" bestFit="1" customWidth="1"/>
    <col min="2" max="2" width="9.85546875" bestFit="1" customWidth="1"/>
    <col min="3" max="3" width="21.28515625" bestFit="1" customWidth="1"/>
    <col min="4" max="4" width="20.85546875" bestFit="1" customWidth="1"/>
    <col min="5" max="5" width="15.5703125" bestFit="1" customWidth="1"/>
    <col min="6" max="6" width="17" bestFit="1" customWidth="1"/>
    <col min="7" max="7" width="20.85546875" bestFit="1" customWidth="1"/>
    <col min="8" max="8" width="26.140625" bestFit="1" customWidth="1"/>
    <col min="9" max="9" width="27.7109375" bestFit="1" customWidth="1"/>
    <col min="10" max="10" width="16.5703125" bestFit="1" customWidth="1"/>
    <col min="11" max="11" width="31" bestFit="1" customWidth="1"/>
    <col min="12" max="12" width="18.5703125" bestFit="1" customWidth="1"/>
    <col min="13" max="13" width="13.85546875" bestFit="1" customWidth="1"/>
    <col min="14" max="14" width="28" bestFit="1" customWidth="1"/>
    <col min="15" max="15" width="11" bestFit="1" customWidth="1"/>
    <col min="16" max="16" width="23.140625" bestFit="1" customWidth="1"/>
    <col min="17" max="17" width="9.7109375" bestFit="1" customWidth="1"/>
    <col min="18" max="18" width="13.42578125" bestFit="1" customWidth="1"/>
    <col min="19" max="19" width="17.28515625" bestFit="1" customWidth="1"/>
    <col min="20" max="20" width="14.5703125" bestFit="1" customWidth="1"/>
    <col min="21" max="21" width="18.7109375" bestFit="1" customWidth="1"/>
    <col min="22" max="22" width="15.85546875" bestFit="1" customWidth="1"/>
    <col min="23" max="23" width="13.7109375" bestFit="1" customWidth="1"/>
    <col min="24" max="24" width="9.28515625" style="208" bestFit="1" customWidth="1"/>
  </cols>
  <sheetData>
    <row r="1" spans="1:24" ht="15.75" thickBot="1" x14ac:dyDescent="0.3">
      <c r="A1" t="s">
        <v>7445</v>
      </c>
      <c r="B1" t="s">
        <v>0</v>
      </c>
      <c r="C1" t="s">
        <v>7446</v>
      </c>
      <c r="D1" t="s">
        <v>7447</v>
      </c>
      <c r="E1" t="s">
        <v>7448</v>
      </c>
      <c r="F1" t="s">
        <v>7449</v>
      </c>
      <c r="G1" t="s">
        <v>7450</v>
      </c>
      <c r="H1" t="s">
        <v>7451</v>
      </c>
      <c r="I1" t="s">
        <v>7452</v>
      </c>
      <c r="J1" t="s">
        <v>7453</v>
      </c>
      <c r="K1" t="s">
        <v>7454</v>
      </c>
      <c r="L1" t="s">
        <v>7455</v>
      </c>
      <c r="M1" t="s">
        <v>7456</v>
      </c>
      <c r="N1" t="s">
        <v>7457</v>
      </c>
      <c r="O1" t="s">
        <v>7458</v>
      </c>
      <c r="P1" t="s">
        <v>7459</v>
      </c>
      <c r="Q1" t="s">
        <v>1116</v>
      </c>
      <c r="R1" t="s">
        <v>7460</v>
      </c>
      <c r="S1" t="s">
        <v>7712</v>
      </c>
      <c r="T1" t="s">
        <v>7718</v>
      </c>
      <c r="U1" t="s">
        <v>7722</v>
      </c>
      <c r="V1" t="s">
        <v>7725</v>
      </c>
      <c r="W1" t="s">
        <v>7726</v>
      </c>
      <c r="X1" s="207" t="s">
        <v>7</v>
      </c>
    </row>
    <row r="2" spans="1:24" s="211" customFormat="1" ht="15.75" hidden="1" thickBot="1" x14ac:dyDescent="0.3">
      <c r="A2" s="209">
        <v>1</v>
      </c>
      <c r="B2" s="210">
        <v>45330</v>
      </c>
      <c r="C2" s="211" t="s">
        <v>7461</v>
      </c>
      <c r="D2" s="211" t="s">
        <v>3117</v>
      </c>
      <c r="E2" s="211" t="s">
        <v>7441</v>
      </c>
      <c r="F2" s="211" t="s">
        <v>6962</v>
      </c>
      <c r="G2" s="211" t="s">
        <v>7462</v>
      </c>
      <c r="J2" s="210"/>
      <c r="L2" s="211" t="s">
        <v>7463</v>
      </c>
      <c r="M2" s="212">
        <v>0.41666666666666674</v>
      </c>
      <c r="N2" s="211" t="s">
        <v>7464</v>
      </c>
      <c r="O2" s="211" t="s">
        <v>7465</v>
      </c>
      <c r="Q2" s="211">
        <v>8734</v>
      </c>
      <c r="R2" s="211">
        <v>50953</v>
      </c>
      <c r="S2" s="211">
        <f>IFERROR(VLOOKUP(E2,'VALORES VIAJES'!$A$2:$B$13,2,FALSE),"")</f>
        <v>210000</v>
      </c>
      <c r="T2" s="211" t="str">
        <f>IFERROR(VLOOKUP(H2,'VALORES VIAJES'!$A$2:$B$24,2,FALSE),"")</f>
        <v/>
      </c>
      <c r="U2" s="211" t="str">
        <f>IFERROR(VLOOKUP(I2,'VALORES VIAJES'!$A$2:$B$24,2,FALSE),"")</f>
        <v/>
      </c>
      <c r="V2" s="211" t="str">
        <f>IFERROR(VLOOKUP(K2,'VALORES VIAJES'!$A$2:$B$24,2,FALSE),"")</f>
        <v/>
      </c>
      <c r="X2" s="207">
        <f>SUM(Hoja1[[#This Row],[$ X TIP VEHICUL]:[AGREGADO]])</f>
        <v>210000</v>
      </c>
    </row>
    <row r="3" spans="1:24" s="215" customFormat="1" ht="15.75" hidden="1" thickBot="1" x14ac:dyDescent="0.3">
      <c r="A3" s="213">
        <v>2</v>
      </c>
      <c r="B3" s="214">
        <v>45330</v>
      </c>
      <c r="C3" s="215" t="s">
        <v>7466</v>
      </c>
      <c r="D3" s="215" t="s">
        <v>6883</v>
      </c>
      <c r="E3" s="215" t="s">
        <v>7443</v>
      </c>
      <c r="F3" s="215" t="s">
        <v>7467</v>
      </c>
      <c r="G3" s="215" t="s">
        <v>6954</v>
      </c>
      <c r="J3" s="214"/>
      <c r="L3" s="215" t="s">
        <v>7468</v>
      </c>
      <c r="M3" s="216">
        <v>0.41666666666666674</v>
      </c>
      <c r="N3" s="215" t="s">
        <v>7469</v>
      </c>
      <c r="O3" s="215" t="s">
        <v>7470</v>
      </c>
      <c r="Q3" s="215">
        <v>16814</v>
      </c>
      <c r="R3" s="215" t="s">
        <v>7463</v>
      </c>
      <c r="S3" s="215">
        <f>IFERROR(VLOOKUP(E3,'VALORES VIAJES'!$A$2:$B$13,2,FALSE),"")</f>
        <v>210000</v>
      </c>
      <c r="T3" s="215" t="str">
        <f>IFERROR(VLOOKUP(H3,'VALORES VIAJES'!$A$2:$B$24,2,FALSE),"")</f>
        <v/>
      </c>
      <c r="U3" s="215" t="str">
        <f>IFERROR(VLOOKUP(I3,'VALORES VIAJES'!$A$2:$B$24,2,FALSE),"")</f>
        <v/>
      </c>
      <c r="V3" s="215" t="str">
        <f>IFERROR(VLOOKUP(K3,'VALORES VIAJES'!$A$2:$B$24,2,FALSE),"")</f>
        <v/>
      </c>
      <c r="X3" s="208">
        <f>SUM(Hoja1[[#This Row],[$ X TIP VEHICUL]:[AGREGADO]])</f>
        <v>210000</v>
      </c>
    </row>
    <row r="4" spans="1:24" s="215" customFormat="1" ht="15.75" hidden="1" thickBot="1" x14ac:dyDescent="0.3">
      <c r="A4" s="213">
        <v>3</v>
      </c>
      <c r="B4" s="214">
        <v>45330</v>
      </c>
      <c r="C4" s="215" t="s">
        <v>7466</v>
      </c>
      <c r="D4" s="215" t="s">
        <v>7471</v>
      </c>
      <c r="E4" s="215" t="s">
        <v>7443</v>
      </c>
      <c r="F4" s="215" t="s">
        <v>7467</v>
      </c>
      <c r="G4" s="215" t="s">
        <v>6954</v>
      </c>
      <c r="J4" s="214"/>
      <c r="L4" s="215" t="s">
        <v>7472</v>
      </c>
      <c r="M4" s="216">
        <v>0.5</v>
      </c>
      <c r="N4" s="215" t="s">
        <v>7473</v>
      </c>
      <c r="O4" s="215" t="s">
        <v>7474</v>
      </c>
      <c r="Q4" s="215">
        <v>16814</v>
      </c>
      <c r="R4" s="215" t="s">
        <v>7463</v>
      </c>
      <c r="S4" s="215">
        <f>IFERROR(VLOOKUP(E4,'VALORES VIAJES'!$A$2:$B$13,2,FALSE),"")</f>
        <v>210000</v>
      </c>
      <c r="T4" s="215" t="str">
        <f>IFERROR(VLOOKUP(H4,'VALORES VIAJES'!$A$2:$B$24,2,FALSE),"")</f>
        <v/>
      </c>
      <c r="U4" s="215" t="str">
        <f>IFERROR(VLOOKUP(I4,'VALORES VIAJES'!$A$2:$B$24,2,FALSE),"")</f>
        <v/>
      </c>
      <c r="V4" s="215" t="str">
        <f>IFERROR(VLOOKUP(K4,'VALORES VIAJES'!$A$2:$B$24,2,FALSE),"")</f>
        <v/>
      </c>
      <c r="X4" s="208">
        <f>SUM(Hoja1[[#This Row],[$ X TIP VEHICUL]:[AGREGADO]])</f>
        <v>210000</v>
      </c>
    </row>
    <row r="5" spans="1:24" s="215" customFormat="1" ht="15.75" hidden="1" thickBot="1" x14ac:dyDescent="0.3">
      <c r="A5" s="213">
        <v>4</v>
      </c>
      <c r="B5" s="214">
        <v>45330</v>
      </c>
      <c r="C5" s="215" t="s">
        <v>7466</v>
      </c>
      <c r="D5" s="215" t="s">
        <v>7475</v>
      </c>
      <c r="E5" s="215" t="s">
        <v>7443</v>
      </c>
      <c r="F5" s="215" t="s">
        <v>7467</v>
      </c>
      <c r="G5" s="215" t="s">
        <v>6954</v>
      </c>
      <c r="J5" s="214"/>
      <c r="L5" s="215" t="s">
        <v>7476</v>
      </c>
      <c r="M5" s="216">
        <v>0.33333333333333326</v>
      </c>
      <c r="N5" s="215" t="s">
        <v>7477</v>
      </c>
      <c r="O5" s="215" t="s">
        <v>7478</v>
      </c>
      <c r="Q5" s="215">
        <v>16814</v>
      </c>
      <c r="R5" s="215" t="s">
        <v>7463</v>
      </c>
      <c r="S5" s="215">
        <f>IFERROR(VLOOKUP(E5,'VALORES VIAJES'!$A$2:$B$13,2,FALSE),"")</f>
        <v>210000</v>
      </c>
      <c r="T5" s="215" t="str">
        <f>IFERROR(VLOOKUP(H5,'VALORES VIAJES'!$A$2:$B$24,2,FALSE),"")</f>
        <v/>
      </c>
      <c r="U5" s="215" t="str">
        <f>IFERROR(VLOOKUP(I5,'VALORES VIAJES'!$A$2:$B$24,2,FALSE),"")</f>
        <v/>
      </c>
      <c r="V5" s="215" t="str">
        <f>IFERROR(VLOOKUP(K5,'VALORES VIAJES'!$A$2:$B$24,2,FALSE),"")</f>
        <v/>
      </c>
      <c r="X5" s="208">
        <f>SUM(Hoja1[[#This Row],[$ X TIP VEHICUL]:[AGREGADO]])</f>
        <v>210000</v>
      </c>
    </row>
    <row r="6" spans="1:24" s="215" customFormat="1" ht="15.75" hidden="1" thickBot="1" x14ac:dyDescent="0.3">
      <c r="A6" s="213">
        <v>5</v>
      </c>
      <c r="B6" s="214">
        <v>45330</v>
      </c>
      <c r="C6" s="215" t="s">
        <v>7466</v>
      </c>
      <c r="D6" s="215" t="s">
        <v>7475</v>
      </c>
      <c r="E6" s="215" t="s">
        <v>7443</v>
      </c>
      <c r="F6" s="215" t="s">
        <v>7467</v>
      </c>
      <c r="G6" s="215" t="s">
        <v>6954</v>
      </c>
      <c r="J6" s="214"/>
      <c r="L6" s="215" t="s">
        <v>7479</v>
      </c>
      <c r="M6" s="216">
        <v>0.33333333333333326</v>
      </c>
      <c r="N6" s="215" t="s">
        <v>7480</v>
      </c>
      <c r="O6" s="215" t="s">
        <v>7465</v>
      </c>
      <c r="Q6" s="215">
        <v>16814</v>
      </c>
      <c r="R6" s="215" t="s">
        <v>7463</v>
      </c>
      <c r="S6" s="215">
        <f>IFERROR(VLOOKUP(E6,'VALORES VIAJES'!$A$2:$B$13,2,FALSE),"")</f>
        <v>210000</v>
      </c>
      <c r="T6" s="215" t="str">
        <f>IFERROR(VLOOKUP(H6,'VALORES VIAJES'!$A$2:$B$24,2,FALSE),"")</f>
        <v/>
      </c>
      <c r="U6" s="215" t="str">
        <f>IFERROR(VLOOKUP(I6,'VALORES VIAJES'!$A$2:$B$24,2,FALSE),"")</f>
        <v/>
      </c>
      <c r="V6" s="215" t="str">
        <f>IFERROR(VLOOKUP(K6,'VALORES VIAJES'!$A$2:$B$24,2,FALSE),"")</f>
        <v/>
      </c>
      <c r="X6" s="208">
        <f>SUM(Hoja1[[#This Row],[$ X TIP VEHICUL]:[AGREGADO]])</f>
        <v>210000</v>
      </c>
    </row>
    <row r="7" spans="1:24" s="219" customFormat="1" ht="15.75" hidden="1" thickBot="1" x14ac:dyDescent="0.3">
      <c r="A7" s="217">
        <v>6</v>
      </c>
      <c r="B7" s="218">
        <v>45330</v>
      </c>
      <c r="C7" s="219" t="s">
        <v>7481</v>
      </c>
      <c r="D7" s="219" t="s">
        <v>7481</v>
      </c>
      <c r="E7" s="219" t="s">
        <v>7443</v>
      </c>
      <c r="F7" s="219" t="s">
        <v>7467</v>
      </c>
      <c r="G7" s="219" t="s">
        <v>7482</v>
      </c>
      <c r="H7" s="219" t="s">
        <v>7433</v>
      </c>
      <c r="J7" s="218"/>
      <c r="K7" s="219" t="s">
        <v>7440</v>
      </c>
      <c r="L7" s="219" t="s">
        <v>7483</v>
      </c>
      <c r="M7" s="220">
        <v>0.70833333333333326</v>
      </c>
      <c r="N7" s="219" t="s">
        <v>7480</v>
      </c>
      <c r="O7" s="219" t="s">
        <v>7465</v>
      </c>
      <c r="Q7" s="219">
        <v>21167</v>
      </c>
      <c r="R7" s="219">
        <v>18408</v>
      </c>
      <c r="S7" s="219">
        <f>IFERROR(VLOOKUP(E7,'VALORES VIAJES'!$A$2:$B$13,2,FALSE),"")</f>
        <v>210000</v>
      </c>
      <c r="T7" s="219">
        <f>IFERROR(VLOOKUP(H7,'VALORES VIAJES'!$A$2:$B$24,2,FALSE),"")</f>
        <v>210000</v>
      </c>
      <c r="U7" s="219" t="str">
        <f>IFERROR(VLOOKUP(I7,'VALORES VIAJES'!$A$2:$B$24,2,FALSE),"")</f>
        <v/>
      </c>
      <c r="V7" s="219">
        <f>IFERROR(VLOOKUP(K7,'VALORES VIAJES'!$A$2:$B$24,2,FALSE),"")</f>
        <v>95000</v>
      </c>
      <c r="X7" s="221">
        <f>SUM(Hoja1[[#This Row],[$ X TIP VEHICUL]:[AGREGADO]])</f>
        <v>515000</v>
      </c>
    </row>
    <row r="8" spans="1:24" s="211" customFormat="1" ht="15.75" hidden="1" thickBot="1" x14ac:dyDescent="0.3">
      <c r="A8" s="209">
        <v>7</v>
      </c>
      <c r="B8" s="210">
        <v>45331</v>
      </c>
      <c r="C8" s="211" t="s">
        <v>7481</v>
      </c>
      <c r="D8" s="211" t="s">
        <v>7481</v>
      </c>
      <c r="E8" s="211" t="s">
        <v>7443</v>
      </c>
      <c r="F8" s="211" t="s">
        <v>7484</v>
      </c>
      <c r="G8" s="211" t="s">
        <v>7485</v>
      </c>
      <c r="H8" s="211" t="s">
        <v>7433</v>
      </c>
      <c r="J8" s="210"/>
      <c r="K8" s="211" t="s">
        <v>7440</v>
      </c>
      <c r="L8" s="211" t="s">
        <v>7486</v>
      </c>
      <c r="M8" s="212">
        <v>0.75</v>
      </c>
      <c r="N8" s="211" t="s">
        <v>7473</v>
      </c>
      <c r="O8" s="211" t="s">
        <v>7474</v>
      </c>
      <c r="Q8" s="211">
        <v>19174</v>
      </c>
      <c r="R8" s="211">
        <v>18419</v>
      </c>
      <c r="S8" s="211">
        <f>IFERROR(VLOOKUP(E8,'VALORES VIAJES'!$A$2:$B$13,2,FALSE),"")</f>
        <v>210000</v>
      </c>
      <c r="T8" s="211">
        <f>IFERROR(VLOOKUP(H8,'VALORES VIAJES'!$A$2:$B$24,2,FALSE),"")</f>
        <v>210000</v>
      </c>
      <c r="U8" s="211" t="str">
        <f>IFERROR(VLOOKUP(I8,'VALORES VIAJES'!$A$2:$B$24,2,FALSE),"")</f>
        <v/>
      </c>
      <c r="V8" s="211">
        <f>IFERROR(VLOOKUP(K8,'VALORES VIAJES'!$A$2:$B$24,2,FALSE),"")</f>
        <v>95000</v>
      </c>
      <c r="X8" s="207">
        <f>SUM(Hoja1[[#This Row],[$ X TIP VEHICUL]:[AGREGADO]])</f>
        <v>515000</v>
      </c>
    </row>
    <row r="9" spans="1:24" s="215" customFormat="1" ht="15.75" hidden="1" thickBot="1" x14ac:dyDescent="0.3">
      <c r="A9" s="213">
        <v>8</v>
      </c>
      <c r="B9" s="214">
        <v>45331</v>
      </c>
      <c r="C9" s="215" t="s">
        <v>7481</v>
      </c>
      <c r="D9" s="215" t="s">
        <v>7481</v>
      </c>
      <c r="E9" s="215" t="s">
        <v>7443</v>
      </c>
      <c r="F9" s="215" t="s">
        <v>7484</v>
      </c>
      <c r="G9" s="215" t="s">
        <v>7485</v>
      </c>
      <c r="H9" s="215" t="s">
        <v>7433</v>
      </c>
      <c r="J9" s="214"/>
      <c r="L9" s="215" t="s">
        <v>7487</v>
      </c>
      <c r="M9" s="216">
        <v>0.625</v>
      </c>
      <c r="N9" s="215" t="s">
        <v>7469</v>
      </c>
      <c r="O9" s="215" t="s">
        <v>7470</v>
      </c>
      <c r="Q9" s="215">
        <v>19174</v>
      </c>
      <c r="R9" s="215">
        <v>18418</v>
      </c>
      <c r="S9" s="215">
        <f>IFERROR(VLOOKUP(E9,'VALORES VIAJES'!$A$2:$B$13,2,FALSE),"")</f>
        <v>210000</v>
      </c>
      <c r="T9" s="215">
        <f>IFERROR(VLOOKUP(H9,'VALORES VIAJES'!$A$2:$B$24,2,FALSE),"")</f>
        <v>210000</v>
      </c>
      <c r="U9" s="215" t="str">
        <f>IFERROR(VLOOKUP(I9,'VALORES VIAJES'!$A$2:$B$24,2,FALSE),"")</f>
        <v/>
      </c>
      <c r="V9" s="215" t="str">
        <f>IFERROR(VLOOKUP(K9,'VALORES VIAJES'!$A$2:$B$24,2,FALSE),"")</f>
        <v/>
      </c>
      <c r="X9" s="208">
        <f>SUM(Hoja1[[#This Row],[$ X TIP VEHICUL]:[AGREGADO]])</f>
        <v>420000</v>
      </c>
    </row>
    <row r="10" spans="1:24" s="215" customFormat="1" ht="15.75" hidden="1" thickBot="1" x14ac:dyDescent="0.3">
      <c r="A10" s="213">
        <v>9</v>
      </c>
      <c r="B10" s="214">
        <v>45331</v>
      </c>
      <c r="C10" s="215" t="s">
        <v>7481</v>
      </c>
      <c r="D10" s="215" t="s">
        <v>7481</v>
      </c>
      <c r="E10" s="215" t="s">
        <v>7443</v>
      </c>
      <c r="F10" s="215" t="s">
        <v>7467</v>
      </c>
      <c r="G10" s="215" t="s">
        <v>7485</v>
      </c>
      <c r="H10" s="215" t="s">
        <v>7433</v>
      </c>
      <c r="I10" s="215" t="s">
        <v>7437</v>
      </c>
      <c r="J10" s="214">
        <v>45337</v>
      </c>
      <c r="K10" s="215" t="s">
        <v>7440</v>
      </c>
      <c r="L10" s="215" t="s">
        <v>7488</v>
      </c>
      <c r="M10" s="216">
        <v>0.75</v>
      </c>
      <c r="N10" s="215" t="s">
        <v>7489</v>
      </c>
      <c r="O10" s="215" t="s">
        <v>7490</v>
      </c>
      <c r="Q10" s="215">
        <v>19174</v>
      </c>
      <c r="R10" s="215">
        <v>18414</v>
      </c>
      <c r="S10" s="215">
        <f>IFERROR(VLOOKUP(E10,'VALORES VIAJES'!$A$2:$B$13,2,FALSE),"")</f>
        <v>210000</v>
      </c>
      <c r="T10" s="215">
        <f>IFERROR(VLOOKUP(H10,'VALORES VIAJES'!$A$2:$B$24,2,FALSE),"")</f>
        <v>210000</v>
      </c>
      <c r="U10" s="215">
        <f>IFERROR(VLOOKUP(I10,'VALORES VIAJES'!$A$2:$B$24,2,FALSE),"")</f>
        <v>420000</v>
      </c>
      <c r="V10" s="215">
        <f>IFERROR(VLOOKUP(K10,'VALORES VIAJES'!$A$2:$B$24,2,FALSE),"")</f>
        <v>95000</v>
      </c>
      <c r="X10" s="208">
        <f>SUM(Hoja1[[#This Row],[$ X TIP VEHICUL]:[AGREGADO]])</f>
        <v>935000</v>
      </c>
    </row>
    <row r="11" spans="1:24" s="215" customFormat="1" ht="15.75" hidden="1" thickBot="1" x14ac:dyDescent="0.3">
      <c r="A11" s="213">
        <v>10</v>
      </c>
      <c r="B11" s="214">
        <v>45331</v>
      </c>
      <c r="C11" s="215" t="s">
        <v>7481</v>
      </c>
      <c r="D11" s="215" t="s">
        <v>7481</v>
      </c>
      <c r="E11" s="215" t="s">
        <v>7443</v>
      </c>
      <c r="F11" s="215" t="s">
        <v>7467</v>
      </c>
      <c r="G11" s="215" t="s">
        <v>7485</v>
      </c>
      <c r="H11" s="215" t="s">
        <v>7433</v>
      </c>
      <c r="I11" s="215" t="s">
        <v>7434</v>
      </c>
      <c r="J11" s="214">
        <v>45336</v>
      </c>
      <c r="K11" s="215" t="s">
        <v>7440</v>
      </c>
      <c r="L11" s="215" t="s">
        <v>7491</v>
      </c>
      <c r="M11" s="216">
        <v>0.75</v>
      </c>
      <c r="N11" s="215" t="s">
        <v>7477</v>
      </c>
      <c r="O11" s="215" t="s">
        <v>7478</v>
      </c>
      <c r="Q11" s="215">
        <v>24594</v>
      </c>
      <c r="R11" s="215">
        <v>18412</v>
      </c>
      <c r="S11" s="215">
        <f>IFERROR(VLOOKUP(E11,'VALORES VIAJES'!$A$2:$B$13,2,FALSE),"")</f>
        <v>210000</v>
      </c>
      <c r="T11" s="215">
        <f>IFERROR(VLOOKUP(H11,'VALORES VIAJES'!$A$2:$B$24,2,FALSE),"")</f>
        <v>210000</v>
      </c>
      <c r="U11" s="215">
        <f>IFERROR(VLOOKUP(I11,'VALORES VIAJES'!$A$2:$B$24,2,FALSE),"")</f>
        <v>105000</v>
      </c>
      <c r="V11" s="215">
        <f>IFERROR(VLOOKUP(K11,'VALORES VIAJES'!$A$2:$B$24,2,FALSE),"")</f>
        <v>95000</v>
      </c>
      <c r="X11" s="208">
        <f>SUM(Hoja1[[#This Row],[$ X TIP VEHICUL]:[AGREGADO]])</f>
        <v>620000</v>
      </c>
    </row>
    <row r="12" spans="1:24" s="215" customFormat="1" ht="15.75" hidden="1" thickBot="1" x14ac:dyDescent="0.3">
      <c r="A12" s="213">
        <v>11</v>
      </c>
      <c r="B12" s="214">
        <v>45331</v>
      </c>
      <c r="C12" s="215" t="s">
        <v>7481</v>
      </c>
      <c r="D12" s="215" t="s">
        <v>7481</v>
      </c>
      <c r="E12" s="215" t="s">
        <v>7443</v>
      </c>
      <c r="F12" s="215" t="s">
        <v>7467</v>
      </c>
      <c r="G12" s="215" t="s">
        <v>7485</v>
      </c>
      <c r="H12" s="215" t="s">
        <v>7433</v>
      </c>
      <c r="I12" s="215" t="s">
        <v>7434</v>
      </c>
      <c r="J12" s="214">
        <v>45336</v>
      </c>
      <c r="L12" s="215" t="s">
        <v>7492</v>
      </c>
      <c r="M12" s="216">
        <v>0.66666666666666674</v>
      </c>
      <c r="N12" s="215" t="s">
        <v>7480</v>
      </c>
      <c r="O12" s="215" t="s">
        <v>7465</v>
      </c>
      <c r="Q12" s="215">
        <v>24594</v>
      </c>
      <c r="R12" s="215">
        <v>18413</v>
      </c>
      <c r="S12" s="215">
        <f>IFERROR(VLOOKUP(E12,'VALORES VIAJES'!$A$2:$B$13,2,FALSE),"")</f>
        <v>210000</v>
      </c>
      <c r="T12" s="215">
        <f>IFERROR(VLOOKUP(H12,'VALORES VIAJES'!$A$2:$B$24,2,FALSE),"")</f>
        <v>210000</v>
      </c>
      <c r="U12" s="215">
        <f>IFERROR(VLOOKUP(I12,'VALORES VIAJES'!$A$2:$B$24,2,FALSE),"")</f>
        <v>105000</v>
      </c>
      <c r="V12" s="215" t="str">
        <f>IFERROR(VLOOKUP(K12,'VALORES VIAJES'!$A$2:$B$24,2,FALSE),"")</f>
        <v/>
      </c>
      <c r="X12" s="208">
        <f>SUM(Hoja1[[#This Row],[$ X TIP VEHICUL]:[AGREGADO]])</f>
        <v>525000</v>
      </c>
    </row>
    <row r="13" spans="1:24" s="215" customFormat="1" ht="15.75" hidden="1" thickBot="1" x14ac:dyDescent="0.3">
      <c r="A13" s="213">
        <v>12</v>
      </c>
      <c r="B13" s="214">
        <v>45331</v>
      </c>
      <c r="C13" s="215" t="s">
        <v>7481</v>
      </c>
      <c r="D13" s="215" t="s">
        <v>7481</v>
      </c>
      <c r="E13" s="215" t="s">
        <v>7442</v>
      </c>
      <c r="F13" s="215" t="s">
        <v>7493</v>
      </c>
      <c r="G13" s="215" t="s">
        <v>7482</v>
      </c>
      <c r="H13" s="215" t="s">
        <v>7433</v>
      </c>
      <c r="J13" s="214">
        <v>45336</v>
      </c>
      <c r="L13" s="215" t="s">
        <v>7463</v>
      </c>
      <c r="M13" s="216">
        <v>0.54166666666666674</v>
      </c>
      <c r="N13" s="215" t="s">
        <v>7464</v>
      </c>
      <c r="O13" s="215" t="s">
        <v>7494</v>
      </c>
      <c r="Q13" s="215">
        <v>9352</v>
      </c>
      <c r="R13" s="215">
        <v>18423</v>
      </c>
      <c r="S13" s="215">
        <f>IFERROR(VLOOKUP(E13,'VALORES VIAJES'!$A$2:$B$13,2,FALSE),"")</f>
        <v>160000</v>
      </c>
      <c r="T13" s="215">
        <f>IFERROR(VLOOKUP(H13,'VALORES VIAJES'!$A$2:$B$24,2,FALSE),"")</f>
        <v>210000</v>
      </c>
      <c r="U13" s="215" t="str">
        <f>IFERROR(VLOOKUP(I13,'VALORES VIAJES'!$A$2:$B$24,2,FALSE),"")</f>
        <v/>
      </c>
      <c r="V13" s="215" t="str">
        <f>IFERROR(VLOOKUP(K13,'VALORES VIAJES'!$A$2:$B$24,2,FALSE),"")</f>
        <v/>
      </c>
      <c r="X13" s="208">
        <f>SUM(Hoja1[[#This Row],[$ X TIP VEHICUL]:[AGREGADO]])</f>
        <v>370000</v>
      </c>
    </row>
    <row r="14" spans="1:24" s="211" customFormat="1" ht="15.75" hidden="1" thickBot="1" x14ac:dyDescent="0.3">
      <c r="A14" s="209">
        <v>13</v>
      </c>
      <c r="B14" s="210">
        <v>45331</v>
      </c>
      <c r="C14" s="211" t="s">
        <v>7466</v>
      </c>
      <c r="D14" s="211" t="s">
        <v>7495</v>
      </c>
      <c r="E14" s="211" t="s">
        <v>7443</v>
      </c>
      <c r="F14" s="211" t="s">
        <v>7484</v>
      </c>
      <c r="G14" s="211" t="s">
        <v>6954</v>
      </c>
      <c r="J14" s="210"/>
      <c r="L14" s="211" t="s">
        <v>7496</v>
      </c>
      <c r="M14" s="212">
        <v>0.41666666666666674</v>
      </c>
      <c r="N14" s="211" t="s">
        <v>7477</v>
      </c>
      <c r="O14" s="211" t="s">
        <v>7478</v>
      </c>
      <c r="Q14" s="211">
        <v>16814</v>
      </c>
      <c r="R14" s="211" t="s">
        <v>7463</v>
      </c>
      <c r="S14" s="211">
        <f>IFERROR(VLOOKUP(E14,'VALORES VIAJES'!$A$2:$B$13,2,FALSE),"")</f>
        <v>210000</v>
      </c>
      <c r="T14" s="211" t="str">
        <f>IFERROR(VLOOKUP(H14,'VALORES VIAJES'!$A$2:$B$24,2,FALSE),"")</f>
        <v/>
      </c>
      <c r="U14" s="211" t="str">
        <f>IFERROR(VLOOKUP(I14,'VALORES VIAJES'!$A$2:$B$24,2,FALSE),"")</f>
        <v/>
      </c>
      <c r="V14" s="211" t="str">
        <f>IFERROR(VLOOKUP(K14,'VALORES VIAJES'!$A$2:$B$24,2,FALSE),"")</f>
        <v/>
      </c>
      <c r="X14" s="207">
        <f>SUM(Hoja1[[#This Row],[$ X TIP VEHICUL]:[AGREGADO]])</f>
        <v>210000</v>
      </c>
    </row>
    <row r="15" spans="1:24" s="224" customFormat="1" ht="15.75" hidden="1" thickBot="1" x14ac:dyDescent="0.3">
      <c r="A15" s="222">
        <v>14</v>
      </c>
      <c r="B15" s="223">
        <v>45331</v>
      </c>
      <c r="C15" s="224" t="s">
        <v>7497</v>
      </c>
      <c r="D15" s="224" t="s">
        <v>7498</v>
      </c>
      <c r="E15" s="224" t="s">
        <v>7443</v>
      </c>
      <c r="F15" s="224" t="s">
        <v>6954</v>
      </c>
      <c r="G15" s="224" t="s">
        <v>7499</v>
      </c>
      <c r="J15" s="223"/>
      <c r="L15" s="224" t="s">
        <v>7500</v>
      </c>
      <c r="M15" s="225">
        <v>0.45833333333333326</v>
      </c>
      <c r="N15" s="224" t="s">
        <v>7477</v>
      </c>
      <c r="O15" s="224" t="s">
        <v>7478</v>
      </c>
      <c r="Q15" s="224">
        <v>14994</v>
      </c>
      <c r="R15" s="224" t="s">
        <v>7463</v>
      </c>
      <c r="S15" s="224">
        <f>IFERROR(VLOOKUP(E15,'VALORES VIAJES'!$A$2:$B$13,2,FALSE),"")</f>
        <v>210000</v>
      </c>
      <c r="T15" s="224" t="str">
        <f>IFERROR(VLOOKUP(H15,'VALORES VIAJES'!$A$2:$B$24,2,FALSE),"")</f>
        <v/>
      </c>
      <c r="U15" s="224" t="str">
        <f>IFERROR(VLOOKUP(I15,'VALORES VIAJES'!$A$2:$B$24,2,FALSE),"")</f>
        <v/>
      </c>
      <c r="V15" s="224" t="str">
        <f>IFERROR(VLOOKUP(K15,'VALORES VIAJES'!$A$2:$B$24,2,FALSE),"")</f>
        <v/>
      </c>
      <c r="X15" s="226">
        <f>SUM(Hoja1[[#This Row],[$ X TIP VEHICUL]:[AGREGADO]])</f>
        <v>210000</v>
      </c>
    </row>
    <row r="16" spans="1:24" s="219" customFormat="1" ht="15.75" hidden="1" thickBot="1" x14ac:dyDescent="0.3">
      <c r="A16" s="217">
        <v>15</v>
      </c>
      <c r="B16" s="218">
        <v>45331</v>
      </c>
      <c r="C16" s="219" t="s">
        <v>7462</v>
      </c>
      <c r="D16" s="219" t="s">
        <v>7501</v>
      </c>
      <c r="E16" s="219" t="s">
        <v>7442</v>
      </c>
      <c r="F16" s="219" t="s">
        <v>7462</v>
      </c>
      <c r="G16" s="219" t="s">
        <v>7501</v>
      </c>
      <c r="J16" s="218"/>
      <c r="L16" s="219" t="s">
        <v>7463</v>
      </c>
      <c r="M16" s="220">
        <v>0.29166666666666674</v>
      </c>
      <c r="N16" s="219" t="s">
        <v>7464</v>
      </c>
      <c r="O16" s="219" t="s">
        <v>7494</v>
      </c>
      <c r="Q16" s="219">
        <v>2200</v>
      </c>
      <c r="R16" s="219" t="s">
        <v>7502</v>
      </c>
      <c r="S16" s="219">
        <f>IFERROR(VLOOKUP(E16,'VALORES VIAJES'!$A$2:$B$13,2,FALSE),"")</f>
        <v>160000</v>
      </c>
      <c r="T16" s="219" t="str">
        <f>IFERROR(VLOOKUP(H16,'VALORES VIAJES'!$A$2:$B$24,2,FALSE),"")</f>
        <v/>
      </c>
      <c r="U16" s="219" t="str">
        <f>IFERROR(VLOOKUP(I16,'VALORES VIAJES'!$A$2:$B$24,2,FALSE),"")</f>
        <v/>
      </c>
      <c r="V16" s="219" t="str">
        <f>IFERROR(VLOOKUP(K16,'VALORES VIAJES'!$A$2:$B$24,2,FALSE),"")</f>
        <v/>
      </c>
      <c r="X16" s="221">
        <f>SUM(Hoja1[[#This Row],[$ X TIP VEHICUL]:[AGREGADO]])</f>
        <v>160000</v>
      </c>
    </row>
    <row r="17" spans="1:24" ht="15.75" hidden="1" thickBot="1" x14ac:dyDescent="0.3">
      <c r="A17">
        <v>16</v>
      </c>
      <c r="B17" s="189">
        <v>45336</v>
      </c>
      <c r="C17" t="s">
        <v>7481</v>
      </c>
      <c r="D17" t="s">
        <v>7481</v>
      </c>
      <c r="E17" t="s">
        <v>7441</v>
      </c>
      <c r="F17" t="s">
        <v>7503</v>
      </c>
      <c r="G17" t="s">
        <v>7482</v>
      </c>
      <c r="J17" s="189"/>
      <c r="L17" t="s">
        <v>7463</v>
      </c>
      <c r="M17" s="205">
        <v>0.33333333333333326</v>
      </c>
      <c r="N17" t="s">
        <v>7504</v>
      </c>
      <c r="O17" t="s">
        <v>7505</v>
      </c>
      <c r="Q17">
        <v>5600</v>
      </c>
      <c r="R17" t="s">
        <v>7506</v>
      </c>
      <c r="S17">
        <f>IFERROR(VLOOKUP(E17,'VALORES VIAJES'!$A$2:$B$13,2,FALSE),"")</f>
        <v>210000</v>
      </c>
      <c r="T17" t="str">
        <f>IFERROR(VLOOKUP(H17,'VALORES VIAJES'!$A$2:$B$24,2,FALSE),"")</f>
        <v/>
      </c>
      <c r="U17" t="str">
        <f>IFERROR(VLOOKUP(I17,'VALORES VIAJES'!$A$2:$B$24,2,FALSE),"")</f>
        <v/>
      </c>
      <c r="V17" t="str">
        <f>IFERROR(VLOOKUP(K17,'VALORES VIAJES'!$A$2:$B$24,2,FALSE),"")</f>
        <v/>
      </c>
      <c r="X17" s="208">
        <f>SUM(Hoja1[[#This Row],[$ X TIP VEHICUL]:[AGREGADO]])</f>
        <v>210000</v>
      </c>
    </row>
    <row r="18" spans="1:24" ht="15.75" hidden="1" thickBot="1" x14ac:dyDescent="0.3">
      <c r="A18">
        <v>17</v>
      </c>
      <c r="B18" s="189">
        <v>45336</v>
      </c>
      <c r="C18" t="s">
        <v>7481</v>
      </c>
      <c r="D18" t="s">
        <v>7481</v>
      </c>
      <c r="E18" t="s">
        <v>7442</v>
      </c>
      <c r="F18" t="s">
        <v>7503</v>
      </c>
      <c r="G18" t="s">
        <v>7482</v>
      </c>
      <c r="J18" s="189"/>
      <c r="L18" t="s">
        <v>7463</v>
      </c>
      <c r="M18" s="205">
        <v>0.5</v>
      </c>
      <c r="N18" t="s">
        <v>7504</v>
      </c>
      <c r="O18" t="s">
        <v>7494</v>
      </c>
      <c r="Q18">
        <v>3200</v>
      </c>
      <c r="R18" t="s">
        <v>7506</v>
      </c>
      <c r="S18">
        <f>IFERROR(VLOOKUP(E18,'VALORES VIAJES'!$A$2:$B$13,2,FALSE),"")</f>
        <v>160000</v>
      </c>
      <c r="T18" t="str">
        <f>IFERROR(VLOOKUP(H18,'VALORES VIAJES'!$A$2:$B$24,2,FALSE),"")</f>
        <v/>
      </c>
      <c r="U18" t="str">
        <f>IFERROR(VLOOKUP(I18,'VALORES VIAJES'!$A$2:$B$24,2,FALSE),"")</f>
        <v/>
      </c>
      <c r="V18" t="str">
        <f>IFERROR(VLOOKUP(K18,'VALORES VIAJES'!$A$2:$B$24,2,FALSE),"")</f>
        <v/>
      </c>
      <c r="X18" s="208">
        <f>SUM(Hoja1[[#This Row],[$ X TIP VEHICUL]:[AGREGADO]])</f>
        <v>160000</v>
      </c>
    </row>
    <row r="19" spans="1:24" ht="15.75" hidden="1" thickBot="1" x14ac:dyDescent="0.3">
      <c r="A19">
        <v>18</v>
      </c>
      <c r="B19" s="189">
        <v>45336</v>
      </c>
      <c r="C19" t="s">
        <v>7461</v>
      </c>
      <c r="D19" t="s">
        <v>6896</v>
      </c>
      <c r="E19" t="s">
        <v>7443</v>
      </c>
      <c r="F19" t="s">
        <v>7484</v>
      </c>
      <c r="G19" t="s">
        <v>6896</v>
      </c>
      <c r="H19" t="s">
        <v>7433</v>
      </c>
      <c r="J19" s="189"/>
      <c r="L19" t="s">
        <v>7507</v>
      </c>
      <c r="M19" s="205">
        <v>0.66666666666666674</v>
      </c>
      <c r="N19" t="s">
        <v>7469</v>
      </c>
      <c r="O19" t="s">
        <v>7470</v>
      </c>
      <c r="Q19">
        <v>11640</v>
      </c>
      <c r="R19">
        <v>50575</v>
      </c>
      <c r="S19">
        <f>IFERROR(VLOOKUP(E19,'VALORES VIAJES'!$A$2:$B$13,2,FALSE),"")</f>
        <v>210000</v>
      </c>
      <c r="T19">
        <f>IFERROR(VLOOKUP(H19,'VALORES VIAJES'!$A$2:$B$24,2,FALSE),"")</f>
        <v>210000</v>
      </c>
      <c r="U19" t="str">
        <f>IFERROR(VLOOKUP(I19,'VALORES VIAJES'!$A$2:$B$24,2,FALSE),"")</f>
        <v/>
      </c>
      <c r="V19" t="str">
        <f>IFERROR(VLOOKUP(K19,'VALORES VIAJES'!$A$2:$B$24,2,FALSE),"")</f>
        <v/>
      </c>
      <c r="X19" s="208">
        <f>SUM(Hoja1[[#This Row],[$ X TIP VEHICUL]:[AGREGADO]])</f>
        <v>420000</v>
      </c>
    </row>
    <row r="20" spans="1:24" ht="15.75" hidden="1" thickBot="1" x14ac:dyDescent="0.3">
      <c r="A20">
        <v>19</v>
      </c>
      <c r="B20" s="189">
        <v>45336</v>
      </c>
      <c r="C20" t="s">
        <v>7461</v>
      </c>
      <c r="D20" t="s">
        <v>6896</v>
      </c>
      <c r="E20" t="s">
        <v>7443</v>
      </c>
      <c r="F20" t="s">
        <v>7484</v>
      </c>
      <c r="G20" t="s">
        <v>6896</v>
      </c>
      <c r="H20" t="s">
        <v>7433</v>
      </c>
      <c r="J20" s="189"/>
      <c r="L20" t="s">
        <v>7508</v>
      </c>
      <c r="M20" s="205">
        <v>0.66666666666666674</v>
      </c>
      <c r="N20" t="s">
        <v>7473</v>
      </c>
      <c r="O20" t="s">
        <v>7474</v>
      </c>
      <c r="Q20">
        <v>11640</v>
      </c>
      <c r="R20">
        <v>50574</v>
      </c>
      <c r="S20">
        <f>IFERROR(VLOOKUP(E20,'VALORES VIAJES'!$A$2:$B$13,2,FALSE),"")</f>
        <v>210000</v>
      </c>
      <c r="T20">
        <f>IFERROR(VLOOKUP(H20,'VALORES VIAJES'!$A$2:$B$24,2,FALSE),"")</f>
        <v>210000</v>
      </c>
      <c r="U20" t="str">
        <f>IFERROR(VLOOKUP(I20,'VALORES VIAJES'!$A$2:$B$24,2,FALSE),"")</f>
        <v/>
      </c>
      <c r="V20" t="str">
        <f>IFERROR(VLOOKUP(K20,'VALORES VIAJES'!$A$2:$B$24,2,FALSE),"")</f>
        <v/>
      </c>
      <c r="X20" s="208">
        <f>SUM(Hoja1[[#This Row],[$ X TIP VEHICUL]:[AGREGADO]])</f>
        <v>420000</v>
      </c>
    </row>
    <row r="21" spans="1:24" ht="15.75" hidden="1" thickBot="1" x14ac:dyDescent="0.3">
      <c r="A21">
        <v>20</v>
      </c>
      <c r="B21" s="189">
        <v>45337</v>
      </c>
      <c r="C21" t="s">
        <v>7461</v>
      </c>
      <c r="D21" t="s">
        <v>6906</v>
      </c>
      <c r="E21" t="s">
        <v>7441</v>
      </c>
      <c r="F21" t="s">
        <v>6954</v>
      </c>
      <c r="G21" t="s">
        <v>6906</v>
      </c>
      <c r="H21" t="s">
        <v>7433</v>
      </c>
      <c r="J21" s="189"/>
      <c r="L21" t="s">
        <v>7463</v>
      </c>
      <c r="M21" s="205">
        <v>0.33333333333333326</v>
      </c>
      <c r="N21" t="s">
        <v>7504</v>
      </c>
      <c r="O21" t="s">
        <v>7505</v>
      </c>
      <c r="Q21">
        <v>12000</v>
      </c>
      <c r="R21">
        <v>51234</v>
      </c>
      <c r="S21">
        <f>IFERROR(VLOOKUP(E21,'VALORES VIAJES'!$A$2:$B$13,2,FALSE),"")</f>
        <v>210000</v>
      </c>
      <c r="T21">
        <f>IFERROR(VLOOKUP(H21,'VALORES VIAJES'!$A$2:$B$24,2,FALSE),"")</f>
        <v>210000</v>
      </c>
      <c r="U21" t="str">
        <f>IFERROR(VLOOKUP(I21,'VALORES VIAJES'!$A$2:$B$24,2,FALSE),"")</f>
        <v/>
      </c>
      <c r="V21" t="str">
        <f>IFERROR(VLOOKUP(K21,'VALORES VIAJES'!$A$2:$B$24,2,FALSE),"")</f>
        <v/>
      </c>
      <c r="X21" s="208">
        <f>SUM(Hoja1[[#This Row],[$ X TIP VEHICUL]:[AGREGADO]])</f>
        <v>420000</v>
      </c>
    </row>
    <row r="22" spans="1:24" ht="15.75" hidden="1" thickBot="1" x14ac:dyDescent="0.3">
      <c r="A22">
        <v>21</v>
      </c>
      <c r="B22" s="189">
        <v>45337</v>
      </c>
      <c r="C22" t="s">
        <v>7461</v>
      </c>
      <c r="D22" t="s">
        <v>6906</v>
      </c>
      <c r="E22" t="s">
        <v>7441</v>
      </c>
      <c r="F22" t="s">
        <v>6954</v>
      </c>
      <c r="G22" t="s">
        <v>6906</v>
      </c>
      <c r="J22" s="189"/>
      <c r="L22" t="s">
        <v>7463</v>
      </c>
      <c r="M22" s="205">
        <v>0.33333333333333326</v>
      </c>
      <c r="N22" t="s">
        <v>7477</v>
      </c>
      <c r="O22" t="s">
        <v>7478</v>
      </c>
      <c r="Q22">
        <v>6400</v>
      </c>
      <c r="R22">
        <v>51233</v>
      </c>
      <c r="S22">
        <f>IFERROR(VLOOKUP(E22,'VALORES VIAJES'!$A$2:$B$13,2,FALSE),"")</f>
        <v>210000</v>
      </c>
      <c r="T22" t="str">
        <f>IFERROR(VLOOKUP(H22,'VALORES VIAJES'!$A$2:$B$24,2,FALSE),"")</f>
        <v/>
      </c>
      <c r="U22" t="str">
        <f>IFERROR(VLOOKUP(I22,'VALORES VIAJES'!$A$2:$B$24,2,FALSE),"")</f>
        <v/>
      </c>
      <c r="V22" t="str">
        <f>IFERROR(VLOOKUP(K22,'VALORES VIAJES'!$A$2:$B$24,2,FALSE),"")</f>
        <v/>
      </c>
      <c r="X22" s="208">
        <f>SUM(Hoja1[[#This Row],[$ X TIP VEHICUL]:[AGREGADO]])</f>
        <v>210000</v>
      </c>
    </row>
    <row r="23" spans="1:24" ht="15.75" hidden="1" thickBot="1" x14ac:dyDescent="0.3">
      <c r="A23">
        <v>22</v>
      </c>
      <c r="B23" s="189">
        <v>45337</v>
      </c>
      <c r="C23" t="s">
        <v>7462</v>
      </c>
      <c r="D23" t="s">
        <v>7509</v>
      </c>
      <c r="E23" t="s">
        <v>7442</v>
      </c>
      <c r="F23" t="s">
        <v>7462</v>
      </c>
      <c r="G23" t="s">
        <v>7510</v>
      </c>
      <c r="J23" s="189"/>
      <c r="L23" t="s">
        <v>7463</v>
      </c>
      <c r="M23" s="205">
        <v>0.29166666666666674</v>
      </c>
      <c r="N23" t="s">
        <v>7511</v>
      </c>
      <c r="O23" t="s">
        <v>7512</v>
      </c>
      <c r="Q23">
        <v>2800</v>
      </c>
      <c r="S23">
        <f>IFERROR(VLOOKUP(E23,'VALORES VIAJES'!$A$2:$B$13,2,FALSE),"")</f>
        <v>160000</v>
      </c>
      <c r="T23" t="str">
        <f>IFERROR(VLOOKUP(H23,'VALORES VIAJES'!$A$2:$B$24,2,FALSE),"")</f>
        <v/>
      </c>
      <c r="U23" t="str">
        <f>IFERROR(VLOOKUP(I23,'VALORES VIAJES'!$A$2:$B$24,2,FALSE),"")</f>
        <v/>
      </c>
      <c r="V23" t="str">
        <f>IFERROR(VLOOKUP(K23,'VALORES VIAJES'!$A$2:$B$24,2,FALSE),"")</f>
        <v/>
      </c>
      <c r="X23" s="208">
        <f>SUM(Hoja1[[#This Row],[$ X TIP VEHICUL]:[AGREGADO]])</f>
        <v>160000</v>
      </c>
    </row>
    <row r="24" spans="1:24" ht="15.75" hidden="1" thickBot="1" x14ac:dyDescent="0.3">
      <c r="A24">
        <v>23</v>
      </c>
      <c r="B24" s="189">
        <v>45337</v>
      </c>
      <c r="C24" t="s">
        <v>7462</v>
      </c>
      <c r="D24" t="s">
        <v>7513</v>
      </c>
      <c r="E24" t="s">
        <v>7442</v>
      </c>
      <c r="F24" t="s">
        <v>7462</v>
      </c>
      <c r="G24" t="s">
        <v>7513</v>
      </c>
      <c r="J24" s="189"/>
      <c r="L24" t="s">
        <v>7463</v>
      </c>
      <c r="M24" s="205">
        <v>0.33333333333333326</v>
      </c>
      <c r="N24" t="s">
        <v>7480</v>
      </c>
      <c r="O24" t="s">
        <v>7494</v>
      </c>
      <c r="Q24">
        <v>2800</v>
      </c>
      <c r="S24">
        <f>IFERROR(VLOOKUP(E24,'VALORES VIAJES'!$A$2:$B$13,2,FALSE),"")</f>
        <v>160000</v>
      </c>
      <c r="T24" t="str">
        <f>IFERROR(VLOOKUP(H24,'VALORES VIAJES'!$A$2:$B$24,2,FALSE),"")</f>
        <v/>
      </c>
      <c r="U24" t="str">
        <f>IFERROR(VLOOKUP(I24,'VALORES VIAJES'!$A$2:$B$24,2,FALSE),"")</f>
        <v/>
      </c>
      <c r="V24" t="str">
        <f>IFERROR(VLOOKUP(K24,'VALORES VIAJES'!$A$2:$B$24,2,FALSE),"")</f>
        <v/>
      </c>
      <c r="X24" s="208">
        <f>SUM(Hoja1[[#This Row],[$ X TIP VEHICUL]:[AGREGADO]])</f>
        <v>160000</v>
      </c>
    </row>
    <row r="25" spans="1:24" ht="15.75" hidden="1" thickBot="1" x14ac:dyDescent="0.3">
      <c r="A25">
        <v>24</v>
      </c>
      <c r="B25" s="189">
        <v>45338</v>
      </c>
      <c r="C25" t="s">
        <v>7481</v>
      </c>
      <c r="D25" t="s">
        <v>7481</v>
      </c>
      <c r="E25" t="s">
        <v>7443</v>
      </c>
      <c r="F25" t="s">
        <v>6945</v>
      </c>
      <c r="G25" t="s">
        <v>7485</v>
      </c>
      <c r="H25" t="s">
        <v>7433</v>
      </c>
      <c r="I25" t="s">
        <v>7436</v>
      </c>
      <c r="J25" s="189">
        <v>45341</v>
      </c>
      <c r="K25" t="s">
        <v>7440</v>
      </c>
      <c r="L25" t="s">
        <v>7514</v>
      </c>
      <c r="M25" s="205">
        <v>0.70833333333333326</v>
      </c>
      <c r="N25" t="s">
        <v>7489</v>
      </c>
      <c r="O25" t="s">
        <v>7490</v>
      </c>
      <c r="Q25">
        <v>23868</v>
      </c>
      <c r="R25">
        <v>18420</v>
      </c>
      <c r="S25">
        <f>IFERROR(VLOOKUP(E25,'VALORES VIAJES'!$A$2:$B$13,2,FALSE),"")</f>
        <v>210000</v>
      </c>
      <c r="T25">
        <f>IFERROR(VLOOKUP(H25,'VALORES VIAJES'!$A$2:$B$24,2,FALSE),"")</f>
        <v>210000</v>
      </c>
      <c r="U25">
        <f>IFERROR(VLOOKUP(I25,'VALORES VIAJES'!$A$2:$B$24,2,FALSE),"")</f>
        <v>210000</v>
      </c>
      <c r="V25">
        <f>IFERROR(VLOOKUP(K25,'VALORES VIAJES'!$A$2:$B$24,2,FALSE),"")</f>
        <v>95000</v>
      </c>
      <c r="X25" s="208">
        <f>SUM(Hoja1[[#This Row],[$ X TIP VEHICUL]:[AGREGADO]])</f>
        <v>725000</v>
      </c>
    </row>
    <row r="26" spans="1:24" ht="15.75" hidden="1" thickBot="1" x14ac:dyDescent="0.3">
      <c r="A26">
        <v>25</v>
      </c>
      <c r="B26" s="189">
        <v>45338</v>
      </c>
      <c r="C26" t="s">
        <v>7481</v>
      </c>
      <c r="D26" t="s">
        <v>7481</v>
      </c>
      <c r="E26" t="s">
        <v>7443</v>
      </c>
      <c r="F26" t="s">
        <v>6945</v>
      </c>
      <c r="G26" t="s">
        <v>7485</v>
      </c>
      <c r="H26" t="s">
        <v>7433</v>
      </c>
      <c r="I26" t="s">
        <v>7437</v>
      </c>
      <c r="J26" s="189">
        <v>45342</v>
      </c>
      <c r="K26" t="s">
        <v>7440</v>
      </c>
      <c r="L26" t="s">
        <v>7515</v>
      </c>
      <c r="M26" s="205">
        <v>0.70833333333333326</v>
      </c>
      <c r="N26" t="s">
        <v>7477</v>
      </c>
      <c r="O26" t="s">
        <v>7478</v>
      </c>
      <c r="Q26">
        <v>23868</v>
      </c>
      <c r="R26">
        <v>18421</v>
      </c>
      <c r="S26">
        <f>IFERROR(VLOOKUP(E26,'VALORES VIAJES'!$A$2:$B$13,2,FALSE),"")</f>
        <v>210000</v>
      </c>
      <c r="T26">
        <f>IFERROR(VLOOKUP(H26,'VALORES VIAJES'!$A$2:$B$24,2,FALSE),"")</f>
        <v>210000</v>
      </c>
      <c r="U26">
        <f>IFERROR(VLOOKUP(I26,'VALORES VIAJES'!$A$2:$B$24,2,FALSE),"")</f>
        <v>420000</v>
      </c>
      <c r="V26">
        <f>IFERROR(VLOOKUP(K26,'VALORES VIAJES'!$A$2:$B$24,2,FALSE),"")</f>
        <v>95000</v>
      </c>
      <c r="X26" s="208">
        <f>SUM(Hoja1[[#This Row],[$ X TIP VEHICUL]:[AGREGADO]])</f>
        <v>935000</v>
      </c>
    </row>
    <row r="27" spans="1:24" ht="15.75" hidden="1" thickBot="1" x14ac:dyDescent="0.3">
      <c r="A27">
        <v>26</v>
      </c>
      <c r="B27" s="189">
        <v>45338</v>
      </c>
      <c r="C27" t="s">
        <v>7481</v>
      </c>
      <c r="D27" t="s">
        <v>7481</v>
      </c>
      <c r="E27" t="s">
        <v>7443</v>
      </c>
      <c r="F27" t="s">
        <v>6945</v>
      </c>
      <c r="G27" t="s">
        <v>7485</v>
      </c>
      <c r="H27" t="s">
        <v>7433</v>
      </c>
      <c r="I27" t="s">
        <v>7438</v>
      </c>
      <c r="J27" s="189">
        <v>45343</v>
      </c>
      <c r="K27" t="s">
        <v>7440</v>
      </c>
      <c r="L27" t="s">
        <v>7516</v>
      </c>
      <c r="M27" s="205">
        <v>0.70833333333333326</v>
      </c>
      <c r="N27" t="s">
        <v>7504</v>
      </c>
      <c r="O27" t="s">
        <v>7505</v>
      </c>
      <c r="Q27">
        <v>23868</v>
      </c>
      <c r="R27">
        <v>18422</v>
      </c>
      <c r="S27">
        <f>IFERROR(VLOOKUP(E27,'VALORES VIAJES'!$A$2:$B$13,2,FALSE),"")</f>
        <v>210000</v>
      </c>
      <c r="T27">
        <f>IFERROR(VLOOKUP(H27,'VALORES VIAJES'!$A$2:$B$24,2,FALSE),"")</f>
        <v>210000</v>
      </c>
      <c r="U27">
        <f>IFERROR(VLOOKUP(I27,'VALORES VIAJES'!$A$2:$B$24,2,FALSE),"")</f>
        <v>630000</v>
      </c>
      <c r="V27">
        <f>IFERROR(VLOOKUP(K27,'VALORES VIAJES'!$A$2:$B$24,2,FALSE),"")</f>
        <v>95000</v>
      </c>
      <c r="X27" s="208">
        <f>SUM(Hoja1[[#This Row],[$ X TIP VEHICUL]:[AGREGADO]])</f>
        <v>1145000</v>
      </c>
    </row>
    <row r="28" spans="1:24" ht="15.75" hidden="1" thickBot="1" x14ac:dyDescent="0.3">
      <c r="A28">
        <v>27</v>
      </c>
      <c r="B28" s="189">
        <v>45338</v>
      </c>
      <c r="C28" t="s">
        <v>7481</v>
      </c>
      <c r="D28" t="s">
        <v>7481</v>
      </c>
      <c r="E28" t="s">
        <v>7443</v>
      </c>
      <c r="F28" t="s">
        <v>6945</v>
      </c>
      <c r="G28" t="s">
        <v>7485</v>
      </c>
      <c r="H28" t="s">
        <v>7433</v>
      </c>
      <c r="I28" t="s">
        <v>7438</v>
      </c>
      <c r="J28" s="189">
        <v>45343</v>
      </c>
      <c r="K28" t="s">
        <v>7440</v>
      </c>
      <c r="L28" t="s">
        <v>7517</v>
      </c>
      <c r="M28" s="205">
        <v>0.70833333333333326</v>
      </c>
      <c r="N28" t="s">
        <v>7469</v>
      </c>
      <c r="O28" t="s">
        <v>7470</v>
      </c>
      <c r="Q28">
        <v>23868</v>
      </c>
      <c r="R28">
        <v>18423</v>
      </c>
      <c r="S28">
        <f>IFERROR(VLOOKUP(E28,'VALORES VIAJES'!$A$2:$B$13,2,FALSE),"")</f>
        <v>210000</v>
      </c>
      <c r="T28">
        <f>IFERROR(VLOOKUP(H28,'VALORES VIAJES'!$A$2:$B$24,2,FALSE),"")</f>
        <v>210000</v>
      </c>
      <c r="U28">
        <f>IFERROR(VLOOKUP(I28,'VALORES VIAJES'!$A$2:$B$24,2,FALSE),"")</f>
        <v>630000</v>
      </c>
      <c r="V28">
        <f>IFERROR(VLOOKUP(K28,'VALORES VIAJES'!$A$2:$B$24,2,FALSE),"")</f>
        <v>95000</v>
      </c>
      <c r="X28" s="208">
        <f>SUM(Hoja1[[#This Row],[$ X TIP VEHICUL]:[AGREGADO]])</f>
        <v>1145000</v>
      </c>
    </row>
    <row r="29" spans="1:24" ht="15.75" hidden="1" thickBot="1" x14ac:dyDescent="0.3">
      <c r="A29">
        <v>28</v>
      </c>
      <c r="B29" s="189">
        <v>45338</v>
      </c>
      <c r="C29" t="s">
        <v>7481</v>
      </c>
      <c r="D29" t="s">
        <v>7481</v>
      </c>
      <c r="E29" t="s">
        <v>7443</v>
      </c>
      <c r="F29" t="s">
        <v>6945</v>
      </c>
      <c r="G29" t="s">
        <v>7485</v>
      </c>
      <c r="H29" t="s">
        <v>7433</v>
      </c>
      <c r="I29" t="s">
        <v>7438</v>
      </c>
      <c r="J29" s="189">
        <v>45343</v>
      </c>
      <c r="K29" t="s">
        <v>7440</v>
      </c>
      <c r="L29" t="s">
        <v>7518</v>
      </c>
      <c r="M29" s="205">
        <v>0.70833333333333326</v>
      </c>
      <c r="N29" t="s">
        <v>7473</v>
      </c>
      <c r="O29" t="s">
        <v>7474</v>
      </c>
      <c r="P29" t="s">
        <v>7519</v>
      </c>
      <c r="Q29">
        <v>23868</v>
      </c>
      <c r="R29">
        <v>18424</v>
      </c>
      <c r="S29">
        <f>IFERROR(VLOOKUP(E29,'VALORES VIAJES'!$A$2:$B$13,2,FALSE),"")</f>
        <v>210000</v>
      </c>
      <c r="T29">
        <f>IFERROR(VLOOKUP(H29,'VALORES VIAJES'!$A$2:$B$24,2,FALSE),"")</f>
        <v>210000</v>
      </c>
      <c r="U29">
        <f>IFERROR(VLOOKUP(I29,'VALORES VIAJES'!$A$2:$B$24,2,FALSE),"")</f>
        <v>630000</v>
      </c>
      <c r="V29">
        <f>IFERROR(VLOOKUP(K29,'VALORES VIAJES'!$A$2:$B$24,2,FALSE),"")</f>
        <v>95000</v>
      </c>
      <c r="X29" s="208">
        <f>SUM(Hoja1[[#This Row],[$ X TIP VEHICUL]:[AGREGADO]])</f>
        <v>1145000</v>
      </c>
    </row>
    <row r="30" spans="1:24" ht="15.75" hidden="1" thickBot="1" x14ac:dyDescent="0.3">
      <c r="A30">
        <v>29</v>
      </c>
      <c r="B30" s="189">
        <v>45338</v>
      </c>
      <c r="C30" t="s">
        <v>7462</v>
      </c>
      <c r="D30" t="s">
        <v>5141</v>
      </c>
      <c r="E30" t="s">
        <v>7441</v>
      </c>
      <c r="F30" t="s">
        <v>7462</v>
      </c>
      <c r="G30" t="s">
        <v>5141</v>
      </c>
      <c r="J30" s="189"/>
      <c r="L30" t="s">
        <v>7463</v>
      </c>
      <c r="M30" s="205">
        <v>0.29166666666666674</v>
      </c>
      <c r="N30" t="s">
        <v>7469</v>
      </c>
      <c r="O30" t="s">
        <v>7470</v>
      </c>
      <c r="Q30">
        <v>3600</v>
      </c>
      <c r="S30">
        <f>IFERROR(VLOOKUP(E30,'VALORES VIAJES'!$A$2:$B$13,2,FALSE),"")</f>
        <v>210000</v>
      </c>
      <c r="T30" t="str">
        <f>IFERROR(VLOOKUP(H30,'VALORES VIAJES'!$A$2:$B$24,2,FALSE),"")</f>
        <v/>
      </c>
      <c r="U30" t="str">
        <f>IFERROR(VLOOKUP(I30,'VALORES VIAJES'!$A$2:$B$24,2,FALSE),"")</f>
        <v/>
      </c>
      <c r="V30" t="str">
        <f>IFERROR(VLOOKUP(K30,'VALORES VIAJES'!$A$2:$B$24,2,FALSE),"")</f>
        <v/>
      </c>
      <c r="X30" s="208">
        <f>SUM(Hoja1[[#This Row],[$ X TIP VEHICUL]:[AGREGADO]])</f>
        <v>210000</v>
      </c>
    </row>
    <row r="31" spans="1:24" ht="15.75" hidden="1" thickBot="1" x14ac:dyDescent="0.3">
      <c r="A31">
        <v>30</v>
      </c>
      <c r="B31" s="189">
        <v>45338</v>
      </c>
      <c r="C31" t="s">
        <v>7462</v>
      </c>
      <c r="D31" t="s">
        <v>5141</v>
      </c>
      <c r="E31" t="s">
        <v>7441</v>
      </c>
      <c r="F31" t="s">
        <v>7462</v>
      </c>
      <c r="G31" t="s">
        <v>5141</v>
      </c>
      <c r="J31" s="189"/>
      <c r="L31" t="s">
        <v>7463</v>
      </c>
      <c r="M31" s="205">
        <v>0.29166666666666674</v>
      </c>
      <c r="N31" t="s">
        <v>7473</v>
      </c>
      <c r="O31" t="s">
        <v>7474</v>
      </c>
      <c r="Q31">
        <v>3600</v>
      </c>
      <c r="S31">
        <f>IFERROR(VLOOKUP(E31,'VALORES VIAJES'!$A$2:$B$13,2,FALSE),"")</f>
        <v>210000</v>
      </c>
      <c r="T31" t="str">
        <f>IFERROR(VLOOKUP(H31,'VALORES VIAJES'!$A$2:$B$24,2,FALSE),"")</f>
        <v/>
      </c>
      <c r="U31" t="str">
        <f>IFERROR(VLOOKUP(I31,'VALORES VIAJES'!$A$2:$B$24,2,FALSE),"")</f>
        <v/>
      </c>
      <c r="V31" t="str">
        <f>IFERROR(VLOOKUP(K31,'VALORES VIAJES'!$A$2:$B$24,2,FALSE),"")</f>
        <v/>
      </c>
      <c r="X31" s="208">
        <f>SUM(Hoja1[[#This Row],[$ X TIP VEHICUL]:[AGREGADO]])</f>
        <v>210000</v>
      </c>
    </row>
    <row r="32" spans="1:24" s="211" customFormat="1" ht="15.75" hidden="1" thickBot="1" x14ac:dyDescent="0.3">
      <c r="A32" s="209">
        <v>31</v>
      </c>
      <c r="B32" s="210">
        <v>45338</v>
      </c>
      <c r="C32" s="211" t="s">
        <v>7466</v>
      </c>
      <c r="D32" s="211" t="s">
        <v>7520</v>
      </c>
      <c r="E32" s="211" t="s">
        <v>7443</v>
      </c>
      <c r="F32" s="211" t="s">
        <v>6945</v>
      </c>
      <c r="G32" s="211" t="s">
        <v>6954</v>
      </c>
      <c r="J32" s="210"/>
      <c r="L32" s="211" t="s">
        <v>7521</v>
      </c>
      <c r="M32" s="212">
        <v>0.45833333333333326</v>
      </c>
      <c r="N32" s="211" t="s">
        <v>7489</v>
      </c>
      <c r="O32" s="211" t="s">
        <v>7490</v>
      </c>
      <c r="Q32" s="211">
        <v>23454</v>
      </c>
      <c r="R32" s="211" t="s">
        <v>7463</v>
      </c>
      <c r="S32" s="211">
        <f>IFERROR(VLOOKUP(E32,'VALORES VIAJES'!$A$2:$B$13,2,FALSE),"")</f>
        <v>210000</v>
      </c>
      <c r="T32" s="211" t="str">
        <f>IFERROR(VLOOKUP(H32,'VALORES VIAJES'!$A$2:$B$24,2,FALSE),"")</f>
        <v/>
      </c>
      <c r="U32" s="211" t="str">
        <f>IFERROR(VLOOKUP(I32,'VALORES VIAJES'!$A$2:$B$24,2,FALSE),"")</f>
        <v/>
      </c>
      <c r="V32" s="211" t="str">
        <f>IFERROR(VLOOKUP(K32,'VALORES VIAJES'!$A$2:$B$24,2,FALSE),"")</f>
        <v/>
      </c>
      <c r="X32" s="207">
        <f>SUM(Hoja1[[#This Row],[$ X TIP VEHICUL]:[AGREGADO]])</f>
        <v>210000</v>
      </c>
    </row>
    <row r="33" spans="1:24" s="219" customFormat="1" ht="15.75" hidden="1" thickBot="1" x14ac:dyDescent="0.3">
      <c r="A33" s="217">
        <v>32</v>
      </c>
      <c r="B33" s="218">
        <v>45338</v>
      </c>
      <c r="C33" s="219" t="s">
        <v>7466</v>
      </c>
      <c r="D33" s="219" t="s">
        <v>7520</v>
      </c>
      <c r="E33" s="219" t="s">
        <v>7443</v>
      </c>
      <c r="F33" s="219" t="s">
        <v>6945</v>
      </c>
      <c r="G33" s="219" t="s">
        <v>6954</v>
      </c>
      <c r="J33" s="218"/>
      <c r="L33" s="219" t="s">
        <v>7522</v>
      </c>
      <c r="M33" s="220">
        <v>0.45833333333333326</v>
      </c>
      <c r="N33" s="219" t="s">
        <v>7477</v>
      </c>
      <c r="O33" s="219" t="s">
        <v>7478</v>
      </c>
      <c r="Q33" s="219">
        <v>23454</v>
      </c>
      <c r="R33" s="219" t="s">
        <v>7463</v>
      </c>
      <c r="S33" s="219">
        <f>IFERROR(VLOOKUP(E33,'VALORES VIAJES'!$A$2:$B$13,2,FALSE),"")</f>
        <v>210000</v>
      </c>
      <c r="T33" s="219" t="str">
        <f>IFERROR(VLOOKUP(H33,'VALORES VIAJES'!$A$2:$B$24,2,FALSE),"")</f>
        <v/>
      </c>
      <c r="U33" s="219" t="str">
        <f>IFERROR(VLOOKUP(I33,'VALORES VIAJES'!$A$2:$B$24,2,FALSE),"")</f>
        <v/>
      </c>
      <c r="V33" s="219" t="str">
        <f>IFERROR(VLOOKUP(K33,'VALORES VIAJES'!$A$2:$B$24,2,FALSE),"")</f>
        <v/>
      </c>
      <c r="X33" s="221">
        <f>SUM(Hoja1[[#This Row],[$ X TIP VEHICUL]:[AGREGADO]])</f>
        <v>210000</v>
      </c>
    </row>
    <row r="34" spans="1:24" ht="15.75" hidden="1" thickBot="1" x14ac:dyDescent="0.3">
      <c r="A34">
        <v>33</v>
      </c>
      <c r="B34" s="189">
        <v>45338</v>
      </c>
      <c r="C34" t="s">
        <v>7462</v>
      </c>
      <c r="D34" t="s">
        <v>7509</v>
      </c>
      <c r="E34" t="s">
        <v>7442</v>
      </c>
      <c r="F34" t="s">
        <v>7462</v>
      </c>
      <c r="G34" t="s">
        <v>7509</v>
      </c>
      <c r="J34" s="189"/>
      <c r="L34" t="s">
        <v>7463</v>
      </c>
      <c r="M34" s="205">
        <v>0.29166666666666674</v>
      </c>
      <c r="N34" t="s">
        <v>7511</v>
      </c>
      <c r="O34" t="s">
        <v>7512</v>
      </c>
      <c r="P34" t="s">
        <v>7523</v>
      </c>
      <c r="Q34">
        <v>2200</v>
      </c>
      <c r="S34">
        <f>IFERROR(VLOOKUP(E34,'VALORES VIAJES'!$A$2:$B$13,2,FALSE),"")</f>
        <v>160000</v>
      </c>
      <c r="T34" t="str">
        <f>IFERROR(VLOOKUP(H34,'VALORES VIAJES'!$A$2:$B$24,2,FALSE),"")</f>
        <v/>
      </c>
      <c r="U34" t="str">
        <f>IFERROR(VLOOKUP(I34,'VALORES VIAJES'!$A$2:$B$24,2,FALSE),"")</f>
        <v/>
      </c>
      <c r="V34" t="str">
        <f>IFERROR(VLOOKUP(K34,'VALORES VIAJES'!$A$2:$B$24,2,FALSE),"")</f>
        <v/>
      </c>
      <c r="X34" s="208">
        <f>SUM(Hoja1[[#This Row],[$ X TIP VEHICUL]:[AGREGADO]])</f>
        <v>160000</v>
      </c>
    </row>
    <row r="35" spans="1:24" ht="15.75" hidden="1" thickBot="1" x14ac:dyDescent="0.3">
      <c r="A35">
        <v>34</v>
      </c>
      <c r="B35" s="189">
        <v>45339</v>
      </c>
      <c r="C35" t="s">
        <v>7481</v>
      </c>
      <c r="D35" t="s">
        <v>7481</v>
      </c>
      <c r="E35" t="s">
        <v>7443</v>
      </c>
      <c r="F35" t="s">
        <v>7467</v>
      </c>
      <c r="G35" t="s">
        <v>7482</v>
      </c>
      <c r="H35" t="s">
        <v>7433</v>
      </c>
      <c r="I35" t="s">
        <v>7436</v>
      </c>
      <c r="J35" s="189">
        <v>45341</v>
      </c>
      <c r="L35" t="s">
        <v>7524</v>
      </c>
      <c r="M35" s="205">
        <v>0.45833333333333326</v>
      </c>
      <c r="N35" t="s">
        <v>7473</v>
      </c>
      <c r="O35" t="s">
        <v>7474</v>
      </c>
      <c r="Q35">
        <v>21167</v>
      </c>
      <c r="R35">
        <v>18419</v>
      </c>
      <c r="S35">
        <f>IFERROR(VLOOKUP(E35,'VALORES VIAJES'!$A$2:$B$13,2,FALSE),"")</f>
        <v>210000</v>
      </c>
      <c r="T35">
        <f>IFERROR(VLOOKUP(H35,'VALORES VIAJES'!$A$2:$B$24,2,FALSE),"")</f>
        <v>210000</v>
      </c>
      <c r="U35">
        <f>IFERROR(VLOOKUP(I35,'VALORES VIAJES'!$A$2:$B$24,2,FALSE),"")</f>
        <v>210000</v>
      </c>
      <c r="V35" t="str">
        <f>IFERROR(VLOOKUP(K35,'VALORES VIAJES'!$A$2:$B$24,2,FALSE),"")</f>
        <v/>
      </c>
      <c r="X35" s="208">
        <f>SUM(Hoja1[[#This Row],[$ X TIP VEHICUL]:[AGREGADO]])</f>
        <v>630000</v>
      </c>
    </row>
    <row r="36" spans="1:24" s="211" customFormat="1" ht="15.75" hidden="1" thickBot="1" x14ac:dyDescent="0.3">
      <c r="A36" s="209">
        <v>35</v>
      </c>
      <c r="B36" s="210">
        <v>45341</v>
      </c>
      <c r="C36" s="211" t="s">
        <v>7461</v>
      </c>
      <c r="D36" s="211" t="s">
        <v>6906</v>
      </c>
      <c r="E36" s="211" t="s">
        <v>7441</v>
      </c>
      <c r="F36" s="211" t="s">
        <v>6954</v>
      </c>
      <c r="G36" s="211" t="s">
        <v>6906</v>
      </c>
      <c r="J36" s="210"/>
      <c r="L36" s="211" t="s">
        <v>7463</v>
      </c>
      <c r="M36" s="212">
        <v>0.33333333333333326</v>
      </c>
      <c r="N36" s="211" t="s">
        <v>7504</v>
      </c>
      <c r="O36" s="211" t="s">
        <v>7505</v>
      </c>
      <c r="Q36" s="211">
        <v>6400</v>
      </c>
      <c r="R36" s="211">
        <v>51246</v>
      </c>
      <c r="S36" s="211">
        <f>IFERROR(VLOOKUP(E36,'VALORES VIAJES'!$A$2:$B$13,2,FALSE),"")</f>
        <v>210000</v>
      </c>
      <c r="T36" s="211" t="str">
        <f>IFERROR(VLOOKUP(H36,'VALORES VIAJES'!$A$2:$B$24,2,FALSE),"")</f>
        <v/>
      </c>
      <c r="U36" s="211" t="str">
        <f>IFERROR(VLOOKUP(I36,'VALORES VIAJES'!$A$2:$B$24,2,FALSE),"")</f>
        <v/>
      </c>
      <c r="V36" s="211" t="str">
        <f>IFERROR(VLOOKUP(K36,'VALORES VIAJES'!$A$2:$B$24,2,FALSE),"")</f>
        <v/>
      </c>
      <c r="X36" s="207">
        <f>SUM(Hoja1[[#This Row],[$ X TIP VEHICUL]:[AGREGADO]])</f>
        <v>210000</v>
      </c>
    </row>
    <row r="37" spans="1:24" s="215" customFormat="1" ht="15.75" hidden="1" thickBot="1" x14ac:dyDescent="0.3">
      <c r="A37" s="213">
        <v>36</v>
      </c>
      <c r="B37" s="214">
        <v>45341</v>
      </c>
      <c r="C37" s="215" t="s">
        <v>7461</v>
      </c>
      <c r="D37" s="215" t="s">
        <v>6906</v>
      </c>
      <c r="E37" s="215" t="s">
        <v>7441</v>
      </c>
      <c r="F37" s="215" t="s">
        <v>6954</v>
      </c>
      <c r="G37" s="215" t="s">
        <v>6906</v>
      </c>
      <c r="J37" s="214"/>
      <c r="L37" s="215" t="s">
        <v>7463</v>
      </c>
      <c r="M37" s="216">
        <v>0.33333333333333326</v>
      </c>
      <c r="N37" s="215" t="s">
        <v>7469</v>
      </c>
      <c r="O37" s="215" t="s">
        <v>7470</v>
      </c>
      <c r="Q37" s="215">
        <v>6400</v>
      </c>
      <c r="R37" s="215">
        <v>51247</v>
      </c>
      <c r="S37" s="215">
        <f>IFERROR(VLOOKUP(E37,'VALORES VIAJES'!$A$2:$B$13,2,FALSE),"")</f>
        <v>210000</v>
      </c>
      <c r="T37" s="215" t="str">
        <f>IFERROR(VLOOKUP(H37,'VALORES VIAJES'!$A$2:$B$24,2,FALSE),"")</f>
        <v/>
      </c>
      <c r="U37" s="215" t="str">
        <f>IFERROR(VLOOKUP(I37,'VALORES VIAJES'!$A$2:$B$24,2,FALSE),"")</f>
        <v/>
      </c>
      <c r="V37" s="215" t="str">
        <f>IFERROR(VLOOKUP(K37,'VALORES VIAJES'!$A$2:$B$24,2,FALSE),"")</f>
        <v/>
      </c>
      <c r="X37" s="208">
        <f>SUM(Hoja1[[#This Row],[$ X TIP VEHICUL]:[AGREGADO]])</f>
        <v>210000</v>
      </c>
    </row>
    <row r="38" spans="1:24" s="219" customFormat="1" ht="15.75" hidden="1" thickBot="1" x14ac:dyDescent="0.3">
      <c r="A38" s="217">
        <v>37</v>
      </c>
      <c r="B38" s="218">
        <v>45341</v>
      </c>
      <c r="C38" s="219" t="s">
        <v>7466</v>
      </c>
      <c r="D38" s="219" t="s">
        <v>7525</v>
      </c>
      <c r="E38" s="219" t="s">
        <v>7443</v>
      </c>
      <c r="F38" s="219" t="s">
        <v>6945</v>
      </c>
      <c r="G38" s="219" t="s">
        <v>6954</v>
      </c>
      <c r="J38" s="218"/>
      <c r="L38" s="219" t="s">
        <v>7526</v>
      </c>
      <c r="M38" s="220">
        <v>0.54166666666666674</v>
      </c>
      <c r="N38" s="219" t="s">
        <v>7477</v>
      </c>
      <c r="O38" s="219" t="s">
        <v>7478</v>
      </c>
      <c r="Q38" s="219">
        <v>23454</v>
      </c>
      <c r="R38" s="219" t="s">
        <v>7463</v>
      </c>
      <c r="S38" s="219">
        <f>IFERROR(VLOOKUP(E38,'VALORES VIAJES'!$A$2:$B$13,2,FALSE),"")</f>
        <v>210000</v>
      </c>
      <c r="T38" s="219" t="str">
        <f>IFERROR(VLOOKUP(H38,'VALORES VIAJES'!$A$2:$B$24,2,FALSE),"")</f>
        <v/>
      </c>
      <c r="U38" s="219" t="str">
        <f>IFERROR(VLOOKUP(I38,'VALORES VIAJES'!$A$2:$B$24,2,FALSE),"")</f>
        <v/>
      </c>
      <c r="V38" s="219" t="str">
        <f>IFERROR(VLOOKUP(K38,'VALORES VIAJES'!$A$2:$B$24,2,FALSE),"")</f>
        <v/>
      </c>
      <c r="X38" s="221">
        <f>SUM(Hoja1[[#This Row],[$ X TIP VEHICUL]:[AGREGADO]])</f>
        <v>210000</v>
      </c>
    </row>
    <row r="39" spans="1:24" ht="15.75" hidden="1" thickBot="1" x14ac:dyDescent="0.3">
      <c r="A39">
        <v>38</v>
      </c>
      <c r="B39" s="189">
        <v>45341</v>
      </c>
      <c r="C39" t="s">
        <v>7462</v>
      </c>
      <c r="D39" t="s">
        <v>3982</v>
      </c>
      <c r="E39" t="s">
        <v>7442</v>
      </c>
      <c r="F39" t="s">
        <v>7462</v>
      </c>
      <c r="G39" t="s">
        <v>3982</v>
      </c>
      <c r="J39" s="189"/>
      <c r="L39" t="s">
        <v>7463</v>
      </c>
      <c r="M39" s="205">
        <v>0.29166666666666674</v>
      </c>
      <c r="N39" t="s">
        <v>7480</v>
      </c>
      <c r="O39" t="s">
        <v>7494</v>
      </c>
      <c r="Q39">
        <v>3200</v>
      </c>
      <c r="S39">
        <f>IFERROR(VLOOKUP(E39,'VALORES VIAJES'!$A$2:$B$13,2,FALSE),"")</f>
        <v>160000</v>
      </c>
      <c r="T39" t="str">
        <f>IFERROR(VLOOKUP(H39,'VALORES VIAJES'!$A$2:$B$24,2,FALSE),"")</f>
        <v/>
      </c>
      <c r="U39" t="str">
        <f>IFERROR(VLOOKUP(I39,'VALORES VIAJES'!$A$2:$B$24,2,FALSE),"")</f>
        <v/>
      </c>
      <c r="V39" t="str">
        <f>IFERROR(VLOOKUP(K39,'VALORES VIAJES'!$A$2:$B$24,2,FALSE),"")</f>
        <v/>
      </c>
      <c r="X39" s="208">
        <f>SUM(Hoja1[[#This Row],[$ X TIP VEHICUL]:[AGREGADO]])</f>
        <v>160000</v>
      </c>
    </row>
    <row r="40" spans="1:24" ht="15.75" hidden="1" thickBot="1" x14ac:dyDescent="0.3">
      <c r="A40">
        <v>39</v>
      </c>
      <c r="B40" s="189">
        <v>45341</v>
      </c>
      <c r="C40" t="s">
        <v>7462</v>
      </c>
      <c r="D40" t="s">
        <v>7509</v>
      </c>
      <c r="E40" t="s">
        <v>7442</v>
      </c>
      <c r="F40" t="s">
        <v>7462</v>
      </c>
      <c r="G40" t="s">
        <v>7509</v>
      </c>
      <c r="J40" s="189"/>
      <c r="L40" t="s">
        <v>7463</v>
      </c>
      <c r="M40" s="205">
        <v>0.29166666666666674</v>
      </c>
      <c r="N40" t="s">
        <v>7511</v>
      </c>
      <c r="O40" t="s">
        <v>7512</v>
      </c>
      <c r="S40">
        <f>IFERROR(VLOOKUP(E40,'VALORES VIAJES'!$A$2:$B$13,2,FALSE),"")</f>
        <v>160000</v>
      </c>
      <c r="T40" t="str">
        <f>IFERROR(VLOOKUP(H40,'VALORES VIAJES'!$A$2:$B$24,2,FALSE),"")</f>
        <v/>
      </c>
      <c r="U40" t="str">
        <f>IFERROR(VLOOKUP(I40,'VALORES VIAJES'!$A$2:$B$24,2,FALSE),"")</f>
        <v/>
      </c>
      <c r="V40" t="str">
        <f>IFERROR(VLOOKUP(K40,'VALORES VIAJES'!$A$2:$B$24,2,FALSE),"")</f>
        <v/>
      </c>
      <c r="X40" s="208">
        <f>SUM(Hoja1[[#This Row],[$ X TIP VEHICUL]:[AGREGADO]])</f>
        <v>160000</v>
      </c>
    </row>
    <row r="41" spans="1:24" ht="15.75" hidden="1" thickBot="1" x14ac:dyDescent="0.3">
      <c r="A41">
        <v>40</v>
      </c>
      <c r="B41" s="189">
        <v>45341</v>
      </c>
      <c r="C41" t="s">
        <v>7462</v>
      </c>
      <c r="D41" t="s">
        <v>7509</v>
      </c>
      <c r="E41" t="s">
        <v>7442</v>
      </c>
      <c r="F41" t="s">
        <v>7462</v>
      </c>
      <c r="G41" t="s">
        <v>7509</v>
      </c>
      <c r="J41" s="189"/>
      <c r="L41" t="s">
        <v>7463</v>
      </c>
      <c r="M41" s="205">
        <v>0.45833333333333326</v>
      </c>
      <c r="N41" t="s">
        <v>7480</v>
      </c>
      <c r="O41" t="s">
        <v>7494</v>
      </c>
      <c r="S41">
        <f>IFERROR(VLOOKUP(E41,'VALORES VIAJES'!$A$2:$B$13,2,FALSE),"")</f>
        <v>160000</v>
      </c>
      <c r="T41" t="str">
        <f>IFERROR(VLOOKUP(H41,'VALORES VIAJES'!$A$2:$B$24,2,FALSE),"")</f>
        <v/>
      </c>
      <c r="U41" t="str">
        <f>IFERROR(VLOOKUP(I41,'VALORES VIAJES'!$A$2:$B$24,2,FALSE),"")</f>
        <v/>
      </c>
      <c r="V41" t="str">
        <f>IFERROR(VLOOKUP(K41,'VALORES VIAJES'!$A$2:$B$24,2,FALSE),"")</f>
        <v/>
      </c>
      <c r="X41" s="208">
        <f>SUM(Hoja1[[#This Row],[$ X TIP VEHICUL]:[AGREGADO]])</f>
        <v>160000</v>
      </c>
    </row>
    <row r="42" spans="1:24" s="211" customFormat="1" ht="15.75" hidden="1" thickBot="1" x14ac:dyDescent="0.3">
      <c r="A42" s="209">
        <v>41</v>
      </c>
      <c r="B42" s="210">
        <v>45342</v>
      </c>
      <c r="C42" s="211" t="s">
        <v>7461</v>
      </c>
      <c r="D42" s="211" t="s">
        <v>7495</v>
      </c>
      <c r="E42" s="211" t="s">
        <v>7441</v>
      </c>
      <c r="F42" s="211" t="s">
        <v>6954</v>
      </c>
      <c r="G42" s="211" t="s">
        <v>7495</v>
      </c>
      <c r="J42" s="210"/>
      <c r="L42" s="211" t="s">
        <v>7463</v>
      </c>
      <c r="M42" s="212">
        <v>0.33333333333333326</v>
      </c>
      <c r="N42" s="211" t="s">
        <v>7469</v>
      </c>
      <c r="O42" s="211" t="s">
        <v>7470</v>
      </c>
      <c r="Q42" s="211">
        <v>13927</v>
      </c>
      <c r="R42" s="211">
        <v>51249</v>
      </c>
      <c r="S42" s="211">
        <f>IFERROR(VLOOKUP(E42,'VALORES VIAJES'!$A$2:$B$13,2,FALSE),"")</f>
        <v>210000</v>
      </c>
      <c r="T42" s="211" t="str">
        <f>IFERROR(VLOOKUP(H42,'VALORES VIAJES'!$A$2:$B$24,2,FALSE),"")</f>
        <v/>
      </c>
      <c r="U42" s="211" t="str">
        <f>IFERROR(VLOOKUP(I42,'VALORES VIAJES'!$A$2:$B$24,2,FALSE),"")</f>
        <v/>
      </c>
      <c r="V42" s="211" t="str">
        <f>IFERROR(VLOOKUP(K42,'VALORES VIAJES'!$A$2:$B$24,2,FALSE),"")</f>
        <v/>
      </c>
      <c r="X42" s="207">
        <f>SUM(Hoja1[[#This Row],[$ X TIP VEHICUL]:[AGREGADO]])</f>
        <v>210000</v>
      </c>
    </row>
    <row r="43" spans="1:24" s="215" customFormat="1" ht="15.75" hidden="1" thickBot="1" x14ac:dyDescent="0.3">
      <c r="A43" s="213">
        <v>42</v>
      </c>
      <c r="B43" s="214">
        <v>45342</v>
      </c>
      <c r="C43" s="215" t="s">
        <v>7461</v>
      </c>
      <c r="D43" s="215" t="s">
        <v>6906</v>
      </c>
      <c r="E43" s="215" t="s">
        <v>7441</v>
      </c>
      <c r="F43" s="215" t="s">
        <v>6954</v>
      </c>
      <c r="G43" s="215" t="s">
        <v>6906</v>
      </c>
      <c r="J43" s="214"/>
      <c r="L43" s="215" t="s">
        <v>7463</v>
      </c>
      <c r="M43" s="216">
        <v>0.33333333333333326</v>
      </c>
      <c r="N43" s="215" t="s">
        <v>7473</v>
      </c>
      <c r="O43" s="215" t="s">
        <v>7474</v>
      </c>
      <c r="Q43" s="215">
        <v>6400</v>
      </c>
      <c r="R43" s="215" t="s">
        <v>7527</v>
      </c>
      <c r="S43" s="215">
        <f>IFERROR(VLOOKUP(E43,'VALORES VIAJES'!$A$2:$B$13,2,FALSE),"")</f>
        <v>210000</v>
      </c>
      <c r="T43" s="215" t="str">
        <f>IFERROR(VLOOKUP(H43,'VALORES VIAJES'!$A$2:$B$24,2,FALSE),"")</f>
        <v/>
      </c>
      <c r="U43" s="215" t="str">
        <f>IFERROR(VLOOKUP(I43,'VALORES VIAJES'!$A$2:$B$24,2,FALSE),"")</f>
        <v/>
      </c>
      <c r="V43" s="215" t="str">
        <f>IFERROR(VLOOKUP(K43,'VALORES VIAJES'!$A$2:$B$24,2,FALSE),"")</f>
        <v/>
      </c>
      <c r="X43" s="208">
        <f>SUM(Hoja1[[#This Row],[$ X TIP VEHICUL]:[AGREGADO]])</f>
        <v>210000</v>
      </c>
    </row>
    <row r="44" spans="1:24" s="215" customFormat="1" ht="15.75" hidden="1" thickBot="1" x14ac:dyDescent="0.3">
      <c r="A44" s="213">
        <v>43</v>
      </c>
      <c r="B44" s="214">
        <v>45342</v>
      </c>
      <c r="C44" s="215" t="s">
        <v>7461</v>
      </c>
      <c r="D44" s="215" t="s">
        <v>7528</v>
      </c>
      <c r="E44" s="215" t="s">
        <v>7441</v>
      </c>
      <c r="F44" s="215" t="s">
        <v>6954</v>
      </c>
      <c r="G44" s="215" t="s">
        <v>7528</v>
      </c>
      <c r="J44" s="214"/>
      <c r="L44" s="215" t="s">
        <v>7463</v>
      </c>
      <c r="M44" s="216">
        <v>0.33333333333333326</v>
      </c>
      <c r="N44" s="215" t="s">
        <v>7504</v>
      </c>
      <c r="O44" s="215" t="s">
        <v>7505</v>
      </c>
      <c r="Q44" s="215">
        <v>13927</v>
      </c>
      <c r="R44" s="215" t="s">
        <v>7529</v>
      </c>
      <c r="S44" s="215">
        <f>IFERROR(VLOOKUP(E44,'VALORES VIAJES'!$A$2:$B$13,2,FALSE),"")</f>
        <v>210000</v>
      </c>
      <c r="T44" s="215" t="str">
        <f>IFERROR(VLOOKUP(H44,'VALORES VIAJES'!$A$2:$B$24,2,FALSE),"")</f>
        <v/>
      </c>
      <c r="U44" s="215" t="str">
        <f>IFERROR(VLOOKUP(I44,'VALORES VIAJES'!$A$2:$B$24,2,FALSE),"")</f>
        <v/>
      </c>
      <c r="V44" s="215" t="str">
        <f>IFERROR(VLOOKUP(K44,'VALORES VIAJES'!$A$2:$B$24,2,FALSE),"")</f>
        <v/>
      </c>
      <c r="X44" s="208">
        <f>SUM(Hoja1[[#This Row],[$ X TIP VEHICUL]:[AGREGADO]])</f>
        <v>210000</v>
      </c>
    </row>
    <row r="45" spans="1:24" s="219" customFormat="1" ht="15.75" hidden="1" thickBot="1" x14ac:dyDescent="0.3">
      <c r="A45" s="217">
        <v>44</v>
      </c>
      <c r="B45" s="218">
        <v>45342</v>
      </c>
      <c r="C45" s="219" t="s">
        <v>7461</v>
      </c>
      <c r="D45" s="219" t="s">
        <v>7475</v>
      </c>
      <c r="E45" s="219" t="s">
        <v>7443</v>
      </c>
      <c r="F45" s="219" t="s">
        <v>6954</v>
      </c>
      <c r="G45" s="219" t="s">
        <v>7530</v>
      </c>
      <c r="J45" s="218"/>
      <c r="L45" s="219" t="s">
        <v>7531</v>
      </c>
      <c r="M45" s="220">
        <v>0.33333333333333326</v>
      </c>
      <c r="N45" s="219" t="s">
        <v>7489</v>
      </c>
      <c r="O45" s="219" t="s">
        <v>7490</v>
      </c>
      <c r="Q45" s="219">
        <v>18334</v>
      </c>
      <c r="R45" s="219" t="s">
        <v>7532</v>
      </c>
      <c r="S45" s="219">
        <f>IFERROR(VLOOKUP(E45,'VALORES VIAJES'!$A$2:$B$13,2,FALSE),"")</f>
        <v>210000</v>
      </c>
      <c r="T45" s="219" t="str">
        <f>IFERROR(VLOOKUP(H45,'VALORES VIAJES'!$A$2:$B$24,2,FALSE),"")</f>
        <v/>
      </c>
      <c r="U45" s="219" t="str">
        <f>IFERROR(VLOOKUP(I45,'VALORES VIAJES'!$A$2:$B$24,2,FALSE),"")</f>
        <v/>
      </c>
      <c r="V45" s="219" t="str">
        <f>IFERROR(VLOOKUP(K45,'VALORES VIAJES'!$A$2:$B$24,2,FALSE),"")</f>
        <v/>
      </c>
      <c r="X45" s="221">
        <f>SUM(Hoja1[[#This Row],[$ X TIP VEHICUL]:[AGREGADO]])</f>
        <v>210000</v>
      </c>
    </row>
    <row r="46" spans="1:24" ht="15.75" hidden="1" thickBot="1" x14ac:dyDescent="0.3">
      <c r="A46">
        <v>45</v>
      </c>
      <c r="B46" s="189">
        <v>45342</v>
      </c>
      <c r="C46" t="s">
        <v>7462</v>
      </c>
      <c r="D46" t="s">
        <v>7509</v>
      </c>
      <c r="E46" t="s">
        <v>7442</v>
      </c>
      <c r="F46" t="s">
        <v>7462</v>
      </c>
      <c r="G46" t="s">
        <v>7509</v>
      </c>
      <c r="J46" s="189"/>
      <c r="L46" t="s">
        <v>7463</v>
      </c>
      <c r="M46" s="205">
        <v>0.29166666666666674</v>
      </c>
      <c r="N46" t="s">
        <v>7511</v>
      </c>
      <c r="O46" t="s">
        <v>7512</v>
      </c>
      <c r="S46">
        <f>IFERROR(VLOOKUP(E46,'VALORES VIAJES'!$A$2:$B$13,2,FALSE),"")</f>
        <v>160000</v>
      </c>
      <c r="T46" t="str">
        <f>IFERROR(VLOOKUP(H46,'VALORES VIAJES'!$A$2:$B$24,2,FALSE),"")</f>
        <v/>
      </c>
      <c r="U46" t="str">
        <f>IFERROR(VLOOKUP(I46,'VALORES VIAJES'!$A$2:$B$24,2,FALSE),"")</f>
        <v/>
      </c>
      <c r="V46" t="str">
        <f>IFERROR(VLOOKUP(K46,'VALORES VIAJES'!$A$2:$B$24,2,FALSE),"")</f>
        <v/>
      </c>
      <c r="X46" s="208">
        <f>SUM(Hoja1[[#This Row],[$ X TIP VEHICUL]:[AGREGADO]])</f>
        <v>160000</v>
      </c>
    </row>
    <row r="47" spans="1:24" ht="15.75" hidden="1" thickBot="1" x14ac:dyDescent="0.3">
      <c r="A47">
        <v>46</v>
      </c>
      <c r="B47" s="189">
        <v>45342</v>
      </c>
      <c r="C47" t="s">
        <v>7462</v>
      </c>
      <c r="D47" t="s">
        <v>7533</v>
      </c>
      <c r="E47" t="s">
        <v>7442</v>
      </c>
      <c r="F47" t="s">
        <v>7462</v>
      </c>
      <c r="G47" t="s">
        <v>7533</v>
      </c>
      <c r="J47" s="189"/>
      <c r="L47" t="s">
        <v>7463</v>
      </c>
      <c r="M47" s="205">
        <v>0.29166666666666674</v>
      </c>
      <c r="N47" t="s">
        <v>7480</v>
      </c>
      <c r="O47" t="s">
        <v>7494</v>
      </c>
      <c r="S47">
        <f>IFERROR(VLOOKUP(E47,'VALORES VIAJES'!$A$2:$B$13,2,FALSE),"")</f>
        <v>160000</v>
      </c>
      <c r="T47" t="str">
        <f>IFERROR(VLOOKUP(H47,'VALORES VIAJES'!$A$2:$B$24,2,FALSE),"")</f>
        <v/>
      </c>
      <c r="U47" t="str">
        <f>IFERROR(VLOOKUP(I47,'VALORES VIAJES'!$A$2:$B$24,2,FALSE),"")</f>
        <v/>
      </c>
      <c r="V47" t="str">
        <f>IFERROR(VLOOKUP(K47,'VALORES VIAJES'!$A$2:$B$24,2,FALSE),"")</f>
        <v/>
      </c>
      <c r="X47" s="208">
        <f>SUM(Hoja1[[#This Row],[$ X TIP VEHICUL]:[AGREGADO]])</f>
        <v>160000</v>
      </c>
    </row>
    <row r="48" spans="1:24" ht="15.75" hidden="1" thickBot="1" x14ac:dyDescent="0.3">
      <c r="A48">
        <v>47</v>
      </c>
      <c r="B48" s="189">
        <v>45343</v>
      </c>
      <c r="C48" t="s">
        <v>7481</v>
      </c>
      <c r="D48" t="s">
        <v>7481</v>
      </c>
      <c r="E48" t="s">
        <v>7441</v>
      </c>
      <c r="F48" t="s">
        <v>7503</v>
      </c>
      <c r="G48" t="s">
        <v>7482</v>
      </c>
      <c r="J48" s="189"/>
      <c r="L48" t="s">
        <v>7463</v>
      </c>
      <c r="M48" s="205">
        <v>0.33333333333333326</v>
      </c>
      <c r="N48" t="s">
        <v>7489</v>
      </c>
      <c r="O48" t="s">
        <v>7490</v>
      </c>
      <c r="Q48">
        <v>5600</v>
      </c>
      <c r="R48" t="s">
        <v>7534</v>
      </c>
      <c r="S48">
        <f>IFERROR(VLOOKUP(E48,'VALORES VIAJES'!$A$2:$B$13,2,FALSE),"")</f>
        <v>210000</v>
      </c>
      <c r="T48" t="str">
        <f>IFERROR(VLOOKUP(H48,'VALORES VIAJES'!$A$2:$B$24,2,FALSE),"")</f>
        <v/>
      </c>
      <c r="U48" t="str">
        <f>IFERROR(VLOOKUP(I48,'VALORES VIAJES'!$A$2:$B$24,2,FALSE),"")</f>
        <v/>
      </c>
      <c r="V48" t="str">
        <f>IFERROR(VLOOKUP(K48,'VALORES VIAJES'!$A$2:$B$24,2,FALSE),"")</f>
        <v/>
      </c>
      <c r="X48" s="208">
        <f>SUM(Hoja1[[#This Row],[$ X TIP VEHICUL]:[AGREGADO]])</f>
        <v>210000</v>
      </c>
    </row>
    <row r="49" spans="1:24" ht="15.75" hidden="1" thickBot="1" x14ac:dyDescent="0.3">
      <c r="A49">
        <v>48</v>
      </c>
      <c r="B49" s="189">
        <v>45343</v>
      </c>
      <c r="C49" t="s">
        <v>7481</v>
      </c>
      <c r="D49" t="s">
        <v>7481</v>
      </c>
      <c r="E49" t="s">
        <v>7441</v>
      </c>
      <c r="F49" t="s">
        <v>7503</v>
      </c>
      <c r="G49" t="s">
        <v>7482</v>
      </c>
      <c r="J49" s="189"/>
      <c r="L49" t="s">
        <v>7463</v>
      </c>
      <c r="M49" s="205">
        <v>0.33333333333333326</v>
      </c>
      <c r="N49" t="s">
        <v>7489</v>
      </c>
      <c r="O49" t="s">
        <v>7490</v>
      </c>
      <c r="Q49">
        <v>5600</v>
      </c>
      <c r="R49" t="s">
        <v>7534</v>
      </c>
      <c r="S49">
        <f>IFERROR(VLOOKUP(E49,'VALORES VIAJES'!$A$2:$B$13,2,FALSE),"")</f>
        <v>210000</v>
      </c>
      <c r="T49" t="str">
        <f>IFERROR(VLOOKUP(H49,'VALORES VIAJES'!$A$2:$B$24,2,FALSE),"")</f>
        <v/>
      </c>
      <c r="U49" t="str">
        <f>IFERROR(VLOOKUP(I49,'VALORES VIAJES'!$A$2:$B$24,2,FALSE),"")</f>
        <v/>
      </c>
      <c r="V49" t="str">
        <f>IFERROR(VLOOKUP(K49,'VALORES VIAJES'!$A$2:$B$24,2,FALSE),"")</f>
        <v/>
      </c>
      <c r="X49" s="208">
        <f>SUM(Hoja1[[#This Row],[$ X TIP VEHICUL]:[AGREGADO]])</f>
        <v>210000</v>
      </c>
    </row>
    <row r="50" spans="1:24" ht="15.75" hidden="1" thickBot="1" x14ac:dyDescent="0.3">
      <c r="A50">
        <v>49</v>
      </c>
      <c r="B50" s="189">
        <v>45343</v>
      </c>
      <c r="C50" t="s">
        <v>7461</v>
      </c>
      <c r="D50" t="s">
        <v>7475</v>
      </c>
      <c r="E50" t="s">
        <v>7443</v>
      </c>
      <c r="F50" t="s">
        <v>6954</v>
      </c>
      <c r="G50" t="s">
        <v>7530</v>
      </c>
      <c r="J50" s="189"/>
      <c r="L50" t="s">
        <v>7535</v>
      </c>
      <c r="M50" s="205">
        <v>0.33333333333333326</v>
      </c>
      <c r="N50" t="s">
        <v>7477</v>
      </c>
      <c r="O50" t="s">
        <v>7478</v>
      </c>
      <c r="Q50">
        <v>18334</v>
      </c>
      <c r="R50">
        <v>51249</v>
      </c>
      <c r="S50">
        <f>IFERROR(VLOOKUP(E50,'VALORES VIAJES'!$A$2:$B$13,2,FALSE),"")</f>
        <v>210000</v>
      </c>
      <c r="T50" t="str">
        <f>IFERROR(VLOOKUP(H50,'VALORES VIAJES'!$A$2:$B$24,2,FALSE),"")</f>
        <v/>
      </c>
      <c r="U50" t="str">
        <f>IFERROR(VLOOKUP(I50,'VALORES VIAJES'!$A$2:$B$24,2,FALSE),"")</f>
        <v/>
      </c>
      <c r="V50" t="str">
        <f>IFERROR(VLOOKUP(K50,'VALORES VIAJES'!$A$2:$B$24,2,FALSE),"")</f>
        <v/>
      </c>
      <c r="X50" s="208">
        <f>SUM(Hoja1[[#This Row],[$ X TIP VEHICUL]:[AGREGADO]])</f>
        <v>210000</v>
      </c>
    </row>
    <row r="51" spans="1:24" ht="15.75" hidden="1" thickBot="1" x14ac:dyDescent="0.3">
      <c r="A51">
        <v>50</v>
      </c>
      <c r="B51" s="189">
        <v>45343</v>
      </c>
      <c r="C51" t="s">
        <v>7462</v>
      </c>
      <c r="D51" t="s">
        <v>7509</v>
      </c>
      <c r="E51" t="s">
        <v>7442</v>
      </c>
      <c r="F51" t="s">
        <v>7462</v>
      </c>
      <c r="G51" t="s">
        <v>7509</v>
      </c>
      <c r="J51" s="189"/>
      <c r="L51" t="s">
        <v>7463</v>
      </c>
      <c r="M51" s="205">
        <v>0.29166666666666674</v>
      </c>
      <c r="N51" t="s">
        <v>7511</v>
      </c>
      <c r="O51" t="s">
        <v>7512</v>
      </c>
      <c r="S51">
        <f>IFERROR(VLOOKUP(E51,'VALORES VIAJES'!$A$2:$B$13,2,FALSE),"")</f>
        <v>160000</v>
      </c>
      <c r="T51" t="str">
        <f>IFERROR(VLOOKUP(H51,'VALORES VIAJES'!$A$2:$B$24,2,FALSE),"")</f>
        <v/>
      </c>
      <c r="U51" t="str">
        <f>IFERROR(VLOOKUP(I51,'VALORES VIAJES'!$A$2:$B$24,2,FALSE),"")</f>
        <v/>
      </c>
      <c r="V51" t="str">
        <f>IFERROR(VLOOKUP(K51,'VALORES VIAJES'!$A$2:$B$24,2,FALSE),"")</f>
        <v/>
      </c>
      <c r="X51" s="208">
        <f>SUM(Hoja1[[#This Row],[$ X TIP VEHICUL]:[AGREGADO]])</f>
        <v>160000</v>
      </c>
    </row>
    <row r="52" spans="1:24" ht="15.75" hidden="1" thickBot="1" x14ac:dyDescent="0.3">
      <c r="A52">
        <v>51</v>
      </c>
      <c r="B52" s="189">
        <v>45343</v>
      </c>
      <c r="C52" t="s">
        <v>7462</v>
      </c>
      <c r="D52" t="s">
        <v>6885</v>
      </c>
      <c r="E52" t="s">
        <v>7442</v>
      </c>
      <c r="F52" t="s">
        <v>7462</v>
      </c>
      <c r="G52" t="s">
        <v>6885</v>
      </c>
      <c r="J52" s="189"/>
      <c r="L52" t="s">
        <v>7463</v>
      </c>
      <c r="M52" s="205">
        <v>0.29166666666666674</v>
      </c>
      <c r="N52" t="s">
        <v>7480</v>
      </c>
      <c r="O52" t="s">
        <v>7494</v>
      </c>
      <c r="S52">
        <f>IFERROR(VLOOKUP(E52,'VALORES VIAJES'!$A$2:$B$13,2,FALSE),"")</f>
        <v>160000</v>
      </c>
      <c r="T52" t="str">
        <f>IFERROR(VLOOKUP(H52,'VALORES VIAJES'!$A$2:$B$24,2,FALSE),"")</f>
        <v/>
      </c>
      <c r="U52" t="str">
        <f>IFERROR(VLOOKUP(I52,'VALORES VIAJES'!$A$2:$B$24,2,FALSE),"")</f>
        <v/>
      </c>
      <c r="V52" t="str">
        <f>IFERROR(VLOOKUP(K52,'VALORES VIAJES'!$A$2:$B$24,2,FALSE),"")</f>
        <v/>
      </c>
      <c r="X52" s="208">
        <f>SUM(Hoja1[[#This Row],[$ X TIP VEHICUL]:[AGREGADO]])</f>
        <v>160000</v>
      </c>
    </row>
    <row r="53" spans="1:24" ht="15.75" hidden="1" thickBot="1" x14ac:dyDescent="0.3">
      <c r="A53">
        <v>52</v>
      </c>
      <c r="B53" s="189">
        <v>45343</v>
      </c>
      <c r="C53" t="s">
        <v>7462</v>
      </c>
      <c r="D53" t="s">
        <v>7536</v>
      </c>
      <c r="E53" t="s">
        <v>7442</v>
      </c>
      <c r="F53" t="s">
        <v>7462</v>
      </c>
      <c r="G53" t="s">
        <v>7536</v>
      </c>
      <c r="J53" s="189"/>
      <c r="L53" t="s">
        <v>7463</v>
      </c>
      <c r="M53" s="205">
        <v>0.5</v>
      </c>
      <c r="N53" t="s">
        <v>7480</v>
      </c>
      <c r="O53" t="s">
        <v>7494</v>
      </c>
      <c r="S53">
        <f>IFERROR(VLOOKUP(E53,'VALORES VIAJES'!$A$2:$B$13,2,FALSE),"")</f>
        <v>160000</v>
      </c>
      <c r="T53" t="str">
        <f>IFERROR(VLOOKUP(H53,'VALORES VIAJES'!$A$2:$B$24,2,FALSE),"")</f>
        <v/>
      </c>
      <c r="U53" t="str">
        <f>IFERROR(VLOOKUP(I53,'VALORES VIAJES'!$A$2:$B$24,2,FALSE),"")</f>
        <v/>
      </c>
      <c r="V53" t="str">
        <f>IFERROR(VLOOKUP(K53,'VALORES VIAJES'!$A$2:$B$24,2,FALSE),"")</f>
        <v/>
      </c>
      <c r="X53" s="208">
        <f>SUM(Hoja1[[#This Row],[$ X TIP VEHICUL]:[AGREGADO]])</f>
        <v>160000</v>
      </c>
    </row>
    <row r="54" spans="1:24" s="211" customFormat="1" ht="15.75" hidden="1" thickBot="1" x14ac:dyDescent="0.3">
      <c r="A54" s="209">
        <v>53</v>
      </c>
      <c r="B54" s="210">
        <v>45344</v>
      </c>
      <c r="C54" s="211" t="s">
        <v>7461</v>
      </c>
      <c r="D54" s="211" t="s">
        <v>7475</v>
      </c>
      <c r="E54" s="211" t="s">
        <v>7443</v>
      </c>
      <c r="F54" s="211" t="s">
        <v>7467</v>
      </c>
      <c r="G54" s="211" t="s">
        <v>7530</v>
      </c>
      <c r="H54" s="211" t="s">
        <v>7433</v>
      </c>
      <c r="J54" s="210"/>
      <c r="K54" s="211" t="s">
        <v>7440</v>
      </c>
      <c r="L54" s="211" t="s">
        <v>7537</v>
      </c>
      <c r="M54" s="212">
        <v>0.70833333333333326</v>
      </c>
      <c r="N54" s="211" t="s">
        <v>7504</v>
      </c>
      <c r="O54" s="211" t="s">
        <v>7505</v>
      </c>
      <c r="Q54" s="211">
        <v>11640</v>
      </c>
      <c r="R54" s="211">
        <v>50851</v>
      </c>
      <c r="S54" s="211">
        <f>IFERROR(VLOOKUP(E54,'VALORES VIAJES'!$A$2:$B$13,2,FALSE),"")</f>
        <v>210000</v>
      </c>
      <c r="T54" s="211">
        <f>IFERROR(VLOOKUP(H54,'VALORES VIAJES'!$A$2:$B$24,2,FALSE),"")</f>
        <v>210000</v>
      </c>
      <c r="U54" s="211" t="str">
        <f>IFERROR(VLOOKUP(I54,'VALORES VIAJES'!$A$2:$B$24,2,FALSE),"")</f>
        <v/>
      </c>
      <c r="V54" s="211">
        <f>IFERROR(VLOOKUP(K54,'VALORES VIAJES'!$A$2:$B$24,2,FALSE),"")</f>
        <v>95000</v>
      </c>
      <c r="X54" s="207">
        <f>SUM(Hoja1[[#This Row],[$ X TIP VEHICUL]:[AGREGADO]])</f>
        <v>515000</v>
      </c>
    </row>
    <row r="55" spans="1:24" s="215" customFormat="1" ht="15.75" hidden="1" thickBot="1" x14ac:dyDescent="0.3">
      <c r="A55" s="213">
        <v>54</v>
      </c>
      <c r="B55" s="214">
        <v>45344</v>
      </c>
      <c r="C55" s="215" t="s">
        <v>7461</v>
      </c>
      <c r="D55" s="215" t="s">
        <v>7475</v>
      </c>
      <c r="E55" s="215" t="s">
        <v>7443</v>
      </c>
      <c r="F55" s="215" t="s">
        <v>6954</v>
      </c>
      <c r="G55" s="215" t="s">
        <v>7530</v>
      </c>
      <c r="J55" s="214"/>
      <c r="L55" s="215" t="s">
        <v>7538</v>
      </c>
      <c r="M55" s="216">
        <v>0.375</v>
      </c>
      <c r="N55" s="215" t="s">
        <v>7473</v>
      </c>
      <c r="O55" s="215" t="s">
        <v>7474</v>
      </c>
      <c r="Q55" s="215">
        <v>18334</v>
      </c>
      <c r="R55" s="215">
        <v>51249</v>
      </c>
      <c r="S55" s="215">
        <f>IFERROR(VLOOKUP(E55,'VALORES VIAJES'!$A$2:$B$13,2,FALSE),"")</f>
        <v>210000</v>
      </c>
      <c r="T55" s="215" t="str">
        <f>IFERROR(VLOOKUP(H55,'VALORES VIAJES'!$A$2:$B$24,2,FALSE),"")</f>
        <v/>
      </c>
      <c r="U55" s="215" t="str">
        <f>IFERROR(VLOOKUP(I55,'VALORES VIAJES'!$A$2:$B$24,2,FALSE),"")</f>
        <v/>
      </c>
      <c r="V55" s="215" t="str">
        <f>IFERROR(VLOOKUP(K55,'VALORES VIAJES'!$A$2:$B$24,2,FALSE),"")</f>
        <v/>
      </c>
      <c r="X55" s="208">
        <f>SUM(Hoja1[[#This Row],[$ X TIP VEHICUL]:[AGREGADO]])</f>
        <v>210000</v>
      </c>
    </row>
    <row r="56" spans="1:24" s="215" customFormat="1" ht="15.75" hidden="1" thickBot="1" x14ac:dyDescent="0.3">
      <c r="A56" s="213">
        <v>55</v>
      </c>
      <c r="B56" s="214">
        <v>45344</v>
      </c>
      <c r="C56" s="215" t="s">
        <v>7461</v>
      </c>
      <c r="D56" s="215" t="s">
        <v>7475</v>
      </c>
      <c r="E56" s="215" t="s">
        <v>7443</v>
      </c>
      <c r="F56" s="215" t="s">
        <v>6954</v>
      </c>
      <c r="G56" s="215" t="s">
        <v>7530</v>
      </c>
      <c r="J56" s="214"/>
      <c r="L56" s="215" t="s">
        <v>7476</v>
      </c>
      <c r="M56" s="216">
        <v>0.375</v>
      </c>
      <c r="N56" s="215" t="s">
        <v>7480</v>
      </c>
      <c r="O56" s="215" t="s">
        <v>7465</v>
      </c>
      <c r="Q56" s="215">
        <v>18334</v>
      </c>
      <c r="R56" s="215">
        <v>51249</v>
      </c>
      <c r="S56" s="215">
        <f>IFERROR(VLOOKUP(E56,'VALORES VIAJES'!$A$2:$B$13,2,FALSE),"")</f>
        <v>210000</v>
      </c>
      <c r="T56" s="215" t="str">
        <f>IFERROR(VLOOKUP(H56,'VALORES VIAJES'!$A$2:$B$24,2,FALSE),"")</f>
        <v/>
      </c>
      <c r="U56" s="215" t="str">
        <f>IFERROR(VLOOKUP(I56,'VALORES VIAJES'!$A$2:$B$24,2,FALSE),"")</f>
        <v/>
      </c>
      <c r="V56" s="215" t="str">
        <f>IFERROR(VLOOKUP(K56,'VALORES VIAJES'!$A$2:$B$24,2,FALSE),"")</f>
        <v/>
      </c>
      <c r="X56" s="208">
        <f>SUM(Hoja1[[#This Row],[$ X TIP VEHICUL]:[AGREGADO]])</f>
        <v>210000</v>
      </c>
    </row>
    <row r="57" spans="1:24" s="215" customFormat="1" ht="15.75" hidden="1" thickBot="1" x14ac:dyDescent="0.3">
      <c r="A57" s="213">
        <v>56</v>
      </c>
      <c r="B57" s="214">
        <v>45344</v>
      </c>
      <c r="C57" s="215" t="s">
        <v>7461</v>
      </c>
      <c r="D57" s="215" t="s">
        <v>7475</v>
      </c>
      <c r="E57" s="215" t="s">
        <v>7443</v>
      </c>
      <c r="F57" s="215" t="s">
        <v>6954</v>
      </c>
      <c r="G57" s="215" t="s">
        <v>7530</v>
      </c>
      <c r="J57" s="214"/>
      <c r="L57" s="215" t="s">
        <v>7539</v>
      </c>
      <c r="M57" s="216">
        <v>0.375</v>
      </c>
      <c r="N57" s="215" t="s">
        <v>7504</v>
      </c>
      <c r="O57" s="215" t="s">
        <v>7505</v>
      </c>
      <c r="Q57" s="215">
        <v>18334</v>
      </c>
      <c r="R57" s="215">
        <v>51249</v>
      </c>
      <c r="S57" s="215">
        <f>IFERROR(VLOOKUP(E57,'VALORES VIAJES'!$A$2:$B$13,2,FALSE),"")</f>
        <v>210000</v>
      </c>
      <c r="T57" s="215" t="str">
        <f>IFERROR(VLOOKUP(H57,'VALORES VIAJES'!$A$2:$B$24,2,FALSE),"")</f>
        <v/>
      </c>
      <c r="U57" s="215" t="str">
        <f>IFERROR(VLOOKUP(I57,'VALORES VIAJES'!$A$2:$B$24,2,FALSE),"")</f>
        <v/>
      </c>
      <c r="V57" s="215" t="str">
        <f>IFERROR(VLOOKUP(K57,'VALORES VIAJES'!$A$2:$B$24,2,FALSE),"")</f>
        <v/>
      </c>
      <c r="X57" s="208">
        <f>SUM(Hoja1[[#This Row],[$ X TIP VEHICUL]:[AGREGADO]])</f>
        <v>210000</v>
      </c>
    </row>
    <row r="58" spans="1:24" s="215" customFormat="1" ht="15.75" hidden="1" thickBot="1" x14ac:dyDescent="0.3">
      <c r="A58" s="213">
        <v>57</v>
      </c>
      <c r="B58" s="214">
        <v>45344</v>
      </c>
      <c r="C58" s="215" t="s">
        <v>7461</v>
      </c>
      <c r="D58" s="215" t="s">
        <v>7540</v>
      </c>
      <c r="E58" s="215" t="s">
        <v>7441</v>
      </c>
      <c r="F58" s="215" t="s">
        <v>6954</v>
      </c>
      <c r="G58" s="215" t="s">
        <v>7540</v>
      </c>
      <c r="J58" s="214"/>
      <c r="L58" s="215" t="s">
        <v>7463</v>
      </c>
      <c r="M58" s="216">
        <v>0.33333333333333326</v>
      </c>
      <c r="N58" s="215" t="s">
        <v>7469</v>
      </c>
      <c r="O58" s="215" t="s">
        <v>7470</v>
      </c>
      <c r="Q58" s="215">
        <v>5600</v>
      </c>
      <c r="R58" s="215" t="s">
        <v>7541</v>
      </c>
      <c r="S58" s="215">
        <f>IFERROR(VLOOKUP(E58,'VALORES VIAJES'!$A$2:$B$13,2,FALSE),"")</f>
        <v>210000</v>
      </c>
      <c r="T58" s="215" t="str">
        <f>IFERROR(VLOOKUP(H58,'VALORES VIAJES'!$A$2:$B$24,2,FALSE),"")</f>
        <v/>
      </c>
      <c r="U58" s="215" t="str">
        <f>IFERROR(VLOOKUP(I58,'VALORES VIAJES'!$A$2:$B$24,2,FALSE),"")</f>
        <v/>
      </c>
      <c r="V58" s="215" t="str">
        <f>IFERROR(VLOOKUP(K58,'VALORES VIAJES'!$A$2:$B$24,2,FALSE),"")</f>
        <v/>
      </c>
      <c r="X58" s="208">
        <f>SUM(Hoja1[[#This Row],[$ X TIP VEHICUL]:[AGREGADO]])</f>
        <v>210000</v>
      </c>
    </row>
    <row r="59" spans="1:24" s="219" customFormat="1" ht="15.75" hidden="1" thickBot="1" x14ac:dyDescent="0.3">
      <c r="A59" s="217">
        <v>58</v>
      </c>
      <c r="B59" s="218">
        <v>45344</v>
      </c>
      <c r="C59" s="219" t="s">
        <v>7461</v>
      </c>
      <c r="D59" s="219" t="s">
        <v>7540</v>
      </c>
      <c r="E59" s="219" t="s">
        <v>7441</v>
      </c>
      <c r="F59" s="219" t="s">
        <v>6954</v>
      </c>
      <c r="G59" s="219" t="s">
        <v>7540</v>
      </c>
      <c r="J59" s="218"/>
      <c r="L59" s="219" t="s">
        <v>7463</v>
      </c>
      <c r="M59" s="220">
        <v>0.33333333333333326</v>
      </c>
      <c r="N59" s="219" t="s">
        <v>7489</v>
      </c>
      <c r="O59" s="219" t="s">
        <v>7490</v>
      </c>
      <c r="Q59" s="219">
        <v>5600</v>
      </c>
      <c r="R59" s="219" t="s">
        <v>7529</v>
      </c>
      <c r="S59" s="219">
        <f>IFERROR(VLOOKUP(E59,'VALORES VIAJES'!$A$2:$B$13,2,FALSE),"")</f>
        <v>210000</v>
      </c>
      <c r="T59" s="219" t="str">
        <f>IFERROR(VLOOKUP(H59,'VALORES VIAJES'!$A$2:$B$24,2,FALSE),"")</f>
        <v/>
      </c>
      <c r="U59" s="219" t="str">
        <f>IFERROR(VLOOKUP(I59,'VALORES VIAJES'!$A$2:$B$24,2,FALSE),"")</f>
        <v/>
      </c>
      <c r="V59" s="219" t="str">
        <f>IFERROR(VLOOKUP(K59,'VALORES VIAJES'!$A$2:$B$24,2,FALSE),"")</f>
        <v/>
      </c>
      <c r="X59" s="221">
        <f>SUM(Hoja1[[#This Row],[$ X TIP VEHICUL]:[AGREGADO]])</f>
        <v>210000</v>
      </c>
    </row>
    <row r="60" spans="1:24" ht="15.75" hidden="1" thickBot="1" x14ac:dyDescent="0.3">
      <c r="A60">
        <v>59</v>
      </c>
      <c r="B60" s="189">
        <v>45344</v>
      </c>
      <c r="C60" t="s">
        <v>7462</v>
      </c>
      <c r="D60" t="s">
        <v>7509</v>
      </c>
      <c r="E60" t="s">
        <v>7442</v>
      </c>
      <c r="F60" t="s">
        <v>7462</v>
      </c>
      <c r="G60" t="s">
        <v>7509</v>
      </c>
      <c r="J60" s="189"/>
      <c r="L60" t="s">
        <v>7463</v>
      </c>
      <c r="M60" s="205">
        <v>0.29166666666666674</v>
      </c>
      <c r="N60" t="s">
        <v>7477</v>
      </c>
      <c r="O60" t="s">
        <v>7494</v>
      </c>
      <c r="S60">
        <f>IFERROR(VLOOKUP(E60,'VALORES VIAJES'!$A$2:$B$13,2,FALSE),"")</f>
        <v>160000</v>
      </c>
      <c r="T60" t="str">
        <f>IFERROR(VLOOKUP(H60,'VALORES VIAJES'!$A$2:$B$24,2,FALSE),"")</f>
        <v/>
      </c>
      <c r="U60" t="str">
        <f>IFERROR(VLOOKUP(I60,'VALORES VIAJES'!$A$2:$B$24,2,FALSE),"")</f>
        <v/>
      </c>
      <c r="V60" t="str">
        <f>IFERROR(VLOOKUP(K60,'VALORES VIAJES'!$A$2:$B$24,2,FALSE),"")</f>
        <v/>
      </c>
      <c r="X60" s="208">
        <f>SUM(Hoja1[[#This Row],[$ X TIP VEHICUL]:[AGREGADO]])</f>
        <v>160000</v>
      </c>
    </row>
    <row r="61" spans="1:24" ht="15.75" hidden="1" thickBot="1" x14ac:dyDescent="0.3">
      <c r="A61">
        <v>60</v>
      </c>
      <c r="B61" s="189">
        <v>45344</v>
      </c>
      <c r="C61" t="s">
        <v>7462</v>
      </c>
      <c r="D61" t="s">
        <v>7509</v>
      </c>
      <c r="E61" t="s">
        <v>7442</v>
      </c>
      <c r="F61" t="s">
        <v>7462</v>
      </c>
      <c r="G61" t="s">
        <v>7509</v>
      </c>
      <c r="J61" s="189"/>
      <c r="L61" t="s">
        <v>7463</v>
      </c>
      <c r="M61" s="205">
        <v>0.29166666666666674</v>
      </c>
      <c r="N61" t="s">
        <v>7511</v>
      </c>
      <c r="O61" t="s">
        <v>7512</v>
      </c>
      <c r="S61">
        <f>IFERROR(VLOOKUP(E61,'VALORES VIAJES'!$A$2:$B$13,2,FALSE),"")</f>
        <v>160000</v>
      </c>
      <c r="T61" t="str">
        <f>IFERROR(VLOOKUP(H61,'VALORES VIAJES'!$A$2:$B$24,2,FALSE),"")</f>
        <v/>
      </c>
      <c r="U61" t="str">
        <f>IFERROR(VLOOKUP(I61,'VALORES VIAJES'!$A$2:$B$24,2,FALSE),"")</f>
        <v/>
      </c>
      <c r="V61" t="str">
        <f>IFERROR(VLOOKUP(K61,'VALORES VIAJES'!$A$2:$B$24,2,FALSE),"")</f>
        <v/>
      </c>
      <c r="X61" s="208">
        <f>SUM(Hoja1[[#This Row],[$ X TIP VEHICUL]:[AGREGADO]])</f>
        <v>160000</v>
      </c>
    </row>
    <row r="62" spans="1:24" s="211" customFormat="1" ht="15.75" hidden="1" thickBot="1" x14ac:dyDescent="0.3">
      <c r="A62" s="209">
        <v>61</v>
      </c>
      <c r="B62" s="210">
        <v>45345</v>
      </c>
      <c r="C62" s="211" t="s">
        <v>7461</v>
      </c>
      <c r="D62" s="211" t="s">
        <v>7509</v>
      </c>
      <c r="E62" s="211" t="s">
        <v>7441</v>
      </c>
      <c r="F62" s="211" t="s">
        <v>6954</v>
      </c>
      <c r="G62" s="211" t="s">
        <v>7509</v>
      </c>
      <c r="J62" s="210"/>
      <c r="L62" s="211" t="s">
        <v>7463</v>
      </c>
      <c r="M62" s="212">
        <v>0.33333333333333326</v>
      </c>
      <c r="N62" s="211" t="s">
        <v>7473</v>
      </c>
      <c r="O62" s="211" t="s">
        <v>7474</v>
      </c>
      <c r="Q62" s="211">
        <v>5600</v>
      </c>
      <c r="R62" s="211" t="s">
        <v>7542</v>
      </c>
      <c r="S62" s="211">
        <f>IFERROR(VLOOKUP(E62,'VALORES VIAJES'!$A$2:$B$13,2,FALSE),"")</f>
        <v>210000</v>
      </c>
      <c r="T62" s="211" t="str">
        <f>IFERROR(VLOOKUP(H62,'VALORES VIAJES'!$A$2:$B$24,2,FALSE),"")</f>
        <v/>
      </c>
      <c r="U62" s="211" t="str">
        <f>IFERROR(VLOOKUP(I62,'VALORES VIAJES'!$A$2:$B$24,2,FALSE),"")</f>
        <v/>
      </c>
      <c r="V62" s="211" t="str">
        <f>IFERROR(VLOOKUP(K62,'VALORES VIAJES'!$A$2:$B$24,2,FALSE),"")</f>
        <v/>
      </c>
      <c r="X62" s="207">
        <f>SUM(Hoja1[[#This Row],[$ X TIP VEHICUL]:[AGREGADO]])</f>
        <v>210000</v>
      </c>
    </row>
    <row r="63" spans="1:24" s="215" customFormat="1" ht="15.75" hidden="1" thickBot="1" x14ac:dyDescent="0.3">
      <c r="A63" s="213">
        <v>62</v>
      </c>
      <c r="B63" s="214">
        <v>45345</v>
      </c>
      <c r="C63" s="215" t="s">
        <v>7461</v>
      </c>
      <c r="D63" s="215" t="s">
        <v>7509</v>
      </c>
      <c r="E63" s="215" t="s">
        <v>7441</v>
      </c>
      <c r="F63" s="215" t="s">
        <v>6954</v>
      </c>
      <c r="G63" s="215" t="s">
        <v>7509</v>
      </c>
      <c r="J63" s="214"/>
      <c r="L63" s="215" t="s">
        <v>7463</v>
      </c>
      <c r="M63" s="216">
        <v>0.33333333333333326</v>
      </c>
      <c r="N63" s="215" t="s">
        <v>7480</v>
      </c>
      <c r="O63" s="215" t="s">
        <v>7465</v>
      </c>
      <c r="Q63" s="215">
        <v>5600</v>
      </c>
      <c r="R63" s="215" t="s">
        <v>7543</v>
      </c>
      <c r="S63" s="215">
        <f>IFERROR(VLOOKUP(E63,'VALORES VIAJES'!$A$2:$B$13,2,FALSE),"")</f>
        <v>210000</v>
      </c>
      <c r="T63" s="215" t="str">
        <f>IFERROR(VLOOKUP(H63,'VALORES VIAJES'!$A$2:$B$24,2,FALSE),"")</f>
        <v/>
      </c>
      <c r="U63" s="215" t="str">
        <f>IFERROR(VLOOKUP(I63,'VALORES VIAJES'!$A$2:$B$24,2,FALSE),"")</f>
        <v/>
      </c>
      <c r="V63" s="215" t="str">
        <f>IFERROR(VLOOKUP(K63,'VALORES VIAJES'!$A$2:$B$24,2,FALSE),"")</f>
        <v/>
      </c>
      <c r="X63" s="208">
        <f>SUM(Hoja1[[#This Row],[$ X TIP VEHICUL]:[AGREGADO]])</f>
        <v>210000</v>
      </c>
    </row>
    <row r="64" spans="1:24" s="215" customFormat="1" ht="15.75" hidden="1" thickBot="1" x14ac:dyDescent="0.3">
      <c r="A64" s="213">
        <v>63</v>
      </c>
      <c r="B64" s="214">
        <v>45345</v>
      </c>
      <c r="C64" s="215" t="s">
        <v>7461</v>
      </c>
      <c r="D64" s="215" t="s">
        <v>7498</v>
      </c>
      <c r="E64" s="215" t="s">
        <v>7443</v>
      </c>
      <c r="F64" s="215" t="s">
        <v>6945</v>
      </c>
      <c r="G64" s="215" t="s">
        <v>7498</v>
      </c>
      <c r="H64" s="215" t="s">
        <v>7434</v>
      </c>
      <c r="J64" s="214"/>
      <c r="L64" s="215" t="s">
        <v>7544</v>
      </c>
      <c r="M64" s="216">
        <v>0.45833333333333326</v>
      </c>
      <c r="N64" s="215" t="s">
        <v>7504</v>
      </c>
      <c r="O64" s="215" t="s">
        <v>7505</v>
      </c>
      <c r="Q64" s="215">
        <v>23868</v>
      </c>
      <c r="R64" s="215">
        <v>50855</v>
      </c>
      <c r="S64" s="215">
        <f>IFERROR(VLOOKUP(E64,'VALORES VIAJES'!$A$2:$B$13,2,FALSE),"")</f>
        <v>210000</v>
      </c>
      <c r="T64" s="215">
        <f>IFERROR(VLOOKUP(H64,'VALORES VIAJES'!$A$2:$B$24,2,FALSE),"")</f>
        <v>105000</v>
      </c>
      <c r="U64" s="215" t="str">
        <f>IFERROR(VLOOKUP(I64,'VALORES VIAJES'!$A$2:$B$24,2,FALSE),"")</f>
        <v/>
      </c>
      <c r="V64" s="215" t="str">
        <f>IFERROR(VLOOKUP(K64,'VALORES VIAJES'!$A$2:$B$24,2,FALSE),"")</f>
        <v/>
      </c>
      <c r="X64" s="208">
        <f>SUM(Hoja1[[#This Row],[$ X TIP VEHICUL]:[AGREGADO]])</f>
        <v>315000</v>
      </c>
    </row>
    <row r="65" spans="1:24" s="215" customFormat="1" ht="15.75" hidden="1" thickBot="1" x14ac:dyDescent="0.3">
      <c r="A65" s="213">
        <v>64</v>
      </c>
      <c r="B65" s="214">
        <v>45345</v>
      </c>
      <c r="C65" s="215" t="s">
        <v>7461</v>
      </c>
      <c r="D65" s="215" t="s">
        <v>3562</v>
      </c>
      <c r="E65" s="215" t="s">
        <v>7443</v>
      </c>
      <c r="F65" s="215" t="s">
        <v>6954</v>
      </c>
      <c r="G65" s="215" t="s">
        <v>7545</v>
      </c>
      <c r="J65" s="214"/>
      <c r="L65" s="215" t="s">
        <v>7546</v>
      </c>
      <c r="M65" s="216">
        <v>0.33333333333333326</v>
      </c>
      <c r="N65" s="215" t="s">
        <v>7489</v>
      </c>
      <c r="O65" s="215" t="s">
        <v>7490</v>
      </c>
      <c r="Q65" s="215">
        <v>18334</v>
      </c>
      <c r="R65" s="215" t="s">
        <v>7547</v>
      </c>
      <c r="S65" s="215">
        <f>IFERROR(VLOOKUP(E65,'VALORES VIAJES'!$A$2:$B$13,2,FALSE),"")</f>
        <v>210000</v>
      </c>
      <c r="T65" s="215" t="str">
        <f>IFERROR(VLOOKUP(H65,'VALORES VIAJES'!$A$2:$B$24,2,FALSE),"")</f>
        <v/>
      </c>
      <c r="U65" s="215" t="str">
        <f>IFERROR(VLOOKUP(I65,'VALORES VIAJES'!$A$2:$B$24,2,FALSE),"")</f>
        <v/>
      </c>
      <c r="V65" s="215" t="str">
        <f>IFERROR(VLOOKUP(K65,'VALORES VIAJES'!$A$2:$B$24,2,FALSE),"")</f>
        <v/>
      </c>
      <c r="X65" s="208">
        <f>SUM(Hoja1[[#This Row],[$ X TIP VEHICUL]:[AGREGADO]])</f>
        <v>210000</v>
      </c>
    </row>
    <row r="66" spans="1:24" s="219" customFormat="1" ht="15.75" hidden="1" thickBot="1" x14ac:dyDescent="0.3">
      <c r="A66" s="217">
        <v>65</v>
      </c>
      <c r="B66" s="218">
        <v>45345</v>
      </c>
      <c r="C66" s="219" t="s">
        <v>7461</v>
      </c>
      <c r="D66" s="219" t="s">
        <v>6883</v>
      </c>
      <c r="E66" s="219" t="s">
        <v>7443</v>
      </c>
      <c r="F66" s="219" t="s">
        <v>6954</v>
      </c>
      <c r="G66" s="219" t="s">
        <v>6883</v>
      </c>
      <c r="J66" s="218"/>
      <c r="L66" s="219" t="s">
        <v>7548</v>
      </c>
      <c r="M66" s="220">
        <v>0.33333333333333326</v>
      </c>
      <c r="N66" s="219" t="s">
        <v>7469</v>
      </c>
      <c r="O66" s="219" t="s">
        <v>7470</v>
      </c>
      <c r="Q66" s="219">
        <v>16407</v>
      </c>
      <c r="R66" s="219">
        <v>51249</v>
      </c>
      <c r="S66" s="219">
        <f>IFERROR(VLOOKUP(E66,'VALORES VIAJES'!$A$2:$B$13,2,FALSE),"")</f>
        <v>210000</v>
      </c>
      <c r="T66" s="219" t="str">
        <f>IFERROR(VLOOKUP(H66,'VALORES VIAJES'!$A$2:$B$24,2,FALSE),"")</f>
        <v/>
      </c>
      <c r="U66" s="219" t="str">
        <f>IFERROR(VLOOKUP(I66,'VALORES VIAJES'!$A$2:$B$24,2,FALSE),"")</f>
        <v/>
      </c>
      <c r="V66" s="219" t="str">
        <f>IFERROR(VLOOKUP(K66,'VALORES VIAJES'!$A$2:$B$24,2,FALSE),"")</f>
        <v/>
      </c>
      <c r="X66" s="221">
        <f>SUM(Hoja1[[#This Row],[$ X TIP VEHICUL]:[AGREGADO]])</f>
        <v>210000</v>
      </c>
    </row>
    <row r="67" spans="1:24" ht="15.75" hidden="1" thickBot="1" x14ac:dyDescent="0.3">
      <c r="A67">
        <v>66</v>
      </c>
      <c r="B67" s="189">
        <v>45345</v>
      </c>
      <c r="C67" t="s">
        <v>7462</v>
      </c>
      <c r="D67" t="s">
        <v>7549</v>
      </c>
      <c r="E67" t="s">
        <v>7442</v>
      </c>
      <c r="F67" t="s">
        <v>7462</v>
      </c>
      <c r="G67" t="s">
        <v>7549</v>
      </c>
      <c r="J67" s="189"/>
      <c r="L67" t="s">
        <v>7463</v>
      </c>
      <c r="M67" s="205">
        <v>0.29166666666666674</v>
      </c>
      <c r="N67" t="s">
        <v>7477</v>
      </c>
      <c r="O67" t="s">
        <v>7494</v>
      </c>
      <c r="P67" t="s">
        <v>7550</v>
      </c>
      <c r="S67">
        <f>IFERROR(VLOOKUP(E67,'VALORES VIAJES'!$A$2:$B$13,2,FALSE),"")</f>
        <v>160000</v>
      </c>
      <c r="T67" t="str">
        <f>IFERROR(VLOOKUP(H67,'VALORES VIAJES'!$A$2:$B$24,2,FALSE),"")</f>
        <v/>
      </c>
      <c r="U67" t="str">
        <f>IFERROR(VLOOKUP(I67,'VALORES VIAJES'!$A$2:$B$24,2,FALSE),"")</f>
        <v/>
      </c>
      <c r="V67" t="str">
        <f>IFERROR(VLOOKUP(K67,'VALORES VIAJES'!$A$2:$B$24,2,FALSE),"")</f>
        <v/>
      </c>
      <c r="X67" s="208">
        <f>SUM(Hoja1[[#This Row],[$ X TIP VEHICUL]:[AGREGADO]])</f>
        <v>160000</v>
      </c>
    </row>
    <row r="68" spans="1:24" s="211" customFormat="1" ht="15.75" hidden="1" thickBot="1" x14ac:dyDescent="0.3">
      <c r="A68" s="209">
        <v>67</v>
      </c>
      <c r="B68" s="210">
        <v>45348</v>
      </c>
      <c r="C68" s="211" t="s">
        <v>7461</v>
      </c>
      <c r="D68" s="211" t="s">
        <v>7495</v>
      </c>
      <c r="E68" s="211" t="s">
        <v>7443</v>
      </c>
      <c r="F68" s="211" t="s">
        <v>6954</v>
      </c>
      <c r="G68" s="211" t="s">
        <v>7495</v>
      </c>
      <c r="H68" s="211" t="s">
        <v>7551</v>
      </c>
      <c r="J68" s="210"/>
      <c r="L68" s="211" t="s">
        <v>7463</v>
      </c>
      <c r="M68" s="212">
        <v>0.33333333333333326</v>
      </c>
      <c r="N68" s="211" t="s">
        <v>7464</v>
      </c>
      <c r="O68" s="211" t="s">
        <v>7490</v>
      </c>
      <c r="Q68" s="211">
        <v>5600</v>
      </c>
      <c r="S68" s="211">
        <f>IFERROR(VLOOKUP(E68,'VALORES VIAJES'!$A$2:$B$13,2,FALSE),"")</f>
        <v>210000</v>
      </c>
      <c r="T68" s="211" t="str">
        <f>IFERROR(VLOOKUP(H68,'VALORES VIAJES'!$A$2:$B$24,2,FALSE),"")</f>
        <v/>
      </c>
      <c r="U68" s="211" t="str">
        <f>IFERROR(VLOOKUP(I68,'VALORES VIAJES'!$A$2:$B$24,2,FALSE),"")</f>
        <v/>
      </c>
      <c r="V68" s="211" t="str">
        <f>IFERROR(VLOOKUP(K68,'VALORES VIAJES'!$A$2:$B$24,2,FALSE),"")</f>
        <v/>
      </c>
      <c r="X68" s="207">
        <f>SUM(Hoja1[[#This Row],[$ X TIP VEHICUL]:[AGREGADO]])</f>
        <v>210000</v>
      </c>
    </row>
    <row r="69" spans="1:24" s="215" customFormat="1" ht="15.75" hidden="1" thickBot="1" x14ac:dyDescent="0.3">
      <c r="A69" s="213">
        <v>68</v>
      </c>
      <c r="B69" s="214">
        <v>45348</v>
      </c>
      <c r="C69" s="215" t="s">
        <v>7461</v>
      </c>
      <c r="D69" s="215" t="s">
        <v>7552</v>
      </c>
      <c r="E69" s="215" t="s">
        <v>7442</v>
      </c>
      <c r="F69" s="215" t="s">
        <v>7553</v>
      </c>
      <c r="G69" s="215" t="s">
        <v>7552</v>
      </c>
      <c r="J69" s="214"/>
      <c r="L69" s="215" t="s">
        <v>7463</v>
      </c>
      <c r="M69" s="216">
        <v>0.41666666666666674</v>
      </c>
      <c r="N69" s="215" t="s">
        <v>7511</v>
      </c>
      <c r="O69" s="215" t="s">
        <v>7512</v>
      </c>
      <c r="Q69" s="215">
        <v>3150</v>
      </c>
      <c r="R69" s="215">
        <v>50856</v>
      </c>
      <c r="S69" s="215">
        <f>IFERROR(VLOOKUP(E69,'VALORES VIAJES'!$A$2:$B$13,2,FALSE),"")</f>
        <v>160000</v>
      </c>
      <c r="T69" s="215" t="str">
        <f>IFERROR(VLOOKUP(H69,'VALORES VIAJES'!$A$2:$B$24,2,FALSE),"")</f>
        <v/>
      </c>
      <c r="U69" s="215" t="str">
        <f>IFERROR(VLOOKUP(I69,'VALORES VIAJES'!$A$2:$B$24,2,FALSE),"")</f>
        <v/>
      </c>
      <c r="V69" s="215" t="str">
        <f>IFERROR(VLOOKUP(K69,'VALORES VIAJES'!$A$2:$B$24,2,FALSE),"")</f>
        <v/>
      </c>
      <c r="X69" s="208">
        <f>SUM(Hoja1[[#This Row],[$ X TIP VEHICUL]:[AGREGADO]])</f>
        <v>160000</v>
      </c>
    </row>
    <row r="70" spans="1:24" s="215" customFormat="1" ht="15.75" hidden="1" thickBot="1" x14ac:dyDescent="0.3">
      <c r="A70" s="213">
        <v>69</v>
      </c>
      <c r="B70" s="214">
        <v>45348</v>
      </c>
      <c r="C70" s="215" t="s">
        <v>7461</v>
      </c>
      <c r="D70" s="215" t="s">
        <v>3562</v>
      </c>
      <c r="E70" s="215" t="s">
        <v>7443</v>
      </c>
      <c r="F70" s="215" t="s">
        <v>6945</v>
      </c>
      <c r="G70" s="215" t="s">
        <v>7545</v>
      </c>
      <c r="H70" s="215" t="s">
        <v>7434</v>
      </c>
      <c r="J70" s="214"/>
      <c r="L70" s="215" t="s">
        <v>7554</v>
      </c>
      <c r="M70" s="216">
        <v>0.54166666666666674</v>
      </c>
      <c r="N70" s="215" t="s">
        <v>7464</v>
      </c>
      <c r="O70" s="215" t="s">
        <v>7490</v>
      </c>
      <c r="Q70" s="215">
        <v>30268</v>
      </c>
      <c r="R70" s="215">
        <v>50857</v>
      </c>
      <c r="S70" s="215">
        <f>IFERROR(VLOOKUP(E70,'VALORES VIAJES'!$A$2:$B$13,2,FALSE),"")</f>
        <v>210000</v>
      </c>
      <c r="T70" s="215">
        <f>IFERROR(VLOOKUP(H70,'VALORES VIAJES'!$A$2:$B$24,2,FALSE),"")</f>
        <v>105000</v>
      </c>
      <c r="U70" s="215" t="str">
        <f>IFERROR(VLOOKUP(I70,'VALORES VIAJES'!$A$2:$B$24,2,FALSE),"")</f>
        <v/>
      </c>
      <c r="V70" s="215" t="str">
        <f>IFERROR(VLOOKUP(K70,'VALORES VIAJES'!$A$2:$B$24,2,FALSE),"")</f>
        <v/>
      </c>
      <c r="X70" s="208">
        <f>SUM(Hoja1[[#This Row],[$ X TIP VEHICUL]:[AGREGADO]])</f>
        <v>315000</v>
      </c>
    </row>
    <row r="71" spans="1:24" s="215" customFormat="1" ht="15.75" hidden="1" thickBot="1" x14ac:dyDescent="0.3">
      <c r="A71" s="213">
        <v>70</v>
      </c>
      <c r="B71" s="214">
        <v>45348</v>
      </c>
      <c r="C71" s="215" t="s">
        <v>7461</v>
      </c>
      <c r="D71" s="215" t="s">
        <v>6907</v>
      </c>
      <c r="E71" s="215" t="s">
        <v>7441</v>
      </c>
      <c r="F71" s="215" t="s">
        <v>6954</v>
      </c>
      <c r="G71" s="215" t="s">
        <v>6907</v>
      </c>
      <c r="J71" s="214"/>
      <c r="L71" s="215" t="s">
        <v>7463</v>
      </c>
      <c r="M71" s="216">
        <v>0.33333333333333326</v>
      </c>
      <c r="N71" s="215" t="s">
        <v>7480</v>
      </c>
      <c r="O71" s="215" t="s">
        <v>7465</v>
      </c>
      <c r="Q71" s="215">
        <v>16407</v>
      </c>
      <c r="R71" s="215" t="s">
        <v>7555</v>
      </c>
      <c r="S71" s="215">
        <f>IFERROR(VLOOKUP(E71,'VALORES VIAJES'!$A$2:$B$13,2,FALSE),"")</f>
        <v>210000</v>
      </c>
      <c r="T71" s="215" t="str">
        <f>IFERROR(VLOOKUP(H71,'VALORES VIAJES'!$A$2:$B$24,2,FALSE),"")</f>
        <v/>
      </c>
      <c r="U71" s="215" t="str">
        <f>IFERROR(VLOOKUP(I71,'VALORES VIAJES'!$A$2:$B$24,2,FALSE),"")</f>
        <v/>
      </c>
      <c r="V71" s="215" t="str">
        <f>IFERROR(VLOOKUP(K71,'VALORES VIAJES'!$A$2:$B$24,2,FALSE),"")</f>
        <v/>
      </c>
      <c r="X71" s="208">
        <f>SUM(Hoja1[[#This Row],[$ X TIP VEHICUL]:[AGREGADO]])</f>
        <v>210000</v>
      </c>
    </row>
    <row r="72" spans="1:24" s="219" customFormat="1" ht="15.75" hidden="1" thickBot="1" x14ac:dyDescent="0.3">
      <c r="A72" s="217">
        <v>71</v>
      </c>
      <c r="B72" s="218">
        <v>45348</v>
      </c>
      <c r="C72" s="219" t="s">
        <v>7461</v>
      </c>
      <c r="D72" s="219" t="s">
        <v>6907</v>
      </c>
      <c r="E72" s="219" t="s">
        <v>7441</v>
      </c>
      <c r="F72" s="219" t="s">
        <v>6954</v>
      </c>
      <c r="G72" s="219" t="s">
        <v>6907</v>
      </c>
      <c r="J72" s="218"/>
      <c r="L72" s="219" t="s">
        <v>7463</v>
      </c>
      <c r="M72" s="220">
        <v>0.33333333333333326</v>
      </c>
      <c r="N72" s="219" t="s">
        <v>7469</v>
      </c>
      <c r="O72" s="219" t="s">
        <v>7470</v>
      </c>
      <c r="Q72" s="219">
        <v>16407</v>
      </c>
      <c r="R72" s="219">
        <v>51250</v>
      </c>
      <c r="S72" s="219">
        <f>IFERROR(VLOOKUP(E72,'VALORES VIAJES'!$A$2:$B$13,2,FALSE),"")</f>
        <v>210000</v>
      </c>
      <c r="T72" s="219" t="str">
        <f>IFERROR(VLOOKUP(H72,'VALORES VIAJES'!$A$2:$B$24,2,FALSE),"")</f>
        <v/>
      </c>
      <c r="U72" s="219" t="str">
        <f>IFERROR(VLOOKUP(I72,'VALORES VIAJES'!$A$2:$B$24,2,FALSE),"")</f>
        <v/>
      </c>
      <c r="V72" s="219" t="str">
        <f>IFERROR(VLOOKUP(K72,'VALORES VIAJES'!$A$2:$B$24,2,FALSE),"")</f>
        <v/>
      </c>
      <c r="X72" s="221">
        <f>SUM(Hoja1[[#This Row],[$ X TIP VEHICUL]:[AGREGADO]])</f>
        <v>210000</v>
      </c>
    </row>
    <row r="73" spans="1:24" ht="15.75" hidden="1" thickBot="1" x14ac:dyDescent="0.3">
      <c r="A73">
        <v>72</v>
      </c>
      <c r="B73" s="189">
        <v>45348</v>
      </c>
      <c r="C73" t="s">
        <v>7462</v>
      </c>
      <c r="D73" t="s">
        <v>7556</v>
      </c>
      <c r="E73" t="s">
        <v>7442</v>
      </c>
      <c r="F73" t="s">
        <v>7462</v>
      </c>
      <c r="G73" t="s">
        <v>7556</v>
      </c>
      <c r="J73" s="189"/>
      <c r="L73" t="s">
        <v>7463</v>
      </c>
      <c r="M73" s="205">
        <v>0.29166666666666674</v>
      </c>
      <c r="N73" t="s">
        <v>7477</v>
      </c>
      <c r="O73" t="s">
        <v>7494</v>
      </c>
      <c r="S73">
        <f>IFERROR(VLOOKUP(E73,'VALORES VIAJES'!$A$2:$B$13,2,FALSE),"")</f>
        <v>160000</v>
      </c>
      <c r="T73" t="str">
        <f>IFERROR(VLOOKUP(H73,'VALORES VIAJES'!$A$2:$B$24,2,FALSE),"")</f>
        <v/>
      </c>
      <c r="U73" t="str">
        <f>IFERROR(VLOOKUP(I73,'VALORES VIAJES'!$A$2:$B$24,2,FALSE),"")</f>
        <v/>
      </c>
      <c r="V73" t="str">
        <f>IFERROR(VLOOKUP(K73,'VALORES VIAJES'!$A$2:$B$24,2,FALSE),"")</f>
        <v/>
      </c>
      <c r="X73" s="208">
        <f>SUM(Hoja1[[#This Row],[$ X TIP VEHICUL]:[AGREGADO]])</f>
        <v>160000</v>
      </c>
    </row>
    <row r="74" spans="1:24" s="211" customFormat="1" ht="15.75" hidden="1" thickBot="1" x14ac:dyDescent="0.3">
      <c r="A74" s="209">
        <v>73</v>
      </c>
      <c r="B74" s="210">
        <v>45349</v>
      </c>
      <c r="C74" s="211" t="s">
        <v>7461</v>
      </c>
      <c r="D74" s="211" t="s">
        <v>6883</v>
      </c>
      <c r="E74" s="211" t="s">
        <v>7443</v>
      </c>
      <c r="F74" s="211" t="s">
        <v>6954</v>
      </c>
      <c r="G74" s="211" t="s">
        <v>6883</v>
      </c>
      <c r="H74" s="211" t="s">
        <v>7434</v>
      </c>
      <c r="J74" s="210"/>
      <c r="L74" s="211" t="s">
        <v>7557</v>
      </c>
      <c r="M74" s="212">
        <v>0.33333333333333326</v>
      </c>
      <c r="N74" s="211" t="s">
        <v>7464</v>
      </c>
      <c r="O74" s="211" t="s">
        <v>7490</v>
      </c>
      <c r="Q74" s="211">
        <v>28341</v>
      </c>
      <c r="R74" s="211" t="s">
        <v>7558</v>
      </c>
      <c r="S74" s="211">
        <f>IFERROR(VLOOKUP(E74,'VALORES VIAJES'!$A$2:$B$13,2,FALSE),"")</f>
        <v>210000</v>
      </c>
      <c r="T74" s="211">
        <f>IFERROR(VLOOKUP(H74,'VALORES VIAJES'!$A$2:$B$24,2,FALSE),"")</f>
        <v>105000</v>
      </c>
      <c r="U74" s="211" t="str">
        <f>IFERROR(VLOOKUP(I74,'VALORES VIAJES'!$A$2:$B$24,2,FALSE),"")</f>
        <v/>
      </c>
      <c r="V74" s="211" t="str">
        <f>IFERROR(VLOOKUP(K74,'VALORES VIAJES'!$A$2:$B$24,2,FALSE),"")</f>
        <v/>
      </c>
      <c r="X74" s="207">
        <f>SUM(Hoja1[[#This Row],[$ X TIP VEHICUL]:[AGREGADO]])</f>
        <v>315000</v>
      </c>
    </row>
    <row r="75" spans="1:24" s="215" customFormat="1" ht="15.75" hidden="1" thickBot="1" x14ac:dyDescent="0.3">
      <c r="A75" s="213">
        <v>74</v>
      </c>
      <c r="B75" s="214">
        <v>45349</v>
      </c>
      <c r="C75" s="215" t="s">
        <v>7461</v>
      </c>
      <c r="D75" s="215" t="s">
        <v>6883</v>
      </c>
      <c r="E75" s="215" t="s">
        <v>7443</v>
      </c>
      <c r="F75" s="215" t="s">
        <v>6954</v>
      </c>
      <c r="G75" s="215" t="s">
        <v>6883</v>
      </c>
      <c r="J75" s="214"/>
      <c r="L75" s="215" t="s">
        <v>7559</v>
      </c>
      <c r="M75" s="216">
        <v>0.33333333333333326</v>
      </c>
      <c r="N75" s="215" t="s">
        <v>7480</v>
      </c>
      <c r="O75" s="215" t="s">
        <v>7465</v>
      </c>
      <c r="Q75" s="215">
        <v>16407</v>
      </c>
      <c r="R75" s="215" t="s">
        <v>7560</v>
      </c>
      <c r="S75" s="215">
        <f>IFERROR(VLOOKUP(E75,'VALORES VIAJES'!$A$2:$B$13,2,FALSE),"")</f>
        <v>210000</v>
      </c>
      <c r="T75" s="215" t="str">
        <f>IFERROR(VLOOKUP(H75,'VALORES VIAJES'!$A$2:$B$24,2,FALSE),"")</f>
        <v/>
      </c>
      <c r="U75" s="215" t="str">
        <f>IFERROR(VLOOKUP(I75,'VALORES VIAJES'!$A$2:$B$24,2,FALSE),"")</f>
        <v/>
      </c>
      <c r="V75" s="215" t="str">
        <f>IFERROR(VLOOKUP(K75,'VALORES VIAJES'!$A$2:$B$24,2,FALSE),"")</f>
        <v/>
      </c>
      <c r="X75" s="208">
        <f>SUM(Hoja1[[#This Row],[$ X TIP VEHICUL]:[AGREGADO]])</f>
        <v>210000</v>
      </c>
    </row>
    <row r="76" spans="1:24" s="215" customFormat="1" ht="15.75" hidden="1" thickBot="1" x14ac:dyDescent="0.3">
      <c r="A76" s="213">
        <v>75</v>
      </c>
      <c r="B76" s="214">
        <v>45349</v>
      </c>
      <c r="C76" s="215" t="s">
        <v>7461</v>
      </c>
      <c r="D76" s="215" t="s">
        <v>7495</v>
      </c>
      <c r="E76" s="215" t="s">
        <v>7443</v>
      </c>
      <c r="F76" s="215" t="s">
        <v>6954</v>
      </c>
      <c r="G76" s="215" t="s">
        <v>7495</v>
      </c>
      <c r="J76" s="214"/>
      <c r="L76" s="215" t="s">
        <v>7561</v>
      </c>
      <c r="M76" s="216">
        <v>0.33333333333333326</v>
      </c>
      <c r="N76" s="215" t="s">
        <v>7469</v>
      </c>
      <c r="O76" s="215" t="s">
        <v>7470</v>
      </c>
      <c r="Q76" s="215">
        <v>13207</v>
      </c>
      <c r="R76" s="215">
        <v>51250</v>
      </c>
      <c r="S76" s="215">
        <f>IFERROR(VLOOKUP(E76,'VALORES VIAJES'!$A$2:$B$13,2,FALSE),"")</f>
        <v>210000</v>
      </c>
      <c r="T76" s="215" t="str">
        <f>IFERROR(VLOOKUP(H76,'VALORES VIAJES'!$A$2:$B$24,2,FALSE),"")</f>
        <v/>
      </c>
      <c r="U76" s="215" t="str">
        <f>IFERROR(VLOOKUP(I76,'VALORES VIAJES'!$A$2:$B$24,2,FALSE),"")</f>
        <v/>
      </c>
      <c r="V76" s="215" t="str">
        <f>IFERROR(VLOOKUP(K76,'VALORES VIAJES'!$A$2:$B$24,2,FALSE),"")</f>
        <v/>
      </c>
      <c r="X76" s="208">
        <f>SUM(Hoja1[[#This Row],[$ X TIP VEHICUL]:[AGREGADO]])</f>
        <v>210000</v>
      </c>
    </row>
    <row r="77" spans="1:24" s="219" customFormat="1" ht="15.75" hidden="1" thickBot="1" x14ac:dyDescent="0.3">
      <c r="A77" s="217">
        <v>76</v>
      </c>
      <c r="B77" s="218">
        <v>45349</v>
      </c>
      <c r="C77" s="219" t="s">
        <v>7461</v>
      </c>
      <c r="D77" s="219" t="s">
        <v>7495</v>
      </c>
      <c r="E77" s="219" t="s">
        <v>7443</v>
      </c>
      <c r="F77" s="219" t="s">
        <v>6954</v>
      </c>
      <c r="G77" s="219" t="s">
        <v>7495</v>
      </c>
      <c r="J77" s="218"/>
      <c r="L77" s="219" t="s">
        <v>7562</v>
      </c>
      <c r="M77" s="220">
        <v>0.33333333333333326</v>
      </c>
      <c r="N77" s="219" t="s">
        <v>7504</v>
      </c>
      <c r="O77" s="219" t="s">
        <v>7505</v>
      </c>
      <c r="Q77" s="219">
        <v>13207</v>
      </c>
      <c r="R77" s="219" t="s">
        <v>7555</v>
      </c>
      <c r="S77" s="219">
        <f>IFERROR(VLOOKUP(E77,'VALORES VIAJES'!$A$2:$B$13,2,FALSE),"")</f>
        <v>210000</v>
      </c>
      <c r="T77" s="219" t="str">
        <f>IFERROR(VLOOKUP(H77,'VALORES VIAJES'!$A$2:$B$24,2,FALSE),"")</f>
        <v/>
      </c>
      <c r="U77" s="219" t="str">
        <f>IFERROR(VLOOKUP(I77,'VALORES VIAJES'!$A$2:$B$24,2,FALSE),"")</f>
        <v/>
      </c>
      <c r="V77" s="219" t="str">
        <f>IFERROR(VLOOKUP(K77,'VALORES VIAJES'!$A$2:$B$24,2,FALSE),"")</f>
        <v/>
      </c>
      <c r="X77" s="221">
        <f>SUM(Hoja1[[#This Row],[$ X TIP VEHICUL]:[AGREGADO]])</f>
        <v>210000</v>
      </c>
    </row>
    <row r="78" spans="1:24" ht="15.75" hidden="1" thickBot="1" x14ac:dyDescent="0.3">
      <c r="A78">
        <v>77</v>
      </c>
      <c r="B78" s="189">
        <v>45349</v>
      </c>
      <c r="C78" t="s">
        <v>7462</v>
      </c>
      <c r="D78" t="s">
        <v>7563</v>
      </c>
      <c r="E78" t="s">
        <v>7442</v>
      </c>
      <c r="F78" t="s">
        <v>7462</v>
      </c>
      <c r="G78" t="s">
        <v>7563</v>
      </c>
      <c r="J78" s="189"/>
      <c r="L78" t="s">
        <v>7463</v>
      </c>
      <c r="M78" s="205">
        <v>0.29166666666666674</v>
      </c>
      <c r="N78" t="s">
        <v>7477</v>
      </c>
      <c r="O78" t="s">
        <v>7494</v>
      </c>
      <c r="P78" t="s">
        <v>7550</v>
      </c>
      <c r="S78">
        <f>IFERROR(VLOOKUP(E78,'VALORES VIAJES'!$A$2:$B$13,2,FALSE),"")</f>
        <v>160000</v>
      </c>
      <c r="T78" t="str">
        <f>IFERROR(VLOOKUP(H78,'VALORES VIAJES'!$A$2:$B$24,2,FALSE),"")</f>
        <v/>
      </c>
      <c r="U78" t="str">
        <f>IFERROR(VLOOKUP(I78,'VALORES VIAJES'!$A$2:$B$24,2,FALSE),"")</f>
        <v/>
      </c>
      <c r="V78" t="str">
        <f>IFERROR(VLOOKUP(K78,'VALORES VIAJES'!$A$2:$B$24,2,FALSE),"")</f>
        <v/>
      </c>
      <c r="X78" s="208">
        <f>SUM(Hoja1[[#This Row],[$ X TIP VEHICUL]:[AGREGADO]])</f>
        <v>160000</v>
      </c>
    </row>
    <row r="79" spans="1:24" ht="15.75" hidden="1" thickBot="1" x14ac:dyDescent="0.3">
      <c r="A79">
        <v>78</v>
      </c>
      <c r="B79" s="189">
        <v>45350</v>
      </c>
      <c r="C79" t="s">
        <v>7462</v>
      </c>
      <c r="D79" t="s">
        <v>7564</v>
      </c>
      <c r="E79" t="s">
        <v>7444</v>
      </c>
      <c r="F79" t="s">
        <v>7565</v>
      </c>
      <c r="G79" t="s">
        <v>7566</v>
      </c>
      <c r="J79" s="189"/>
      <c r="L79" t="s">
        <v>7463</v>
      </c>
      <c r="M79" s="205">
        <v>0.375</v>
      </c>
      <c r="N79" t="s">
        <v>7469</v>
      </c>
      <c r="O79" t="s">
        <v>7470</v>
      </c>
      <c r="Q79">
        <v>800</v>
      </c>
      <c r="S79">
        <f>IFERROR(VLOOKUP(E79,'VALORES VIAJES'!$A$2:$B$13,2,FALSE),"")</f>
        <v>210000</v>
      </c>
      <c r="T79" t="str">
        <f>IFERROR(VLOOKUP(H79,'VALORES VIAJES'!$A$2:$B$24,2,FALSE),"")</f>
        <v/>
      </c>
      <c r="U79" t="str">
        <f>IFERROR(VLOOKUP(I79,'VALORES VIAJES'!$A$2:$B$24,2,FALSE),"")</f>
        <v/>
      </c>
      <c r="V79" t="str">
        <f>IFERROR(VLOOKUP(K79,'VALORES VIAJES'!$A$2:$B$24,2,FALSE),"")</f>
        <v/>
      </c>
      <c r="X79" s="208">
        <f>SUM(Hoja1[[#This Row],[$ X TIP VEHICUL]:[AGREGADO]])</f>
        <v>210000</v>
      </c>
    </row>
    <row r="80" spans="1:24" ht="15.75" hidden="1" thickBot="1" x14ac:dyDescent="0.3">
      <c r="A80">
        <v>79</v>
      </c>
      <c r="B80" s="189">
        <v>45350</v>
      </c>
      <c r="C80" t="s">
        <v>7461</v>
      </c>
      <c r="D80" t="s">
        <v>6883</v>
      </c>
      <c r="E80" t="s">
        <v>7441</v>
      </c>
      <c r="F80" t="s">
        <v>6954</v>
      </c>
      <c r="G80" t="s">
        <v>6883</v>
      </c>
      <c r="J80" s="189"/>
      <c r="L80" t="s">
        <v>7463</v>
      </c>
      <c r="M80" s="205">
        <v>0.33333333333333326</v>
      </c>
      <c r="N80" t="s">
        <v>7504</v>
      </c>
      <c r="O80" t="s">
        <v>7505</v>
      </c>
      <c r="Q80">
        <v>16407</v>
      </c>
      <c r="R80">
        <v>51250</v>
      </c>
      <c r="S80">
        <f>IFERROR(VLOOKUP(E80,'VALORES VIAJES'!$A$2:$B$13,2,FALSE),"")</f>
        <v>210000</v>
      </c>
      <c r="T80" t="str">
        <f>IFERROR(VLOOKUP(H80,'VALORES VIAJES'!$A$2:$B$24,2,FALSE),"")</f>
        <v/>
      </c>
      <c r="U80" t="str">
        <f>IFERROR(VLOOKUP(I80,'VALORES VIAJES'!$A$2:$B$24,2,FALSE),"")</f>
        <v/>
      </c>
      <c r="V80" t="str">
        <f>IFERROR(VLOOKUP(K80,'VALORES VIAJES'!$A$2:$B$24,2,FALSE),"")</f>
        <v/>
      </c>
      <c r="X80" s="208">
        <f>SUM(Hoja1[[#This Row],[$ X TIP VEHICUL]:[AGREGADO]])</f>
        <v>210000</v>
      </c>
    </row>
    <row r="81" spans="1:24" ht="15.75" hidden="1" thickBot="1" x14ac:dyDescent="0.3">
      <c r="A81">
        <v>80</v>
      </c>
      <c r="B81" s="189">
        <v>45350</v>
      </c>
      <c r="C81" t="s">
        <v>7461</v>
      </c>
      <c r="D81" t="s">
        <v>6883</v>
      </c>
      <c r="E81" t="s">
        <v>7441</v>
      </c>
      <c r="F81" t="s">
        <v>6954</v>
      </c>
      <c r="G81" t="s">
        <v>6883</v>
      </c>
      <c r="J81" s="189"/>
      <c r="L81" t="s">
        <v>7463</v>
      </c>
      <c r="M81" s="205">
        <v>0.33333333333333326</v>
      </c>
      <c r="N81" t="s">
        <v>7480</v>
      </c>
      <c r="O81" t="s">
        <v>7465</v>
      </c>
      <c r="Q81">
        <v>16407</v>
      </c>
      <c r="R81" t="s">
        <v>7555</v>
      </c>
      <c r="S81">
        <f>IFERROR(VLOOKUP(E81,'VALORES VIAJES'!$A$2:$B$13,2,FALSE),"")</f>
        <v>210000</v>
      </c>
      <c r="T81" t="str">
        <f>IFERROR(VLOOKUP(H81,'VALORES VIAJES'!$A$2:$B$24,2,FALSE),"")</f>
        <v/>
      </c>
      <c r="U81" t="str">
        <f>IFERROR(VLOOKUP(I81,'VALORES VIAJES'!$A$2:$B$24,2,FALSE),"")</f>
        <v/>
      </c>
      <c r="V81" t="str">
        <f>IFERROR(VLOOKUP(K81,'VALORES VIAJES'!$A$2:$B$24,2,FALSE),"")</f>
        <v/>
      </c>
      <c r="X81" s="208">
        <f>SUM(Hoja1[[#This Row],[$ X TIP VEHICUL]:[AGREGADO]])</f>
        <v>210000</v>
      </c>
    </row>
    <row r="82" spans="1:24" ht="15.75" hidden="1" thickBot="1" x14ac:dyDescent="0.3">
      <c r="A82">
        <v>81</v>
      </c>
      <c r="B82" s="189">
        <v>45350</v>
      </c>
      <c r="C82" t="s">
        <v>7461</v>
      </c>
      <c r="D82" t="s">
        <v>6896</v>
      </c>
      <c r="E82" t="s">
        <v>7443</v>
      </c>
      <c r="F82" t="s">
        <v>7484</v>
      </c>
      <c r="G82" t="s">
        <v>6896</v>
      </c>
      <c r="H82" t="s">
        <v>7433</v>
      </c>
      <c r="J82" s="189"/>
      <c r="L82" t="s">
        <v>7567</v>
      </c>
      <c r="M82" s="205">
        <v>0.45833333333333326</v>
      </c>
      <c r="N82" t="s">
        <v>7464</v>
      </c>
      <c r="O82" t="s">
        <v>7490</v>
      </c>
      <c r="Q82">
        <v>11640</v>
      </c>
      <c r="R82">
        <v>50614</v>
      </c>
      <c r="S82">
        <f>IFERROR(VLOOKUP(E82,'VALORES VIAJES'!$A$2:$B$13,2,FALSE),"")</f>
        <v>210000</v>
      </c>
      <c r="T82">
        <f>IFERROR(VLOOKUP(H82,'VALORES VIAJES'!$A$2:$B$24,2,FALSE),"")</f>
        <v>210000</v>
      </c>
      <c r="U82" t="str">
        <f>IFERROR(VLOOKUP(I82,'VALORES VIAJES'!$A$2:$B$24,2,FALSE),"")</f>
        <v/>
      </c>
      <c r="V82" t="str">
        <f>IFERROR(VLOOKUP(K82,'VALORES VIAJES'!$A$2:$B$24,2,FALSE),"")</f>
        <v/>
      </c>
      <c r="X82" s="208">
        <f>SUM(Hoja1[[#This Row],[$ X TIP VEHICUL]:[AGREGADO]])</f>
        <v>420000</v>
      </c>
    </row>
    <row r="83" spans="1:24" ht="15.75" hidden="1" thickBot="1" x14ac:dyDescent="0.3">
      <c r="A83">
        <v>82</v>
      </c>
      <c r="B83" s="189">
        <v>45351</v>
      </c>
      <c r="C83" t="s">
        <v>7481</v>
      </c>
      <c r="D83" t="s">
        <v>7481</v>
      </c>
      <c r="E83" t="s">
        <v>7443</v>
      </c>
      <c r="F83" t="s">
        <v>7484</v>
      </c>
      <c r="G83" t="s">
        <v>7503</v>
      </c>
      <c r="H83" t="s">
        <v>7433</v>
      </c>
      <c r="J83" s="189">
        <v>45352</v>
      </c>
      <c r="M83" s="205">
        <v>0.66666666666666674</v>
      </c>
      <c r="N83" t="s">
        <v>7464</v>
      </c>
      <c r="O83" t="s">
        <v>7490</v>
      </c>
      <c r="Q83">
        <v>20367</v>
      </c>
      <c r="R83">
        <v>18435</v>
      </c>
      <c r="S83">
        <f>IFERROR(VLOOKUP(E83,'VALORES VIAJES'!$A$2:$B$13,2,FALSE),"")</f>
        <v>210000</v>
      </c>
      <c r="T83">
        <f>IFERROR(VLOOKUP(H83,'VALORES VIAJES'!$A$2:$B$24,2,FALSE),"")</f>
        <v>210000</v>
      </c>
      <c r="U83" t="str">
        <f>IFERROR(VLOOKUP(I83,'VALORES VIAJES'!$A$2:$B$24,2,FALSE),"")</f>
        <v/>
      </c>
      <c r="V83" t="str">
        <f>IFERROR(VLOOKUP(K83,'VALORES VIAJES'!$A$2:$B$24,2,FALSE),"")</f>
        <v/>
      </c>
      <c r="X83" s="208">
        <f>SUM(Hoja1[[#This Row],[$ X TIP VEHICUL]:[AGREGADO]])</f>
        <v>420000</v>
      </c>
    </row>
    <row r="84" spans="1:24" ht="15.75" hidden="1" thickBot="1" x14ac:dyDescent="0.3">
      <c r="A84">
        <v>83</v>
      </c>
      <c r="B84" s="189">
        <v>45351</v>
      </c>
      <c r="C84" t="s">
        <v>7481</v>
      </c>
      <c r="D84" t="s">
        <v>7481</v>
      </c>
      <c r="E84" t="s">
        <v>7443</v>
      </c>
      <c r="F84" t="s">
        <v>7484</v>
      </c>
      <c r="G84" t="s">
        <v>7503</v>
      </c>
      <c r="H84" t="s">
        <v>7437</v>
      </c>
      <c r="J84" s="189">
        <v>45355</v>
      </c>
      <c r="M84" s="205">
        <v>0.66666666666666674</v>
      </c>
      <c r="N84" t="s">
        <v>7480</v>
      </c>
      <c r="O84" t="s">
        <v>7465</v>
      </c>
      <c r="Q84">
        <v>20367</v>
      </c>
      <c r="R84">
        <v>18433</v>
      </c>
      <c r="S84">
        <f>IFERROR(VLOOKUP(E84,'VALORES VIAJES'!$A$2:$B$13,2,FALSE),"")</f>
        <v>210000</v>
      </c>
      <c r="T84">
        <f>IFERROR(VLOOKUP(H84,'VALORES VIAJES'!$A$2:$B$24,2,FALSE),"")</f>
        <v>420000</v>
      </c>
      <c r="U84" t="str">
        <f>IFERROR(VLOOKUP(I84,'VALORES VIAJES'!$A$2:$B$24,2,FALSE),"")</f>
        <v/>
      </c>
      <c r="V84" t="str">
        <f>IFERROR(VLOOKUP(K84,'VALORES VIAJES'!$A$2:$B$24,2,FALSE),"")</f>
        <v/>
      </c>
      <c r="X84" s="208">
        <f>SUM(Hoja1[[#This Row],[$ X TIP VEHICUL]:[AGREGADO]])</f>
        <v>630000</v>
      </c>
    </row>
    <row r="85" spans="1:24" ht="15.75" hidden="1" thickBot="1" x14ac:dyDescent="0.3">
      <c r="A85">
        <v>84</v>
      </c>
      <c r="B85" s="189">
        <v>45351</v>
      </c>
      <c r="C85" t="s">
        <v>7481</v>
      </c>
      <c r="D85" t="s">
        <v>7481</v>
      </c>
      <c r="E85" t="s">
        <v>7443</v>
      </c>
      <c r="F85" t="s">
        <v>7484</v>
      </c>
      <c r="G85" t="s">
        <v>7503</v>
      </c>
      <c r="H85" t="s">
        <v>7437</v>
      </c>
      <c r="J85" s="189">
        <v>45355</v>
      </c>
      <c r="M85" s="205">
        <v>0.66666666666666674</v>
      </c>
      <c r="N85" t="s">
        <v>7504</v>
      </c>
      <c r="O85" t="s">
        <v>7505</v>
      </c>
      <c r="Q85">
        <v>20367</v>
      </c>
      <c r="R85">
        <v>18434</v>
      </c>
      <c r="S85">
        <f>IFERROR(VLOOKUP(E85,'VALORES VIAJES'!$A$2:$B$13,2,FALSE),"")</f>
        <v>210000</v>
      </c>
      <c r="T85">
        <f>IFERROR(VLOOKUP(H85,'VALORES VIAJES'!$A$2:$B$24,2,FALSE),"")</f>
        <v>420000</v>
      </c>
      <c r="U85" t="str">
        <f>IFERROR(VLOOKUP(I85,'VALORES VIAJES'!$A$2:$B$24,2,FALSE),"")</f>
        <v/>
      </c>
      <c r="V85" t="str">
        <f>IFERROR(VLOOKUP(K85,'VALORES VIAJES'!$A$2:$B$24,2,FALSE),"")</f>
        <v/>
      </c>
      <c r="X85" s="208">
        <f>SUM(Hoja1[[#This Row],[$ X TIP VEHICUL]:[AGREGADO]])</f>
        <v>630000</v>
      </c>
    </row>
    <row r="86" spans="1:24" ht="15.75" hidden="1" thickBot="1" x14ac:dyDescent="0.3">
      <c r="A86">
        <v>85</v>
      </c>
      <c r="B86" s="189">
        <v>45351</v>
      </c>
      <c r="C86" t="s">
        <v>7481</v>
      </c>
      <c r="D86" t="s">
        <v>7481</v>
      </c>
      <c r="E86" t="s">
        <v>7443</v>
      </c>
      <c r="F86" t="s">
        <v>7484</v>
      </c>
      <c r="G86" t="s">
        <v>7482</v>
      </c>
      <c r="H86" t="s">
        <v>7433</v>
      </c>
      <c r="J86" s="189">
        <v>45352</v>
      </c>
      <c r="K86" t="s">
        <v>7440</v>
      </c>
      <c r="M86" s="205">
        <v>0.75</v>
      </c>
      <c r="N86" t="s">
        <v>7469</v>
      </c>
      <c r="O86" t="s">
        <v>7470</v>
      </c>
      <c r="Q86">
        <v>20367</v>
      </c>
      <c r="R86">
        <v>18430</v>
      </c>
      <c r="S86">
        <f>IFERROR(VLOOKUP(E86,'VALORES VIAJES'!$A$2:$B$13,2,FALSE),"")</f>
        <v>210000</v>
      </c>
      <c r="T86">
        <f>IFERROR(VLOOKUP(H86,'VALORES VIAJES'!$A$2:$B$24,2,FALSE),"")</f>
        <v>210000</v>
      </c>
      <c r="U86" t="str">
        <f>IFERROR(VLOOKUP(I86,'VALORES VIAJES'!$A$2:$B$24,2,FALSE),"")</f>
        <v/>
      </c>
      <c r="V86">
        <f>IFERROR(VLOOKUP(K86,'VALORES VIAJES'!$A$2:$B$24,2,FALSE),"")</f>
        <v>95000</v>
      </c>
      <c r="X86" s="208">
        <f>SUM(Hoja1[[#This Row],[$ X TIP VEHICUL]:[AGREGADO]])</f>
        <v>515000</v>
      </c>
    </row>
    <row r="87" spans="1:24" ht="15.75" hidden="1" thickBot="1" x14ac:dyDescent="0.3">
      <c r="A87">
        <v>86</v>
      </c>
      <c r="B87" s="189">
        <v>45351</v>
      </c>
      <c r="C87" t="s">
        <v>7466</v>
      </c>
      <c r="D87" t="s">
        <v>3562</v>
      </c>
      <c r="E87" t="s">
        <v>7443</v>
      </c>
      <c r="F87" t="s">
        <v>6945</v>
      </c>
      <c r="G87" t="s">
        <v>6954</v>
      </c>
      <c r="J87" s="189"/>
      <c r="L87" t="s">
        <v>7568</v>
      </c>
      <c r="M87" s="205">
        <v>0.45833333333333326</v>
      </c>
      <c r="N87" t="s">
        <v>7480</v>
      </c>
      <c r="O87" t="s">
        <v>7465</v>
      </c>
      <c r="Q87">
        <v>23454</v>
      </c>
      <c r="R87" t="s">
        <v>7463</v>
      </c>
      <c r="S87">
        <f>IFERROR(VLOOKUP(E87,'VALORES VIAJES'!$A$2:$B$13,2,FALSE),"")</f>
        <v>210000</v>
      </c>
      <c r="T87" t="str">
        <f>IFERROR(VLOOKUP(H87,'VALORES VIAJES'!$A$2:$B$24,2,FALSE),"")</f>
        <v/>
      </c>
      <c r="U87" t="str">
        <f>IFERROR(VLOOKUP(I87,'VALORES VIAJES'!$A$2:$B$24,2,FALSE),"")</f>
        <v/>
      </c>
      <c r="V87" t="str">
        <f>IFERROR(VLOOKUP(K87,'VALORES VIAJES'!$A$2:$B$24,2,FALSE),"")</f>
        <v/>
      </c>
      <c r="X87" s="208">
        <f>SUM(Hoja1[[#This Row],[$ X TIP VEHICUL]:[AGREGADO]])</f>
        <v>210000</v>
      </c>
    </row>
    <row r="88" spans="1:24" ht="15.75" hidden="1" thickBot="1" x14ac:dyDescent="0.3">
      <c r="A88">
        <v>87</v>
      </c>
      <c r="B88" s="189">
        <v>45351</v>
      </c>
      <c r="C88" t="s">
        <v>7466</v>
      </c>
      <c r="D88" t="s">
        <v>3562</v>
      </c>
      <c r="E88" t="s">
        <v>7443</v>
      </c>
      <c r="F88" t="s">
        <v>6945</v>
      </c>
      <c r="G88" t="s">
        <v>6954</v>
      </c>
      <c r="J88" s="189"/>
      <c r="L88" t="s">
        <v>7569</v>
      </c>
      <c r="M88" s="205">
        <v>0.45833333333333326</v>
      </c>
      <c r="N88" t="s">
        <v>7504</v>
      </c>
      <c r="O88" t="s">
        <v>7505</v>
      </c>
      <c r="Q88">
        <v>23454</v>
      </c>
      <c r="R88" t="s">
        <v>7463</v>
      </c>
      <c r="S88">
        <f>IFERROR(VLOOKUP(E88,'VALORES VIAJES'!$A$2:$B$13,2,FALSE),"")</f>
        <v>210000</v>
      </c>
      <c r="T88" t="str">
        <f>IFERROR(VLOOKUP(H88,'VALORES VIAJES'!$A$2:$B$24,2,FALSE),"")</f>
        <v/>
      </c>
      <c r="U88" t="str">
        <f>IFERROR(VLOOKUP(I88,'VALORES VIAJES'!$A$2:$B$24,2,FALSE),"")</f>
        <v/>
      </c>
      <c r="V88" t="str">
        <f>IFERROR(VLOOKUP(K88,'VALORES VIAJES'!$A$2:$B$24,2,FALSE),"")</f>
        <v/>
      </c>
      <c r="X88" s="208">
        <f>SUM(Hoja1[[#This Row],[$ X TIP VEHICUL]:[AGREGADO]])</f>
        <v>210000</v>
      </c>
    </row>
    <row r="89" spans="1:24" ht="15.75" hidden="1" thickBot="1" x14ac:dyDescent="0.3">
      <c r="A89">
        <v>88</v>
      </c>
      <c r="B89" s="189">
        <v>45351</v>
      </c>
      <c r="C89" t="s">
        <v>7466</v>
      </c>
      <c r="D89" t="s">
        <v>3562</v>
      </c>
      <c r="E89" t="s">
        <v>7443</v>
      </c>
      <c r="F89" t="s">
        <v>6945</v>
      </c>
      <c r="G89" t="s">
        <v>6954</v>
      </c>
      <c r="J89" s="189"/>
      <c r="L89" t="s">
        <v>7570</v>
      </c>
      <c r="M89" s="205">
        <v>0.45833333333333326</v>
      </c>
      <c r="N89" t="s">
        <v>7469</v>
      </c>
      <c r="O89" t="s">
        <v>7470</v>
      </c>
      <c r="Q89">
        <v>23454</v>
      </c>
      <c r="R89" t="s">
        <v>7463</v>
      </c>
      <c r="S89">
        <f>IFERROR(VLOOKUP(E89,'VALORES VIAJES'!$A$2:$B$13,2,FALSE),"")</f>
        <v>210000</v>
      </c>
      <c r="T89" t="str">
        <f>IFERROR(VLOOKUP(H89,'VALORES VIAJES'!$A$2:$B$24,2,FALSE),"")</f>
        <v/>
      </c>
      <c r="U89" t="str">
        <f>IFERROR(VLOOKUP(I89,'VALORES VIAJES'!$A$2:$B$24,2,FALSE),"")</f>
        <v/>
      </c>
      <c r="V89" t="str">
        <f>IFERROR(VLOOKUP(K89,'VALORES VIAJES'!$A$2:$B$24,2,FALSE),"")</f>
        <v/>
      </c>
      <c r="X89" s="208">
        <f>SUM(Hoja1[[#This Row],[$ X TIP VEHICUL]:[AGREGADO]])</f>
        <v>210000</v>
      </c>
    </row>
    <row r="90" spans="1:24" ht="15.75" hidden="1" thickBot="1" x14ac:dyDescent="0.3">
      <c r="A90">
        <v>89</v>
      </c>
      <c r="B90" s="189">
        <v>45351</v>
      </c>
      <c r="C90" t="s">
        <v>7461</v>
      </c>
      <c r="D90" t="s">
        <v>7498</v>
      </c>
      <c r="E90" t="s">
        <v>7442</v>
      </c>
      <c r="F90" t="s">
        <v>6954</v>
      </c>
      <c r="G90" t="s">
        <v>7498</v>
      </c>
      <c r="J90" s="189"/>
      <c r="M90" s="205">
        <v>0.375</v>
      </c>
      <c r="N90" t="s">
        <v>7477</v>
      </c>
      <c r="O90" t="s">
        <v>7494</v>
      </c>
      <c r="Q90">
        <v>6332</v>
      </c>
      <c r="R90">
        <v>50991</v>
      </c>
      <c r="S90">
        <f>IFERROR(VLOOKUP(E90,'VALORES VIAJES'!$A$2:$B$13,2,FALSE),"")</f>
        <v>160000</v>
      </c>
      <c r="T90" t="str">
        <f>IFERROR(VLOOKUP(H90,'VALORES VIAJES'!$A$2:$B$24,2,FALSE),"")</f>
        <v/>
      </c>
      <c r="U90" t="str">
        <f>IFERROR(VLOOKUP(I90,'VALORES VIAJES'!$A$2:$B$24,2,FALSE),"")</f>
        <v/>
      </c>
      <c r="V90" t="str">
        <f>IFERROR(VLOOKUP(K90,'VALORES VIAJES'!$A$2:$B$24,2,FALSE),"")</f>
        <v/>
      </c>
      <c r="X90" s="208">
        <f>SUM(Hoja1[[#This Row],[$ X TIP VEHICUL]:[AGREGADO]])</f>
        <v>160000</v>
      </c>
    </row>
    <row r="91" spans="1:24" ht="15.75" hidden="1" thickBot="1" x14ac:dyDescent="0.3">
      <c r="A91">
        <v>90</v>
      </c>
      <c r="B91" s="189">
        <v>45352</v>
      </c>
      <c r="C91" t="s">
        <v>7481</v>
      </c>
      <c r="D91" t="s">
        <v>7481</v>
      </c>
      <c r="E91" t="s">
        <v>7443</v>
      </c>
      <c r="F91" t="s">
        <v>6945</v>
      </c>
      <c r="G91" t="s">
        <v>7482</v>
      </c>
      <c r="H91" t="s">
        <v>7437</v>
      </c>
      <c r="J91" s="189">
        <v>45356</v>
      </c>
      <c r="K91" t="s">
        <v>7440</v>
      </c>
      <c r="L91" t="s">
        <v>7571</v>
      </c>
      <c r="M91" s="205">
        <v>0.70833333333333326</v>
      </c>
      <c r="N91" t="s">
        <v>7469</v>
      </c>
      <c r="O91" t="s">
        <v>7470</v>
      </c>
      <c r="Q91">
        <v>29061</v>
      </c>
      <c r="R91">
        <v>18437</v>
      </c>
      <c r="S91">
        <f>IFERROR(VLOOKUP(E91,'VALORES VIAJES'!$A$2:$B$13,2,FALSE),"")</f>
        <v>210000</v>
      </c>
      <c r="T91">
        <f>IFERROR(VLOOKUP(H91,'VALORES VIAJES'!$A$2:$B$24,2,FALSE),"")</f>
        <v>420000</v>
      </c>
      <c r="U91" t="str">
        <f>IFERROR(VLOOKUP(I91,'VALORES VIAJES'!$A$2:$B$24,2,FALSE),"")</f>
        <v/>
      </c>
      <c r="V91">
        <f>IFERROR(VLOOKUP(K91,'VALORES VIAJES'!$A$2:$B$24,2,FALSE),"")</f>
        <v>95000</v>
      </c>
      <c r="X91" s="208">
        <f>SUM(Hoja1[[#This Row],[$ X TIP VEHICUL]:[AGREGADO]])</f>
        <v>725000</v>
      </c>
    </row>
    <row r="92" spans="1:24" ht="15.75" hidden="1" thickBot="1" x14ac:dyDescent="0.3">
      <c r="A92">
        <v>91</v>
      </c>
      <c r="B92" s="189">
        <v>45352</v>
      </c>
      <c r="C92" t="s">
        <v>7481</v>
      </c>
      <c r="D92" t="s">
        <v>7481</v>
      </c>
      <c r="E92" t="s">
        <v>7443</v>
      </c>
      <c r="F92" t="s">
        <v>6945</v>
      </c>
      <c r="G92" t="s">
        <v>7482</v>
      </c>
      <c r="H92" t="s">
        <v>7433</v>
      </c>
      <c r="I92" t="s">
        <v>7434</v>
      </c>
      <c r="J92" s="189">
        <v>45355</v>
      </c>
      <c r="K92" t="s">
        <v>7440</v>
      </c>
      <c r="L92" t="s">
        <v>7572</v>
      </c>
      <c r="M92" s="205">
        <v>0.70833333333333326</v>
      </c>
      <c r="N92" t="s">
        <v>7464</v>
      </c>
      <c r="O92" t="s">
        <v>7490</v>
      </c>
      <c r="Q92">
        <v>29061</v>
      </c>
      <c r="R92">
        <v>18438</v>
      </c>
      <c r="S92">
        <f>IFERROR(VLOOKUP(E92,'VALORES VIAJES'!$A$2:$B$13,2,FALSE),"")</f>
        <v>210000</v>
      </c>
      <c r="T92">
        <f>IFERROR(VLOOKUP(H92,'VALORES VIAJES'!$A$2:$B$24,2,FALSE),"")</f>
        <v>210000</v>
      </c>
      <c r="U92">
        <f>IFERROR(VLOOKUP(I92,'VALORES VIAJES'!$A$2:$B$24,2,FALSE),"")</f>
        <v>105000</v>
      </c>
      <c r="V92">
        <f>IFERROR(VLOOKUP(K92,'VALORES VIAJES'!$A$2:$B$24,2,FALSE),"")</f>
        <v>95000</v>
      </c>
      <c r="X92" s="208">
        <f>SUM(Hoja1[[#This Row],[$ X TIP VEHICUL]:[AGREGADO]])</f>
        <v>620000</v>
      </c>
    </row>
    <row r="93" spans="1:24" s="211" customFormat="1" x14ac:dyDescent="0.25">
      <c r="A93" s="209">
        <v>92</v>
      </c>
      <c r="B93" s="210">
        <v>45352</v>
      </c>
      <c r="C93" s="211" t="s">
        <v>7461</v>
      </c>
      <c r="D93" s="211" t="s">
        <v>6906</v>
      </c>
      <c r="E93" s="211" t="s">
        <v>7441</v>
      </c>
      <c r="F93" s="211" t="s">
        <v>6954</v>
      </c>
      <c r="G93" s="211" t="s">
        <v>6906</v>
      </c>
      <c r="J93" s="210"/>
      <c r="L93" s="211" t="s">
        <v>7463</v>
      </c>
      <c r="M93" s="212">
        <v>0.33333333333333326</v>
      </c>
      <c r="N93" s="211" t="s">
        <v>7504</v>
      </c>
      <c r="O93" s="211" t="s">
        <v>7505</v>
      </c>
      <c r="Q93" s="211">
        <v>6400</v>
      </c>
      <c r="R93" s="211">
        <v>50955</v>
      </c>
      <c r="S93" s="211">
        <f>IFERROR(VLOOKUP(E93,'VALORES VIAJES'!$A$2:$B$13,2,FALSE),"")</f>
        <v>210000</v>
      </c>
      <c r="T93" s="211" t="str">
        <f>IFERROR(VLOOKUP(H93,'VALORES VIAJES'!$A$2:$B$24,2,FALSE),"")</f>
        <v/>
      </c>
      <c r="U93" s="211" t="str">
        <f>IFERROR(VLOOKUP(I93,'VALORES VIAJES'!$A$2:$B$24,2,FALSE),"")</f>
        <v/>
      </c>
      <c r="V93" s="211" t="str">
        <f>IFERROR(VLOOKUP(K93,'VALORES VIAJES'!$A$2:$B$24,2,FALSE),"")</f>
        <v/>
      </c>
      <c r="X93" s="211">
        <f>SUM(Hoja1[[#This Row],[$ X TIP VEHICUL]:[AGREGADO]])</f>
        <v>210000</v>
      </c>
    </row>
    <row r="94" spans="1:24" s="215" customFormat="1" x14ac:dyDescent="0.25">
      <c r="A94" s="213">
        <v>93</v>
      </c>
      <c r="B94" s="214">
        <v>45352</v>
      </c>
      <c r="C94" s="215" t="s">
        <v>7461</v>
      </c>
      <c r="D94" s="215" t="s">
        <v>7498</v>
      </c>
      <c r="E94" s="215" t="s">
        <v>7441</v>
      </c>
      <c r="F94" s="215" t="s">
        <v>6954</v>
      </c>
      <c r="G94" s="215" t="s">
        <v>7498</v>
      </c>
      <c r="J94" s="214"/>
      <c r="L94" s="215" t="s">
        <v>7463</v>
      </c>
      <c r="M94" s="216">
        <v>0.33333333333333326</v>
      </c>
      <c r="N94" s="215" t="s">
        <v>7480</v>
      </c>
      <c r="O94" s="215" t="s">
        <v>7465</v>
      </c>
      <c r="Q94" s="215">
        <v>13207</v>
      </c>
      <c r="R94" s="215">
        <v>50959</v>
      </c>
      <c r="S94" s="215">
        <f>IFERROR(VLOOKUP(E94,'VALORES VIAJES'!$A$2:$B$13,2,FALSE),"")</f>
        <v>210000</v>
      </c>
      <c r="T94" s="215" t="str">
        <f>IFERROR(VLOOKUP(H94,'VALORES VIAJES'!$A$2:$B$24,2,FALSE),"")</f>
        <v/>
      </c>
      <c r="U94" s="215" t="str">
        <f>IFERROR(VLOOKUP(I94,'VALORES VIAJES'!$A$2:$B$24,2,FALSE),"")</f>
        <v/>
      </c>
      <c r="V94" s="215" t="str">
        <f>IFERROR(VLOOKUP(K94,'VALORES VIAJES'!$A$2:$B$24,2,FALSE),"")</f>
        <v/>
      </c>
      <c r="X94" s="215">
        <f>SUM(Hoja1[[#This Row],[$ X TIP VEHICUL]:[AGREGADO]])</f>
        <v>210000</v>
      </c>
    </row>
    <row r="95" spans="1:24" s="219" customFormat="1" ht="15.75" thickBot="1" x14ac:dyDescent="0.3">
      <c r="A95" s="217">
        <v>94</v>
      </c>
      <c r="B95" s="218">
        <v>45352</v>
      </c>
      <c r="C95" s="219" t="s">
        <v>7461</v>
      </c>
      <c r="D95" s="219" t="s">
        <v>7573</v>
      </c>
      <c r="E95" s="219" t="s">
        <v>7442</v>
      </c>
      <c r="F95" s="219" t="s">
        <v>6958</v>
      </c>
      <c r="G95" s="219" t="s">
        <v>7573</v>
      </c>
      <c r="J95" s="218"/>
      <c r="L95" s="219" t="s">
        <v>7463</v>
      </c>
      <c r="M95" s="220">
        <v>0.33333333333333326</v>
      </c>
      <c r="N95" s="219" t="s">
        <v>7477</v>
      </c>
      <c r="O95" s="219" t="s">
        <v>7494</v>
      </c>
      <c r="R95" s="219">
        <v>33807</v>
      </c>
      <c r="S95" s="219">
        <f>IFERROR(VLOOKUP(E95,'VALORES VIAJES'!$A$2:$B$13,2,FALSE),"")</f>
        <v>160000</v>
      </c>
      <c r="T95" s="219" t="str">
        <f>IFERROR(VLOOKUP(H95,'VALORES VIAJES'!$A$2:$B$24,2,FALSE),"")</f>
        <v/>
      </c>
      <c r="U95" s="219" t="str">
        <f>IFERROR(VLOOKUP(I95,'VALORES VIAJES'!$A$2:$B$24,2,FALSE),"")</f>
        <v/>
      </c>
      <c r="V95" s="219" t="str">
        <f>IFERROR(VLOOKUP(K95,'VALORES VIAJES'!$A$2:$B$24,2,FALSE),"")</f>
        <v/>
      </c>
      <c r="X95" s="219">
        <f>SUM(Hoja1[[#This Row],[$ X TIP VEHICUL]:[AGREGADO]])</f>
        <v>160000</v>
      </c>
    </row>
    <row r="96" spans="1:24" ht="15.75" hidden="1" thickBot="1" x14ac:dyDescent="0.3">
      <c r="A96">
        <v>95</v>
      </c>
      <c r="B96" s="189">
        <v>45352</v>
      </c>
      <c r="C96" t="s">
        <v>7462</v>
      </c>
      <c r="D96" t="s">
        <v>7574</v>
      </c>
      <c r="E96" t="s">
        <v>7442</v>
      </c>
      <c r="F96" t="s">
        <v>7462</v>
      </c>
      <c r="G96" t="s">
        <v>7574</v>
      </c>
      <c r="J96" s="189"/>
      <c r="L96" t="s">
        <v>7463</v>
      </c>
      <c r="M96" s="205">
        <v>0.29166666666666674</v>
      </c>
      <c r="N96" t="s">
        <v>7511</v>
      </c>
      <c r="O96" t="s">
        <v>7512</v>
      </c>
      <c r="S96">
        <f>IFERROR(VLOOKUP(E96,'VALORES VIAJES'!$A$2:$B$13,2,FALSE),"")</f>
        <v>160000</v>
      </c>
      <c r="T96" t="str">
        <f>IFERROR(VLOOKUP(H96,'VALORES VIAJES'!$A$2:$B$24,2,FALSE),"")</f>
        <v/>
      </c>
      <c r="U96" t="str">
        <f>IFERROR(VLOOKUP(I96,'VALORES VIAJES'!$A$2:$B$24,2,FALSE),"")</f>
        <v/>
      </c>
      <c r="V96" t="str">
        <f>IFERROR(VLOOKUP(K96,'VALORES VIAJES'!$A$2:$B$24,2,FALSE),"")</f>
        <v/>
      </c>
      <c r="X96" s="208">
        <f>SUM(Hoja1[[#This Row],[$ X TIP VEHICUL]:[AGREGADO]])</f>
        <v>160000</v>
      </c>
    </row>
    <row r="97" spans="1:24" ht="15.75" hidden="1" thickBot="1" x14ac:dyDescent="0.3">
      <c r="A97">
        <v>96</v>
      </c>
      <c r="B97" s="189">
        <v>45355</v>
      </c>
      <c r="C97" t="s">
        <v>7481</v>
      </c>
      <c r="D97" t="s">
        <v>7481</v>
      </c>
      <c r="E97" t="s">
        <v>7441</v>
      </c>
      <c r="F97" t="s">
        <v>7503</v>
      </c>
      <c r="G97" t="s">
        <v>7482</v>
      </c>
      <c r="J97" s="189"/>
      <c r="L97" t="s">
        <v>7463</v>
      </c>
      <c r="M97" s="205">
        <v>0.33333333333333326</v>
      </c>
      <c r="N97" t="s">
        <v>7469</v>
      </c>
      <c r="O97" t="s">
        <v>7470</v>
      </c>
      <c r="Q97">
        <v>5600</v>
      </c>
      <c r="R97" t="s">
        <v>7506</v>
      </c>
      <c r="S97">
        <f>IFERROR(VLOOKUP(E97,'VALORES VIAJES'!$A$2:$B$13,2,FALSE),"")</f>
        <v>210000</v>
      </c>
      <c r="T97" t="str">
        <f>IFERROR(VLOOKUP(H97,'VALORES VIAJES'!$A$2:$B$24,2,FALSE),"")</f>
        <v/>
      </c>
      <c r="U97" t="str">
        <f>IFERROR(VLOOKUP(I97,'VALORES VIAJES'!$A$2:$B$24,2,FALSE),"")</f>
        <v/>
      </c>
      <c r="V97" t="str">
        <f>IFERROR(VLOOKUP(K97,'VALORES VIAJES'!$A$2:$B$24,2,FALSE),"")</f>
        <v/>
      </c>
      <c r="X97" s="208">
        <f>SUM(Hoja1[[#This Row],[$ X TIP VEHICUL]:[AGREGADO]])</f>
        <v>210000</v>
      </c>
    </row>
    <row r="98" spans="1:24" ht="15.75" hidden="1" thickBot="1" x14ac:dyDescent="0.3">
      <c r="A98">
        <v>97</v>
      </c>
      <c r="B98" s="189">
        <v>45355</v>
      </c>
      <c r="C98" t="s">
        <v>7481</v>
      </c>
      <c r="D98" t="s">
        <v>7481</v>
      </c>
      <c r="E98" t="s">
        <v>7441</v>
      </c>
      <c r="F98" t="s">
        <v>7503</v>
      </c>
      <c r="G98" t="s">
        <v>7482</v>
      </c>
      <c r="J98" s="189"/>
      <c r="L98" t="s">
        <v>7463</v>
      </c>
      <c r="M98" s="205">
        <v>0.5</v>
      </c>
      <c r="N98" t="s">
        <v>7469</v>
      </c>
      <c r="O98" t="s">
        <v>7470</v>
      </c>
      <c r="Q98">
        <v>5600</v>
      </c>
      <c r="R98" t="s">
        <v>7506</v>
      </c>
      <c r="S98">
        <f>IFERROR(VLOOKUP(E98,'VALORES VIAJES'!$A$2:$B$13,2,FALSE),"")</f>
        <v>210000</v>
      </c>
      <c r="T98" t="str">
        <f>IFERROR(VLOOKUP(H98,'VALORES VIAJES'!$A$2:$B$24,2,FALSE),"")</f>
        <v/>
      </c>
      <c r="U98" t="str">
        <f>IFERROR(VLOOKUP(I98,'VALORES VIAJES'!$A$2:$B$24,2,FALSE),"")</f>
        <v/>
      </c>
      <c r="V98" t="str">
        <f>IFERROR(VLOOKUP(K98,'VALORES VIAJES'!$A$2:$B$24,2,FALSE),"")</f>
        <v/>
      </c>
      <c r="X98" s="208">
        <f>SUM(Hoja1[[#This Row],[$ X TIP VEHICUL]:[AGREGADO]])</f>
        <v>210000</v>
      </c>
    </row>
    <row r="99" spans="1:24" s="234" customFormat="1" ht="15.75" thickBot="1" x14ac:dyDescent="0.3">
      <c r="A99" s="232">
        <v>98</v>
      </c>
      <c r="B99" s="233">
        <v>45355</v>
      </c>
      <c r="C99" s="234" t="s">
        <v>7461</v>
      </c>
      <c r="D99" s="234" t="s">
        <v>6906</v>
      </c>
      <c r="E99" s="234" t="s">
        <v>7441</v>
      </c>
      <c r="F99" s="234" t="s">
        <v>6954</v>
      </c>
      <c r="G99" s="234" t="s">
        <v>7462</v>
      </c>
      <c r="H99" s="234" t="s">
        <v>7433</v>
      </c>
      <c r="J99" s="233"/>
      <c r="L99" s="234" t="s">
        <v>7463</v>
      </c>
      <c r="M99" s="235">
        <v>0.58333333333333326</v>
      </c>
      <c r="N99" s="234" t="s">
        <v>7477</v>
      </c>
      <c r="O99" s="234" t="s">
        <v>7478</v>
      </c>
      <c r="Q99" s="234">
        <v>5600</v>
      </c>
      <c r="R99" s="234">
        <v>50971</v>
      </c>
      <c r="S99" s="234">
        <f>IFERROR(VLOOKUP(E99,'VALORES VIAJES'!$A$2:$B$13,2,FALSE),"")</f>
        <v>210000</v>
      </c>
      <c r="T99" s="234">
        <f>IFERROR(VLOOKUP(H99,'VALORES VIAJES'!$A$2:$B$24,2,FALSE),"")</f>
        <v>210000</v>
      </c>
      <c r="U99" s="234" t="str">
        <f>IFERROR(VLOOKUP(I99,'VALORES VIAJES'!$A$2:$B$24,2,FALSE),"")</f>
        <v/>
      </c>
      <c r="V99" s="234" t="str">
        <f>IFERROR(VLOOKUP(K99,'VALORES VIAJES'!$A$2:$B$24,2,FALSE),"")</f>
        <v/>
      </c>
      <c r="X99" s="236">
        <f>SUM(Hoja1[[#This Row],[$ X TIP VEHICUL]:[AGREGADO]])</f>
        <v>420000</v>
      </c>
    </row>
    <row r="100" spans="1:24" ht="15.75" hidden="1" thickBot="1" x14ac:dyDescent="0.3">
      <c r="A100">
        <v>99</v>
      </c>
      <c r="B100" s="189">
        <v>45355</v>
      </c>
      <c r="C100" t="s">
        <v>7462</v>
      </c>
      <c r="D100" t="s">
        <v>7575</v>
      </c>
      <c r="E100" t="s">
        <v>7442</v>
      </c>
      <c r="F100" t="s">
        <v>7462</v>
      </c>
      <c r="G100" t="s">
        <v>7576</v>
      </c>
      <c r="J100" s="189"/>
      <c r="L100" t="s">
        <v>7463</v>
      </c>
      <c r="M100" s="205">
        <v>0.29166666666666674</v>
      </c>
      <c r="N100" t="s">
        <v>7511</v>
      </c>
      <c r="O100" t="s">
        <v>7512</v>
      </c>
      <c r="S100">
        <f>IFERROR(VLOOKUP(E100,'VALORES VIAJES'!$A$2:$B$13,2,FALSE),"")</f>
        <v>160000</v>
      </c>
      <c r="T100" t="str">
        <f>IFERROR(VLOOKUP(H100,'VALORES VIAJES'!$A$2:$B$24,2,FALSE),"")</f>
        <v/>
      </c>
      <c r="U100" t="str">
        <f>IFERROR(VLOOKUP(I100,'VALORES VIAJES'!$A$2:$B$24,2,FALSE),"")</f>
        <v/>
      </c>
      <c r="V100" t="str">
        <f>IFERROR(VLOOKUP(K100,'VALORES VIAJES'!$A$2:$B$24,2,FALSE),"")</f>
        <v/>
      </c>
      <c r="X100" s="208">
        <f>SUM(Hoja1[[#This Row],[$ X TIP VEHICUL]:[AGREGADO]])</f>
        <v>160000</v>
      </c>
    </row>
    <row r="101" spans="1:24" s="211" customFormat="1" x14ac:dyDescent="0.25">
      <c r="A101" s="209">
        <v>100</v>
      </c>
      <c r="B101" s="210">
        <v>45356</v>
      </c>
      <c r="C101" s="211" t="s">
        <v>7461</v>
      </c>
      <c r="D101" s="211" t="s">
        <v>6906</v>
      </c>
      <c r="E101" s="211" t="s">
        <v>7441</v>
      </c>
      <c r="F101" s="211" t="s">
        <v>6954</v>
      </c>
      <c r="G101" s="211" t="s">
        <v>7462</v>
      </c>
      <c r="J101" s="210"/>
      <c r="L101" s="211" t="s">
        <v>7463</v>
      </c>
      <c r="M101" s="212">
        <v>0.33333333333333326</v>
      </c>
      <c r="N101" s="211" t="s">
        <v>7477</v>
      </c>
      <c r="O101" s="211" t="s">
        <v>7478</v>
      </c>
      <c r="Q101" s="211">
        <v>5600</v>
      </c>
      <c r="R101" s="211">
        <v>50972</v>
      </c>
      <c r="S101" s="211">
        <f>IFERROR(VLOOKUP(E101,'VALORES VIAJES'!$A$2:$B$13,2,FALSE),"")</f>
        <v>210000</v>
      </c>
      <c r="T101" s="211" t="str">
        <f>IFERROR(VLOOKUP(H101,'VALORES VIAJES'!$A$2:$B$24,2,FALSE),"")</f>
        <v/>
      </c>
      <c r="U101" s="211" t="str">
        <f>IFERROR(VLOOKUP(I101,'VALORES VIAJES'!$A$2:$B$24,2,FALSE),"")</f>
        <v/>
      </c>
      <c r="V101" s="211" t="str">
        <f>IFERROR(VLOOKUP(K101,'VALORES VIAJES'!$A$2:$B$24,2,FALSE),"")</f>
        <v/>
      </c>
      <c r="X101" s="207">
        <f>SUM(Hoja1[[#This Row],[$ X TIP VEHICUL]:[AGREGADO]])</f>
        <v>210000</v>
      </c>
    </row>
    <row r="102" spans="1:24" s="215" customFormat="1" x14ac:dyDescent="0.25">
      <c r="A102" s="213">
        <v>101</v>
      </c>
      <c r="B102" s="214">
        <v>45356</v>
      </c>
      <c r="C102" s="215" t="s">
        <v>7461</v>
      </c>
      <c r="D102" s="215" t="s">
        <v>7475</v>
      </c>
      <c r="E102" s="215" t="s">
        <v>7443</v>
      </c>
      <c r="F102" s="215" t="s">
        <v>6954</v>
      </c>
      <c r="G102" s="215" t="s">
        <v>7530</v>
      </c>
      <c r="J102" s="214"/>
      <c r="L102" s="215" t="s">
        <v>7577</v>
      </c>
      <c r="M102" s="216">
        <v>0.33333333333333326</v>
      </c>
      <c r="N102" s="215" t="s">
        <v>7464</v>
      </c>
      <c r="O102" s="215" t="s">
        <v>7474</v>
      </c>
      <c r="Q102" s="215">
        <v>18334</v>
      </c>
      <c r="S102" s="215">
        <f>IFERROR(VLOOKUP(E102,'VALORES VIAJES'!$A$2:$B$13,2,FALSE),"")</f>
        <v>210000</v>
      </c>
      <c r="T102" s="215" t="str">
        <f>IFERROR(VLOOKUP(H102,'VALORES VIAJES'!$A$2:$B$24,2,FALSE),"")</f>
        <v/>
      </c>
      <c r="U102" s="215" t="str">
        <f>IFERROR(VLOOKUP(I102,'VALORES VIAJES'!$A$2:$B$24,2,FALSE),"")</f>
        <v/>
      </c>
      <c r="V102" s="215" t="str">
        <f>IFERROR(VLOOKUP(K102,'VALORES VIAJES'!$A$2:$B$24,2,FALSE),"")</f>
        <v/>
      </c>
      <c r="X102" s="208">
        <f>SUM(Hoja1[[#This Row],[$ X TIP VEHICUL]:[AGREGADO]])</f>
        <v>210000</v>
      </c>
    </row>
    <row r="103" spans="1:24" s="215" customFormat="1" x14ac:dyDescent="0.25">
      <c r="A103" s="213">
        <v>102</v>
      </c>
      <c r="B103" s="214">
        <v>45356</v>
      </c>
      <c r="C103" s="215" t="s">
        <v>7461</v>
      </c>
      <c r="D103" s="215" t="s">
        <v>7475</v>
      </c>
      <c r="E103" s="215" t="s">
        <v>7443</v>
      </c>
      <c r="F103" s="215" t="s">
        <v>6954</v>
      </c>
      <c r="G103" s="215" t="s">
        <v>7530</v>
      </c>
      <c r="J103" s="214"/>
      <c r="L103" s="215" t="s">
        <v>7578</v>
      </c>
      <c r="M103" s="216">
        <v>0.33333333333333326</v>
      </c>
      <c r="N103" s="215" t="s">
        <v>7504</v>
      </c>
      <c r="O103" s="215" t="s">
        <v>7505</v>
      </c>
      <c r="Q103" s="215">
        <v>30268</v>
      </c>
      <c r="R103" s="215">
        <v>50976</v>
      </c>
      <c r="S103" s="215">
        <f>IFERROR(VLOOKUP(E103,'VALORES VIAJES'!$A$2:$B$13,2,FALSE),"")</f>
        <v>210000</v>
      </c>
      <c r="T103" s="215" t="str">
        <f>IFERROR(VLOOKUP(H103,'VALORES VIAJES'!$A$2:$B$24,2,FALSE),"")</f>
        <v/>
      </c>
      <c r="U103" s="215" t="str">
        <f>IFERROR(VLOOKUP(I103,'VALORES VIAJES'!$A$2:$B$24,2,FALSE),"")</f>
        <v/>
      </c>
      <c r="V103" s="215" t="str">
        <f>IFERROR(VLOOKUP(K103,'VALORES VIAJES'!$A$2:$B$24,2,FALSE),"")</f>
        <v/>
      </c>
      <c r="X103" s="208">
        <f>SUM(Hoja1[[#This Row],[$ X TIP VEHICUL]:[AGREGADO]])</f>
        <v>210000</v>
      </c>
    </row>
    <row r="104" spans="1:24" s="219" customFormat="1" ht="15.75" thickBot="1" x14ac:dyDescent="0.3">
      <c r="A104" s="217">
        <v>103</v>
      </c>
      <c r="B104" s="218">
        <v>45356</v>
      </c>
      <c r="C104" s="219" t="s">
        <v>7461</v>
      </c>
      <c r="D104" s="219" t="s">
        <v>7475</v>
      </c>
      <c r="E104" s="219" t="s">
        <v>7443</v>
      </c>
      <c r="F104" s="219" t="s">
        <v>6954</v>
      </c>
      <c r="G104" s="219" t="s">
        <v>7530</v>
      </c>
      <c r="J104" s="218"/>
      <c r="L104" s="219" t="s">
        <v>7579</v>
      </c>
      <c r="M104" s="220">
        <v>0.33333333333333326</v>
      </c>
      <c r="N104" s="219" t="s">
        <v>7480</v>
      </c>
      <c r="O104" s="219" t="s">
        <v>7465</v>
      </c>
      <c r="Q104" s="219">
        <v>18334</v>
      </c>
      <c r="S104" s="219">
        <f>IFERROR(VLOOKUP(E104,'VALORES VIAJES'!$A$2:$B$13,2,FALSE),"")</f>
        <v>210000</v>
      </c>
      <c r="T104" s="219" t="str">
        <f>IFERROR(VLOOKUP(H104,'VALORES VIAJES'!$A$2:$B$24,2,FALSE),"")</f>
        <v/>
      </c>
      <c r="U104" s="219" t="str">
        <f>IFERROR(VLOOKUP(I104,'VALORES VIAJES'!$A$2:$B$24,2,FALSE),"")</f>
        <v/>
      </c>
      <c r="V104" s="219" t="str">
        <f>IFERROR(VLOOKUP(K104,'VALORES VIAJES'!$A$2:$B$24,2,FALSE),"")</f>
        <v/>
      </c>
      <c r="X104" s="221">
        <f>SUM(Hoja1[[#This Row],[$ X TIP VEHICUL]:[AGREGADO]])</f>
        <v>210000</v>
      </c>
    </row>
    <row r="105" spans="1:24" ht="15.75" hidden="1" thickBot="1" x14ac:dyDescent="0.3">
      <c r="A105">
        <v>104</v>
      </c>
      <c r="B105" s="189">
        <v>45356</v>
      </c>
      <c r="C105" t="s">
        <v>7462</v>
      </c>
      <c r="D105" t="s">
        <v>7556</v>
      </c>
      <c r="E105" t="s">
        <v>7442</v>
      </c>
      <c r="F105" t="s">
        <v>7580</v>
      </c>
      <c r="G105" t="s">
        <v>7556</v>
      </c>
      <c r="J105" s="189"/>
      <c r="L105" t="s">
        <v>7463</v>
      </c>
      <c r="M105" s="205">
        <v>0.5</v>
      </c>
      <c r="N105" t="s">
        <v>7477</v>
      </c>
      <c r="O105" t="s">
        <v>7494</v>
      </c>
      <c r="S105">
        <f>IFERROR(VLOOKUP(E105,'VALORES VIAJES'!$A$2:$B$13,2,FALSE),"")</f>
        <v>160000</v>
      </c>
      <c r="T105" t="str">
        <f>IFERROR(VLOOKUP(H105,'VALORES VIAJES'!$A$2:$B$24,2,FALSE),"")</f>
        <v/>
      </c>
      <c r="U105" t="str">
        <f>IFERROR(VLOOKUP(I105,'VALORES VIAJES'!$A$2:$B$24,2,FALSE),"")</f>
        <v/>
      </c>
      <c r="V105" t="str">
        <f>IFERROR(VLOOKUP(K105,'VALORES VIAJES'!$A$2:$B$24,2,FALSE),"")</f>
        <v/>
      </c>
      <c r="X105" s="208">
        <f>SUM(Hoja1[[#This Row],[$ X TIP VEHICUL]:[AGREGADO]])</f>
        <v>160000</v>
      </c>
    </row>
    <row r="106" spans="1:24" s="211" customFormat="1" x14ac:dyDescent="0.25">
      <c r="A106" s="209">
        <v>105</v>
      </c>
      <c r="B106" s="210">
        <v>45357</v>
      </c>
      <c r="C106" s="211" t="s">
        <v>7461</v>
      </c>
      <c r="D106" s="211" t="s">
        <v>3562</v>
      </c>
      <c r="E106" s="211" t="s">
        <v>7443</v>
      </c>
      <c r="F106" s="211" t="s">
        <v>6954</v>
      </c>
      <c r="G106" s="211" t="s">
        <v>7545</v>
      </c>
      <c r="J106" s="210"/>
      <c r="L106" s="211" t="s">
        <v>7570</v>
      </c>
      <c r="M106" s="212">
        <v>0.33333333333333326</v>
      </c>
      <c r="N106" s="211" t="s">
        <v>7504</v>
      </c>
      <c r="O106" s="211" t="s">
        <v>7505</v>
      </c>
      <c r="Q106" s="211">
        <v>18334</v>
      </c>
      <c r="R106" s="211">
        <v>50982</v>
      </c>
      <c r="S106" s="211">
        <f>IFERROR(VLOOKUP(E106,'VALORES VIAJES'!$A$2:$B$13,2,FALSE),"")</f>
        <v>210000</v>
      </c>
      <c r="T106" s="211" t="str">
        <f>IFERROR(VLOOKUP(H106,'VALORES VIAJES'!$A$2:$B$24,2,FALSE),"")</f>
        <v/>
      </c>
      <c r="U106" s="211" t="str">
        <f>IFERROR(VLOOKUP(I106,'VALORES VIAJES'!$A$2:$B$24,2,FALSE),"")</f>
        <v/>
      </c>
      <c r="V106" s="211" t="str">
        <f>IFERROR(VLOOKUP(K106,'VALORES VIAJES'!$A$2:$B$24,2,FALSE),"")</f>
        <v/>
      </c>
      <c r="X106" s="207">
        <f>SUM(Hoja1[[#This Row],[$ X TIP VEHICUL]:[AGREGADO]])</f>
        <v>210000</v>
      </c>
    </row>
    <row r="107" spans="1:24" s="215" customFormat="1" x14ac:dyDescent="0.25">
      <c r="A107" s="213">
        <v>106</v>
      </c>
      <c r="B107" s="214">
        <v>45357</v>
      </c>
      <c r="C107" s="215" t="s">
        <v>7461</v>
      </c>
      <c r="D107" s="215" t="s">
        <v>3562</v>
      </c>
      <c r="E107" s="215" t="s">
        <v>7443</v>
      </c>
      <c r="F107" s="215" t="s">
        <v>6954</v>
      </c>
      <c r="G107" s="215" t="s">
        <v>7545</v>
      </c>
      <c r="J107" s="214"/>
      <c r="L107" s="215" t="s">
        <v>7568</v>
      </c>
      <c r="M107" s="216">
        <v>0.33333333333333326</v>
      </c>
      <c r="N107" s="215" t="s">
        <v>7464</v>
      </c>
      <c r="O107" s="215" t="s">
        <v>7474</v>
      </c>
      <c r="Q107" s="215">
        <v>18334</v>
      </c>
      <c r="R107" s="215">
        <v>50983</v>
      </c>
      <c r="S107" s="215">
        <f>IFERROR(VLOOKUP(E107,'VALORES VIAJES'!$A$2:$B$13,2,FALSE),"")</f>
        <v>210000</v>
      </c>
      <c r="T107" s="215" t="str">
        <f>IFERROR(VLOOKUP(H107,'VALORES VIAJES'!$A$2:$B$24,2,FALSE),"")</f>
        <v/>
      </c>
      <c r="U107" s="215" t="str">
        <f>IFERROR(VLOOKUP(I107,'VALORES VIAJES'!$A$2:$B$24,2,FALSE),"")</f>
        <v/>
      </c>
      <c r="V107" s="215" t="str">
        <f>IFERROR(VLOOKUP(K107,'VALORES VIAJES'!$A$2:$B$24,2,FALSE),"")</f>
        <v/>
      </c>
      <c r="X107" s="208">
        <f>SUM(Hoja1[[#This Row],[$ X TIP VEHICUL]:[AGREGADO]])</f>
        <v>210000</v>
      </c>
    </row>
    <row r="108" spans="1:24" s="215" customFormat="1" x14ac:dyDescent="0.25">
      <c r="A108" s="213">
        <v>107</v>
      </c>
      <c r="B108" s="214">
        <v>45357</v>
      </c>
      <c r="C108" s="215" t="s">
        <v>7461</v>
      </c>
      <c r="D108" s="215" t="s">
        <v>3562</v>
      </c>
      <c r="E108" s="215" t="s">
        <v>7443</v>
      </c>
      <c r="F108" s="215" t="s">
        <v>6954</v>
      </c>
      <c r="G108" s="215" t="s">
        <v>7545</v>
      </c>
      <c r="J108" s="214"/>
      <c r="L108" s="215" t="s">
        <v>7569</v>
      </c>
      <c r="M108" s="216">
        <v>0.33333333333333326</v>
      </c>
      <c r="N108" s="215" t="s">
        <v>7480</v>
      </c>
      <c r="O108" s="215" t="s">
        <v>7465</v>
      </c>
      <c r="Q108" s="215">
        <v>18334</v>
      </c>
      <c r="R108" s="215">
        <v>50981</v>
      </c>
      <c r="S108" s="215">
        <f>IFERROR(VLOOKUP(E108,'VALORES VIAJES'!$A$2:$B$13,2,FALSE),"")</f>
        <v>210000</v>
      </c>
      <c r="T108" s="215" t="str">
        <f>IFERROR(VLOOKUP(H108,'VALORES VIAJES'!$A$2:$B$24,2,FALSE),"")</f>
        <v/>
      </c>
      <c r="U108" s="215" t="str">
        <f>IFERROR(VLOOKUP(I108,'VALORES VIAJES'!$A$2:$B$24,2,FALSE),"")</f>
        <v/>
      </c>
      <c r="V108" s="215" t="str">
        <f>IFERROR(VLOOKUP(K108,'VALORES VIAJES'!$A$2:$B$24,2,FALSE),"")</f>
        <v/>
      </c>
      <c r="X108" s="208">
        <f>SUM(Hoja1[[#This Row],[$ X TIP VEHICUL]:[AGREGADO]])</f>
        <v>210000</v>
      </c>
    </row>
    <row r="109" spans="1:24" s="219" customFormat="1" ht="15.75" thickBot="1" x14ac:dyDescent="0.3">
      <c r="A109" s="217">
        <v>108</v>
      </c>
      <c r="B109" s="218">
        <v>45357</v>
      </c>
      <c r="C109" s="219" t="s">
        <v>7461</v>
      </c>
      <c r="D109" s="219" t="s">
        <v>7475</v>
      </c>
      <c r="E109" s="219" t="s">
        <v>7443</v>
      </c>
      <c r="F109" s="219" t="s">
        <v>6954</v>
      </c>
      <c r="G109" s="219" t="s">
        <v>7530</v>
      </c>
      <c r="J109" s="218"/>
      <c r="L109" s="219" t="s">
        <v>7581</v>
      </c>
      <c r="M109" s="220">
        <v>0.33333333333333326</v>
      </c>
      <c r="N109" s="219" t="s">
        <v>7469</v>
      </c>
      <c r="O109" s="219" t="s">
        <v>7470</v>
      </c>
      <c r="Q109" s="219">
        <v>18334</v>
      </c>
      <c r="R109" s="219">
        <v>50984</v>
      </c>
      <c r="S109" s="219">
        <f>IFERROR(VLOOKUP(E109,'VALORES VIAJES'!$A$2:$B$13,2,FALSE),"")</f>
        <v>210000</v>
      </c>
      <c r="T109" s="219" t="str">
        <f>IFERROR(VLOOKUP(H109,'VALORES VIAJES'!$A$2:$B$24,2,FALSE),"")</f>
        <v/>
      </c>
      <c r="U109" s="219" t="str">
        <f>IFERROR(VLOOKUP(I109,'VALORES VIAJES'!$A$2:$B$24,2,FALSE),"")</f>
        <v/>
      </c>
      <c r="V109" s="219" t="str">
        <f>IFERROR(VLOOKUP(K109,'VALORES VIAJES'!$A$2:$B$24,2,FALSE),"")</f>
        <v/>
      </c>
      <c r="X109" s="221">
        <f>SUM(Hoja1[[#This Row],[$ X TIP VEHICUL]:[AGREGADO]])</f>
        <v>210000</v>
      </c>
    </row>
    <row r="110" spans="1:24" ht="15.75" hidden="1" thickBot="1" x14ac:dyDescent="0.3">
      <c r="A110">
        <v>109</v>
      </c>
      <c r="B110" s="189">
        <v>45357</v>
      </c>
      <c r="C110" t="s">
        <v>7462</v>
      </c>
      <c r="D110" t="s">
        <v>7509</v>
      </c>
      <c r="E110" t="s">
        <v>7442</v>
      </c>
      <c r="F110" t="s">
        <v>7462</v>
      </c>
      <c r="G110" t="s">
        <v>7509</v>
      </c>
      <c r="J110" s="189"/>
      <c r="L110" t="s">
        <v>7463</v>
      </c>
      <c r="M110" s="205">
        <v>0.29166666666666674</v>
      </c>
      <c r="N110" t="s">
        <v>7477</v>
      </c>
      <c r="O110" t="s">
        <v>7512</v>
      </c>
      <c r="S110">
        <f>IFERROR(VLOOKUP(E110,'VALORES VIAJES'!$A$2:$B$13,2,FALSE),"")</f>
        <v>160000</v>
      </c>
      <c r="T110" t="str">
        <f>IFERROR(VLOOKUP(H110,'VALORES VIAJES'!$A$2:$B$24,2,FALSE),"")</f>
        <v/>
      </c>
      <c r="U110" t="str">
        <f>IFERROR(VLOOKUP(I110,'VALORES VIAJES'!$A$2:$B$24,2,FALSE),"")</f>
        <v/>
      </c>
      <c r="V110" t="str">
        <f>IFERROR(VLOOKUP(K110,'VALORES VIAJES'!$A$2:$B$24,2,FALSE),"")</f>
        <v/>
      </c>
      <c r="X110" s="208">
        <f>SUM(Hoja1[[#This Row],[$ X TIP VEHICUL]:[AGREGADO]])</f>
        <v>160000</v>
      </c>
    </row>
    <row r="111" spans="1:24" ht="15.75" hidden="1" thickBot="1" x14ac:dyDescent="0.3">
      <c r="A111">
        <v>110</v>
      </c>
      <c r="B111" s="189">
        <v>45358</v>
      </c>
      <c r="C111" t="s">
        <v>7462</v>
      </c>
      <c r="D111" t="s">
        <v>7582</v>
      </c>
      <c r="E111" t="s">
        <v>7441</v>
      </c>
      <c r="F111" t="s">
        <v>7582</v>
      </c>
      <c r="G111" t="s">
        <v>7583</v>
      </c>
      <c r="J111" s="189"/>
      <c r="L111" t="s">
        <v>7463</v>
      </c>
      <c r="M111" s="205">
        <v>0.41666666666666674</v>
      </c>
      <c r="N111" t="s">
        <v>7469</v>
      </c>
      <c r="O111" t="s">
        <v>7470</v>
      </c>
      <c r="Q111">
        <v>4400</v>
      </c>
      <c r="S111">
        <f>IFERROR(VLOOKUP(E111,'VALORES VIAJES'!$A$2:$B$13,2,FALSE),"")</f>
        <v>210000</v>
      </c>
      <c r="T111" t="str">
        <f>IFERROR(VLOOKUP(H111,'VALORES VIAJES'!$A$2:$B$24,2,FALSE),"")</f>
        <v/>
      </c>
      <c r="U111" t="str">
        <f>IFERROR(VLOOKUP(I111,'VALORES VIAJES'!$A$2:$B$24,2,FALSE),"")</f>
        <v/>
      </c>
      <c r="V111" t="str">
        <f>IFERROR(VLOOKUP(K111,'VALORES VIAJES'!$A$2:$B$24,2,FALSE),"")</f>
        <v/>
      </c>
      <c r="X111" s="208">
        <f>SUM(Hoja1[[#This Row],[$ X TIP VEHICUL]:[AGREGADO]])</f>
        <v>210000</v>
      </c>
    </row>
    <row r="112" spans="1:24" s="211" customFormat="1" x14ac:dyDescent="0.25">
      <c r="A112" s="209">
        <v>111</v>
      </c>
      <c r="B112" s="210">
        <v>45358</v>
      </c>
      <c r="C112" s="211" t="s">
        <v>7461</v>
      </c>
      <c r="D112" s="211" t="s">
        <v>7475</v>
      </c>
      <c r="E112" s="211" t="s">
        <v>7443</v>
      </c>
      <c r="F112" s="211" t="s">
        <v>6954</v>
      </c>
      <c r="G112" s="211" t="s">
        <v>7530</v>
      </c>
      <c r="J112" s="210"/>
      <c r="L112" s="211" t="s">
        <v>7584</v>
      </c>
      <c r="M112" s="212">
        <v>0.375</v>
      </c>
      <c r="N112" s="211" t="s">
        <v>7504</v>
      </c>
      <c r="O112" s="211" t="s">
        <v>7505</v>
      </c>
      <c r="Q112" s="211">
        <v>18334</v>
      </c>
      <c r="R112" s="211">
        <v>51352</v>
      </c>
      <c r="S112" s="211">
        <f>IFERROR(VLOOKUP(E112,'VALORES VIAJES'!$A$2:$B$13,2,FALSE),"")</f>
        <v>210000</v>
      </c>
      <c r="T112" s="211" t="str">
        <f>IFERROR(VLOOKUP(H112,'VALORES VIAJES'!$A$2:$B$24,2,FALSE),"")</f>
        <v/>
      </c>
      <c r="U112" s="211" t="str">
        <f>IFERROR(VLOOKUP(I112,'VALORES VIAJES'!$A$2:$B$24,2,FALSE),"")</f>
        <v/>
      </c>
      <c r="V112" s="211" t="str">
        <f>IFERROR(VLOOKUP(K112,'VALORES VIAJES'!$A$2:$B$24,2,FALSE),"")</f>
        <v/>
      </c>
      <c r="X112" s="207">
        <f>SUM(Hoja1[[#This Row],[$ X TIP VEHICUL]:[AGREGADO]])</f>
        <v>210000</v>
      </c>
    </row>
    <row r="113" spans="1:24" s="215" customFormat="1" x14ac:dyDescent="0.25">
      <c r="A113" s="213">
        <v>112</v>
      </c>
      <c r="B113" s="214">
        <v>45358</v>
      </c>
      <c r="C113" s="215" t="s">
        <v>7461</v>
      </c>
      <c r="D113" s="215" t="s">
        <v>7475</v>
      </c>
      <c r="E113" s="215" t="s">
        <v>7443</v>
      </c>
      <c r="F113" s="215" t="s">
        <v>6954</v>
      </c>
      <c r="G113" s="215" t="s">
        <v>7530</v>
      </c>
      <c r="J113" s="214"/>
      <c r="L113" s="215" t="s">
        <v>7585</v>
      </c>
      <c r="M113" s="216">
        <v>0.375</v>
      </c>
      <c r="N113" s="215" t="s">
        <v>7480</v>
      </c>
      <c r="O113" s="215" t="s">
        <v>7465</v>
      </c>
      <c r="Q113" s="215">
        <v>18334</v>
      </c>
      <c r="R113" s="215">
        <v>51353</v>
      </c>
      <c r="S113" s="215">
        <f>IFERROR(VLOOKUP(E113,'VALORES VIAJES'!$A$2:$B$13,2,FALSE),"")</f>
        <v>210000</v>
      </c>
      <c r="T113" s="215" t="str">
        <f>IFERROR(VLOOKUP(H113,'VALORES VIAJES'!$A$2:$B$24,2,FALSE),"")</f>
        <v/>
      </c>
      <c r="U113" s="215" t="str">
        <f>IFERROR(VLOOKUP(I113,'VALORES VIAJES'!$A$2:$B$24,2,FALSE),"")</f>
        <v/>
      </c>
      <c r="V113" s="215" t="str">
        <f>IFERROR(VLOOKUP(K113,'VALORES VIAJES'!$A$2:$B$24,2,FALSE),"")</f>
        <v/>
      </c>
      <c r="X113" s="208">
        <f>SUM(Hoja1[[#This Row],[$ X TIP VEHICUL]:[AGREGADO]])</f>
        <v>210000</v>
      </c>
    </row>
    <row r="114" spans="1:24" s="219" customFormat="1" ht="15.75" thickBot="1" x14ac:dyDescent="0.3">
      <c r="A114" s="217">
        <v>113</v>
      </c>
      <c r="B114" s="218">
        <v>45358</v>
      </c>
      <c r="C114" s="219" t="s">
        <v>7461</v>
      </c>
      <c r="D114" s="219" t="s">
        <v>7475</v>
      </c>
      <c r="E114" s="219" t="s">
        <v>7443</v>
      </c>
      <c r="F114" s="219" t="s">
        <v>6954</v>
      </c>
      <c r="G114" s="219" t="s">
        <v>7530</v>
      </c>
      <c r="J114" s="218"/>
      <c r="L114" s="219" t="s">
        <v>7586</v>
      </c>
      <c r="M114" s="220">
        <v>0.375</v>
      </c>
      <c r="N114" s="219" t="s">
        <v>7464</v>
      </c>
      <c r="O114" s="219" t="s">
        <v>7474</v>
      </c>
      <c r="Q114" s="219">
        <v>18334</v>
      </c>
      <c r="R114" s="219">
        <v>51355</v>
      </c>
      <c r="S114" s="219">
        <f>IFERROR(VLOOKUP(E114,'VALORES VIAJES'!$A$2:$B$13,2,FALSE),"")</f>
        <v>210000</v>
      </c>
      <c r="T114" s="219" t="str">
        <f>IFERROR(VLOOKUP(H114,'VALORES VIAJES'!$A$2:$B$24,2,FALSE),"")</f>
        <v/>
      </c>
      <c r="U114" s="219" t="str">
        <f>IFERROR(VLOOKUP(I114,'VALORES VIAJES'!$A$2:$B$24,2,FALSE),"")</f>
        <v/>
      </c>
      <c r="V114" s="219" t="str">
        <f>IFERROR(VLOOKUP(K114,'VALORES VIAJES'!$A$2:$B$24,2,FALSE),"")</f>
        <v/>
      </c>
      <c r="X114" s="221">
        <f>SUM(Hoja1[[#This Row],[$ X TIP VEHICUL]:[AGREGADO]])</f>
        <v>210000</v>
      </c>
    </row>
    <row r="115" spans="1:24" ht="15.75" hidden="1" thickBot="1" x14ac:dyDescent="0.3">
      <c r="A115">
        <v>114</v>
      </c>
      <c r="B115" s="189">
        <v>45358</v>
      </c>
      <c r="C115" t="s">
        <v>7462</v>
      </c>
      <c r="D115" t="s">
        <v>7509</v>
      </c>
      <c r="E115" t="s">
        <v>7442</v>
      </c>
      <c r="F115" t="s">
        <v>7462</v>
      </c>
      <c r="G115" t="s">
        <v>7509</v>
      </c>
      <c r="J115" s="189"/>
      <c r="L115" t="s">
        <v>7463</v>
      </c>
      <c r="M115" s="205">
        <v>0.29166666666666674</v>
      </c>
      <c r="N115" t="s">
        <v>7477</v>
      </c>
      <c r="O115" t="s">
        <v>7512</v>
      </c>
      <c r="S115">
        <f>IFERROR(VLOOKUP(E115,'VALORES VIAJES'!$A$2:$B$13,2,FALSE),"")</f>
        <v>160000</v>
      </c>
      <c r="T115" t="str">
        <f>IFERROR(VLOOKUP(H115,'VALORES VIAJES'!$A$2:$B$24,2,FALSE),"")</f>
        <v/>
      </c>
      <c r="U115" t="str">
        <f>IFERROR(VLOOKUP(I115,'VALORES VIAJES'!$A$2:$B$24,2,FALSE),"")</f>
        <v/>
      </c>
      <c r="V115" t="str">
        <f>IFERROR(VLOOKUP(K115,'VALORES VIAJES'!$A$2:$B$24,2,FALSE),"")</f>
        <v/>
      </c>
      <c r="X115" s="208">
        <f>SUM(Hoja1[[#This Row],[$ X TIP VEHICUL]:[AGREGADO]])</f>
        <v>160000</v>
      </c>
    </row>
    <row r="116" spans="1:24" s="211" customFormat="1" x14ac:dyDescent="0.25">
      <c r="A116" s="209">
        <v>115</v>
      </c>
      <c r="B116" s="210">
        <v>45359</v>
      </c>
      <c r="C116" s="211" t="s">
        <v>7461</v>
      </c>
      <c r="D116" s="211" t="s">
        <v>7540</v>
      </c>
      <c r="E116" s="211" t="s">
        <v>7443</v>
      </c>
      <c r="F116" s="211" t="s">
        <v>7484</v>
      </c>
      <c r="G116" s="211" t="s">
        <v>7540</v>
      </c>
      <c r="H116" s="211" t="s">
        <v>7433</v>
      </c>
      <c r="J116" s="210"/>
      <c r="L116" s="211" t="s">
        <v>7587</v>
      </c>
      <c r="M116" s="212">
        <v>0.625</v>
      </c>
      <c r="N116" s="211" t="s">
        <v>7480</v>
      </c>
      <c r="O116" s="211" t="s">
        <v>7465</v>
      </c>
      <c r="Q116" s="211">
        <v>20954</v>
      </c>
      <c r="R116" s="211">
        <v>51451</v>
      </c>
      <c r="S116" s="211">
        <f>IFERROR(VLOOKUP(E116,'VALORES VIAJES'!$A$2:$B$13,2,FALSE),"")</f>
        <v>210000</v>
      </c>
      <c r="T116" s="211">
        <f>IFERROR(VLOOKUP(H116,'VALORES VIAJES'!$A$2:$B$24,2,FALSE),"")</f>
        <v>210000</v>
      </c>
      <c r="U116" s="211" t="str">
        <f>IFERROR(VLOOKUP(I116,'VALORES VIAJES'!$A$2:$B$24,2,FALSE),"")</f>
        <v/>
      </c>
      <c r="V116" s="211" t="str">
        <f>IFERROR(VLOOKUP(K116,'VALORES VIAJES'!$A$2:$B$24,2,FALSE),"")</f>
        <v/>
      </c>
      <c r="X116" s="207">
        <f>SUM(Hoja1[[#This Row],[$ X TIP VEHICUL]:[AGREGADO]])</f>
        <v>420000</v>
      </c>
    </row>
    <row r="117" spans="1:24" s="215" customFormat="1" x14ac:dyDescent="0.25">
      <c r="A117" s="213">
        <v>116</v>
      </c>
      <c r="B117" s="214">
        <v>45359</v>
      </c>
      <c r="C117" s="215" t="s">
        <v>7461</v>
      </c>
      <c r="D117" s="215" t="s">
        <v>6883</v>
      </c>
      <c r="E117" s="215" t="s">
        <v>7443</v>
      </c>
      <c r="F117" s="215" t="s">
        <v>6954</v>
      </c>
      <c r="G117" s="215" t="s">
        <v>6883</v>
      </c>
      <c r="J117" s="214"/>
      <c r="L117" s="215" t="s">
        <v>7588</v>
      </c>
      <c r="M117" s="216">
        <v>0.33333333333333326</v>
      </c>
      <c r="N117" s="215" t="s">
        <v>7477</v>
      </c>
      <c r="O117" s="215" t="s">
        <v>7478</v>
      </c>
      <c r="Q117" s="215">
        <v>16407</v>
      </c>
      <c r="R117" s="215">
        <v>51357</v>
      </c>
      <c r="S117" s="215">
        <f>IFERROR(VLOOKUP(E117,'VALORES VIAJES'!$A$2:$B$13,2,FALSE),"")</f>
        <v>210000</v>
      </c>
      <c r="T117" s="215" t="str">
        <f>IFERROR(VLOOKUP(H117,'VALORES VIAJES'!$A$2:$B$24,2,FALSE),"")</f>
        <v/>
      </c>
      <c r="U117" s="215" t="str">
        <f>IFERROR(VLOOKUP(I117,'VALORES VIAJES'!$A$2:$B$24,2,FALSE),"")</f>
        <v/>
      </c>
      <c r="V117" s="215" t="str">
        <f>IFERROR(VLOOKUP(K117,'VALORES VIAJES'!$A$2:$B$24,2,FALSE),"")</f>
        <v/>
      </c>
      <c r="X117" s="208">
        <f>SUM(Hoja1[[#This Row],[$ X TIP VEHICUL]:[AGREGADO]])</f>
        <v>210000</v>
      </c>
    </row>
    <row r="118" spans="1:24" s="215" customFormat="1" x14ac:dyDescent="0.25">
      <c r="A118" s="213">
        <v>117</v>
      </c>
      <c r="B118" s="214">
        <v>45359</v>
      </c>
      <c r="C118" s="215" t="s">
        <v>7461</v>
      </c>
      <c r="D118" s="215" t="s">
        <v>6883</v>
      </c>
      <c r="E118" s="215" t="s">
        <v>7443</v>
      </c>
      <c r="F118" s="215" t="s">
        <v>6954</v>
      </c>
      <c r="G118" s="215" t="s">
        <v>6883</v>
      </c>
      <c r="H118" s="215" t="s">
        <v>7434</v>
      </c>
      <c r="J118" s="214"/>
      <c r="L118" s="215" t="s">
        <v>7589</v>
      </c>
      <c r="M118" s="216">
        <v>0.33333333333333326</v>
      </c>
      <c r="N118" s="215" t="s">
        <v>7504</v>
      </c>
      <c r="O118" s="215" t="s">
        <v>7505</v>
      </c>
      <c r="Q118" s="215">
        <v>16407</v>
      </c>
      <c r="R118" s="215">
        <v>51358</v>
      </c>
      <c r="S118" s="215">
        <f>IFERROR(VLOOKUP(E118,'VALORES VIAJES'!$A$2:$B$13,2,FALSE),"")</f>
        <v>210000</v>
      </c>
      <c r="T118" s="215">
        <f>IFERROR(VLOOKUP(H118,'VALORES VIAJES'!$A$2:$B$24,2,FALSE),"")</f>
        <v>105000</v>
      </c>
      <c r="U118" s="215" t="str">
        <f>IFERROR(VLOOKUP(I118,'VALORES VIAJES'!$A$2:$B$24,2,FALSE),"")</f>
        <v/>
      </c>
      <c r="V118" s="215" t="str">
        <f>IFERROR(VLOOKUP(K118,'VALORES VIAJES'!$A$2:$B$24,2,FALSE),"")</f>
        <v/>
      </c>
      <c r="X118" s="208">
        <f>SUM(Hoja1[[#This Row],[$ X TIP VEHICUL]:[AGREGADO]])</f>
        <v>315000</v>
      </c>
    </row>
    <row r="119" spans="1:24" s="215" customFormat="1" x14ac:dyDescent="0.25">
      <c r="A119" s="213">
        <v>118</v>
      </c>
      <c r="B119" s="214">
        <v>45359</v>
      </c>
      <c r="C119" s="215" t="s">
        <v>7461</v>
      </c>
      <c r="D119" s="215" t="s">
        <v>7590</v>
      </c>
      <c r="E119" s="215" t="s">
        <v>7443</v>
      </c>
      <c r="F119" s="215" t="s">
        <v>6954</v>
      </c>
      <c r="G119" s="215" t="s">
        <v>7590</v>
      </c>
      <c r="J119" s="214"/>
      <c r="L119" s="215" t="s">
        <v>7591</v>
      </c>
      <c r="M119" s="216">
        <v>0.33333333333333326</v>
      </c>
      <c r="N119" s="215" t="s">
        <v>7469</v>
      </c>
      <c r="O119" s="215" t="s">
        <v>7470</v>
      </c>
      <c r="Q119" s="215">
        <v>16407</v>
      </c>
      <c r="R119" s="215">
        <v>51359</v>
      </c>
      <c r="S119" s="215">
        <f>IFERROR(VLOOKUP(E119,'VALORES VIAJES'!$A$2:$B$13,2,FALSE),"")</f>
        <v>210000</v>
      </c>
      <c r="T119" s="215" t="str">
        <f>IFERROR(VLOOKUP(H119,'VALORES VIAJES'!$A$2:$B$24,2,FALSE),"")</f>
        <v/>
      </c>
      <c r="U119" s="215" t="str">
        <f>IFERROR(VLOOKUP(I119,'VALORES VIAJES'!$A$2:$B$24,2,FALSE),"")</f>
        <v/>
      </c>
      <c r="V119" s="215" t="str">
        <f>IFERROR(VLOOKUP(K119,'VALORES VIAJES'!$A$2:$B$24,2,FALSE),"")</f>
        <v/>
      </c>
      <c r="X119" s="208">
        <f>SUM(Hoja1[[#This Row],[$ X TIP VEHICUL]:[AGREGADO]])</f>
        <v>210000</v>
      </c>
    </row>
    <row r="120" spans="1:24" s="219" customFormat="1" ht="15.75" thickBot="1" x14ac:dyDescent="0.3">
      <c r="A120" s="217">
        <v>119</v>
      </c>
      <c r="B120" s="218">
        <v>45359</v>
      </c>
      <c r="C120" s="219" t="s">
        <v>7466</v>
      </c>
      <c r="D120" s="219" t="s">
        <v>7592</v>
      </c>
      <c r="E120" s="219" t="s">
        <v>7443</v>
      </c>
      <c r="F120" s="219" t="s">
        <v>7484</v>
      </c>
      <c r="G120" s="219" t="s">
        <v>6954</v>
      </c>
      <c r="J120" s="218"/>
      <c r="L120" s="219" t="s">
        <v>7593</v>
      </c>
      <c r="M120" s="220">
        <v>0.375</v>
      </c>
      <c r="N120" s="219" t="s">
        <v>7480</v>
      </c>
      <c r="O120" s="219" t="s">
        <v>7465</v>
      </c>
      <c r="Q120" s="219">
        <v>16814</v>
      </c>
      <c r="R120" s="219" t="s">
        <v>7463</v>
      </c>
      <c r="S120" s="219">
        <f>IFERROR(VLOOKUP(E120,'VALORES VIAJES'!$A$2:$B$13,2,FALSE),"")</f>
        <v>210000</v>
      </c>
      <c r="T120" s="219" t="str">
        <f>IFERROR(VLOOKUP(H120,'VALORES VIAJES'!$A$2:$B$24,2,FALSE),"")</f>
        <v/>
      </c>
      <c r="U120" s="219" t="str">
        <f>IFERROR(VLOOKUP(I120,'VALORES VIAJES'!$A$2:$B$24,2,FALSE),"")</f>
        <v/>
      </c>
      <c r="V120" s="219" t="str">
        <f>IFERROR(VLOOKUP(K120,'VALORES VIAJES'!$A$2:$B$24,2,FALSE),"")</f>
        <v/>
      </c>
      <c r="X120" s="221">
        <f>SUM(Hoja1[[#This Row],[$ X TIP VEHICUL]:[AGREGADO]])</f>
        <v>210000</v>
      </c>
    </row>
    <row r="121" spans="1:24" ht="15.75" hidden="1" thickBot="1" x14ac:dyDescent="0.3">
      <c r="A121">
        <v>120</v>
      </c>
      <c r="B121" s="189">
        <v>45359</v>
      </c>
      <c r="C121" t="s">
        <v>7462</v>
      </c>
      <c r="D121" t="s">
        <v>7509</v>
      </c>
      <c r="E121" t="s">
        <v>7442</v>
      </c>
      <c r="F121" t="s">
        <v>7462</v>
      </c>
      <c r="G121" t="s">
        <v>7509</v>
      </c>
      <c r="J121" s="189"/>
      <c r="L121" t="s">
        <v>7463</v>
      </c>
      <c r="M121" s="205">
        <v>0.29166666666666674</v>
      </c>
      <c r="N121" t="s">
        <v>7464</v>
      </c>
      <c r="O121" t="s">
        <v>7494</v>
      </c>
      <c r="S121">
        <f>IFERROR(VLOOKUP(E121,'VALORES VIAJES'!$A$2:$B$13,2,FALSE),"")</f>
        <v>160000</v>
      </c>
      <c r="T121" t="str">
        <f>IFERROR(VLOOKUP(H121,'VALORES VIAJES'!$A$2:$B$24,2,FALSE),"")</f>
        <v/>
      </c>
      <c r="U121" t="str">
        <f>IFERROR(VLOOKUP(I121,'VALORES VIAJES'!$A$2:$B$24,2,FALSE),"")</f>
        <v/>
      </c>
      <c r="V121" t="str">
        <f>IFERROR(VLOOKUP(K121,'VALORES VIAJES'!$A$2:$B$24,2,FALSE),"")</f>
        <v/>
      </c>
      <c r="X121" s="208">
        <f>SUM(Hoja1[[#This Row],[$ X TIP VEHICUL]:[AGREGADO]])</f>
        <v>160000</v>
      </c>
    </row>
    <row r="122" spans="1:24" ht="15.75" hidden="1" thickBot="1" x14ac:dyDescent="0.3">
      <c r="A122">
        <v>121</v>
      </c>
      <c r="B122" s="189">
        <v>45362</v>
      </c>
      <c r="C122" t="s">
        <v>7481</v>
      </c>
      <c r="D122" t="s">
        <v>7481</v>
      </c>
      <c r="E122" t="s">
        <v>7441</v>
      </c>
      <c r="F122" t="s">
        <v>7485</v>
      </c>
      <c r="G122" t="s">
        <v>7482</v>
      </c>
      <c r="J122" s="189"/>
      <c r="L122" t="s">
        <v>7463</v>
      </c>
      <c r="M122" s="205">
        <v>0.25</v>
      </c>
      <c r="N122" t="s">
        <v>7473</v>
      </c>
      <c r="O122" t="s">
        <v>7474</v>
      </c>
      <c r="Q122">
        <v>11927</v>
      </c>
      <c r="R122">
        <v>136</v>
      </c>
      <c r="S122">
        <f>IFERROR(VLOOKUP(E122,'VALORES VIAJES'!$A$2:$B$13,2,FALSE),"")</f>
        <v>210000</v>
      </c>
      <c r="T122" t="str">
        <f>IFERROR(VLOOKUP(H122,'VALORES VIAJES'!$A$2:$B$24,2,FALSE),"")</f>
        <v/>
      </c>
      <c r="U122" t="str">
        <f>IFERROR(VLOOKUP(I122,'VALORES VIAJES'!$A$2:$B$24,2,FALSE),"")</f>
        <v/>
      </c>
      <c r="V122" t="str">
        <f>IFERROR(VLOOKUP(K122,'VALORES VIAJES'!$A$2:$B$24,2,FALSE),"")</f>
        <v/>
      </c>
      <c r="X122" s="208">
        <f>SUM(Hoja1[[#This Row],[$ X TIP VEHICUL]:[AGREGADO]])</f>
        <v>210000</v>
      </c>
    </row>
    <row r="123" spans="1:24" s="211" customFormat="1" x14ac:dyDescent="0.25">
      <c r="A123" s="209">
        <v>123</v>
      </c>
      <c r="B123" s="210">
        <v>45362</v>
      </c>
      <c r="C123" s="211" t="s">
        <v>7461</v>
      </c>
      <c r="D123" s="211" t="s">
        <v>6907</v>
      </c>
      <c r="E123" s="211" t="s">
        <v>7443</v>
      </c>
      <c r="F123" s="211" t="s">
        <v>6954</v>
      </c>
      <c r="G123" s="211" t="s">
        <v>6907</v>
      </c>
      <c r="J123" s="210"/>
      <c r="L123" s="211" t="s">
        <v>7594</v>
      </c>
      <c r="M123" s="212">
        <v>0.33333333333333326</v>
      </c>
      <c r="N123" s="211" t="s">
        <v>7477</v>
      </c>
      <c r="O123" s="211" t="s">
        <v>7478</v>
      </c>
      <c r="Q123" s="211">
        <v>16407</v>
      </c>
      <c r="R123" s="211">
        <v>51366</v>
      </c>
      <c r="S123" s="211">
        <f>IFERROR(VLOOKUP(E123,'VALORES VIAJES'!$A$2:$B$13,2,FALSE),"")</f>
        <v>210000</v>
      </c>
      <c r="T123" s="211" t="str">
        <f>IFERROR(VLOOKUP(H123,'VALORES VIAJES'!$A$2:$B$24,2,FALSE),"")</f>
        <v/>
      </c>
      <c r="U123" s="211" t="str">
        <f>IFERROR(VLOOKUP(I123,'VALORES VIAJES'!$A$2:$B$24,2,FALSE),"")</f>
        <v/>
      </c>
      <c r="V123" s="211" t="str">
        <f>IFERROR(VLOOKUP(K123,'VALORES VIAJES'!$A$2:$B$24,2,FALSE),"")</f>
        <v/>
      </c>
      <c r="X123" s="207">
        <f>SUM(Hoja1[[#This Row],[$ X TIP VEHICUL]:[AGREGADO]])</f>
        <v>210000</v>
      </c>
    </row>
    <row r="124" spans="1:24" s="215" customFormat="1" x14ac:dyDescent="0.25">
      <c r="A124" s="213">
        <v>124</v>
      </c>
      <c r="B124" s="214">
        <v>45362</v>
      </c>
      <c r="C124" s="215" t="s">
        <v>7461</v>
      </c>
      <c r="D124" s="215" t="s">
        <v>6907</v>
      </c>
      <c r="E124" s="215" t="s">
        <v>7443</v>
      </c>
      <c r="F124" s="215" t="s">
        <v>6954</v>
      </c>
      <c r="G124" s="215" t="s">
        <v>6907</v>
      </c>
      <c r="J124" s="214"/>
      <c r="L124" s="215" t="s">
        <v>7595</v>
      </c>
      <c r="M124" s="216">
        <v>0.33333333333333326</v>
      </c>
      <c r="N124" s="215" t="s">
        <v>7469</v>
      </c>
      <c r="O124" s="215" t="s">
        <v>7470</v>
      </c>
      <c r="Q124" s="215">
        <v>16407</v>
      </c>
      <c r="R124" s="215">
        <v>51365</v>
      </c>
      <c r="S124" s="215">
        <f>IFERROR(VLOOKUP(E124,'VALORES VIAJES'!$A$2:$B$13,2,FALSE),"")</f>
        <v>210000</v>
      </c>
      <c r="T124" s="215" t="str">
        <f>IFERROR(VLOOKUP(H124,'VALORES VIAJES'!$A$2:$B$24,2,FALSE),"")</f>
        <v/>
      </c>
      <c r="U124" s="215" t="str">
        <f>IFERROR(VLOOKUP(I124,'VALORES VIAJES'!$A$2:$B$24,2,FALSE),"")</f>
        <v/>
      </c>
      <c r="V124" s="215" t="str">
        <f>IFERROR(VLOOKUP(K124,'VALORES VIAJES'!$A$2:$B$24,2,FALSE),"")</f>
        <v/>
      </c>
      <c r="X124" s="208">
        <f>SUM(Hoja1[[#This Row],[$ X TIP VEHICUL]:[AGREGADO]])</f>
        <v>210000</v>
      </c>
    </row>
    <row r="125" spans="1:24" s="215" customFormat="1" x14ac:dyDescent="0.25">
      <c r="A125" s="213">
        <v>125</v>
      </c>
      <c r="B125" s="214">
        <v>45362</v>
      </c>
      <c r="C125" s="215" t="s">
        <v>7466</v>
      </c>
      <c r="D125" s="215" t="s">
        <v>7520</v>
      </c>
      <c r="E125" s="215" t="s">
        <v>7443</v>
      </c>
      <c r="F125" s="215" t="s">
        <v>7484</v>
      </c>
      <c r="G125" s="215" t="s">
        <v>6954</v>
      </c>
      <c r="J125" s="214"/>
      <c r="L125" s="215" t="s">
        <v>7596</v>
      </c>
      <c r="M125" s="216">
        <v>0.41666666666666674</v>
      </c>
      <c r="N125" s="215" t="s">
        <v>7480</v>
      </c>
      <c r="O125" s="215" t="s">
        <v>7465</v>
      </c>
      <c r="Q125" s="215">
        <v>16814</v>
      </c>
      <c r="R125" s="215" t="s">
        <v>7463</v>
      </c>
      <c r="S125" s="215">
        <f>IFERROR(VLOOKUP(E125,'VALORES VIAJES'!$A$2:$B$13,2,FALSE),"")</f>
        <v>210000</v>
      </c>
      <c r="T125" s="215" t="str">
        <f>IFERROR(VLOOKUP(H125,'VALORES VIAJES'!$A$2:$B$24,2,FALSE),"")</f>
        <v/>
      </c>
      <c r="U125" s="215" t="str">
        <f>IFERROR(VLOOKUP(I125,'VALORES VIAJES'!$A$2:$B$24,2,FALSE),"")</f>
        <v/>
      </c>
      <c r="V125" s="215" t="str">
        <f>IFERROR(VLOOKUP(K125,'VALORES VIAJES'!$A$2:$B$24,2,FALSE),"")</f>
        <v/>
      </c>
      <c r="X125" s="208">
        <f>SUM(Hoja1[[#This Row],[$ X TIP VEHICUL]:[AGREGADO]])</f>
        <v>210000</v>
      </c>
    </row>
    <row r="126" spans="1:24" s="224" customFormat="1" ht="15.75" thickBot="1" x14ac:dyDescent="0.3">
      <c r="A126" s="222">
        <v>126</v>
      </c>
      <c r="B126" s="223">
        <v>45362</v>
      </c>
      <c r="C126" s="224" t="s">
        <v>7497</v>
      </c>
      <c r="D126" s="224" t="s">
        <v>7597</v>
      </c>
      <c r="E126" s="224" t="s">
        <v>7443</v>
      </c>
      <c r="F126" s="224" t="s">
        <v>6954</v>
      </c>
      <c r="G126" s="224" t="s">
        <v>7598</v>
      </c>
      <c r="J126" s="223"/>
      <c r="L126" s="224" t="s">
        <v>7599</v>
      </c>
      <c r="M126" s="225">
        <v>0.625</v>
      </c>
      <c r="N126" s="224" t="s">
        <v>7480</v>
      </c>
      <c r="O126" s="224" t="s">
        <v>7465</v>
      </c>
      <c r="Q126" s="224">
        <v>14994</v>
      </c>
      <c r="R126" s="224" t="s">
        <v>7463</v>
      </c>
      <c r="S126" s="224">
        <f>IFERROR(VLOOKUP(E126,'VALORES VIAJES'!$A$2:$B$13,2,FALSE),"")</f>
        <v>210000</v>
      </c>
      <c r="T126" s="224" t="str">
        <f>IFERROR(VLOOKUP(H126,'VALORES VIAJES'!$A$2:$B$24,2,FALSE),"")</f>
        <v/>
      </c>
      <c r="U126" s="224" t="str">
        <f>IFERROR(VLOOKUP(I126,'VALORES VIAJES'!$A$2:$B$24,2,FALSE),"")</f>
        <v/>
      </c>
      <c r="V126" s="224" t="str">
        <f>IFERROR(VLOOKUP(K126,'VALORES VIAJES'!$A$2:$B$24,2,FALSE),"")</f>
        <v/>
      </c>
      <c r="X126" s="226">
        <f>SUM(Hoja1[[#This Row],[$ X TIP VEHICUL]:[AGREGADO]])</f>
        <v>210000</v>
      </c>
    </row>
    <row r="127" spans="1:24" ht="15.75" hidden="1" thickBot="1" x14ac:dyDescent="0.3">
      <c r="A127">
        <v>127</v>
      </c>
      <c r="B127" s="189">
        <v>45362</v>
      </c>
      <c r="C127" t="s">
        <v>7462</v>
      </c>
      <c r="D127" t="s">
        <v>6908</v>
      </c>
      <c r="E127" t="s">
        <v>7441</v>
      </c>
      <c r="F127" t="s">
        <v>6954</v>
      </c>
      <c r="G127" t="s">
        <v>6908</v>
      </c>
      <c r="J127" s="189"/>
      <c r="L127" t="s">
        <v>7463</v>
      </c>
      <c r="M127" s="205">
        <v>0.33333333333333326</v>
      </c>
      <c r="N127" t="s">
        <v>7504</v>
      </c>
      <c r="O127" t="s">
        <v>7505</v>
      </c>
      <c r="Q127">
        <v>6400</v>
      </c>
      <c r="R127">
        <v>51368</v>
      </c>
      <c r="S127">
        <f>IFERROR(VLOOKUP(E127,'VALORES VIAJES'!$A$2:$B$13,2,FALSE),"")</f>
        <v>210000</v>
      </c>
      <c r="T127" t="str">
        <f>IFERROR(VLOOKUP(H127,'VALORES VIAJES'!$A$2:$B$24,2,FALSE),"")</f>
        <v/>
      </c>
      <c r="U127" t="str">
        <f>IFERROR(VLOOKUP(I127,'VALORES VIAJES'!$A$2:$B$24,2,FALSE),"")</f>
        <v/>
      </c>
      <c r="V127" t="str">
        <f>IFERROR(VLOOKUP(K127,'VALORES VIAJES'!$A$2:$B$24,2,FALSE),"")</f>
        <v/>
      </c>
      <c r="X127" s="208">
        <f>SUM(Hoja1[[#This Row],[$ X TIP VEHICUL]:[AGREGADO]])</f>
        <v>210000</v>
      </c>
    </row>
    <row r="128" spans="1:24" ht="15.75" hidden="1" thickBot="1" x14ac:dyDescent="0.3">
      <c r="A128">
        <v>128</v>
      </c>
      <c r="B128" s="189">
        <v>45362</v>
      </c>
      <c r="C128" t="s">
        <v>7462</v>
      </c>
      <c r="D128" t="s">
        <v>7509</v>
      </c>
      <c r="E128" t="s">
        <v>7442</v>
      </c>
      <c r="F128" t="s">
        <v>7462</v>
      </c>
      <c r="G128" t="s">
        <v>7509</v>
      </c>
      <c r="J128" s="189"/>
      <c r="L128" t="s">
        <v>7463</v>
      </c>
      <c r="M128" s="205">
        <v>0.29166666666666674</v>
      </c>
      <c r="N128" t="s">
        <v>7464</v>
      </c>
      <c r="O128" t="s">
        <v>7494</v>
      </c>
      <c r="S128">
        <f>IFERROR(VLOOKUP(E128,'VALORES VIAJES'!$A$2:$B$13,2,FALSE),"")</f>
        <v>160000</v>
      </c>
      <c r="T128" t="str">
        <f>IFERROR(VLOOKUP(H128,'VALORES VIAJES'!$A$2:$B$24,2,FALSE),"")</f>
        <v/>
      </c>
      <c r="U128" t="str">
        <f>IFERROR(VLOOKUP(I128,'VALORES VIAJES'!$A$2:$B$24,2,FALSE),"")</f>
        <v/>
      </c>
      <c r="V128" t="str">
        <f>IFERROR(VLOOKUP(K128,'VALORES VIAJES'!$A$2:$B$24,2,FALSE),"")</f>
        <v/>
      </c>
      <c r="X128" s="208">
        <f>SUM(Hoja1[[#This Row],[$ X TIP VEHICUL]:[AGREGADO]])</f>
        <v>160000</v>
      </c>
    </row>
    <row r="129" spans="1:24" ht="15.75" hidden="1" thickBot="1" x14ac:dyDescent="0.3">
      <c r="A129">
        <v>129</v>
      </c>
      <c r="B129" s="189">
        <v>45363</v>
      </c>
      <c r="C129" t="s">
        <v>7462</v>
      </c>
      <c r="D129" t="s">
        <v>6908</v>
      </c>
      <c r="E129" t="s">
        <v>7441</v>
      </c>
      <c r="F129" t="s">
        <v>6954</v>
      </c>
      <c r="G129" t="s">
        <v>6908</v>
      </c>
      <c r="J129" s="189"/>
      <c r="L129" t="s">
        <v>7463</v>
      </c>
      <c r="M129" s="205">
        <v>0.33333333333333326</v>
      </c>
      <c r="N129" t="s">
        <v>7480</v>
      </c>
      <c r="O129" t="s">
        <v>7465</v>
      </c>
      <c r="Q129">
        <v>6400</v>
      </c>
      <c r="R129">
        <v>51371</v>
      </c>
      <c r="S129">
        <f>IFERROR(VLOOKUP(E129,'VALORES VIAJES'!$A$2:$B$13,2,FALSE),"")</f>
        <v>210000</v>
      </c>
      <c r="T129" t="str">
        <f>IFERROR(VLOOKUP(H129,'VALORES VIAJES'!$A$2:$B$24,2,FALSE),"")</f>
        <v/>
      </c>
      <c r="U129" t="str">
        <f>IFERROR(VLOOKUP(I129,'VALORES VIAJES'!$A$2:$B$24,2,FALSE),"")</f>
        <v/>
      </c>
      <c r="V129" t="str">
        <f>IFERROR(VLOOKUP(K129,'VALORES VIAJES'!$A$2:$B$24,2,FALSE),"")</f>
        <v/>
      </c>
      <c r="X129" s="208">
        <f>SUM(Hoja1[[#This Row],[$ X TIP VEHICUL]:[AGREGADO]])</f>
        <v>210000</v>
      </c>
    </row>
    <row r="130" spans="1:24" s="211" customFormat="1" x14ac:dyDescent="0.25">
      <c r="A130" s="209">
        <v>130</v>
      </c>
      <c r="B130" s="210">
        <v>45363</v>
      </c>
      <c r="C130" s="211" t="s">
        <v>7461</v>
      </c>
      <c r="D130" s="211" t="s">
        <v>7498</v>
      </c>
      <c r="E130" s="211" t="s">
        <v>7443</v>
      </c>
      <c r="F130" s="211" t="s">
        <v>7484</v>
      </c>
      <c r="G130" s="211" t="s">
        <v>7498</v>
      </c>
      <c r="H130" s="211" t="s">
        <v>7434</v>
      </c>
      <c r="J130" s="210"/>
      <c r="L130" s="211" t="s">
        <v>7600</v>
      </c>
      <c r="M130" s="212">
        <v>0.41666666666666674</v>
      </c>
      <c r="N130" s="211" t="s">
        <v>7473</v>
      </c>
      <c r="O130" s="211" t="s">
        <v>7474</v>
      </c>
      <c r="Q130" s="211">
        <v>14154</v>
      </c>
      <c r="R130" s="211">
        <v>51752</v>
      </c>
      <c r="S130" s="211">
        <f>IFERROR(VLOOKUP(E130,'VALORES VIAJES'!$A$2:$B$13,2,FALSE),"")</f>
        <v>210000</v>
      </c>
      <c r="T130" s="211">
        <f>IFERROR(VLOOKUP(H130,'VALORES VIAJES'!$A$2:$B$24,2,FALSE),"")</f>
        <v>105000</v>
      </c>
      <c r="U130" s="211" t="str">
        <f>IFERROR(VLOOKUP(I130,'VALORES VIAJES'!$A$2:$B$24,2,FALSE),"")</f>
        <v/>
      </c>
      <c r="V130" s="211" t="str">
        <f>IFERROR(VLOOKUP(K130,'VALORES VIAJES'!$A$2:$B$24,2,FALSE),"")</f>
        <v/>
      </c>
      <c r="X130" s="207">
        <f>SUM(Hoja1[[#This Row],[$ X TIP VEHICUL]:[AGREGADO]])</f>
        <v>315000</v>
      </c>
    </row>
    <row r="131" spans="1:24" s="215" customFormat="1" x14ac:dyDescent="0.25">
      <c r="A131" s="213">
        <v>131</v>
      </c>
      <c r="B131" s="214">
        <v>45363</v>
      </c>
      <c r="C131" s="215" t="s">
        <v>7461</v>
      </c>
      <c r="D131" s="215" t="s">
        <v>7498</v>
      </c>
      <c r="E131" s="215" t="s">
        <v>7443</v>
      </c>
      <c r="F131" s="215" t="s">
        <v>7484</v>
      </c>
      <c r="G131" s="215" t="s">
        <v>7498</v>
      </c>
      <c r="H131" s="215" t="s">
        <v>7434</v>
      </c>
      <c r="J131" s="214"/>
      <c r="L131" s="215" t="s">
        <v>7601</v>
      </c>
      <c r="M131" s="216">
        <v>0.41666666666666674</v>
      </c>
      <c r="N131" s="215" t="s">
        <v>7469</v>
      </c>
      <c r="O131" s="215" t="s">
        <v>7470</v>
      </c>
      <c r="Q131" s="215">
        <v>14154</v>
      </c>
      <c r="R131" s="215">
        <v>51753</v>
      </c>
      <c r="S131" s="215">
        <f>IFERROR(VLOOKUP(E131,'VALORES VIAJES'!$A$2:$B$13,2,FALSE),"")</f>
        <v>210000</v>
      </c>
      <c r="T131" s="215">
        <f>IFERROR(VLOOKUP(H131,'VALORES VIAJES'!$A$2:$B$24,2,FALSE),"")</f>
        <v>105000</v>
      </c>
      <c r="U131" s="215" t="str">
        <f>IFERROR(VLOOKUP(I131,'VALORES VIAJES'!$A$2:$B$24,2,FALSE),"")</f>
        <v/>
      </c>
      <c r="V131" s="215" t="str">
        <f>IFERROR(VLOOKUP(K131,'VALORES VIAJES'!$A$2:$B$24,2,FALSE),"")</f>
        <v/>
      </c>
      <c r="X131" s="208">
        <f>SUM(Hoja1[[#This Row],[$ X TIP VEHICUL]:[AGREGADO]])</f>
        <v>315000</v>
      </c>
    </row>
    <row r="132" spans="1:24" s="215" customFormat="1" x14ac:dyDescent="0.25">
      <c r="A132" s="213">
        <v>132</v>
      </c>
      <c r="B132" s="214">
        <v>45363</v>
      </c>
      <c r="C132" s="215" t="s">
        <v>7461</v>
      </c>
      <c r="D132" s="215" t="s">
        <v>7602</v>
      </c>
      <c r="E132" s="215" t="s">
        <v>7443</v>
      </c>
      <c r="F132" s="215" t="s">
        <v>7484</v>
      </c>
      <c r="G132" s="215" t="s">
        <v>7603</v>
      </c>
      <c r="H132" s="215" t="s">
        <v>7434</v>
      </c>
      <c r="J132" s="214"/>
      <c r="L132" s="215" t="s">
        <v>7604</v>
      </c>
      <c r="M132" s="216">
        <v>0.41666666666666674</v>
      </c>
      <c r="N132" s="215" t="s">
        <v>7477</v>
      </c>
      <c r="O132" s="215" t="s">
        <v>7478</v>
      </c>
      <c r="Q132" s="215">
        <v>15827</v>
      </c>
      <c r="R132" s="215">
        <v>49868</v>
      </c>
      <c r="S132" s="215">
        <f>IFERROR(VLOOKUP(E132,'VALORES VIAJES'!$A$2:$B$13,2,FALSE),"")</f>
        <v>210000</v>
      </c>
      <c r="T132" s="215">
        <f>IFERROR(VLOOKUP(H132,'VALORES VIAJES'!$A$2:$B$24,2,FALSE),"")</f>
        <v>105000</v>
      </c>
      <c r="U132" s="215" t="str">
        <f>IFERROR(VLOOKUP(I132,'VALORES VIAJES'!$A$2:$B$24,2,FALSE),"")</f>
        <v/>
      </c>
      <c r="V132" s="215" t="str">
        <f>IFERROR(VLOOKUP(K132,'VALORES VIAJES'!$A$2:$B$24,2,FALSE),"")</f>
        <v/>
      </c>
      <c r="X132" s="208">
        <f>SUM(Hoja1[[#This Row],[$ X TIP VEHICUL]:[AGREGADO]])</f>
        <v>315000</v>
      </c>
    </row>
    <row r="133" spans="1:24" s="219" customFormat="1" ht="15.75" thickBot="1" x14ac:dyDescent="0.3">
      <c r="A133" s="217">
        <v>133</v>
      </c>
      <c r="B133" s="218">
        <v>45363</v>
      </c>
      <c r="C133" s="219" t="s">
        <v>7461</v>
      </c>
      <c r="D133" s="219" t="s">
        <v>7602</v>
      </c>
      <c r="E133" s="219" t="s">
        <v>7443</v>
      </c>
      <c r="F133" s="219" t="s">
        <v>7484</v>
      </c>
      <c r="G133" s="219" t="s">
        <v>7603</v>
      </c>
      <c r="H133" s="219" t="s">
        <v>7433</v>
      </c>
      <c r="J133" s="218"/>
      <c r="L133" s="219" t="s">
        <v>7605</v>
      </c>
      <c r="M133" s="220">
        <v>0.41666666666666674</v>
      </c>
      <c r="N133" s="219" t="s">
        <v>7504</v>
      </c>
      <c r="O133" s="219" t="s">
        <v>7505</v>
      </c>
      <c r="Q133" s="219">
        <v>19827</v>
      </c>
      <c r="R133" s="219">
        <v>49869</v>
      </c>
      <c r="S133" s="219">
        <f>IFERROR(VLOOKUP(E133,'VALORES VIAJES'!$A$2:$B$13,2,FALSE),"")</f>
        <v>210000</v>
      </c>
      <c r="T133" s="219">
        <f>IFERROR(VLOOKUP(H133,'VALORES VIAJES'!$A$2:$B$24,2,FALSE),"")</f>
        <v>210000</v>
      </c>
      <c r="U133" s="219" t="str">
        <f>IFERROR(VLOOKUP(I133,'VALORES VIAJES'!$A$2:$B$24,2,FALSE),"")</f>
        <v/>
      </c>
      <c r="V133" s="219" t="str">
        <f>IFERROR(VLOOKUP(K133,'VALORES VIAJES'!$A$2:$B$24,2,FALSE),"")</f>
        <v/>
      </c>
      <c r="X133" s="221">
        <f>SUM(Hoja1[[#This Row],[$ X TIP VEHICUL]:[AGREGADO]])</f>
        <v>420000</v>
      </c>
    </row>
    <row r="134" spans="1:24" ht="15.75" hidden="1" thickBot="1" x14ac:dyDescent="0.3">
      <c r="A134">
        <v>134</v>
      </c>
      <c r="B134" s="189">
        <v>45363</v>
      </c>
      <c r="C134" t="s">
        <v>7462</v>
      </c>
      <c r="D134" t="s">
        <v>6885</v>
      </c>
      <c r="E134" t="s">
        <v>7442</v>
      </c>
      <c r="F134" t="s">
        <v>7462</v>
      </c>
      <c r="G134" t="s">
        <v>6885</v>
      </c>
      <c r="J134" s="189"/>
      <c r="L134" t="s">
        <v>7463</v>
      </c>
      <c r="M134" s="205">
        <v>0.33333333333333326</v>
      </c>
      <c r="N134" t="s">
        <v>7464</v>
      </c>
      <c r="O134" t="s">
        <v>7494</v>
      </c>
      <c r="S134">
        <f>IFERROR(VLOOKUP(E134,'VALORES VIAJES'!$A$2:$B$13,2,FALSE),"")</f>
        <v>160000</v>
      </c>
      <c r="T134" t="str">
        <f>IFERROR(VLOOKUP(H134,'VALORES VIAJES'!$A$2:$B$24,2,FALSE),"")</f>
        <v/>
      </c>
      <c r="U134" t="str">
        <f>IFERROR(VLOOKUP(I134,'VALORES VIAJES'!$A$2:$B$24,2,FALSE),"")</f>
        <v/>
      </c>
      <c r="V134" t="str">
        <f>IFERROR(VLOOKUP(K134,'VALORES VIAJES'!$A$2:$B$24,2,FALSE),"")</f>
        <v/>
      </c>
      <c r="X134" s="208">
        <f>SUM(Hoja1[[#This Row],[$ X TIP VEHICUL]:[AGREGADO]])</f>
        <v>160000</v>
      </c>
    </row>
    <row r="135" spans="1:24" ht="15.75" hidden="1" thickBot="1" x14ac:dyDescent="0.3">
      <c r="A135">
        <v>135</v>
      </c>
      <c r="B135" s="189">
        <v>45364</v>
      </c>
      <c r="C135" t="s">
        <v>7481</v>
      </c>
      <c r="D135" t="s">
        <v>7481</v>
      </c>
      <c r="E135" t="s">
        <v>7441</v>
      </c>
      <c r="F135" t="s">
        <v>7485</v>
      </c>
      <c r="G135" t="s">
        <v>7482</v>
      </c>
      <c r="J135" s="189"/>
      <c r="L135" t="s">
        <v>7463</v>
      </c>
      <c r="M135" s="205">
        <v>0.25</v>
      </c>
      <c r="N135" t="s">
        <v>7469</v>
      </c>
      <c r="O135" t="s">
        <v>7470</v>
      </c>
      <c r="Q135">
        <v>11927</v>
      </c>
      <c r="R135">
        <v>137</v>
      </c>
      <c r="S135">
        <f>IFERROR(VLOOKUP(E135,'VALORES VIAJES'!$A$2:$B$13,2,FALSE),"")</f>
        <v>210000</v>
      </c>
      <c r="T135" t="str">
        <f>IFERROR(VLOOKUP(H135,'VALORES VIAJES'!$A$2:$B$24,2,FALSE),"")</f>
        <v/>
      </c>
      <c r="U135" t="str">
        <f>IFERROR(VLOOKUP(I135,'VALORES VIAJES'!$A$2:$B$24,2,FALSE),"")</f>
        <v/>
      </c>
      <c r="V135" t="str">
        <f>IFERROR(VLOOKUP(K135,'VALORES VIAJES'!$A$2:$B$24,2,FALSE),"")</f>
        <v/>
      </c>
      <c r="X135" s="208">
        <f>SUM(Hoja1[[#This Row],[$ X TIP VEHICUL]:[AGREGADO]])</f>
        <v>210000</v>
      </c>
    </row>
    <row r="136" spans="1:24" ht="15.75" hidden="1" thickBot="1" x14ac:dyDescent="0.3">
      <c r="A136">
        <v>136</v>
      </c>
      <c r="B136" s="189">
        <v>45364</v>
      </c>
      <c r="C136" t="s">
        <v>7481</v>
      </c>
      <c r="D136" t="s">
        <v>7481</v>
      </c>
      <c r="E136" t="s">
        <v>7441</v>
      </c>
      <c r="F136" t="s">
        <v>7485</v>
      </c>
      <c r="G136" t="s">
        <v>7482</v>
      </c>
      <c r="J136" s="189"/>
      <c r="L136" t="s">
        <v>7463</v>
      </c>
      <c r="M136" s="205">
        <v>0.5</v>
      </c>
      <c r="N136" t="s">
        <v>7469</v>
      </c>
      <c r="O136" t="s">
        <v>7470</v>
      </c>
      <c r="Q136">
        <v>11927</v>
      </c>
      <c r="R136">
        <v>138</v>
      </c>
      <c r="S136">
        <f>IFERROR(VLOOKUP(E136,'VALORES VIAJES'!$A$2:$B$13,2,FALSE),"")</f>
        <v>210000</v>
      </c>
      <c r="T136" t="str">
        <f>IFERROR(VLOOKUP(H136,'VALORES VIAJES'!$A$2:$B$24,2,FALSE),"")</f>
        <v/>
      </c>
      <c r="U136" t="str">
        <f>IFERROR(VLOOKUP(I136,'VALORES VIAJES'!$A$2:$B$24,2,FALSE),"")</f>
        <v/>
      </c>
      <c r="V136" t="str">
        <f>IFERROR(VLOOKUP(K136,'VALORES VIAJES'!$A$2:$B$24,2,FALSE),"")</f>
        <v/>
      </c>
      <c r="X136" s="208">
        <f>SUM(Hoja1[[#This Row],[$ X TIP VEHICUL]:[AGREGADO]])</f>
        <v>210000</v>
      </c>
    </row>
    <row r="137" spans="1:24" s="211" customFormat="1" x14ac:dyDescent="0.25">
      <c r="A137" s="209">
        <v>137</v>
      </c>
      <c r="B137" s="210">
        <v>45364</v>
      </c>
      <c r="C137" s="211" t="s">
        <v>7461</v>
      </c>
      <c r="D137" s="211" t="s">
        <v>6906</v>
      </c>
      <c r="E137" s="211" t="s">
        <v>7441</v>
      </c>
      <c r="F137" s="211" t="s">
        <v>6954</v>
      </c>
      <c r="G137" s="211" t="s">
        <v>6906</v>
      </c>
      <c r="J137" s="210"/>
      <c r="L137" s="211" t="s">
        <v>7463</v>
      </c>
      <c r="M137" s="212">
        <v>0.33333333333333326</v>
      </c>
      <c r="N137" s="211" t="s">
        <v>7473</v>
      </c>
      <c r="O137" s="211" t="s">
        <v>7474</v>
      </c>
      <c r="Q137" s="211">
        <v>5600</v>
      </c>
      <c r="R137" s="211">
        <v>51372</v>
      </c>
      <c r="S137" s="211">
        <f>IFERROR(VLOOKUP(E137,'VALORES VIAJES'!$A$2:$B$13,2,FALSE),"")</f>
        <v>210000</v>
      </c>
      <c r="T137" s="211" t="str">
        <f>IFERROR(VLOOKUP(H137,'VALORES VIAJES'!$A$2:$B$24,2,FALSE),"")</f>
        <v/>
      </c>
      <c r="U137" s="211" t="str">
        <f>IFERROR(VLOOKUP(I137,'VALORES VIAJES'!$A$2:$B$24,2,FALSE),"")</f>
        <v/>
      </c>
      <c r="V137" s="211" t="str">
        <f>IFERROR(VLOOKUP(K137,'VALORES VIAJES'!$A$2:$B$24,2,FALSE),"")</f>
        <v/>
      </c>
      <c r="X137" s="207">
        <f>SUM(Hoja1[[#This Row],[$ X TIP VEHICUL]:[AGREGADO]])</f>
        <v>210000</v>
      </c>
    </row>
    <row r="138" spans="1:24" s="215" customFormat="1" x14ac:dyDescent="0.25">
      <c r="A138" s="213">
        <v>138</v>
      </c>
      <c r="B138" s="214">
        <v>45364</v>
      </c>
      <c r="C138" s="215" t="s">
        <v>7461</v>
      </c>
      <c r="D138" s="215" t="s">
        <v>6906</v>
      </c>
      <c r="E138" s="215" t="s">
        <v>7441</v>
      </c>
      <c r="F138" s="215" t="s">
        <v>6954</v>
      </c>
      <c r="G138" s="215" t="s">
        <v>6906</v>
      </c>
      <c r="H138" s="215" t="s">
        <v>7433</v>
      </c>
      <c r="J138" s="214"/>
      <c r="L138" s="215" t="s">
        <v>7463</v>
      </c>
      <c r="M138" s="216">
        <v>0.33333333333333326</v>
      </c>
      <c r="N138" s="215" t="s">
        <v>7473</v>
      </c>
      <c r="O138" s="215" t="s">
        <v>7474</v>
      </c>
      <c r="Q138" s="215">
        <v>5600</v>
      </c>
      <c r="R138" s="215">
        <v>51374</v>
      </c>
      <c r="S138" s="215">
        <f>IFERROR(VLOOKUP(E138,'VALORES VIAJES'!$A$2:$B$13,2,FALSE),"")</f>
        <v>210000</v>
      </c>
      <c r="T138" s="215">
        <f>IFERROR(VLOOKUP(H138,'VALORES VIAJES'!$A$2:$B$24,2,FALSE),"")</f>
        <v>210000</v>
      </c>
      <c r="U138" s="215" t="str">
        <f>IFERROR(VLOOKUP(I138,'VALORES VIAJES'!$A$2:$B$24,2,FALSE),"")</f>
        <v/>
      </c>
      <c r="V138" s="215" t="str">
        <f>IFERROR(VLOOKUP(K138,'VALORES VIAJES'!$A$2:$B$24,2,FALSE),"")</f>
        <v/>
      </c>
      <c r="X138" s="208">
        <f>SUM(Hoja1[[#This Row],[$ X TIP VEHICUL]:[AGREGADO]])</f>
        <v>420000</v>
      </c>
    </row>
    <row r="139" spans="1:24" s="215" customFormat="1" x14ac:dyDescent="0.25">
      <c r="A139" s="213">
        <v>139</v>
      </c>
      <c r="B139" s="214">
        <v>45364</v>
      </c>
      <c r="C139" s="215" t="s">
        <v>7466</v>
      </c>
      <c r="D139" s="215" t="s">
        <v>6907</v>
      </c>
      <c r="E139" s="215" t="s">
        <v>7443</v>
      </c>
      <c r="F139" s="215" t="s">
        <v>6945</v>
      </c>
      <c r="G139" s="215" t="s">
        <v>6907</v>
      </c>
      <c r="J139" s="214"/>
      <c r="L139" s="215" t="s">
        <v>7606</v>
      </c>
      <c r="M139" s="216">
        <v>0.45833333333333326</v>
      </c>
      <c r="N139" s="215" t="s">
        <v>7477</v>
      </c>
      <c r="O139" s="215" t="s">
        <v>7478</v>
      </c>
      <c r="Q139" s="215">
        <v>23454</v>
      </c>
      <c r="R139" s="215" t="s">
        <v>7463</v>
      </c>
      <c r="S139" s="215">
        <f>IFERROR(VLOOKUP(E139,'VALORES VIAJES'!$A$2:$B$13,2,FALSE),"")</f>
        <v>210000</v>
      </c>
      <c r="T139" s="215" t="str">
        <f>IFERROR(VLOOKUP(H139,'VALORES VIAJES'!$A$2:$B$24,2,FALSE),"")</f>
        <v/>
      </c>
      <c r="U139" s="215" t="str">
        <f>IFERROR(VLOOKUP(I139,'VALORES VIAJES'!$A$2:$B$24,2,FALSE),"")</f>
        <v/>
      </c>
      <c r="V139" s="215" t="str">
        <f>IFERROR(VLOOKUP(K139,'VALORES VIAJES'!$A$2:$B$24,2,FALSE),"")</f>
        <v/>
      </c>
      <c r="X139" s="208">
        <f>SUM(Hoja1[[#This Row],[$ X TIP VEHICUL]:[AGREGADO]])</f>
        <v>210000</v>
      </c>
    </row>
    <row r="140" spans="1:24" s="215" customFormat="1" x14ac:dyDescent="0.25">
      <c r="A140" s="213">
        <v>140</v>
      </c>
      <c r="B140" s="214">
        <v>45364</v>
      </c>
      <c r="C140" s="215" t="s">
        <v>7466</v>
      </c>
      <c r="D140" s="215" t="s">
        <v>6907</v>
      </c>
      <c r="E140" s="215" t="s">
        <v>7443</v>
      </c>
      <c r="F140" s="215" t="s">
        <v>6945</v>
      </c>
      <c r="G140" s="215" t="s">
        <v>6907</v>
      </c>
      <c r="J140" s="214"/>
      <c r="L140" s="215" t="s">
        <v>7607</v>
      </c>
      <c r="M140" s="216">
        <v>0.45833333333333326</v>
      </c>
      <c r="N140" s="215" t="s">
        <v>7504</v>
      </c>
      <c r="O140" s="215" t="s">
        <v>7505</v>
      </c>
      <c r="Q140" s="215">
        <v>23454</v>
      </c>
      <c r="R140" s="215" t="s">
        <v>7463</v>
      </c>
      <c r="S140" s="215">
        <f>IFERROR(VLOOKUP(E140,'VALORES VIAJES'!$A$2:$B$13,2,FALSE),"")</f>
        <v>210000</v>
      </c>
      <c r="T140" s="215" t="str">
        <f>IFERROR(VLOOKUP(H140,'VALORES VIAJES'!$A$2:$B$24,2,FALSE),"")</f>
        <v/>
      </c>
      <c r="U140" s="215" t="str">
        <f>IFERROR(VLOOKUP(I140,'VALORES VIAJES'!$A$2:$B$24,2,FALSE),"")</f>
        <v/>
      </c>
      <c r="V140" s="215" t="str">
        <f>IFERROR(VLOOKUP(K140,'VALORES VIAJES'!$A$2:$B$24,2,FALSE),"")</f>
        <v/>
      </c>
      <c r="X140" s="208">
        <f>SUM(Hoja1[[#This Row],[$ X TIP VEHICUL]:[AGREGADO]])</f>
        <v>210000</v>
      </c>
    </row>
    <row r="141" spans="1:24" s="215" customFormat="1" x14ac:dyDescent="0.25">
      <c r="A141" s="213">
        <v>141</v>
      </c>
      <c r="B141" s="214">
        <v>45364</v>
      </c>
      <c r="C141" s="215" t="s">
        <v>7466</v>
      </c>
      <c r="D141" s="215" t="s">
        <v>6907</v>
      </c>
      <c r="E141" s="215" t="s">
        <v>7443</v>
      </c>
      <c r="F141" s="215" t="s">
        <v>6945</v>
      </c>
      <c r="G141" s="215" t="s">
        <v>6907</v>
      </c>
      <c r="J141" s="214"/>
      <c r="L141" s="215" t="s">
        <v>7608</v>
      </c>
      <c r="M141" s="216">
        <v>0.45833333333333326</v>
      </c>
      <c r="N141" s="215" t="s">
        <v>7480</v>
      </c>
      <c r="O141" s="215" t="s">
        <v>7465</v>
      </c>
      <c r="Q141" s="215">
        <v>23454</v>
      </c>
      <c r="R141" s="215" t="s">
        <v>7463</v>
      </c>
      <c r="S141" s="215">
        <f>IFERROR(VLOOKUP(E141,'VALORES VIAJES'!$A$2:$B$13,2,FALSE),"")</f>
        <v>210000</v>
      </c>
      <c r="T141" s="215" t="str">
        <f>IFERROR(VLOOKUP(H141,'VALORES VIAJES'!$A$2:$B$24,2,FALSE),"")</f>
        <v/>
      </c>
      <c r="U141" s="215" t="str">
        <f>IFERROR(VLOOKUP(I141,'VALORES VIAJES'!$A$2:$B$24,2,FALSE),"")</f>
        <v/>
      </c>
      <c r="V141" s="215" t="str">
        <f>IFERROR(VLOOKUP(K141,'VALORES VIAJES'!$A$2:$B$24,2,FALSE),"")</f>
        <v/>
      </c>
      <c r="X141" s="208">
        <f>SUM(Hoja1[[#This Row],[$ X TIP VEHICUL]:[AGREGADO]])</f>
        <v>210000</v>
      </c>
    </row>
    <row r="142" spans="1:24" s="229" customFormat="1" x14ac:dyDescent="0.25">
      <c r="A142" s="227">
        <v>142</v>
      </c>
      <c r="B142" s="228">
        <v>45364</v>
      </c>
      <c r="C142" s="229" t="s">
        <v>7497</v>
      </c>
      <c r="D142" s="229" t="s">
        <v>7520</v>
      </c>
      <c r="E142" s="229" t="s">
        <v>7443</v>
      </c>
      <c r="F142" s="229" t="s">
        <v>7520</v>
      </c>
      <c r="G142" s="229" t="s">
        <v>7598</v>
      </c>
      <c r="J142" s="228"/>
      <c r="L142" s="229" t="s">
        <v>7609</v>
      </c>
      <c r="M142" s="230">
        <v>0.625</v>
      </c>
      <c r="N142" s="229" t="s">
        <v>7477</v>
      </c>
      <c r="O142" s="229" t="s">
        <v>7478</v>
      </c>
      <c r="Q142" s="229">
        <v>14994</v>
      </c>
      <c r="R142" s="229" t="s">
        <v>7463</v>
      </c>
      <c r="S142" s="229">
        <f>IFERROR(VLOOKUP(E142,'VALORES VIAJES'!$A$2:$B$13,2,FALSE),"")</f>
        <v>210000</v>
      </c>
      <c r="T142" s="229" t="str">
        <f>IFERROR(VLOOKUP(H142,'VALORES VIAJES'!$A$2:$B$24,2,FALSE),"")</f>
        <v/>
      </c>
      <c r="U142" s="229" t="str">
        <f>IFERROR(VLOOKUP(I142,'VALORES VIAJES'!$A$2:$B$24,2,FALSE),"")</f>
        <v/>
      </c>
      <c r="V142" s="229" t="str">
        <f>IFERROR(VLOOKUP(K142,'VALORES VIAJES'!$A$2:$B$24,2,FALSE),"")</f>
        <v/>
      </c>
      <c r="X142" s="231">
        <f>SUM(Hoja1[[#This Row],[$ X TIP VEHICUL]:[AGREGADO]])</f>
        <v>210000</v>
      </c>
    </row>
    <row r="143" spans="1:24" s="229" customFormat="1" x14ac:dyDescent="0.25">
      <c r="A143" s="227">
        <v>143</v>
      </c>
      <c r="B143" s="228">
        <v>45364</v>
      </c>
      <c r="C143" s="229" t="s">
        <v>7497</v>
      </c>
      <c r="D143" s="229" t="s">
        <v>7610</v>
      </c>
      <c r="E143" s="229" t="s">
        <v>7443</v>
      </c>
      <c r="F143" s="229" t="s">
        <v>7610</v>
      </c>
      <c r="G143" s="229" t="s">
        <v>7611</v>
      </c>
      <c r="J143" s="228"/>
      <c r="L143" s="229" t="s">
        <v>7612</v>
      </c>
      <c r="M143" s="230">
        <v>0.625</v>
      </c>
      <c r="N143" s="229" t="s">
        <v>7504</v>
      </c>
      <c r="O143" s="229" t="s">
        <v>7505</v>
      </c>
      <c r="Q143" s="229">
        <v>14994</v>
      </c>
      <c r="R143" s="229" t="s">
        <v>7463</v>
      </c>
      <c r="S143" s="229">
        <f>IFERROR(VLOOKUP(E143,'VALORES VIAJES'!$A$2:$B$13,2,FALSE),"")</f>
        <v>210000</v>
      </c>
      <c r="T143" s="229" t="str">
        <f>IFERROR(VLOOKUP(H143,'VALORES VIAJES'!$A$2:$B$24,2,FALSE),"")</f>
        <v/>
      </c>
      <c r="U143" s="229" t="str">
        <f>IFERROR(VLOOKUP(I143,'VALORES VIAJES'!$A$2:$B$24,2,FALSE),"")</f>
        <v/>
      </c>
      <c r="V143" s="229" t="str">
        <f>IFERROR(VLOOKUP(K143,'VALORES VIAJES'!$A$2:$B$24,2,FALSE),"")</f>
        <v/>
      </c>
      <c r="X143" s="231">
        <f>SUM(Hoja1[[#This Row],[$ X TIP VEHICUL]:[AGREGADO]])</f>
        <v>210000</v>
      </c>
    </row>
    <row r="144" spans="1:24" s="224" customFormat="1" ht="15.75" thickBot="1" x14ac:dyDescent="0.3">
      <c r="A144" s="222">
        <v>144</v>
      </c>
      <c r="B144" s="223">
        <v>45364</v>
      </c>
      <c r="C144" s="224" t="s">
        <v>7497</v>
      </c>
      <c r="D144" s="224" t="s">
        <v>7498</v>
      </c>
      <c r="E144" s="224" t="s">
        <v>7443</v>
      </c>
      <c r="F144" s="224" t="s">
        <v>7498</v>
      </c>
      <c r="G144" s="224" t="s">
        <v>7499</v>
      </c>
      <c r="J144" s="223"/>
      <c r="L144" s="224" t="s">
        <v>7613</v>
      </c>
      <c r="M144" s="225">
        <v>0.625</v>
      </c>
      <c r="N144" s="224" t="s">
        <v>7480</v>
      </c>
      <c r="O144" s="224" t="s">
        <v>7465</v>
      </c>
      <c r="Q144" s="224">
        <v>14994</v>
      </c>
      <c r="R144" s="224" t="s">
        <v>7463</v>
      </c>
      <c r="S144" s="224">
        <f>IFERROR(VLOOKUP(E144,'VALORES VIAJES'!$A$2:$B$13,2,FALSE),"")</f>
        <v>210000</v>
      </c>
      <c r="T144" s="224" t="str">
        <f>IFERROR(VLOOKUP(H144,'VALORES VIAJES'!$A$2:$B$24,2,FALSE),"")</f>
        <v/>
      </c>
      <c r="U144" s="224" t="str">
        <f>IFERROR(VLOOKUP(I144,'VALORES VIAJES'!$A$2:$B$24,2,FALSE),"")</f>
        <v/>
      </c>
      <c r="V144" s="224" t="str">
        <f>IFERROR(VLOOKUP(K144,'VALORES VIAJES'!$A$2:$B$24,2,FALSE),"")</f>
        <v/>
      </c>
      <c r="X144" s="226">
        <f>SUM(Hoja1[[#This Row],[$ X TIP VEHICUL]:[AGREGADO]])</f>
        <v>210000</v>
      </c>
    </row>
    <row r="145" spans="1:24" ht="15.75" hidden="1" thickBot="1" x14ac:dyDescent="0.3">
      <c r="A145">
        <v>145</v>
      </c>
      <c r="B145" s="189">
        <v>45364</v>
      </c>
      <c r="C145" t="s">
        <v>7462</v>
      </c>
      <c r="D145" t="s">
        <v>7509</v>
      </c>
      <c r="E145" t="s">
        <v>7442</v>
      </c>
      <c r="F145" t="s">
        <v>7462</v>
      </c>
      <c r="G145" t="s">
        <v>7509</v>
      </c>
      <c r="J145" s="189"/>
      <c r="L145" t="s">
        <v>7463</v>
      </c>
      <c r="M145" s="205">
        <v>0.41666666666666674</v>
      </c>
      <c r="N145" t="s">
        <v>7464</v>
      </c>
      <c r="O145" t="s">
        <v>7494</v>
      </c>
      <c r="S145">
        <f>IFERROR(VLOOKUP(E145,'VALORES VIAJES'!$A$2:$B$13,2,FALSE),"")</f>
        <v>160000</v>
      </c>
      <c r="T145" t="str">
        <f>IFERROR(VLOOKUP(H145,'VALORES VIAJES'!$A$2:$B$24,2,FALSE),"")</f>
        <v/>
      </c>
      <c r="U145" t="str">
        <f>IFERROR(VLOOKUP(I145,'VALORES VIAJES'!$A$2:$B$24,2,FALSE),"")</f>
        <v/>
      </c>
      <c r="V145" t="str">
        <f>IFERROR(VLOOKUP(K145,'VALORES VIAJES'!$A$2:$B$24,2,FALSE),"")</f>
        <v/>
      </c>
      <c r="X145" s="208">
        <f>SUM(Hoja1[[#This Row],[$ X TIP VEHICUL]:[AGREGADO]])</f>
        <v>160000</v>
      </c>
    </row>
    <row r="146" spans="1:24" ht="15.75" hidden="1" thickBot="1" x14ac:dyDescent="0.3">
      <c r="A146">
        <v>146</v>
      </c>
      <c r="B146" s="189">
        <v>45364</v>
      </c>
      <c r="C146" t="s">
        <v>7462</v>
      </c>
      <c r="D146" t="s">
        <v>6908</v>
      </c>
      <c r="E146" t="s">
        <v>7442</v>
      </c>
      <c r="F146" t="s">
        <v>6954</v>
      </c>
      <c r="G146" t="s">
        <v>6908</v>
      </c>
      <c r="J146" s="189"/>
      <c r="L146" t="s">
        <v>7463</v>
      </c>
      <c r="M146" s="205">
        <v>0.58333333333333326</v>
      </c>
      <c r="N146" t="s">
        <v>7464</v>
      </c>
      <c r="O146" t="s">
        <v>7494</v>
      </c>
      <c r="R146">
        <v>51375</v>
      </c>
      <c r="S146">
        <f>IFERROR(VLOOKUP(E146,'VALORES VIAJES'!$A$2:$B$13,2,FALSE),"")</f>
        <v>160000</v>
      </c>
      <c r="T146" t="str">
        <f>IFERROR(VLOOKUP(H146,'VALORES VIAJES'!$A$2:$B$24,2,FALSE),"")</f>
        <v/>
      </c>
      <c r="U146" t="str">
        <f>IFERROR(VLOOKUP(I146,'VALORES VIAJES'!$A$2:$B$24,2,FALSE),"")</f>
        <v/>
      </c>
      <c r="V146" t="str">
        <f>IFERROR(VLOOKUP(K146,'VALORES VIAJES'!$A$2:$B$24,2,FALSE),"")</f>
        <v/>
      </c>
      <c r="X146" s="208">
        <f>SUM(Hoja1[[#This Row],[$ X TIP VEHICUL]:[AGREGADO]])</f>
        <v>160000</v>
      </c>
    </row>
    <row r="147" spans="1:24" s="211" customFormat="1" x14ac:dyDescent="0.25">
      <c r="A147" s="209">
        <v>147</v>
      </c>
      <c r="B147" s="210">
        <v>45365</v>
      </c>
      <c r="C147" s="211" t="s">
        <v>7461</v>
      </c>
      <c r="D147" s="211" t="s">
        <v>6906</v>
      </c>
      <c r="E147" s="211" t="s">
        <v>7441</v>
      </c>
      <c r="F147" s="211" t="s">
        <v>6954</v>
      </c>
      <c r="G147" s="211" t="s">
        <v>6906</v>
      </c>
      <c r="J147" s="210"/>
      <c r="L147" s="211" t="s">
        <v>7463</v>
      </c>
      <c r="M147" s="212">
        <v>0.33333333333333326</v>
      </c>
      <c r="N147" s="211" t="s">
        <v>7473</v>
      </c>
      <c r="O147" s="211" t="s">
        <v>7474</v>
      </c>
      <c r="Q147" s="211">
        <v>5600</v>
      </c>
      <c r="R147" s="211">
        <v>51379</v>
      </c>
      <c r="S147" s="211">
        <f>IFERROR(VLOOKUP(E147,'VALORES VIAJES'!$A$2:$B$13,2,FALSE),"")</f>
        <v>210000</v>
      </c>
      <c r="T147" s="211" t="str">
        <f>IFERROR(VLOOKUP(H147,'VALORES VIAJES'!$A$2:$B$24,2,FALSE),"")</f>
        <v/>
      </c>
      <c r="U147" s="211" t="str">
        <f>IFERROR(VLOOKUP(I147,'VALORES VIAJES'!$A$2:$B$24,2,FALSE),"")</f>
        <v/>
      </c>
      <c r="V147" s="211" t="str">
        <f>IFERROR(VLOOKUP(K147,'VALORES VIAJES'!$A$2:$B$24,2,FALSE),"")</f>
        <v/>
      </c>
      <c r="X147" s="207">
        <f>SUM(Hoja1[[#This Row],[$ X TIP VEHICUL]:[AGREGADO]])</f>
        <v>210000</v>
      </c>
    </row>
    <row r="148" spans="1:24" s="215" customFormat="1" x14ac:dyDescent="0.25">
      <c r="A148" s="213">
        <v>148</v>
      </c>
      <c r="B148" s="214">
        <v>45365</v>
      </c>
      <c r="C148" s="215" t="s">
        <v>7461</v>
      </c>
      <c r="D148" s="215" t="s">
        <v>6906</v>
      </c>
      <c r="E148" s="215" t="s">
        <v>7441</v>
      </c>
      <c r="F148" s="215" t="s">
        <v>6954</v>
      </c>
      <c r="G148" s="215" t="s">
        <v>6906</v>
      </c>
      <c r="H148" s="215" t="s">
        <v>7433</v>
      </c>
      <c r="J148" s="214"/>
      <c r="L148" s="215" t="s">
        <v>7463</v>
      </c>
      <c r="M148" s="216">
        <v>0.58333333333333326</v>
      </c>
      <c r="N148" s="215" t="s">
        <v>7473</v>
      </c>
      <c r="O148" s="215" t="s">
        <v>7474</v>
      </c>
      <c r="Q148" s="215">
        <v>5600</v>
      </c>
      <c r="R148" s="215">
        <v>51380</v>
      </c>
      <c r="S148" s="215">
        <f>IFERROR(VLOOKUP(E148,'VALORES VIAJES'!$A$2:$B$13,2,FALSE),"")</f>
        <v>210000</v>
      </c>
      <c r="T148" s="215">
        <f>IFERROR(VLOOKUP(H148,'VALORES VIAJES'!$A$2:$B$24,2,FALSE),"")</f>
        <v>210000</v>
      </c>
      <c r="U148" s="215" t="str">
        <f>IFERROR(VLOOKUP(I148,'VALORES VIAJES'!$A$2:$B$24,2,FALSE),"")</f>
        <v/>
      </c>
      <c r="V148" s="215" t="str">
        <f>IFERROR(VLOOKUP(K148,'VALORES VIAJES'!$A$2:$B$24,2,FALSE),"")</f>
        <v/>
      </c>
      <c r="X148" s="208">
        <f>SUM(Hoja1[[#This Row],[$ X TIP VEHICUL]:[AGREGADO]])</f>
        <v>420000</v>
      </c>
    </row>
    <row r="149" spans="1:24" s="215" customFormat="1" x14ac:dyDescent="0.25">
      <c r="A149" s="213">
        <v>149</v>
      </c>
      <c r="B149" s="214">
        <v>45365</v>
      </c>
      <c r="C149" s="215" t="s">
        <v>7461</v>
      </c>
      <c r="D149" s="215" t="s">
        <v>7498</v>
      </c>
      <c r="E149" s="215" t="s">
        <v>7443</v>
      </c>
      <c r="F149" s="215" t="s">
        <v>7484</v>
      </c>
      <c r="G149" s="215" t="s">
        <v>7498</v>
      </c>
      <c r="H149" s="215" t="s">
        <v>7434</v>
      </c>
      <c r="J149" s="214"/>
      <c r="L149" s="215" t="s">
        <v>7614</v>
      </c>
      <c r="M149" s="216">
        <v>0.5</v>
      </c>
      <c r="N149" s="215" t="s">
        <v>7469</v>
      </c>
      <c r="O149" s="215" t="s">
        <v>7470</v>
      </c>
      <c r="Q149" s="215">
        <v>14154</v>
      </c>
      <c r="R149" s="215">
        <v>50873</v>
      </c>
      <c r="S149" s="215">
        <f>IFERROR(VLOOKUP(E149,'VALORES VIAJES'!$A$2:$B$13,2,FALSE),"")</f>
        <v>210000</v>
      </c>
      <c r="T149" s="215">
        <f>IFERROR(VLOOKUP(H149,'VALORES VIAJES'!$A$2:$B$24,2,FALSE),"")</f>
        <v>105000</v>
      </c>
      <c r="U149" s="215" t="str">
        <f>IFERROR(VLOOKUP(I149,'VALORES VIAJES'!$A$2:$B$24,2,FALSE),"")</f>
        <v/>
      </c>
      <c r="V149" s="215" t="str">
        <f>IFERROR(VLOOKUP(K149,'VALORES VIAJES'!$A$2:$B$24,2,FALSE),"")</f>
        <v/>
      </c>
      <c r="X149" s="208">
        <f>SUM(Hoja1[[#This Row],[$ X TIP VEHICUL]:[AGREGADO]])</f>
        <v>315000</v>
      </c>
    </row>
    <row r="150" spans="1:24" s="215" customFormat="1" x14ac:dyDescent="0.25">
      <c r="A150" s="213">
        <v>150</v>
      </c>
      <c r="B150" s="214">
        <v>45365</v>
      </c>
      <c r="C150" s="215" t="s">
        <v>7461</v>
      </c>
      <c r="D150" s="215" t="s">
        <v>7498</v>
      </c>
      <c r="E150" s="215" t="s">
        <v>7443</v>
      </c>
      <c r="F150" s="215" t="s">
        <v>7484</v>
      </c>
      <c r="G150" s="215" t="s">
        <v>7498</v>
      </c>
      <c r="H150" s="215" t="s">
        <v>7434</v>
      </c>
      <c r="J150" s="214"/>
      <c r="L150" s="215" t="s">
        <v>7615</v>
      </c>
      <c r="M150" s="216">
        <v>0.5</v>
      </c>
      <c r="N150" s="215" t="s">
        <v>7504</v>
      </c>
      <c r="O150" s="215" t="s">
        <v>7505</v>
      </c>
      <c r="Q150" s="215">
        <v>14154</v>
      </c>
      <c r="R150" s="215">
        <v>50874</v>
      </c>
      <c r="S150" s="215">
        <f>IFERROR(VLOOKUP(E150,'VALORES VIAJES'!$A$2:$B$13,2,FALSE),"")</f>
        <v>210000</v>
      </c>
      <c r="T150" s="215">
        <f>IFERROR(VLOOKUP(H150,'VALORES VIAJES'!$A$2:$B$24,2,FALSE),"")</f>
        <v>105000</v>
      </c>
      <c r="U150" s="215" t="str">
        <f>IFERROR(VLOOKUP(I150,'VALORES VIAJES'!$A$2:$B$24,2,FALSE),"")</f>
        <v/>
      </c>
      <c r="V150" s="215" t="str">
        <f>IFERROR(VLOOKUP(K150,'VALORES VIAJES'!$A$2:$B$24,2,FALSE),"")</f>
        <v/>
      </c>
      <c r="X150" s="208">
        <f>SUM(Hoja1[[#This Row],[$ X TIP VEHICUL]:[AGREGADO]])</f>
        <v>315000</v>
      </c>
    </row>
    <row r="151" spans="1:24" s="215" customFormat="1" x14ac:dyDescent="0.25">
      <c r="A151" s="213">
        <v>151</v>
      </c>
      <c r="B151" s="214">
        <v>45365</v>
      </c>
      <c r="C151" s="215" t="s">
        <v>7461</v>
      </c>
      <c r="D151" s="215" t="s">
        <v>7498</v>
      </c>
      <c r="E151" s="215" t="s">
        <v>7443</v>
      </c>
      <c r="F151" s="215" t="s">
        <v>7484</v>
      </c>
      <c r="G151" s="215" t="s">
        <v>7498</v>
      </c>
      <c r="H151" s="215" t="s">
        <v>7434</v>
      </c>
      <c r="J151" s="214"/>
      <c r="K151" s="215" t="s">
        <v>7440</v>
      </c>
      <c r="L151" s="215" t="s">
        <v>7616</v>
      </c>
      <c r="M151" s="216">
        <v>0.5</v>
      </c>
      <c r="N151" s="215" t="s">
        <v>7480</v>
      </c>
      <c r="O151" s="215" t="s">
        <v>7465</v>
      </c>
      <c r="Q151" s="215">
        <v>14154</v>
      </c>
      <c r="R151" s="215">
        <v>50875</v>
      </c>
      <c r="S151" s="215">
        <f>IFERROR(VLOOKUP(E151,'VALORES VIAJES'!$A$2:$B$13,2,FALSE),"")</f>
        <v>210000</v>
      </c>
      <c r="T151" s="215">
        <f>IFERROR(VLOOKUP(H151,'VALORES VIAJES'!$A$2:$B$24,2,FALSE),"")</f>
        <v>105000</v>
      </c>
      <c r="U151" s="215" t="str">
        <f>IFERROR(VLOOKUP(I151,'VALORES VIAJES'!$A$2:$B$24,2,FALSE),"")</f>
        <v/>
      </c>
      <c r="V151" s="215">
        <f>IFERROR(VLOOKUP(K151,'VALORES VIAJES'!$A$2:$B$24,2,FALSE),"")</f>
        <v>95000</v>
      </c>
      <c r="X151" s="208">
        <f>SUM(Hoja1[[#This Row],[$ X TIP VEHICUL]:[AGREGADO]])</f>
        <v>410000</v>
      </c>
    </row>
    <row r="152" spans="1:24" s="219" customFormat="1" ht="15.75" thickBot="1" x14ac:dyDescent="0.3">
      <c r="A152" s="217">
        <v>152</v>
      </c>
      <c r="B152" s="218">
        <v>45365</v>
      </c>
      <c r="C152" s="219" t="s">
        <v>7461</v>
      </c>
      <c r="D152" s="219" t="s">
        <v>7498</v>
      </c>
      <c r="E152" s="219" t="s">
        <v>7443</v>
      </c>
      <c r="F152" s="219" t="s">
        <v>7484</v>
      </c>
      <c r="G152" s="219" t="s">
        <v>7498</v>
      </c>
      <c r="J152" s="218"/>
      <c r="L152" s="219" t="s">
        <v>7617</v>
      </c>
      <c r="M152" s="220">
        <v>0.5</v>
      </c>
      <c r="N152" s="219" t="s">
        <v>7477</v>
      </c>
      <c r="O152" s="219" t="s">
        <v>7478</v>
      </c>
      <c r="Q152" s="219">
        <v>10554</v>
      </c>
      <c r="R152" s="219">
        <v>50876</v>
      </c>
      <c r="S152" s="219">
        <f>IFERROR(VLOOKUP(E152,'VALORES VIAJES'!$A$2:$B$13,2,FALSE),"")</f>
        <v>210000</v>
      </c>
      <c r="T152" s="219" t="str">
        <f>IFERROR(VLOOKUP(H152,'VALORES VIAJES'!$A$2:$B$24,2,FALSE),"")</f>
        <v/>
      </c>
      <c r="U152" s="219" t="str">
        <f>IFERROR(VLOOKUP(I152,'VALORES VIAJES'!$A$2:$B$24,2,FALSE),"")</f>
        <v/>
      </c>
      <c r="V152" s="219" t="str">
        <f>IFERROR(VLOOKUP(K152,'VALORES VIAJES'!$A$2:$B$24,2,FALSE),"")</f>
        <v/>
      </c>
      <c r="X152" s="221">
        <f>SUM(Hoja1[[#This Row],[$ X TIP VEHICUL]:[AGREGADO]])</f>
        <v>210000</v>
      </c>
    </row>
    <row r="153" spans="1:24" ht="15.75" hidden="1" thickBot="1" x14ac:dyDescent="0.3">
      <c r="A153">
        <v>153</v>
      </c>
      <c r="B153" s="189">
        <v>45365</v>
      </c>
      <c r="C153" t="s">
        <v>7462</v>
      </c>
      <c r="D153" t="s">
        <v>7509</v>
      </c>
      <c r="E153" t="s">
        <v>7442</v>
      </c>
      <c r="F153" t="s">
        <v>7462</v>
      </c>
      <c r="G153" t="s">
        <v>7509</v>
      </c>
      <c r="J153" s="189"/>
      <c r="L153" t="s">
        <v>7463</v>
      </c>
      <c r="M153" s="205">
        <v>0.29166666666666674</v>
      </c>
      <c r="N153" t="s">
        <v>7464</v>
      </c>
      <c r="O153" t="s">
        <v>7494</v>
      </c>
      <c r="S153">
        <f>IFERROR(VLOOKUP(E153,'VALORES VIAJES'!$A$2:$B$13,2,FALSE),"")</f>
        <v>160000</v>
      </c>
      <c r="T153" t="str">
        <f>IFERROR(VLOOKUP(H153,'VALORES VIAJES'!$A$2:$B$24,2,FALSE),"")</f>
        <v/>
      </c>
      <c r="U153" t="str">
        <f>IFERROR(VLOOKUP(I153,'VALORES VIAJES'!$A$2:$B$24,2,FALSE),"")</f>
        <v/>
      </c>
      <c r="V153" t="str">
        <f>IFERROR(VLOOKUP(K153,'VALORES VIAJES'!$A$2:$B$24,2,FALSE),"")</f>
        <v/>
      </c>
      <c r="X153" s="208">
        <f>SUM(Hoja1[[#This Row],[$ X TIP VEHICUL]:[AGREGADO]])</f>
        <v>160000</v>
      </c>
    </row>
    <row r="154" spans="1:24" s="211" customFormat="1" x14ac:dyDescent="0.25">
      <c r="A154" s="209">
        <v>154</v>
      </c>
      <c r="B154" s="210">
        <v>45366</v>
      </c>
      <c r="C154" s="211" t="s">
        <v>7461</v>
      </c>
      <c r="D154" s="211" t="s">
        <v>7618</v>
      </c>
      <c r="E154" s="211" t="s">
        <v>7443</v>
      </c>
      <c r="F154" s="211" t="s">
        <v>7484</v>
      </c>
      <c r="G154" s="211" t="s">
        <v>7618</v>
      </c>
      <c r="H154" s="211" t="s">
        <v>7434</v>
      </c>
      <c r="J154" s="210"/>
      <c r="L154" s="211" t="s">
        <v>7619</v>
      </c>
      <c r="M154" s="212">
        <v>0.41666666666666674</v>
      </c>
      <c r="N154" s="211" t="s">
        <v>7473</v>
      </c>
      <c r="O154" s="211" t="s">
        <v>7474</v>
      </c>
      <c r="Q154" s="211">
        <v>10840</v>
      </c>
      <c r="R154" s="211">
        <v>50878</v>
      </c>
      <c r="S154" s="211">
        <f>IFERROR(VLOOKUP(E154,'VALORES VIAJES'!$A$2:$B$13,2,FALSE),"")</f>
        <v>210000</v>
      </c>
      <c r="T154" s="211">
        <f>IFERROR(VLOOKUP(H154,'VALORES VIAJES'!$A$2:$B$24,2,FALSE),"")</f>
        <v>105000</v>
      </c>
      <c r="U154" s="211" t="str">
        <f>IFERROR(VLOOKUP(I154,'VALORES VIAJES'!$A$2:$B$24,2,FALSE),"")</f>
        <v/>
      </c>
      <c r="V154" s="211" t="str">
        <f>IFERROR(VLOOKUP(K154,'VALORES VIAJES'!$A$2:$B$24,2,FALSE),"")</f>
        <v/>
      </c>
      <c r="X154" s="207">
        <f>SUM(Hoja1[[#This Row],[$ X TIP VEHICUL]:[AGREGADO]])</f>
        <v>315000</v>
      </c>
    </row>
    <row r="155" spans="1:24" s="215" customFormat="1" x14ac:dyDescent="0.25">
      <c r="A155" s="213">
        <v>155</v>
      </c>
      <c r="B155" s="214">
        <v>45366</v>
      </c>
      <c r="C155" s="215" t="s">
        <v>7461</v>
      </c>
      <c r="D155" s="215" t="s">
        <v>7620</v>
      </c>
      <c r="E155" s="215" t="s">
        <v>7443</v>
      </c>
      <c r="F155" s="215" t="s">
        <v>6945</v>
      </c>
      <c r="G155" s="215" t="s">
        <v>7620</v>
      </c>
      <c r="H155" s="215" t="s">
        <v>7434</v>
      </c>
      <c r="J155" s="214"/>
      <c r="L155" s="215" t="s">
        <v>7621</v>
      </c>
      <c r="M155" s="216">
        <v>0.375</v>
      </c>
      <c r="N155" s="215" t="s">
        <v>7504</v>
      </c>
      <c r="O155" s="215" t="s">
        <v>7505</v>
      </c>
      <c r="Q155" s="215">
        <v>26341</v>
      </c>
      <c r="R155" s="215">
        <v>50646</v>
      </c>
      <c r="S155" s="215">
        <f>IFERROR(VLOOKUP(E155,'VALORES VIAJES'!$A$2:$B$13,2,FALSE),"")</f>
        <v>210000</v>
      </c>
      <c r="T155" s="215">
        <f>IFERROR(VLOOKUP(H155,'VALORES VIAJES'!$A$2:$B$24,2,FALSE),"")</f>
        <v>105000</v>
      </c>
      <c r="U155" s="215" t="str">
        <f>IFERROR(VLOOKUP(I155,'VALORES VIAJES'!$A$2:$B$24,2,FALSE),"")</f>
        <v/>
      </c>
      <c r="V155" s="215" t="str">
        <f>IFERROR(VLOOKUP(K155,'VALORES VIAJES'!$A$2:$B$24,2,FALSE),"")</f>
        <v/>
      </c>
      <c r="X155" s="208">
        <f>SUM(Hoja1[[#This Row],[$ X TIP VEHICUL]:[AGREGADO]])</f>
        <v>315000</v>
      </c>
    </row>
    <row r="156" spans="1:24" s="215" customFormat="1" x14ac:dyDescent="0.25">
      <c r="A156" s="213">
        <v>156</v>
      </c>
      <c r="B156" s="214">
        <v>45366</v>
      </c>
      <c r="C156" s="215" t="s">
        <v>7461</v>
      </c>
      <c r="D156" s="215" t="s">
        <v>7590</v>
      </c>
      <c r="E156" s="215" t="s">
        <v>7443</v>
      </c>
      <c r="F156" s="215" t="s">
        <v>6954</v>
      </c>
      <c r="G156" s="215" t="s">
        <v>7590</v>
      </c>
      <c r="H156" s="215" t="s">
        <v>7434</v>
      </c>
      <c r="J156" s="214"/>
      <c r="L156" s="215" t="s">
        <v>7622</v>
      </c>
      <c r="M156" s="216">
        <v>0.41666666666666674</v>
      </c>
      <c r="N156" s="215" t="s">
        <v>7480</v>
      </c>
      <c r="O156" s="215" t="s">
        <v>7465</v>
      </c>
      <c r="Q156" s="215">
        <v>21827</v>
      </c>
      <c r="R156" s="215">
        <v>51835</v>
      </c>
      <c r="S156" s="215">
        <f>IFERROR(VLOOKUP(E156,'VALORES VIAJES'!$A$2:$B$13,2,FALSE),"")</f>
        <v>210000</v>
      </c>
      <c r="T156" s="215">
        <f>IFERROR(VLOOKUP(H156,'VALORES VIAJES'!$A$2:$B$24,2,FALSE),"")</f>
        <v>105000</v>
      </c>
      <c r="U156" s="215" t="str">
        <f>IFERROR(VLOOKUP(I156,'VALORES VIAJES'!$A$2:$B$24,2,FALSE),"")</f>
        <v/>
      </c>
      <c r="V156" s="215" t="str">
        <f>IFERROR(VLOOKUP(K156,'VALORES VIAJES'!$A$2:$B$24,2,FALSE),"")</f>
        <v/>
      </c>
      <c r="X156" s="208">
        <f>SUM(Hoja1[[#This Row],[$ X TIP VEHICUL]:[AGREGADO]])</f>
        <v>315000</v>
      </c>
    </row>
    <row r="157" spans="1:24" s="215" customFormat="1" x14ac:dyDescent="0.25">
      <c r="A157" s="213">
        <v>157</v>
      </c>
      <c r="B157" s="214">
        <v>45366</v>
      </c>
      <c r="C157" s="215" t="s">
        <v>7466</v>
      </c>
      <c r="D157" s="215" t="s">
        <v>7623</v>
      </c>
      <c r="E157" s="215" t="s">
        <v>7443</v>
      </c>
      <c r="F157" s="215" t="s">
        <v>7484</v>
      </c>
      <c r="G157" s="215" t="s">
        <v>6954</v>
      </c>
      <c r="J157" s="214"/>
      <c r="L157" s="215" t="s">
        <v>7624</v>
      </c>
      <c r="M157" s="216">
        <v>0.45833333333333326</v>
      </c>
      <c r="N157" s="215" t="s">
        <v>7469</v>
      </c>
      <c r="O157" s="215" t="s">
        <v>7470</v>
      </c>
      <c r="Q157" s="215">
        <v>16814</v>
      </c>
      <c r="R157" s="215" t="s">
        <v>7463</v>
      </c>
      <c r="S157" s="215">
        <f>IFERROR(VLOOKUP(E157,'VALORES VIAJES'!$A$2:$B$13,2,FALSE),"")</f>
        <v>210000</v>
      </c>
      <c r="T157" s="215" t="str">
        <f>IFERROR(VLOOKUP(H157,'VALORES VIAJES'!$A$2:$B$24,2,FALSE),"")</f>
        <v/>
      </c>
      <c r="U157" s="215" t="str">
        <f>IFERROR(VLOOKUP(I157,'VALORES VIAJES'!$A$2:$B$24,2,FALSE),"")</f>
        <v/>
      </c>
      <c r="V157" s="215" t="str">
        <f>IFERROR(VLOOKUP(K157,'VALORES VIAJES'!$A$2:$B$24,2,FALSE),"")</f>
        <v/>
      </c>
      <c r="X157" s="208">
        <f>SUM(Hoja1[[#This Row],[$ X TIP VEHICUL]:[AGREGADO]])</f>
        <v>210000</v>
      </c>
    </row>
    <row r="158" spans="1:24" s="215" customFormat="1" x14ac:dyDescent="0.25">
      <c r="A158" s="213">
        <v>158</v>
      </c>
      <c r="B158" s="214">
        <v>45366</v>
      </c>
      <c r="C158" s="215" t="s">
        <v>7466</v>
      </c>
      <c r="D158" s="215" t="s">
        <v>7623</v>
      </c>
      <c r="E158" s="215" t="s">
        <v>7443</v>
      </c>
      <c r="F158" s="215" t="s">
        <v>7484</v>
      </c>
      <c r="G158" s="215" t="s">
        <v>6954</v>
      </c>
      <c r="J158" s="214"/>
      <c r="L158" s="215" t="s">
        <v>7625</v>
      </c>
      <c r="M158" s="216">
        <v>0.45833333333333326</v>
      </c>
      <c r="N158" s="215" t="s">
        <v>7477</v>
      </c>
      <c r="O158" s="215" t="s">
        <v>7478</v>
      </c>
      <c r="Q158" s="215">
        <v>16814</v>
      </c>
      <c r="R158" s="215" t="s">
        <v>7463</v>
      </c>
      <c r="S158" s="215">
        <f>IFERROR(VLOOKUP(E158,'VALORES VIAJES'!$A$2:$B$13,2,FALSE),"")</f>
        <v>210000</v>
      </c>
      <c r="T158" s="215" t="str">
        <f>IFERROR(VLOOKUP(H158,'VALORES VIAJES'!$A$2:$B$24,2,FALSE),"")</f>
        <v/>
      </c>
      <c r="U158" s="215" t="str">
        <f>IFERROR(VLOOKUP(I158,'VALORES VIAJES'!$A$2:$B$24,2,FALSE),"")</f>
        <v/>
      </c>
      <c r="V158" s="215" t="str">
        <f>IFERROR(VLOOKUP(K158,'VALORES VIAJES'!$A$2:$B$24,2,FALSE),"")</f>
        <v/>
      </c>
      <c r="X158" s="208">
        <f>SUM(Hoja1[[#This Row],[$ X TIP VEHICUL]:[AGREGADO]])</f>
        <v>210000</v>
      </c>
    </row>
    <row r="159" spans="1:24" s="229" customFormat="1" x14ac:dyDescent="0.25">
      <c r="A159" s="227">
        <v>159</v>
      </c>
      <c r="B159" s="228">
        <v>45366</v>
      </c>
      <c r="C159" s="229" t="s">
        <v>7497</v>
      </c>
      <c r="D159" s="229" t="s">
        <v>7498</v>
      </c>
      <c r="E159" s="229" t="s">
        <v>7443</v>
      </c>
      <c r="F159" s="229" t="s">
        <v>6954</v>
      </c>
      <c r="G159" s="229" t="s">
        <v>7626</v>
      </c>
      <c r="J159" s="228"/>
      <c r="L159" s="229" t="s">
        <v>7627</v>
      </c>
      <c r="M159" s="230">
        <v>0.625</v>
      </c>
      <c r="N159" s="229" t="s">
        <v>7469</v>
      </c>
      <c r="O159" s="229" t="s">
        <v>7470</v>
      </c>
      <c r="Q159" s="229">
        <v>18194</v>
      </c>
      <c r="R159" s="229" t="s">
        <v>7463</v>
      </c>
      <c r="S159" s="229">
        <f>IFERROR(VLOOKUP(E159,'VALORES VIAJES'!$A$2:$B$13,2,FALSE),"")</f>
        <v>210000</v>
      </c>
      <c r="T159" s="229" t="str">
        <f>IFERROR(VLOOKUP(H159,'VALORES VIAJES'!$A$2:$B$24,2,FALSE),"")</f>
        <v/>
      </c>
      <c r="U159" s="229" t="str">
        <f>IFERROR(VLOOKUP(I159,'VALORES VIAJES'!$A$2:$B$24,2,FALSE),"")</f>
        <v/>
      </c>
      <c r="V159" s="229" t="str">
        <f>IFERROR(VLOOKUP(K159,'VALORES VIAJES'!$A$2:$B$24,2,FALSE),"")</f>
        <v/>
      </c>
      <c r="X159" s="231">
        <f>SUM(Hoja1[[#This Row],[$ X TIP VEHICUL]:[AGREGADO]])</f>
        <v>210000</v>
      </c>
    </row>
    <row r="160" spans="1:24" s="224" customFormat="1" ht="15.75" thickBot="1" x14ac:dyDescent="0.3">
      <c r="A160" s="222">
        <v>160</v>
      </c>
      <c r="B160" s="223">
        <v>45366</v>
      </c>
      <c r="C160" s="224" t="s">
        <v>7497</v>
      </c>
      <c r="D160" s="224" t="s">
        <v>7628</v>
      </c>
      <c r="E160" s="224" t="s">
        <v>7443</v>
      </c>
      <c r="F160" s="224" t="s">
        <v>6954</v>
      </c>
      <c r="G160" s="224" t="s">
        <v>7499</v>
      </c>
      <c r="J160" s="223"/>
      <c r="L160" s="224" t="s">
        <v>7629</v>
      </c>
      <c r="M160" s="225">
        <v>0.625</v>
      </c>
      <c r="N160" s="224" t="s">
        <v>7477</v>
      </c>
      <c r="O160" s="224" t="s">
        <v>7478</v>
      </c>
      <c r="Q160" s="224">
        <v>14994</v>
      </c>
      <c r="R160" s="224" t="s">
        <v>7463</v>
      </c>
      <c r="S160" s="224">
        <f>IFERROR(VLOOKUP(E160,'VALORES VIAJES'!$A$2:$B$13,2,FALSE),"")</f>
        <v>210000</v>
      </c>
      <c r="T160" s="224" t="str">
        <f>IFERROR(VLOOKUP(H160,'VALORES VIAJES'!$A$2:$B$24,2,FALSE),"")</f>
        <v/>
      </c>
      <c r="U160" s="224" t="str">
        <f>IFERROR(VLOOKUP(I160,'VALORES VIAJES'!$A$2:$B$24,2,FALSE),"")</f>
        <v/>
      </c>
      <c r="V160" s="224" t="str">
        <f>IFERROR(VLOOKUP(K160,'VALORES VIAJES'!$A$2:$B$24,2,FALSE),"")</f>
        <v/>
      </c>
      <c r="X160" s="226">
        <f>SUM(Hoja1[[#This Row],[$ X TIP VEHICUL]:[AGREGADO]])</f>
        <v>210000</v>
      </c>
    </row>
    <row r="161" spans="1:24" ht="15.75" hidden="1" thickBot="1" x14ac:dyDescent="0.3">
      <c r="A161">
        <v>161</v>
      </c>
      <c r="B161" s="189">
        <v>45366</v>
      </c>
      <c r="C161" t="s">
        <v>7462</v>
      </c>
      <c r="D161" t="s">
        <v>7509</v>
      </c>
      <c r="E161" t="s">
        <v>7442</v>
      </c>
      <c r="F161" t="s">
        <v>7462</v>
      </c>
      <c r="G161" t="s">
        <v>7509</v>
      </c>
      <c r="J161" s="189"/>
      <c r="M161" s="205">
        <v>0.29166666666666674</v>
      </c>
      <c r="N161" t="s">
        <v>7464</v>
      </c>
      <c r="O161" t="s">
        <v>7494</v>
      </c>
      <c r="S161">
        <f>IFERROR(VLOOKUP(E161,'VALORES VIAJES'!$A$2:$B$13,2,FALSE),"")</f>
        <v>160000</v>
      </c>
      <c r="T161" t="str">
        <f>IFERROR(VLOOKUP(H161,'VALORES VIAJES'!$A$2:$B$24,2,FALSE),"")</f>
        <v/>
      </c>
      <c r="U161" t="str">
        <f>IFERROR(VLOOKUP(I161,'VALORES VIAJES'!$A$2:$B$24,2,FALSE),"")</f>
        <v/>
      </c>
      <c r="V161" t="str">
        <f>IFERROR(VLOOKUP(K161,'VALORES VIAJES'!$A$2:$B$24,2,FALSE),"")</f>
        <v/>
      </c>
      <c r="X161" s="208">
        <f>SUM(Hoja1[[#This Row],[$ X TIP VEHICUL]:[AGREGADO]])</f>
        <v>160000</v>
      </c>
    </row>
    <row r="162" spans="1:24" s="211" customFormat="1" x14ac:dyDescent="0.25">
      <c r="A162" s="209">
        <v>162</v>
      </c>
      <c r="B162" s="210">
        <v>45369</v>
      </c>
      <c r="C162" s="211" t="s">
        <v>7461</v>
      </c>
      <c r="D162" s="211" t="s">
        <v>6896</v>
      </c>
      <c r="E162" s="211" t="s">
        <v>7443</v>
      </c>
      <c r="F162" s="211" t="s">
        <v>7467</v>
      </c>
      <c r="G162" s="211" t="s">
        <v>6896</v>
      </c>
      <c r="J162" s="210"/>
      <c r="L162" s="211" t="s">
        <v>7630</v>
      </c>
      <c r="M162" s="212">
        <v>0.375</v>
      </c>
      <c r="N162" s="211" t="s">
        <v>7477</v>
      </c>
      <c r="O162" s="211" t="s">
        <v>7478</v>
      </c>
      <c r="Q162" s="211">
        <v>8840</v>
      </c>
      <c r="R162" s="211">
        <v>50615</v>
      </c>
      <c r="S162" s="211">
        <f>IFERROR(VLOOKUP(E162,'VALORES VIAJES'!$A$2:$B$13,2,FALSE),"")</f>
        <v>210000</v>
      </c>
      <c r="T162" s="211" t="str">
        <f>IFERROR(VLOOKUP(H162,'VALORES VIAJES'!$A$2:$B$24,2,FALSE),"")</f>
        <v/>
      </c>
      <c r="U162" s="211" t="str">
        <f>IFERROR(VLOOKUP(I162,'VALORES VIAJES'!$A$2:$B$24,2,FALSE),"")</f>
        <v/>
      </c>
      <c r="V162" s="211" t="str">
        <f>IFERROR(VLOOKUP(K162,'VALORES VIAJES'!$A$2:$B$24,2,FALSE),"")</f>
        <v/>
      </c>
      <c r="X162" s="207">
        <f>SUM(Hoja1[[#This Row],[$ X TIP VEHICUL]:[AGREGADO]])</f>
        <v>210000</v>
      </c>
    </row>
    <row r="163" spans="1:24" s="215" customFormat="1" x14ac:dyDescent="0.25">
      <c r="A163" s="213">
        <v>163</v>
      </c>
      <c r="B163" s="214">
        <v>45369</v>
      </c>
      <c r="C163" s="215" t="s">
        <v>7461</v>
      </c>
      <c r="D163" s="215" t="s">
        <v>6887</v>
      </c>
      <c r="E163" s="215" t="s">
        <v>7443</v>
      </c>
      <c r="F163" s="215" t="s">
        <v>7467</v>
      </c>
      <c r="G163" s="215" t="s">
        <v>6887</v>
      </c>
      <c r="H163" s="215" t="s">
        <v>7433</v>
      </c>
      <c r="J163" s="214"/>
      <c r="K163" s="215" t="s">
        <v>7440</v>
      </c>
      <c r="L163" s="215" t="s">
        <v>7631</v>
      </c>
      <c r="M163" s="216">
        <v>0.70833333333333326</v>
      </c>
      <c r="N163" s="215" t="s">
        <v>7504</v>
      </c>
      <c r="O163" s="215" t="s">
        <v>7505</v>
      </c>
      <c r="Q163" s="215">
        <v>21574</v>
      </c>
      <c r="R163" s="215">
        <v>50618</v>
      </c>
      <c r="S163" s="215">
        <f>IFERROR(VLOOKUP(E163,'VALORES VIAJES'!$A$2:$B$13,2,FALSE),"")</f>
        <v>210000</v>
      </c>
      <c r="T163" s="215">
        <f>IFERROR(VLOOKUP(H163,'VALORES VIAJES'!$A$2:$B$24,2,FALSE),"")</f>
        <v>210000</v>
      </c>
      <c r="U163" s="215" t="str">
        <f>IFERROR(VLOOKUP(I163,'VALORES VIAJES'!$A$2:$B$24,2,FALSE),"")</f>
        <v/>
      </c>
      <c r="V163" s="215">
        <f>IFERROR(VLOOKUP(K163,'VALORES VIAJES'!$A$2:$B$24,2,FALSE),"")</f>
        <v>95000</v>
      </c>
      <c r="X163" s="208">
        <f>SUM(Hoja1[[#This Row],[$ X TIP VEHICUL]:[AGREGADO]])</f>
        <v>515000</v>
      </c>
    </row>
    <row r="164" spans="1:24" s="215" customFormat="1" x14ac:dyDescent="0.25">
      <c r="A164" s="213">
        <v>164</v>
      </c>
      <c r="B164" s="214">
        <v>45369</v>
      </c>
      <c r="C164" s="215" t="s">
        <v>7461</v>
      </c>
      <c r="D164" s="215" t="s">
        <v>7632</v>
      </c>
      <c r="E164" s="215" t="s">
        <v>7441</v>
      </c>
      <c r="F164" s="215" t="s">
        <v>7633</v>
      </c>
      <c r="G164" s="215" t="s">
        <v>7632</v>
      </c>
      <c r="J164" s="214"/>
      <c r="L164" s="215" t="s">
        <v>7463</v>
      </c>
      <c r="M164" s="216">
        <v>0.375</v>
      </c>
      <c r="N164" s="215" t="s">
        <v>7473</v>
      </c>
      <c r="O164" s="215" t="s">
        <v>7474</v>
      </c>
      <c r="Q164" s="215">
        <v>12734</v>
      </c>
      <c r="R164" s="215">
        <v>51403</v>
      </c>
      <c r="S164" s="215">
        <f>IFERROR(VLOOKUP(E164,'VALORES VIAJES'!$A$2:$B$13,2,FALSE),"")</f>
        <v>210000</v>
      </c>
      <c r="T164" s="215" t="str">
        <f>IFERROR(VLOOKUP(H164,'VALORES VIAJES'!$A$2:$B$24,2,FALSE),"")</f>
        <v/>
      </c>
      <c r="U164" s="215" t="str">
        <f>IFERROR(VLOOKUP(I164,'VALORES VIAJES'!$A$2:$B$24,2,FALSE),"")</f>
        <v/>
      </c>
      <c r="V164" s="215" t="str">
        <f>IFERROR(VLOOKUP(K164,'VALORES VIAJES'!$A$2:$B$24,2,FALSE),"")</f>
        <v/>
      </c>
      <c r="X164" s="208">
        <f>SUM(Hoja1[[#This Row],[$ X TIP VEHICUL]:[AGREGADO]])</f>
        <v>210000</v>
      </c>
    </row>
    <row r="165" spans="1:24" s="215" customFormat="1" x14ac:dyDescent="0.25">
      <c r="A165" s="213">
        <v>165</v>
      </c>
      <c r="B165" s="214">
        <v>45369</v>
      </c>
      <c r="C165" s="215" t="s">
        <v>7461</v>
      </c>
      <c r="D165" s="215" t="s">
        <v>7632</v>
      </c>
      <c r="E165" s="215" t="s">
        <v>7441</v>
      </c>
      <c r="F165" s="215" t="s">
        <v>7633</v>
      </c>
      <c r="G165" s="215" t="s">
        <v>7632</v>
      </c>
      <c r="J165" s="214"/>
      <c r="L165" s="215" t="s">
        <v>7463</v>
      </c>
      <c r="M165" s="216">
        <v>0.375</v>
      </c>
      <c r="N165" s="215" t="s">
        <v>7480</v>
      </c>
      <c r="O165" s="215" t="s">
        <v>7465</v>
      </c>
      <c r="Q165" s="215">
        <v>12734</v>
      </c>
      <c r="R165" s="215">
        <v>51402</v>
      </c>
      <c r="S165" s="215">
        <f>IFERROR(VLOOKUP(E165,'VALORES VIAJES'!$A$2:$B$13,2,FALSE),"")</f>
        <v>210000</v>
      </c>
      <c r="T165" s="215" t="str">
        <f>IFERROR(VLOOKUP(H165,'VALORES VIAJES'!$A$2:$B$24,2,FALSE),"")</f>
        <v/>
      </c>
      <c r="U165" s="215" t="str">
        <f>IFERROR(VLOOKUP(I165,'VALORES VIAJES'!$A$2:$B$24,2,FALSE),"")</f>
        <v/>
      </c>
      <c r="V165" s="215" t="str">
        <f>IFERROR(VLOOKUP(K165,'VALORES VIAJES'!$A$2:$B$24,2,FALSE),"")</f>
        <v/>
      </c>
      <c r="X165" s="208">
        <f>SUM(Hoja1[[#This Row],[$ X TIP VEHICUL]:[AGREGADO]])</f>
        <v>210000</v>
      </c>
    </row>
    <row r="166" spans="1:24" s="215" customFormat="1" x14ac:dyDescent="0.25">
      <c r="A166" s="213">
        <v>166</v>
      </c>
      <c r="B166" s="214">
        <v>45369</v>
      </c>
      <c r="C166" s="215" t="s">
        <v>7466</v>
      </c>
      <c r="D166" s="215" t="s">
        <v>7634</v>
      </c>
      <c r="E166" s="215" t="s">
        <v>7443</v>
      </c>
      <c r="F166" s="215" t="s">
        <v>6945</v>
      </c>
      <c r="G166" s="215" t="s">
        <v>6954</v>
      </c>
      <c r="J166" s="214"/>
      <c r="L166" s="215" t="s">
        <v>7635</v>
      </c>
      <c r="M166" s="216">
        <v>0.45833333333333326</v>
      </c>
      <c r="N166" s="215" t="s">
        <v>7504</v>
      </c>
      <c r="O166" s="215" t="s">
        <v>7505</v>
      </c>
      <c r="Q166" s="215">
        <v>23454</v>
      </c>
      <c r="R166" s="215" t="s">
        <v>7463</v>
      </c>
      <c r="S166" s="215">
        <f>IFERROR(VLOOKUP(E166,'VALORES VIAJES'!$A$2:$B$13,2,FALSE),"")</f>
        <v>210000</v>
      </c>
      <c r="T166" s="215" t="str">
        <f>IFERROR(VLOOKUP(H166,'VALORES VIAJES'!$A$2:$B$24,2,FALSE),"")</f>
        <v/>
      </c>
      <c r="U166" s="215" t="str">
        <f>IFERROR(VLOOKUP(I166,'VALORES VIAJES'!$A$2:$B$24,2,FALSE),"")</f>
        <v/>
      </c>
      <c r="V166" s="215" t="str">
        <f>IFERROR(VLOOKUP(K166,'VALORES VIAJES'!$A$2:$B$24,2,FALSE),"")</f>
        <v/>
      </c>
      <c r="X166" s="208">
        <f>SUM(Hoja1[[#This Row],[$ X TIP VEHICUL]:[AGREGADO]])</f>
        <v>210000</v>
      </c>
    </row>
    <row r="167" spans="1:24" s="219" customFormat="1" ht="15.75" thickBot="1" x14ac:dyDescent="0.3">
      <c r="A167" s="217">
        <v>167</v>
      </c>
      <c r="B167" s="218">
        <v>45369</v>
      </c>
      <c r="C167" s="219" t="s">
        <v>7461</v>
      </c>
      <c r="D167" s="219" t="s">
        <v>6883</v>
      </c>
      <c r="E167" s="219" t="s">
        <v>7443</v>
      </c>
      <c r="F167" s="219" t="s">
        <v>6954</v>
      </c>
      <c r="G167" s="219" t="s">
        <v>7636</v>
      </c>
      <c r="J167" s="218"/>
      <c r="L167" s="219" t="s">
        <v>7637</v>
      </c>
      <c r="M167" s="220">
        <v>0.58333333333333326</v>
      </c>
      <c r="N167" s="219" t="s">
        <v>7469</v>
      </c>
      <c r="O167" s="219" t="s">
        <v>7470</v>
      </c>
      <c r="Q167" s="219">
        <v>9200</v>
      </c>
      <c r="R167" s="219">
        <v>50801</v>
      </c>
      <c r="S167" s="219">
        <f>IFERROR(VLOOKUP(E167,'VALORES VIAJES'!$A$2:$B$13,2,FALSE),"")</f>
        <v>210000</v>
      </c>
      <c r="T167" s="219" t="str">
        <f>IFERROR(VLOOKUP(H167,'VALORES VIAJES'!$A$2:$B$24,2,FALSE),"")</f>
        <v/>
      </c>
      <c r="U167" s="219" t="str">
        <f>IFERROR(VLOOKUP(I167,'VALORES VIAJES'!$A$2:$B$24,2,FALSE),"")</f>
        <v/>
      </c>
      <c r="V167" s="219" t="str">
        <f>IFERROR(VLOOKUP(K167,'VALORES VIAJES'!$A$2:$B$24,2,FALSE),"")</f>
        <v/>
      </c>
      <c r="X167" s="221">
        <f>SUM(Hoja1[[#This Row],[$ X TIP VEHICUL]:[AGREGADO]])</f>
        <v>210000</v>
      </c>
    </row>
    <row r="168" spans="1:24" ht="15.75" hidden="1" thickBot="1" x14ac:dyDescent="0.3">
      <c r="A168">
        <v>168</v>
      </c>
      <c r="B168" s="189">
        <v>45369</v>
      </c>
      <c r="C168" t="s">
        <v>7462</v>
      </c>
      <c r="D168" t="s">
        <v>7509</v>
      </c>
      <c r="E168" t="s">
        <v>7442</v>
      </c>
      <c r="F168" t="s">
        <v>7462</v>
      </c>
      <c r="G168" t="s">
        <v>7509</v>
      </c>
      <c r="J168" s="189"/>
      <c r="L168" t="s">
        <v>7463</v>
      </c>
      <c r="M168" s="205">
        <v>0.29166666666666674</v>
      </c>
      <c r="N168" t="s">
        <v>7464</v>
      </c>
      <c r="O168" t="s">
        <v>7494</v>
      </c>
      <c r="S168">
        <f>IFERROR(VLOOKUP(E168,'VALORES VIAJES'!$A$2:$B$13,2,FALSE),"")</f>
        <v>160000</v>
      </c>
      <c r="T168" t="str">
        <f>IFERROR(VLOOKUP(H168,'VALORES VIAJES'!$A$2:$B$24,2,FALSE),"")</f>
        <v/>
      </c>
      <c r="U168" t="str">
        <f>IFERROR(VLOOKUP(I168,'VALORES VIAJES'!$A$2:$B$24,2,FALSE),"")</f>
        <v/>
      </c>
      <c r="V168" t="str">
        <f>IFERROR(VLOOKUP(K168,'VALORES VIAJES'!$A$2:$B$24,2,FALSE),"")</f>
        <v/>
      </c>
      <c r="X168" s="208">
        <f>SUM(Hoja1[[#This Row],[$ X TIP VEHICUL]:[AGREGADO]])</f>
        <v>160000</v>
      </c>
    </row>
    <row r="169" spans="1:24" ht="15.75" hidden="1" thickBot="1" x14ac:dyDescent="0.3">
      <c r="A169">
        <v>169</v>
      </c>
      <c r="B169" s="189">
        <v>45370</v>
      </c>
      <c r="C169" t="s">
        <v>7462</v>
      </c>
      <c r="D169" t="s">
        <v>7582</v>
      </c>
      <c r="E169" t="s">
        <v>7441</v>
      </c>
      <c r="F169" t="s">
        <v>7582</v>
      </c>
      <c r="G169" t="s">
        <v>7583</v>
      </c>
      <c r="J169" s="189"/>
      <c r="L169" t="s">
        <v>7463</v>
      </c>
      <c r="M169" s="205">
        <v>0.33333333333333326</v>
      </c>
      <c r="N169" t="s">
        <v>7469</v>
      </c>
      <c r="O169" t="s">
        <v>7470</v>
      </c>
      <c r="S169">
        <f>IFERROR(VLOOKUP(E169,'VALORES VIAJES'!$A$2:$B$13,2,FALSE),"")</f>
        <v>210000</v>
      </c>
      <c r="T169" t="str">
        <f>IFERROR(VLOOKUP(H169,'VALORES VIAJES'!$A$2:$B$24,2,FALSE),"")</f>
        <v/>
      </c>
      <c r="U169" t="str">
        <f>IFERROR(VLOOKUP(I169,'VALORES VIAJES'!$A$2:$B$24,2,FALSE),"")</f>
        <v/>
      </c>
      <c r="V169" t="str">
        <f>IFERROR(VLOOKUP(K169,'VALORES VIAJES'!$A$2:$B$24,2,FALSE),"")</f>
        <v/>
      </c>
      <c r="X169" s="208">
        <f>SUM(Hoja1[[#This Row],[$ X TIP VEHICUL]:[AGREGADO]])</f>
        <v>210000</v>
      </c>
    </row>
    <row r="170" spans="1:24" s="211" customFormat="1" x14ac:dyDescent="0.25">
      <c r="A170" s="209">
        <v>170</v>
      </c>
      <c r="B170" s="210">
        <v>45370</v>
      </c>
      <c r="C170" s="211" t="s">
        <v>7461</v>
      </c>
      <c r="D170" s="211" t="s">
        <v>6907</v>
      </c>
      <c r="E170" s="211" t="s">
        <v>7443</v>
      </c>
      <c r="F170" s="211" t="s">
        <v>6954</v>
      </c>
      <c r="G170" s="211" t="s">
        <v>6907</v>
      </c>
      <c r="J170" s="210"/>
      <c r="L170" s="211" t="s">
        <v>7638</v>
      </c>
      <c r="M170" s="212">
        <v>0.33333333333333326</v>
      </c>
      <c r="N170" s="211" t="s">
        <v>7473</v>
      </c>
      <c r="O170" s="211" t="s">
        <v>7474</v>
      </c>
      <c r="Q170" s="211">
        <v>16407</v>
      </c>
      <c r="R170" s="211">
        <v>50812</v>
      </c>
      <c r="S170" s="211">
        <f>IFERROR(VLOOKUP(E170,'VALORES VIAJES'!$A$2:$B$13,2,FALSE),"")</f>
        <v>210000</v>
      </c>
      <c r="T170" s="211" t="str">
        <f>IFERROR(VLOOKUP(H170,'VALORES VIAJES'!$A$2:$B$24,2,FALSE),"")</f>
        <v/>
      </c>
      <c r="U170" s="211" t="str">
        <f>IFERROR(VLOOKUP(I170,'VALORES VIAJES'!$A$2:$B$24,2,FALSE),"")</f>
        <v/>
      </c>
      <c r="V170" s="211" t="str">
        <f>IFERROR(VLOOKUP(K170,'VALORES VIAJES'!$A$2:$B$24,2,FALSE),"")</f>
        <v/>
      </c>
      <c r="X170" s="207">
        <f>SUM(Hoja1[[#This Row],[$ X TIP VEHICUL]:[AGREGADO]])</f>
        <v>210000</v>
      </c>
    </row>
    <row r="171" spans="1:24" s="215" customFormat="1" x14ac:dyDescent="0.25">
      <c r="A171" s="213">
        <v>171</v>
      </c>
      <c r="B171" s="214">
        <v>45370</v>
      </c>
      <c r="C171" s="215" t="s">
        <v>7461</v>
      </c>
      <c r="D171" s="215" t="s">
        <v>6907</v>
      </c>
      <c r="E171" s="215" t="s">
        <v>7443</v>
      </c>
      <c r="F171" s="215" t="s">
        <v>6954</v>
      </c>
      <c r="G171" s="215" t="s">
        <v>6907</v>
      </c>
      <c r="J171" s="214"/>
      <c r="L171" s="215" t="s">
        <v>7639</v>
      </c>
      <c r="M171" s="216">
        <v>0.33333333333333326</v>
      </c>
      <c r="N171" s="215" t="s">
        <v>7480</v>
      </c>
      <c r="O171" s="215" t="s">
        <v>7465</v>
      </c>
      <c r="Q171" s="215">
        <v>16407</v>
      </c>
      <c r="R171" s="215">
        <v>50811</v>
      </c>
      <c r="S171" s="215">
        <f>IFERROR(VLOOKUP(E171,'VALORES VIAJES'!$A$2:$B$13,2,FALSE),"")</f>
        <v>210000</v>
      </c>
      <c r="T171" s="215" t="str">
        <f>IFERROR(VLOOKUP(H171,'VALORES VIAJES'!$A$2:$B$24,2,FALSE),"")</f>
        <v/>
      </c>
      <c r="U171" s="215" t="str">
        <f>IFERROR(VLOOKUP(I171,'VALORES VIAJES'!$A$2:$B$24,2,FALSE),"")</f>
        <v/>
      </c>
      <c r="V171" s="215" t="str">
        <f>IFERROR(VLOOKUP(K171,'VALORES VIAJES'!$A$2:$B$24,2,FALSE),"")</f>
        <v/>
      </c>
      <c r="X171" s="208">
        <f>SUM(Hoja1[[#This Row],[$ X TIP VEHICUL]:[AGREGADO]])</f>
        <v>210000</v>
      </c>
    </row>
    <row r="172" spans="1:24" s="229" customFormat="1" x14ac:dyDescent="0.25">
      <c r="A172" s="227">
        <v>172</v>
      </c>
      <c r="B172" s="228">
        <v>45370</v>
      </c>
      <c r="C172" s="229" t="s">
        <v>7461</v>
      </c>
      <c r="D172" s="229" t="s">
        <v>6883</v>
      </c>
      <c r="E172" s="229" t="s">
        <v>7443</v>
      </c>
      <c r="F172" s="229" t="s">
        <v>6954</v>
      </c>
      <c r="G172" s="229" t="s">
        <v>7636</v>
      </c>
      <c r="J172" s="228"/>
      <c r="L172" s="229" t="s">
        <v>7640</v>
      </c>
      <c r="M172" s="230">
        <v>0.33333333333333326</v>
      </c>
      <c r="N172" s="229" t="s">
        <v>7477</v>
      </c>
      <c r="O172" s="229" t="s">
        <v>7478</v>
      </c>
      <c r="Q172" s="229">
        <v>9200</v>
      </c>
      <c r="R172" s="229">
        <v>50810</v>
      </c>
      <c r="S172" s="229">
        <f>IFERROR(VLOOKUP(E172,'VALORES VIAJES'!$A$2:$B$13,2,FALSE),"")</f>
        <v>210000</v>
      </c>
      <c r="T172" s="229" t="str">
        <f>IFERROR(VLOOKUP(H172,'VALORES VIAJES'!$A$2:$B$24,2,FALSE),"")</f>
        <v/>
      </c>
      <c r="U172" s="229" t="str">
        <f>IFERROR(VLOOKUP(I172,'VALORES VIAJES'!$A$2:$B$24,2,FALSE),"")</f>
        <v/>
      </c>
      <c r="V172" s="229" t="str">
        <f>IFERROR(VLOOKUP(K172,'VALORES VIAJES'!$A$2:$B$24,2,FALSE),"")</f>
        <v/>
      </c>
      <c r="X172" s="231">
        <f>SUM(Hoja1[[#This Row],[$ X TIP VEHICUL]:[AGREGADO]])</f>
        <v>210000</v>
      </c>
    </row>
    <row r="173" spans="1:24" s="219" customFormat="1" ht="15.75" thickBot="1" x14ac:dyDescent="0.3">
      <c r="A173" s="217">
        <v>173</v>
      </c>
      <c r="B173" s="218">
        <v>45370</v>
      </c>
      <c r="C173" s="219" t="s">
        <v>7461</v>
      </c>
      <c r="D173" s="219" t="s">
        <v>7632</v>
      </c>
      <c r="E173" s="219" t="s">
        <v>7441</v>
      </c>
      <c r="F173" s="219" t="s">
        <v>6954</v>
      </c>
      <c r="G173" s="219" t="s">
        <v>7632</v>
      </c>
      <c r="J173" s="218"/>
      <c r="L173" s="219" t="s">
        <v>7463</v>
      </c>
      <c r="M173" s="220">
        <v>0.41666666666666674</v>
      </c>
      <c r="N173" s="219" t="s">
        <v>7469</v>
      </c>
      <c r="O173" s="219" t="s">
        <v>7470</v>
      </c>
      <c r="Q173" s="219">
        <v>9200</v>
      </c>
      <c r="R173" s="219">
        <v>50813</v>
      </c>
      <c r="S173" s="219">
        <f>IFERROR(VLOOKUP(E173,'VALORES VIAJES'!$A$2:$B$13,2,FALSE),"")</f>
        <v>210000</v>
      </c>
      <c r="T173" s="219" t="str">
        <f>IFERROR(VLOOKUP(H173,'VALORES VIAJES'!$A$2:$B$24,2,FALSE),"")</f>
        <v/>
      </c>
      <c r="U173" s="219" t="str">
        <f>IFERROR(VLOOKUP(I173,'VALORES VIAJES'!$A$2:$B$24,2,FALSE),"")</f>
        <v/>
      </c>
      <c r="V173" s="219" t="str">
        <f>IFERROR(VLOOKUP(K173,'VALORES VIAJES'!$A$2:$B$24,2,FALSE),"")</f>
        <v/>
      </c>
      <c r="X173" s="221">
        <f>SUM(Hoja1[[#This Row],[$ X TIP VEHICUL]:[AGREGADO]])</f>
        <v>210000</v>
      </c>
    </row>
    <row r="174" spans="1:24" ht="15.75" hidden="1" thickBot="1" x14ac:dyDescent="0.3">
      <c r="A174">
        <v>174</v>
      </c>
      <c r="B174" s="189">
        <v>45370</v>
      </c>
      <c r="C174" t="s">
        <v>7462</v>
      </c>
      <c r="D174" t="s">
        <v>7509</v>
      </c>
      <c r="E174" t="s">
        <v>7442</v>
      </c>
      <c r="F174" t="s">
        <v>7462</v>
      </c>
      <c r="G174" t="s">
        <v>7509</v>
      </c>
      <c r="J174" s="189"/>
      <c r="L174" t="s">
        <v>7463</v>
      </c>
      <c r="M174" s="205">
        <v>0.29166666666666674</v>
      </c>
      <c r="N174" t="s">
        <v>7464</v>
      </c>
      <c r="O174" t="s">
        <v>7512</v>
      </c>
      <c r="S174">
        <f>IFERROR(VLOOKUP(E174,'VALORES VIAJES'!$A$2:$B$13,2,FALSE),"")</f>
        <v>160000</v>
      </c>
      <c r="T174" t="str">
        <f>IFERROR(VLOOKUP(H174,'VALORES VIAJES'!$A$2:$B$24,2,FALSE),"")</f>
        <v/>
      </c>
      <c r="U174" t="str">
        <f>IFERROR(VLOOKUP(I174,'VALORES VIAJES'!$A$2:$B$24,2,FALSE),"")</f>
        <v/>
      </c>
      <c r="V174" t="str">
        <f>IFERROR(VLOOKUP(K174,'VALORES VIAJES'!$A$2:$B$24,2,FALSE),"")</f>
        <v/>
      </c>
      <c r="X174" s="208">
        <f>SUM(Hoja1[[#This Row],[$ X TIP VEHICUL]:[AGREGADO]])</f>
        <v>160000</v>
      </c>
    </row>
    <row r="175" spans="1:24" ht="15.75" hidden="1" thickBot="1" x14ac:dyDescent="0.3">
      <c r="A175">
        <v>175</v>
      </c>
      <c r="B175" s="189">
        <v>45370</v>
      </c>
      <c r="C175" t="s">
        <v>7462</v>
      </c>
      <c r="D175" t="s">
        <v>7501</v>
      </c>
      <c r="E175" t="s">
        <v>7442</v>
      </c>
      <c r="F175" t="s">
        <v>7462</v>
      </c>
      <c r="G175" t="s">
        <v>7501</v>
      </c>
      <c r="J175" s="189"/>
      <c r="L175" t="s">
        <v>7463</v>
      </c>
      <c r="M175" s="205">
        <v>0.29166666666666674</v>
      </c>
      <c r="N175" t="s">
        <v>7641</v>
      </c>
      <c r="O175" t="s">
        <v>7494</v>
      </c>
      <c r="S175">
        <f>IFERROR(VLOOKUP(E175,'VALORES VIAJES'!$A$2:$B$13,2,FALSE),"")</f>
        <v>160000</v>
      </c>
      <c r="T175" t="str">
        <f>IFERROR(VLOOKUP(H175,'VALORES VIAJES'!$A$2:$B$24,2,FALSE),"")</f>
        <v/>
      </c>
      <c r="U175" t="str">
        <f>IFERROR(VLOOKUP(I175,'VALORES VIAJES'!$A$2:$B$24,2,FALSE),"")</f>
        <v/>
      </c>
      <c r="V175" t="str">
        <f>IFERROR(VLOOKUP(K175,'VALORES VIAJES'!$A$2:$B$24,2,FALSE),"")</f>
        <v/>
      </c>
      <c r="X175" s="208">
        <f>SUM(Hoja1[[#This Row],[$ X TIP VEHICUL]:[AGREGADO]])</f>
        <v>160000</v>
      </c>
    </row>
    <row r="176" spans="1:24" ht="15.75" hidden="1" thickBot="1" x14ac:dyDescent="0.3">
      <c r="A176">
        <v>176</v>
      </c>
      <c r="B176" s="189">
        <v>45371</v>
      </c>
      <c r="C176" t="s">
        <v>7481</v>
      </c>
      <c r="D176" t="s">
        <v>7481</v>
      </c>
      <c r="E176" t="s">
        <v>7441</v>
      </c>
      <c r="F176" t="s">
        <v>7503</v>
      </c>
      <c r="G176" t="s">
        <v>7482</v>
      </c>
      <c r="J176" s="189"/>
      <c r="L176" t="s">
        <v>7463</v>
      </c>
      <c r="M176" s="205">
        <v>0.33333333333333326</v>
      </c>
      <c r="N176" t="s">
        <v>7473</v>
      </c>
      <c r="O176" t="s">
        <v>7474</v>
      </c>
      <c r="Q176">
        <v>5600</v>
      </c>
      <c r="R176" t="s">
        <v>7506</v>
      </c>
      <c r="S176">
        <f>IFERROR(VLOOKUP(E176,'VALORES VIAJES'!$A$2:$B$13,2,FALSE),"")</f>
        <v>210000</v>
      </c>
      <c r="T176" t="str">
        <f>IFERROR(VLOOKUP(H176,'VALORES VIAJES'!$A$2:$B$24,2,FALSE),"")</f>
        <v/>
      </c>
      <c r="U176" t="str">
        <f>IFERROR(VLOOKUP(I176,'VALORES VIAJES'!$A$2:$B$24,2,FALSE),"")</f>
        <v/>
      </c>
      <c r="V176" t="str">
        <f>IFERROR(VLOOKUP(K176,'VALORES VIAJES'!$A$2:$B$24,2,FALSE),"")</f>
        <v/>
      </c>
      <c r="X176" s="208">
        <f>SUM(Hoja1[[#This Row],[$ X TIP VEHICUL]:[AGREGADO]])</f>
        <v>210000</v>
      </c>
    </row>
    <row r="177" spans="1:24" ht="15.75" hidden="1" thickBot="1" x14ac:dyDescent="0.3">
      <c r="A177">
        <v>177</v>
      </c>
      <c r="B177" s="189">
        <v>45371</v>
      </c>
      <c r="C177" t="s">
        <v>7481</v>
      </c>
      <c r="D177" t="s">
        <v>7481</v>
      </c>
      <c r="E177" t="s">
        <v>7443</v>
      </c>
      <c r="F177" t="s">
        <v>6945</v>
      </c>
      <c r="G177" t="s">
        <v>7503</v>
      </c>
      <c r="H177" t="s">
        <v>7440</v>
      </c>
      <c r="I177" t="s">
        <v>7433</v>
      </c>
      <c r="J177" s="189"/>
      <c r="L177" t="s">
        <v>7642</v>
      </c>
      <c r="M177" s="205">
        <v>0.54166666666666674</v>
      </c>
      <c r="N177" t="s">
        <v>7469</v>
      </c>
      <c r="O177" t="s">
        <v>7470</v>
      </c>
      <c r="Q177">
        <v>23868</v>
      </c>
      <c r="R177">
        <v>18432</v>
      </c>
      <c r="S177">
        <f>IFERROR(VLOOKUP(E177,'VALORES VIAJES'!$A$2:$B$13,2,FALSE),"")</f>
        <v>210000</v>
      </c>
      <c r="T177">
        <f>IFERROR(VLOOKUP(H177,'VALORES VIAJES'!$A$2:$B$24,2,FALSE),"")</f>
        <v>95000</v>
      </c>
      <c r="U177">
        <f>IFERROR(VLOOKUP(I177,'VALORES VIAJES'!$A$2:$B$24,2,FALSE),"")</f>
        <v>210000</v>
      </c>
      <c r="V177" t="str">
        <f>IFERROR(VLOOKUP(K177,'VALORES VIAJES'!$A$2:$B$24,2,FALSE),"")</f>
        <v/>
      </c>
      <c r="X177" s="208">
        <f>SUM(Hoja1[[#This Row],[$ X TIP VEHICUL]:[AGREGADO]])</f>
        <v>515000</v>
      </c>
    </row>
    <row r="178" spans="1:24" ht="15.75" hidden="1" thickBot="1" x14ac:dyDescent="0.3">
      <c r="A178">
        <v>178</v>
      </c>
      <c r="B178" s="189">
        <v>45371</v>
      </c>
      <c r="C178" t="s">
        <v>7481</v>
      </c>
      <c r="D178" t="s">
        <v>7481</v>
      </c>
      <c r="E178" t="s">
        <v>7443</v>
      </c>
      <c r="F178" t="s">
        <v>6945</v>
      </c>
      <c r="G178" t="s">
        <v>7503</v>
      </c>
      <c r="H178" t="s">
        <v>7440</v>
      </c>
      <c r="I178" t="s">
        <v>7433</v>
      </c>
      <c r="J178" s="189"/>
      <c r="L178" t="s">
        <v>7643</v>
      </c>
      <c r="M178" s="205">
        <v>0.54166666666666674</v>
      </c>
      <c r="N178" t="s">
        <v>7477</v>
      </c>
      <c r="O178" t="s">
        <v>7478</v>
      </c>
      <c r="Q178">
        <v>23868</v>
      </c>
      <c r="R178">
        <v>18433</v>
      </c>
      <c r="S178">
        <f>IFERROR(VLOOKUP(E178,'VALORES VIAJES'!$A$2:$B$13,2,FALSE),"")</f>
        <v>210000</v>
      </c>
      <c r="T178">
        <f>IFERROR(VLOOKUP(H178,'VALORES VIAJES'!$A$2:$B$24,2,FALSE),"")</f>
        <v>95000</v>
      </c>
      <c r="U178">
        <f>IFERROR(VLOOKUP(I178,'VALORES VIAJES'!$A$2:$B$24,2,FALSE),"")</f>
        <v>210000</v>
      </c>
      <c r="V178" t="str">
        <f>IFERROR(VLOOKUP(K178,'VALORES VIAJES'!$A$2:$B$24,2,FALSE),"")</f>
        <v/>
      </c>
      <c r="X178" s="208">
        <f>SUM(Hoja1[[#This Row],[$ X TIP VEHICUL]:[AGREGADO]])</f>
        <v>515000</v>
      </c>
    </row>
    <row r="179" spans="1:24" s="211" customFormat="1" x14ac:dyDescent="0.25">
      <c r="A179" s="209">
        <v>179</v>
      </c>
      <c r="B179" s="210">
        <v>45371</v>
      </c>
      <c r="C179" s="211" t="s">
        <v>7461</v>
      </c>
      <c r="D179" s="211" t="s">
        <v>6907</v>
      </c>
      <c r="E179" s="211" t="s">
        <v>7443</v>
      </c>
      <c r="F179" s="211" t="s">
        <v>6954</v>
      </c>
      <c r="G179" s="211" t="s">
        <v>6907</v>
      </c>
      <c r="J179" s="210"/>
      <c r="L179" s="211" t="s">
        <v>7644</v>
      </c>
      <c r="M179" s="212">
        <v>0.33333333333333326</v>
      </c>
      <c r="N179" s="211" t="s">
        <v>7504</v>
      </c>
      <c r="O179" s="211" t="s">
        <v>7505</v>
      </c>
      <c r="Q179" s="211">
        <v>16407</v>
      </c>
      <c r="S179" s="211">
        <f>IFERROR(VLOOKUP(E179,'VALORES VIAJES'!$A$2:$B$13,2,FALSE),"")</f>
        <v>210000</v>
      </c>
      <c r="T179" s="211" t="str">
        <f>IFERROR(VLOOKUP(H179,'VALORES VIAJES'!$A$2:$B$24,2,FALSE),"")</f>
        <v/>
      </c>
      <c r="U179" s="211" t="str">
        <f>IFERROR(VLOOKUP(I179,'VALORES VIAJES'!$A$2:$B$24,2,FALSE),"")</f>
        <v/>
      </c>
      <c r="V179" s="211" t="str">
        <f>IFERROR(VLOOKUP(K179,'VALORES VIAJES'!$A$2:$B$24,2,FALSE),"")</f>
        <v/>
      </c>
      <c r="X179" s="207">
        <f>SUM(Hoja1[[#This Row],[$ X TIP VEHICUL]:[AGREGADO]])</f>
        <v>210000</v>
      </c>
    </row>
    <row r="180" spans="1:24" s="215" customFormat="1" x14ac:dyDescent="0.25">
      <c r="A180" s="213">
        <v>180</v>
      </c>
      <c r="B180" s="214">
        <v>45371</v>
      </c>
      <c r="C180" s="215" t="s">
        <v>7461</v>
      </c>
      <c r="D180" s="215" t="s">
        <v>6907</v>
      </c>
      <c r="E180" s="215" t="s">
        <v>7443</v>
      </c>
      <c r="F180" s="215" t="s">
        <v>6954</v>
      </c>
      <c r="G180" s="215" t="s">
        <v>6907</v>
      </c>
      <c r="J180" s="214"/>
      <c r="L180" s="215" t="s">
        <v>7645</v>
      </c>
      <c r="M180" s="216">
        <v>0.33333333333333326</v>
      </c>
      <c r="N180" s="215" t="s">
        <v>7480</v>
      </c>
      <c r="O180" s="215" t="s">
        <v>7465</v>
      </c>
      <c r="Q180" s="215">
        <v>16407</v>
      </c>
      <c r="R180" s="215">
        <v>50821</v>
      </c>
      <c r="S180" s="215">
        <f>IFERROR(VLOOKUP(E180,'VALORES VIAJES'!$A$2:$B$13,2,FALSE),"")</f>
        <v>210000</v>
      </c>
      <c r="T180" s="215" t="str">
        <f>IFERROR(VLOOKUP(H180,'VALORES VIAJES'!$A$2:$B$24,2,FALSE),"")</f>
        <v/>
      </c>
      <c r="U180" s="215" t="str">
        <f>IFERROR(VLOOKUP(I180,'VALORES VIAJES'!$A$2:$B$24,2,FALSE),"")</f>
        <v/>
      </c>
      <c r="V180" s="215" t="str">
        <f>IFERROR(VLOOKUP(K180,'VALORES VIAJES'!$A$2:$B$24,2,FALSE),"")</f>
        <v/>
      </c>
      <c r="X180" s="208">
        <f>SUM(Hoja1[[#This Row],[$ X TIP VEHICUL]:[AGREGADO]])</f>
        <v>210000</v>
      </c>
    </row>
    <row r="181" spans="1:24" s="219" customFormat="1" ht="15.75" thickBot="1" x14ac:dyDescent="0.3">
      <c r="A181" s="217">
        <v>181</v>
      </c>
      <c r="B181" s="218">
        <v>45371</v>
      </c>
      <c r="C181" s="219" t="s">
        <v>7461</v>
      </c>
      <c r="D181" s="219" t="s">
        <v>7632</v>
      </c>
      <c r="E181" s="219" t="s">
        <v>7441</v>
      </c>
      <c r="F181" s="219" t="s">
        <v>6954</v>
      </c>
      <c r="G181" s="219" t="s">
        <v>7632</v>
      </c>
      <c r="J181" s="218"/>
      <c r="L181" s="219" t="s">
        <v>7463</v>
      </c>
      <c r="M181" s="220">
        <v>0.33333333333333326</v>
      </c>
      <c r="N181" s="219" t="s">
        <v>7464</v>
      </c>
      <c r="O181" s="219" t="s">
        <v>7646</v>
      </c>
      <c r="Q181" s="219">
        <v>9200</v>
      </c>
      <c r="R181" s="219">
        <v>50823</v>
      </c>
      <c r="S181" s="219">
        <f>IFERROR(VLOOKUP(E181,'VALORES VIAJES'!$A$2:$B$13,2,FALSE),"")</f>
        <v>210000</v>
      </c>
      <c r="T181" s="219" t="str">
        <f>IFERROR(VLOOKUP(H181,'VALORES VIAJES'!$A$2:$B$24,2,FALSE),"")</f>
        <v/>
      </c>
      <c r="U181" s="219" t="str">
        <f>IFERROR(VLOOKUP(I181,'VALORES VIAJES'!$A$2:$B$24,2,FALSE),"")</f>
        <v/>
      </c>
      <c r="V181" s="219" t="str">
        <f>IFERROR(VLOOKUP(K181,'VALORES VIAJES'!$A$2:$B$24,2,FALSE),"")</f>
        <v/>
      </c>
      <c r="X181" s="221">
        <f>SUM(Hoja1[[#This Row],[$ X TIP VEHICUL]:[AGREGADO]])</f>
        <v>210000</v>
      </c>
    </row>
    <row r="182" spans="1:24" ht="15.75" hidden="1" thickBot="1" x14ac:dyDescent="0.3">
      <c r="A182">
        <v>182</v>
      </c>
      <c r="B182" s="189">
        <v>45371</v>
      </c>
      <c r="C182" t="s">
        <v>7462</v>
      </c>
      <c r="D182" t="s">
        <v>7647</v>
      </c>
      <c r="E182" t="s">
        <v>7442</v>
      </c>
      <c r="F182" t="s">
        <v>7462</v>
      </c>
      <c r="G182" t="s">
        <v>7647</v>
      </c>
      <c r="J182" s="189"/>
      <c r="L182" t="s">
        <v>7463</v>
      </c>
      <c r="M182" s="205">
        <v>0.33333333333333326</v>
      </c>
      <c r="N182" t="s">
        <v>7641</v>
      </c>
      <c r="O182" t="s">
        <v>7494</v>
      </c>
      <c r="S182">
        <f>IFERROR(VLOOKUP(E182,'VALORES VIAJES'!$A$2:$B$13,2,FALSE),"")</f>
        <v>160000</v>
      </c>
      <c r="T182" t="str">
        <f>IFERROR(VLOOKUP(H182,'VALORES VIAJES'!$A$2:$B$24,2,FALSE),"")</f>
        <v/>
      </c>
      <c r="U182" t="str">
        <f>IFERROR(VLOOKUP(I182,'VALORES VIAJES'!$A$2:$B$24,2,FALSE),"")</f>
        <v/>
      </c>
      <c r="V182" t="str">
        <f>IFERROR(VLOOKUP(K182,'VALORES VIAJES'!$A$2:$B$24,2,FALSE),"")</f>
        <v/>
      </c>
      <c r="X182" s="208">
        <f>SUM(Hoja1[[#This Row],[$ X TIP VEHICUL]:[AGREGADO]])</f>
        <v>160000</v>
      </c>
    </row>
    <row r="183" spans="1:24" ht="15.75" hidden="1" thickBot="1" x14ac:dyDescent="0.3">
      <c r="A183">
        <v>183</v>
      </c>
      <c r="B183" s="189">
        <v>45372</v>
      </c>
      <c r="C183" t="s">
        <v>7481</v>
      </c>
      <c r="D183" t="s">
        <v>7481</v>
      </c>
      <c r="E183" t="s">
        <v>7443</v>
      </c>
      <c r="F183" t="s">
        <v>7467</v>
      </c>
      <c r="G183" t="s">
        <v>7482</v>
      </c>
      <c r="H183" t="s">
        <v>7434</v>
      </c>
      <c r="J183" s="189"/>
      <c r="L183" t="s">
        <v>7648</v>
      </c>
      <c r="M183" s="205">
        <v>0.41666666666666674</v>
      </c>
      <c r="N183" t="s">
        <v>7480</v>
      </c>
      <c r="O183" t="s">
        <v>7465</v>
      </c>
      <c r="Q183">
        <v>24594</v>
      </c>
      <c r="R183">
        <v>18431</v>
      </c>
      <c r="S183">
        <f>IFERROR(VLOOKUP(E183,'VALORES VIAJES'!$A$2:$B$13,2,FALSE),"")</f>
        <v>210000</v>
      </c>
      <c r="T183">
        <f>IFERROR(VLOOKUP(H183,'VALORES VIAJES'!$A$2:$B$24,2,FALSE),"")</f>
        <v>105000</v>
      </c>
      <c r="U183" t="str">
        <f>IFERROR(VLOOKUP(I183,'VALORES VIAJES'!$A$2:$B$24,2,FALSE),"")</f>
        <v/>
      </c>
      <c r="V183" t="str">
        <f>IFERROR(VLOOKUP(K183,'VALORES VIAJES'!$A$2:$B$24,2,FALSE),"")</f>
        <v/>
      </c>
      <c r="X183" s="208">
        <f>SUM(Hoja1[[#This Row],[$ X TIP VEHICUL]:[AGREGADO]])</f>
        <v>315000</v>
      </c>
    </row>
    <row r="184" spans="1:24" ht="15.75" hidden="1" thickBot="1" x14ac:dyDescent="0.3">
      <c r="A184">
        <v>184</v>
      </c>
      <c r="B184" s="189">
        <v>45372</v>
      </c>
      <c r="C184" t="s">
        <v>7481</v>
      </c>
      <c r="D184" t="s">
        <v>7481</v>
      </c>
      <c r="E184" t="s">
        <v>7443</v>
      </c>
      <c r="F184" t="s">
        <v>7467</v>
      </c>
      <c r="G184" t="s">
        <v>7482</v>
      </c>
      <c r="I184" t="s">
        <v>7433</v>
      </c>
      <c r="J184" s="189"/>
      <c r="L184" t="s">
        <v>7649</v>
      </c>
      <c r="M184" s="205">
        <v>0.45833333333333326</v>
      </c>
      <c r="N184" t="s">
        <v>7504</v>
      </c>
      <c r="O184" t="s">
        <v>7505</v>
      </c>
      <c r="Q184">
        <v>20367</v>
      </c>
      <c r="R184">
        <v>18430</v>
      </c>
      <c r="S184">
        <f>IFERROR(VLOOKUP(E184,'VALORES VIAJES'!$A$2:$B$13,2,FALSE),"")</f>
        <v>210000</v>
      </c>
      <c r="T184" t="str">
        <f>IFERROR(VLOOKUP(H184,'VALORES VIAJES'!$A$2:$B$24,2,FALSE),"")</f>
        <v/>
      </c>
      <c r="U184">
        <f>IFERROR(VLOOKUP(I184,'VALORES VIAJES'!$A$2:$B$24,2,FALSE),"")</f>
        <v>210000</v>
      </c>
      <c r="V184" t="str">
        <f>IFERROR(VLOOKUP(K184,'VALORES VIAJES'!$A$2:$B$24,2,FALSE),"")</f>
        <v/>
      </c>
      <c r="X184" s="208">
        <f>SUM(Hoja1[[#This Row],[$ X TIP VEHICUL]:[AGREGADO]])</f>
        <v>420000</v>
      </c>
    </row>
    <row r="185" spans="1:24" s="211" customFormat="1" x14ac:dyDescent="0.25">
      <c r="A185" s="209">
        <v>185</v>
      </c>
      <c r="B185" s="210">
        <v>45372</v>
      </c>
      <c r="C185" s="211" t="s">
        <v>7461</v>
      </c>
      <c r="D185" s="211" t="s">
        <v>7650</v>
      </c>
      <c r="E185" s="211" t="s">
        <v>7443</v>
      </c>
      <c r="F185" s="211" t="s">
        <v>7467</v>
      </c>
      <c r="G185" s="211" t="s">
        <v>7650</v>
      </c>
      <c r="I185" s="211" t="s">
        <v>7433</v>
      </c>
      <c r="J185" s="210"/>
      <c r="L185" s="211" t="s">
        <v>7651</v>
      </c>
      <c r="M185" s="212">
        <v>0.66666666666666674</v>
      </c>
      <c r="N185" s="211" t="s">
        <v>7469</v>
      </c>
      <c r="O185" s="211" t="s">
        <v>7470</v>
      </c>
      <c r="Q185" s="211">
        <v>15974</v>
      </c>
      <c r="R185" s="211">
        <v>50889</v>
      </c>
      <c r="S185" s="211">
        <f>IFERROR(VLOOKUP(E185,'VALORES VIAJES'!$A$2:$B$13,2,FALSE),"")</f>
        <v>210000</v>
      </c>
      <c r="T185" s="211" t="str">
        <f>IFERROR(VLOOKUP(H185,'VALORES VIAJES'!$A$2:$B$24,2,FALSE),"")</f>
        <v/>
      </c>
      <c r="U185" s="211">
        <f>IFERROR(VLOOKUP(I185,'VALORES VIAJES'!$A$2:$B$24,2,FALSE),"")</f>
        <v>210000</v>
      </c>
      <c r="V185" s="211" t="str">
        <f>IFERROR(VLOOKUP(K185,'VALORES VIAJES'!$A$2:$B$24,2,FALSE),"")</f>
        <v/>
      </c>
      <c r="X185" s="207">
        <f>SUM(Hoja1[[#This Row],[$ X TIP VEHICUL]:[AGREGADO]])</f>
        <v>420000</v>
      </c>
    </row>
    <row r="186" spans="1:24" s="215" customFormat="1" x14ac:dyDescent="0.25">
      <c r="A186" s="213">
        <v>186</v>
      </c>
      <c r="B186" s="214">
        <v>45372</v>
      </c>
      <c r="C186" s="215" t="s">
        <v>7461</v>
      </c>
      <c r="D186" s="215" t="s">
        <v>7632</v>
      </c>
      <c r="E186" s="215" t="s">
        <v>7441</v>
      </c>
      <c r="F186" s="215" t="s">
        <v>7633</v>
      </c>
      <c r="G186" s="215" t="s">
        <v>7632</v>
      </c>
      <c r="J186" s="214"/>
      <c r="K186" s="215" t="s">
        <v>7440</v>
      </c>
      <c r="L186" s="215" t="s">
        <v>7463</v>
      </c>
      <c r="M186" s="216">
        <v>0.41666666666666674</v>
      </c>
      <c r="N186" s="215" t="s">
        <v>7464</v>
      </c>
      <c r="O186" s="215" t="s">
        <v>7646</v>
      </c>
      <c r="Q186" s="215">
        <v>12734</v>
      </c>
      <c r="R186" s="215">
        <v>51457</v>
      </c>
      <c r="S186" s="215">
        <f>IFERROR(VLOOKUP(E186,'VALORES VIAJES'!$A$2:$B$13,2,FALSE),"")</f>
        <v>210000</v>
      </c>
      <c r="T186" s="215" t="str">
        <f>IFERROR(VLOOKUP(H186,'VALORES VIAJES'!$A$2:$B$24,2,FALSE),"")</f>
        <v/>
      </c>
      <c r="U186" s="215" t="str">
        <f>IFERROR(VLOOKUP(I186,'VALORES VIAJES'!$A$2:$B$24,2,FALSE),"")</f>
        <v/>
      </c>
      <c r="V186" s="215">
        <f>IFERROR(VLOOKUP(K186,'VALORES VIAJES'!$A$2:$B$24,2,FALSE),"")</f>
        <v>95000</v>
      </c>
      <c r="X186" s="208">
        <f>SUM(Hoja1[[#This Row],[$ X TIP VEHICUL]:[AGREGADO]])</f>
        <v>305000</v>
      </c>
    </row>
    <row r="187" spans="1:24" s="219" customFormat="1" ht="15.75" thickBot="1" x14ac:dyDescent="0.3">
      <c r="A187" s="217">
        <v>187</v>
      </c>
      <c r="B187" s="218">
        <v>45372</v>
      </c>
      <c r="C187" s="219" t="s">
        <v>7461</v>
      </c>
      <c r="D187" s="219" t="s">
        <v>7632</v>
      </c>
      <c r="E187" s="219" t="s">
        <v>7441</v>
      </c>
      <c r="F187" s="219" t="s">
        <v>7633</v>
      </c>
      <c r="G187" s="219" t="s">
        <v>7632</v>
      </c>
      <c r="I187" s="219" t="s">
        <v>7433</v>
      </c>
      <c r="J187" s="218"/>
      <c r="K187" s="219" t="s">
        <v>7440</v>
      </c>
      <c r="L187" s="219" t="s">
        <v>7463</v>
      </c>
      <c r="M187" s="220">
        <v>0.41666666666666674</v>
      </c>
      <c r="N187" s="219" t="s">
        <v>7473</v>
      </c>
      <c r="O187" s="219" t="s">
        <v>7474</v>
      </c>
      <c r="Q187" s="219">
        <v>16334</v>
      </c>
      <c r="R187" s="219">
        <v>51458</v>
      </c>
      <c r="S187" s="219">
        <f>IFERROR(VLOOKUP(E187,'VALORES VIAJES'!$A$2:$B$13,2,FALSE),"")</f>
        <v>210000</v>
      </c>
      <c r="T187" s="219" t="str">
        <f>IFERROR(VLOOKUP(H187,'VALORES VIAJES'!$A$2:$B$24,2,FALSE),"")</f>
        <v/>
      </c>
      <c r="U187" s="219">
        <f>IFERROR(VLOOKUP(I187,'VALORES VIAJES'!$A$2:$B$24,2,FALSE),"")</f>
        <v>210000</v>
      </c>
      <c r="V187" s="219">
        <f>IFERROR(VLOOKUP(K187,'VALORES VIAJES'!$A$2:$B$24,2,FALSE),"")</f>
        <v>95000</v>
      </c>
      <c r="X187" s="221">
        <f>SUM(Hoja1[[#This Row],[$ X TIP VEHICUL]:[AGREGADO]])</f>
        <v>515000</v>
      </c>
    </row>
    <row r="188" spans="1:24" ht="15.75" hidden="1" thickBot="1" x14ac:dyDescent="0.3">
      <c r="A188">
        <v>188</v>
      </c>
      <c r="B188" s="189">
        <v>45372</v>
      </c>
      <c r="C188" t="s">
        <v>7462</v>
      </c>
      <c r="D188" t="s">
        <v>7509</v>
      </c>
      <c r="E188" t="s">
        <v>7442</v>
      </c>
      <c r="F188" t="s">
        <v>7462</v>
      </c>
      <c r="G188" t="s">
        <v>7509</v>
      </c>
      <c r="J188" s="189"/>
      <c r="L188" t="s">
        <v>7463</v>
      </c>
      <c r="M188" s="205">
        <v>0.29166666666666674</v>
      </c>
      <c r="N188" t="s">
        <v>7641</v>
      </c>
      <c r="O188" t="s">
        <v>7494</v>
      </c>
      <c r="S188">
        <f>IFERROR(VLOOKUP(E188,'VALORES VIAJES'!$A$2:$B$13,2,FALSE),"")</f>
        <v>160000</v>
      </c>
      <c r="T188" t="str">
        <f>IFERROR(VLOOKUP(H188,'VALORES VIAJES'!$A$2:$B$24,2,FALSE),"")</f>
        <v/>
      </c>
      <c r="U188" t="str">
        <f>IFERROR(VLOOKUP(I188,'VALORES VIAJES'!$A$2:$B$24,2,FALSE),"")</f>
        <v/>
      </c>
      <c r="V188" t="str">
        <f>IFERROR(VLOOKUP(K188,'VALORES VIAJES'!$A$2:$B$24,2,FALSE),"")</f>
        <v/>
      </c>
      <c r="X188" s="208">
        <f>SUM(Hoja1[[#This Row],[$ X TIP VEHICUL]:[AGREGADO]])</f>
        <v>160000</v>
      </c>
    </row>
    <row r="189" spans="1:24" s="211" customFormat="1" x14ac:dyDescent="0.25">
      <c r="A189" s="209"/>
      <c r="B189" s="210">
        <v>45373</v>
      </c>
      <c r="C189" s="211" t="s">
        <v>7461</v>
      </c>
      <c r="D189" s="211" t="s">
        <v>7475</v>
      </c>
      <c r="E189" s="211" t="s">
        <v>7443</v>
      </c>
      <c r="F189" s="211" t="s">
        <v>6954</v>
      </c>
      <c r="G189" s="211" t="s">
        <v>7530</v>
      </c>
      <c r="J189" s="210"/>
      <c r="L189" s="211" t="s">
        <v>7652</v>
      </c>
      <c r="M189" s="212">
        <v>0.33333333333333326</v>
      </c>
      <c r="N189" s="211" t="s">
        <v>7477</v>
      </c>
      <c r="O189" s="211" t="s">
        <v>7478</v>
      </c>
      <c r="Q189" s="211">
        <v>18334</v>
      </c>
      <c r="R189" s="211" t="s">
        <v>7463</v>
      </c>
      <c r="S189" s="211">
        <f>IFERROR(VLOOKUP(E189,'VALORES VIAJES'!$A$2:$B$13,2,FALSE),"")</f>
        <v>210000</v>
      </c>
      <c r="T189" s="211" t="str">
        <f>IFERROR(VLOOKUP(H189,'VALORES VIAJES'!$A$2:$B$24,2,FALSE),"")</f>
        <v/>
      </c>
      <c r="U189" s="211" t="str">
        <f>IFERROR(VLOOKUP(I189,'VALORES VIAJES'!$A$2:$B$24,2,FALSE),"")</f>
        <v/>
      </c>
      <c r="V189" s="211" t="str">
        <f>IFERROR(VLOOKUP(K189,'VALORES VIAJES'!$A$2:$B$24,2,FALSE),"")</f>
        <v/>
      </c>
      <c r="X189" s="207">
        <f>SUM(Hoja1[[#This Row],[$ X TIP VEHICUL]:[AGREGADO]])</f>
        <v>210000</v>
      </c>
    </row>
    <row r="190" spans="1:24" s="219" customFormat="1" ht="15.75" thickBot="1" x14ac:dyDescent="0.3">
      <c r="A190" s="217">
        <v>190</v>
      </c>
      <c r="B190" s="218">
        <v>45373</v>
      </c>
      <c r="C190" s="219" t="s">
        <v>7461</v>
      </c>
      <c r="D190" s="219" t="s">
        <v>7475</v>
      </c>
      <c r="E190" s="219" t="s">
        <v>7443</v>
      </c>
      <c r="F190" s="219" t="s">
        <v>6954</v>
      </c>
      <c r="G190" s="219" t="s">
        <v>7530</v>
      </c>
      <c r="J190" s="218"/>
      <c r="L190" s="219" t="s">
        <v>7653</v>
      </c>
      <c r="M190" s="220">
        <v>0.33333333333333326</v>
      </c>
      <c r="N190" s="219" t="s">
        <v>7480</v>
      </c>
      <c r="O190" s="219" t="s">
        <v>7465</v>
      </c>
      <c r="Q190" s="219">
        <v>18334</v>
      </c>
      <c r="R190" s="219">
        <v>50842</v>
      </c>
      <c r="S190" s="219">
        <f>IFERROR(VLOOKUP(E190,'VALORES VIAJES'!$A$2:$B$13,2,FALSE),"")</f>
        <v>210000</v>
      </c>
      <c r="T190" s="219" t="str">
        <f>IFERROR(VLOOKUP(H190,'VALORES VIAJES'!$A$2:$B$24,2,FALSE),"")</f>
        <v/>
      </c>
      <c r="U190" s="219" t="str">
        <f>IFERROR(VLOOKUP(I190,'VALORES VIAJES'!$A$2:$B$24,2,FALSE),"")</f>
        <v/>
      </c>
      <c r="V190" s="219" t="str">
        <f>IFERROR(VLOOKUP(K190,'VALORES VIAJES'!$A$2:$B$24,2,FALSE),"")</f>
        <v/>
      </c>
      <c r="X190" s="221">
        <f>SUM(Hoja1[[#This Row],[$ X TIP VEHICUL]:[AGREGADO]])</f>
        <v>210000</v>
      </c>
    </row>
    <row r="191" spans="1:24" ht="15.75" hidden="1" thickBot="1" x14ac:dyDescent="0.3">
      <c r="A191">
        <v>191</v>
      </c>
      <c r="B191" s="189">
        <v>45373</v>
      </c>
      <c r="C191" t="s">
        <v>7462</v>
      </c>
      <c r="D191" t="s">
        <v>7509</v>
      </c>
      <c r="E191" t="s">
        <v>7442</v>
      </c>
      <c r="F191" t="s">
        <v>7462</v>
      </c>
      <c r="G191" t="s">
        <v>7509</v>
      </c>
      <c r="J191" s="189"/>
      <c r="L191" t="s">
        <v>7463</v>
      </c>
      <c r="M191" s="205">
        <v>0.29166666666666674</v>
      </c>
      <c r="N191" t="s">
        <v>7464</v>
      </c>
      <c r="O191" t="s">
        <v>7512</v>
      </c>
      <c r="S191">
        <f>IFERROR(VLOOKUP(E191,'VALORES VIAJES'!$A$2:$B$13,2,FALSE),"")</f>
        <v>160000</v>
      </c>
      <c r="T191" t="str">
        <f>IFERROR(VLOOKUP(H191,'VALORES VIAJES'!$A$2:$B$24,2,FALSE),"")</f>
        <v/>
      </c>
      <c r="U191" t="str">
        <f>IFERROR(VLOOKUP(I191,'VALORES VIAJES'!$A$2:$B$24,2,FALSE),"")</f>
        <v/>
      </c>
      <c r="V191" t="str">
        <f>IFERROR(VLOOKUP(K191,'VALORES VIAJES'!$A$2:$B$24,2,FALSE),"")</f>
        <v/>
      </c>
      <c r="X191" s="208">
        <f>SUM(Hoja1[[#This Row],[$ X TIP VEHICUL]:[AGREGADO]])</f>
        <v>160000</v>
      </c>
    </row>
    <row r="192" spans="1:24" ht="15.75" hidden="1" thickBot="1" x14ac:dyDescent="0.3">
      <c r="A192">
        <v>192</v>
      </c>
      <c r="B192" s="189">
        <v>45373</v>
      </c>
      <c r="C192" t="s">
        <v>7462</v>
      </c>
      <c r="D192" t="s">
        <v>7509</v>
      </c>
      <c r="E192" t="s">
        <v>7442</v>
      </c>
      <c r="F192" t="s">
        <v>7462</v>
      </c>
      <c r="G192" t="s">
        <v>7509</v>
      </c>
      <c r="J192" s="189"/>
      <c r="L192" t="s">
        <v>7463</v>
      </c>
      <c r="M192" s="205">
        <v>0.29166666666666674</v>
      </c>
      <c r="N192" t="s">
        <v>7641</v>
      </c>
      <c r="O192" t="s">
        <v>7494</v>
      </c>
      <c r="S192">
        <f>IFERROR(VLOOKUP(E192,'VALORES VIAJES'!$A$2:$B$13,2,FALSE),"")</f>
        <v>160000</v>
      </c>
      <c r="T192" t="str">
        <f>IFERROR(VLOOKUP(H192,'VALORES VIAJES'!$A$2:$B$24,2,FALSE),"")</f>
        <v/>
      </c>
      <c r="U192" t="str">
        <f>IFERROR(VLOOKUP(I192,'VALORES VIAJES'!$A$2:$B$24,2,FALSE),"")</f>
        <v/>
      </c>
      <c r="V192" t="str">
        <f>IFERROR(VLOOKUP(K192,'VALORES VIAJES'!$A$2:$B$24,2,FALSE),"")</f>
        <v/>
      </c>
      <c r="X192" s="208">
        <f>SUM(Hoja1[[#This Row],[$ X TIP VEHICUL]:[AGREGADO]])</f>
        <v>160000</v>
      </c>
    </row>
    <row r="193" spans="1:24" ht="15.75" hidden="1" thickBot="1" x14ac:dyDescent="0.3">
      <c r="A193">
        <v>192</v>
      </c>
      <c r="B193" s="189">
        <v>45373</v>
      </c>
      <c r="C193" t="s">
        <v>7462</v>
      </c>
      <c r="D193" t="s">
        <v>7509</v>
      </c>
      <c r="E193" t="s">
        <v>7442</v>
      </c>
      <c r="F193" t="s">
        <v>7462</v>
      </c>
      <c r="G193" t="s">
        <v>7509</v>
      </c>
      <c r="J193" s="189"/>
      <c r="L193" t="s">
        <v>7463</v>
      </c>
      <c r="M193" s="205">
        <v>0.58333333333333326</v>
      </c>
      <c r="N193" t="s">
        <v>7641</v>
      </c>
      <c r="O193" t="s">
        <v>7494</v>
      </c>
      <c r="S193">
        <f>IFERROR(VLOOKUP(E193,'VALORES VIAJES'!$A$2:$B$13,2,FALSE),"")</f>
        <v>160000</v>
      </c>
      <c r="T193" t="str">
        <f>IFERROR(VLOOKUP(H193,'VALORES VIAJES'!$A$2:$B$24,2,FALSE),"")</f>
        <v/>
      </c>
      <c r="U193" t="str">
        <f>IFERROR(VLOOKUP(I193,'VALORES VIAJES'!$A$2:$B$24,2,FALSE),"")</f>
        <v/>
      </c>
      <c r="V193" t="str">
        <f>IFERROR(VLOOKUP(K193,'VALORES VIAJES'!$A$2:$B$24,2,FALSE),"")</f>
        <v/>
      </c>
      <c r="X193" s="208">
        <f>SUM(Hoja1[[#This Row],[$ X TIP VEHICUL]:[AGREGADO]])</f>
        <v>160000</v>
      </c>
    </row>
    <row r="194" spans="1:24" ht="15.75" hidden="1" thickBot="1" x14ac:dyDescent="0.3">
      <c r="A194">
        <v>193</v>
      </c>
      <c r="B194" s="189">
        <v>45376</v>
      </c>
      <c r="C194" t="s">
        <v>7481</v>
      </c>
      <c r="D194" t="s">
        <v>7481</v>
      </c>
      <c r="E194" t="s">
        <v>7443</v>
      </c>
      <c r="F194" t="s">
        <v>7467</v>
      </c>
      <c r="G194" t="s">
        <v>7482</v>
      </c>
      <c r="H194" t="s">
        <v>7654</v>
      </c>
      <c r="J194" s="189"/>
      <c r="L194" t="s">
        <v>7655</v>
      </c>
      <c r="M194" s="205">
        <v>0.54166666666666674</v>
      </c>
      <c r="N194" t="s">
        <v>7469</v>
      </c>
      <c r="O194" t="s">
        <v>7470</v>
      </c>
      <c r="Q194">
        <v>21167</v>
      </c>
      <c r="R194">
        <v>18435</v>
      </c>
      <c r="S194">
        <f>IFERROR(VLOOKUP(E194,'VALORES VIAJES'!$A$2:$B$13,2,FALSE),"")</f>
        <v>210000</v>
      </c>
      <c r="T194" t="str">
        <f>IFERROR(VLOOKUP(H194,'VALORES VIAJES'!$A$2:$B$24,2,FALSE),"")</f>
        <v/>
      </c>
      <c r="U194" t="str">
        <f>IFERROR(VLOOKUP(I194,'VALORES VIAJES'!$A$2:$B$24,2,FALSE),"")</f>
        <v/>
      </c>
      <c r="V194" t="str">
        <f>IFERROR(VLOOKUP(K194,'VALORES VIAJES'!$A$2:$B$24,2,FALSE),"")</f>
        <v/>
      </c>
      <c r="X194" s="208">
        <f>SUM(Hoja1[[#This Row],[$ X TIP VEHICUL]:[AGREGADO]])</f>
        <v>210000</v>
      </c>
    </row>
    <row r="195" spans="1:24" ht="15.75" hidden="1" thickBot="1" x14ac:dyDescent="0.3">
      <c r="A195">
        <v>194</v>
      </c>
      <c r="B195" s="189">
        <v>45376</v>
      </c>
      <c r="C195" t="s">
        <v>7481</v>
      </c>
      <c r="D195" t="s">
        <v>7481</v>
      </c>
      <c r="E195" t="s">
        <v>7442</v>
      </c>
      <c r="F195" t="s">
        <v>6956</v>
      </c>
      <c r="G195" t="s">
        <v>7482</v>
      </c>
      <c r="J195" s="189"/>
      <c r="L195" t="s">
        <v>7463</v>
      </c>
      <c r="M195" s="205">
        <v>0.45833333333333326</v>
      </c>
      <c r="N195" t="s">
        <v>7464</v>
      </c>
      <c r="O195" t="s">
        <v>7656</v>
      </c>
      <c r="Q195">
        <v>5782</v>
      </c>
      <c r="R195">
        <v>18425</v>
      </c>
      <c r="S195">
        <f>IFERROR(VLOOKUP(E195,'VALORES VIAJES'!$A$2:$B$13,2,FALSE),"")</f>
        <v>160000</v>
      </c>
      <c r="T195" t="str">
        <f>IFERROR(VLOOKUP(H195,'VALORES VIAJES'!$A$2:$B$24,2,FALSE),"")</f>
        <v/>
      </c>
      <c r="U195" t="str">
        <f>IFERROR(VLOOKUP(I195,'VALORES VIAJES'!$A$2:$B$24,2,FALSE),"")</f>
        <v/>
      </c>
      <c r="V195" t="str">
        <f>IFERROR(VLOOKUP(K195,'VALORES VIAJES'!$A$2:$B$24,2,FALSE),"")</f>
        <v/>
      </c>
      <c r="X195" s="208">
        <f>SUM(Hoja1[[#This Row],[$ X TIP VEHICUL]:[AGREGADO]])</f>
        <v>160000</v>
      </c>
    </row>
    <row r="196" spans="1:24" s="211" customFormat="1" x14ac:dyDescent="0.25">
      <c r="A196" s="209">
        <v>195</v>
      </c>
      <c r="B196" s="210">
        <v>45376</v>
      </c>
      <c r="C196" s="211" t="s">
        <v>7461</v>
      </c>
      <c r="D196" s="211" t="s">
        <v>6906</v>
      </c>
      <c r="E196" s="211" t="s">
        <v>7443</v>
      </c>
      <c r="F196" s="211" t="s">
        <v>7467</v>
      </c>
      <c r="G196" s="211" t="s">
        <v>6906</v>
      </c>
      <c r="H196" s="211" t="s">
        <v>7654</v>
      </c>
      <c r="I196" s="211" t="s">
        <v>7657</v>
      </c>
      <c r="J196" s="210"/>
      <c r="L196" s="211" t="s">
        <v>7658</v>
      </c>
      <c r="M196" s="212">
        <v>0.70833333333333326</v>
      </c>
      <c r="N196" s="211" t="s">
        <v>7480</v>
      </c>
      <c r="O196" s="211" t="s">
        <v>7465</v>
      </c>
      <c r="Q196" s="211">
        <v>16440</v>
      </c>
      <c r="R196" s="211">
        <v>51411</v>
      </c>
      <c r="S196" s="211">
        <f>IFERROR(VLOOKUP(E196,'VALORES VIAJES'!$A$2:$B$13,2,FALSE),"")</f>
        <v>210000</v>
      </c>
      <c r="T196" s="211" t="str">
        <f>IFERROR(VLOOKUP(H196,'VALORES VIAJES'!$A$2:$B$24,2,FALSE),"")</f>
        <v/>
      </c>
      <c r="U196" s="211" t="str">
        <f>IFERROR(VLOOKUP(I196,'VALORES VIAJES'!$A$2:$B$24,2,FALSE),"")</f>
        <v/>
      </c>
      <c r="V196" s="211" t="str">
        <f>IFERROR(VLOOKUP(K196,'VALORES VIAJES'!$A$2:$B$24,2,FALSE),"")</f>
        <v/>
      </c>
      <c r="X196" s="207">
        <f>SUM(Hoja1[[#This Row],[$ X TIP VEHICUL]:[AGREGADO]])</f>
        <v>210000</v>
      </c>
    </row>
    <row r="197" spans="1:24" s="215" customFormat="1" x14ac:dyDescent="0.25">
      <c r="A197" s="213">
        <v>196</v>
      </c>
      <c r="B197" s="214">
        <v>45376</v>
      </c>
      <c r="C197" s="215" t="s">
        <v>7461</v>
      </c>
      <c r="D197" s="215" t="s">
        <v>6906</v>
      </c>
      <c r="E197" s="215" t="s">
        <v>7443</v>
      </c>
      <c r="F197" s="215" t="s">
        <v>7467</v>
      </c>
      <c r="G197" s="215" t="s">
        <v>6906</v>
      </c>
      <c r="H197" s="215" t="s">
        <v>7654</v>
      </c>
      <c r="I197" s="215" t="s">
        <v>7657</v>
      </c>
      <c r="J197" s="214"/>
      <c r="L197" s="215" t="s">
        <v>7659</v>
      </c>
      <c r="M197" s="216">
        <v>0.70833333333333326</v>
      </c>
      <c r="N197" s="215" t="s">
        <v>7477</v>
      </c>
      <c r="O197" s="215" t="s">
        <v>7478</v>
      </c>
      <c r="Q197" s="215">
        <v>16440</v>
      </c>
      <c r="R197" s="215" t="s">
        <v>7463</v>
      </c>
      <c r="S197" s="215">
        <f>IFERROR(VLOOKUP(E197,'VALORES VIAJES'!$A$2:$B$13,2,FALSE),"")</f>
        <v>210000</v>
      </c>
      <c r="T197" s="215" t="str">
        <f>IFERROR(VLOOKUP(H197,'VALORES VIAJES'!$A$2:$B$24,2,FALSE),"")</f>
        <v/>
      </c>
      <c r="U197" s="215" t="str">
        <f>IFERROR(VLOOKUP(I197,'VALORES VIAJES'!$A$2:$B$24,2,FALSE),"")</f>
        <v/>
      </c>
      <c r="V197" s="215" t="str">
        <f>IFERROR(VLOOKUP(K197,'VALORES VIAJES'!$A$2:$B$24,2,FALSE),"")</f>
        <v/>
      </c>
      <c r="X197" s="208">
        <f>SUM(Hoja1[[#This Row],[$ X TIP VEHICUL]:[AGREGADO]])</f>
        <v>210000</v>
      </c>
    </row>
    <row r="198" spans="1:24" s="215" customFormat="1" x14ac:dyDescent="0.25">
      <c r="A198" s="213">
        <v>197</v>
      </c>
      <c r="B198" s="214">
        <v>45376</v>
      </c>
      <c r="C198" s="215" t="s">
        <v>7461</v>
      </c>
      <c r="D198" s="215" t="s">
        <v>7475</v>
      </c>
      <c r="E198" s="215" t="s">
        <v>7443</v>
      </c>
      <c r="F198" s="215" t="s">
        <v>6954</v>
      </c>
      <c r="G198" s="215" t="s">
        <v>7530</v>
      </c>
      <c r="J198" s="214"/>
      <c r="L198" s="215" t="s">
        <v>7660</v>
      </c>
      <c r="M198" s="216">
        <v>0.33333333333333326</v>
      </c>
      <c r="N198" s="215" t="s">
        <v>7504</v>
      </c>
      <c r="O198" s="215" t="s">
        <v>7505</v>
      </c>
      <c r="Q198" s="215">
        <v>18334</v>
      </c>
      <c r="R198" s="215">
        <v>50849</v>
      </c>
      <c r="S198" s="215">
        <f>IFERROR(VLOOKUP(E198,'VALORES VIAJES'!$A$2:$B$13,2,FALSE),"")</f>
        <v>210000</v>
      </c>
      <c r="T198" s="215" t="str">
        <f>IFERROR(VLOOKUP(H198,'VALORES VIAJES'!$A$2:$B$24,2,FALSE),"")</f>
        <v/>
      </c>
      <c r="U198" s="215" t="str">
        <f>IFERROR(VLOOKUP(I198,'VALORES VIAJES'!$A$2:$B$24,2,FALSE),"")</f>
        <v/>
      </c>
      <c r="V198" s="215" t="str">
        <f>IFERROR(VLOOKUP(K198,'VALORES VIAJES'!$A$2:$B$24,2,FALSE),"")</f>
        <v/>
      </c>
      <c r="X198" s="208">
        <f>SUM(Hoja1[[#This Row],[$ X TIP VEHICUL]:[AGREGADO]])</f>
        <v>210000</v>
      </c>
    </row>
    <row r="199" spans="1:24" s="215" customFormat="1" x14ac:dyDescent="0.25">
      <c r="A199" s="213">
        <v>198</v>
      </c>
      <c r="B199" s="214">
        <v>45376</v>
      </c>
      <c r="C199" s="215" t="s">
        <v>7466</v>
      </c>
      <c r="D199" s="215" t="s">
        <v>7475</v>
      </c>
      <c r="E199" s="215" t="s">
        <v>7443</v>
      </c>
      <c r="F199" s="215" t="s">
        <v>7467</v>
      </c>
      <c r="G199" s="215" t="s">
        <v>6954</v>
      </c>
      <c r="J199" s="214"/>
      <c r="L199" s="215" t="s">
        <v>7661</v>
      </c>
      <c r="M199" s="216">
        <v>0.41666666666666674</v>
      </c>
      <c r="N199" s="215" t="s">
        <v>7480</v>
      </c>
      <c r="O199" s="215" t="s">
        <v>7465</v>
      </c>
      <c r="Q199" s="215">
        <v>16814</v>
      </c>
      <c r="R199" s="215" t="s">
        <v>7463</v>
      </c>
      <c r="S199" s="215">
        <f>IFERROR(VLOOKUP(E199,'VALORES VIAJES'!$A$2:$B$13,2,FALSE),"")</f>
        <v>210000</v>
      </c>
      <c r="T199" s="215" t="str">
        <f>IFERROR(VLOOKUP(H199,'VALORES VIAJES'!$A$2:$B$24,2,FALSE),"")</f>
        <v/>
      </c>
      <c r="U199" s="215" t="str">
        <f>IFERROR(VLOOKUP(I199,'VALORES VIAJES'!$A$2:$B$24,2,FALSE),"")</f>
        <v/>
      </c>
      <c r="V199" s="215" t="str">
        <f>IFERROR(VLOOKUP(K199,'VALORES VIAJES'!$A$2:$B$24,2,FALSE),"")</f>
        <v/>
      </c>
      <c r="X199" s="208">
        <f>SUM(Hoja1[[#This Row],[$ X TIP VEHICUL]:[AGREGADO]])</f>
        <v>210000</v>
      </c>
    </row>
    <row r="200" spans="1:24" s="219" customFormat="1" ht="15.75" thickBot="1" x14ac:dyDescent="0.3">
      <c r="A200" s="217">
        <v>199</v>
      </c>
      <c r="B200" s="218">
        <v>45376</v>
      </c>
      <c r="C200" s="219" t="s">
        <v>7466</v>
      </c>
      <c r="D200" s="219" t="s">
        <v>7475</v>
      </c>
      <c r="E200" s="219" t="s">
        <v>7443</v>
      </c>
      <c r="F200" s="219" t="s">
        <v>7467</v>
      </c>
      <c r="G200" s="219" t="s">
        <v>6954</v>
      </c>
      <c r="J200" s="218"/>
      <c r="L200" s="219" t="s">
        <v>7662</v>
      </c>
      <c r="M200" s="220">
        <v>0.45833333333333326</v>
      </c>
      <c r="N200" s="219" t="s">
        <v>7477</v>
      </c>
      <c r="O200" s="219" t="s">
        <v>7478</v>
      </c>
      <c r="Q200" s="219">
        <v>16814</v>
      </c>
      <c r="R200" s="219" t="s">
        <v>7463</v>
      </c>
      <c r="S200" s="219">
        <f>IFERROR(VLOOKUP(E200,'VALORES VIAJES'!$A$2:$B$13,2,FALSE),"")</f>
        <v>210000</v>
      </c>
      <c r="T200" s="219" t="str">
        <f>IFERROR(VLOOKUP(H200,'VALORES VIAJES'!$A$2:$B$24,2,FALSE),"")</f>
        <v/>
      </c>
      <c r="U200" s="219" t="str">
        <f>IFERROR(VLOOKUP(I200,'VALORES VIAJES'!$A$2:$B$24,2,FALSE),"")</f>
        <v/>
      </c>
      <c r="V200" s="219" t="str">
        <f>IFERROR(VLOOKUP(K200,'VALORES VIAJES'!$A$2:$B$24,2,FALSE),"")</f>
        <v/>
      </c>
      <c r="X200" s="221">
        <f>SUM(Hoja1[[#This Row],[$ X TIP VEHICUL]:[AGREGADO]])</f>
        <v>210000</v>
      </c>
    </row>
    <row r="201" spans="1:24" ht="15.75" hidden="1" thickBot="1" x14ac:dyDescent="0.3">
      <c r="A201">
        <v>200</v>
      </c>
      <c r="B201" s="189">
        <v>45376</v>
      </c>
      <c r="C201" t="s">
        <v>7462</v>
      </c>
      <c r="D201" t="s">
        <v>7509</v>
      </c>
      <c r="E201" t="s">
        <v>7442</v>
      </c>
      <c r="F201" t="s">
        <v>7462</v>
      </c>
      <c r="G201" t="s">
        <v>7509</v>
      </c>
      <c r="J201" s="189"/>
      <c r="L201" t="s">
        <v>7463</v>
      </c>
      <c r="M201" s="205">
        <v>0.29166666666666674</v>
      </c>
      <c r="N201" t="s">
        <v>7641</v>
      </c>
      <c r="O201" t="s">
        <v>7494</v>
      </c>
      <c r="S201">
        <f>IFERROR(VLOOKUP(E201,'VALORES VIAJES'!$A$2:$B$13,2,FALSE),"")</f>
        <v>160000</v>
      </c>
      <c r="T201" t="str">
        <f>IFERROR(VLOOKUP(H201,'VALORES VIAJES'!$A$2:$B$24,2,FALSE),"")</f>
        <v/>
      </c>
      <c r="U201" t="str">
        <f>IFERROR(VLOOKUP(I201,'VALORES VIAJES'!$A$2:$B$24,2,FALSE),"")</f>
        <v/>
      </c>
      <c r="V201" t="str">
        <f>IFERROR(VLOOKUP(K201,'VALORES VIAJES'!$A$2:$B$24,2,FALSE),"")</f>
        <v/>
      </c>
      <c r="X201" s="208">
        <f>SUM(Hoja1[[#This Row],[$ X TIP VEHICUL]:[AGREGADO]])</f>
        <v>160000</v>
      </c>
    </row>
    <row r="202" spans="1:24" ht="15.75" hidden="1" thickBot="1" x14ac:dyDescent="0.3">
      <c r="A202">
        <v>201</v>
      </c>
      <c r="B202" s="189">
        <v>45377</v>
      </c>
      <c r="C202" t="s">
        <v>7481</v>
      </c>
      <c r="D202" t="s">
        <v>7481</v>
      </c>
      <c r="E202" t="s">
        <v>7441</v>
      </c>
      <c r="F202" t="s">
        <v>7485</v>
      </c>
      <c r="G202" t="s">
        <v>7482</v>
      </c>
      <c r="J202" s="189"/>
      <c r="L202" t="s">
        <v>7463</v>
      </c>
      <c r="M202" s="205">
        <v>0.25</v>
      </c>
      <c r="N202" t="s">
        <v>7504</v>
      </c>
      <c r="O202" t="s">
        <v>7505</v>
      </c>
      <c r="Q202">
        <v>11927</v>
      </c>
      <c r="R202">
        <v>141</v>
      </c>
      <c r="S202">
        <f>IFERROR(VLOOKUP(E202,'VALORES VIAJES'!$A$2:$B$13,2,FALSE),"")</f>
        <v>210000</v>
      </c>
      <c r="T202" t="str">
        <f>IFERROR(VLOOKUP(H202,'VALORES VIAJES'!$A$2:$B$24,2,FALSE),"")</f>
        <v/>
      </c>
      <c r="U202" t="str">
        <f>IFERROR(VLOOKUP(I202,'VALORES VIAJES'!$A$2:$B$24,2,FALSE),"")</f>
        <v/>
      </c>
      <c r="V202" t="str">
        <f>IFERROR(VLOOKUP(K202,'VALORES VIAJES'!$A$2:$B$24,2,FALSE),"")</f>
        <v/>
      </c>
      <c r="X202" s="208">
        <f>SUM(Hoja1[[#This Row],[$ X TIP VEHICUL]:[AGREGADO]])</f>
        <v>210000</v>
      </c>
    </row>
    <row r="203" spans="1:24" s="211" customFormat="1" x14ac:dyDescent="0.25">
      <c r="A203" s="209">
        <v>202</v>
      </c>
      <c r="B203" s="210">
        <v>45377</v>
      </c>
      <c r="C203" s="211" t="s">
        <v>7466</v>
      </c>
      <c r="D203" s="211" t="s">
        <v>6883</v>
      </c>
      <c r="E203" s="211" t="s">
        <v>7443</v>
      </c>
      <c r="F203" s="211" t="s">
        <v>6945</v>
      </c>
      <c r="G203" s="211" t="s">
        <v>6954</v>
      </c>
      <c r="J203" s="210"/>
      <c r="L203" s="211" t="s">
        <v>7663</v>
      </c>
      <c r="M203" s="212">
        <v>0.54166666666666674</v>
      </c>
      <c r="N203" s="211" t="s">
        <v>7469</v>
      </c>
      <c r="O203" s="211" t="s">
        <v>7470</v>
      </c>
      <c r="Q203" s="211">
        <v>23454</v>
      </c>
      <c r="R203" s="211" t="s">
        <v>7463</v>
      </c>
      <c r="S203" s="211">
        <f>IFERROR(VLOOKUP(E203,'VALORES VIAJES'!$A$2:$B$13,2,FALSE),"")</f>
        <v>210000</v>
      </c>
      <c r="T203" s="211" t="str">
        <f>IFERROR(VLOOKUP(H203,'VALORES VIAJES'!$A$2:$B$24,2,FALSE),"")</f>
        <v/>
      </c>
      <c r="U203" s="211" t="str">
        <f>IFERROR(VLOOKUP(I203,'VALORES VIAJES'!$A$2:$B$24,2,FALSE),"")</f>
        <v/>
      </c>
      <c r="V203" s="211" t="str">
        <f>IFERROR(VLOOKUP(K203,'VALORES VIAJES'!$A$2:$B$24,2,FALSE),"")</f>
        <v/>
      </c>
      <c r="X203" s="207">
        <f>SUM(Hoja1[[#This Row],[$ X TIP VEHICUL]:[AGREGADO]])</f>
        <v>210000</v>
      </c>
    </row>
    <row r="204" spans="1:24" s="215" customFormat="1" x14ac:dyDescent="0.25">
      <c r="A204" s="213">
        <v>203</v>
      </c>
      <c r="B204" s="214">
        <v>45377</v>
      </c>
      <c r="C204" s="215" t="s">
        <v>7466</v>
      </c>
      <c r="D204" s="215" t="s">
        <v>6883</v>
      </c>
      <c r="E204" s="215" t="s">
        <v>7443</v>
      </c>
      <c r="F204" s="215" t="s">
        <v>6945</v>
      </c>
      <c r="G204" s="215" t="s">
        <v>6954</v>
      </c>
      <c r="J204" s="214"/>
      <c r="L204" s="215" t="s">
        <v>7664</v>
      </c>
      <c r="M204" s="216">
        <v>0.54166666666666674</v>
      </c>
      <c r="N204" s="215" t="s">
        <v>7477</v>
      </c>
      <c r="O204" s="215" t="s">
        <v>7478</v>
      </c>
      <c r="Q204" s="215">
        <v>23454</v>
      </c>
      <c r="R204" s="215" t="s">
        <v>7463</v>
      </c>
      <c r="S204" s="215">
        <f>IFERROR(VLOOKUP(E204,'VALORES VIAJES'!$A$2:$B$13,2,FALSE),"")</f>
        <v>210000</v>
      </c>
      <c r="T204" s="215" t="str">
        <f>IFERROR(VLOOKUP(H204,'VALORES VIAJES'!$A$2:$B$24,2,FALSE),"")</f>
        <v/>
      </c>
      <c r="U204" s="215" t="str">
        <f>IFERROR(VLOOKUP(I204,'VALORES VIAJES'!$A$2:$B$24,2,FALSE),"")</f>
        <v/>
      </c>
      <c r="V204" s="215" t="str">
        <f>IFERROR(VLOOKUP(K204,'VALORES VIAJES'!$A$2:$B$24,2,FALSE),"")</f>
        <v/>
      </c>
      <c r="X204" s="208">
        <f>SUM(Hoja1[[#This Row],[$ X TIP VEHICUL]:[AGREGADO]])</f>
        <v>210000</v>
      </c>
    </row>
    <row r="205" spans="1:24" s="215" customFormat="1" x14ac:dyDescent="0.25">
      <c r="A205" s="213">
        <v>204</v>
      </c>
      <c r="B205" s="214">
        <v>45377</v>
      </c>
      <c r="C205" s="215" t="s">
        <v>7497</v>
      </c>
      <c r="D205" s="215" t="s">
        <v>6883</v>
      </c>
      <c r="E205" s="215" t="s">
        <v>7443</v>
      </c>
      <c r="F205" s="215" t="s">
        <v>6954</v>
      </c>
      <c r="G205" s="215" t="s">
        <v>7626</v>
      </c>
      <c r="J205" s="214"/>
      <c r="L205" s="215" t="s">
        <v>7665</v>
      </c>
      <c r="M205" s="216">
        <v>0.625</v>
      </c>
      <c r="N205" s="215" t="s">
        <v>7469</v>
      </c>
      <c r="O205" s="215" t="s">
        <v>7470</v>
      </c>
      <c r="Q205" s="215">
        <v>18194</v>
      </c>
      <c r="R205" s="215" t="s">
        <v>7463</v>
      </c>
      <c r="S205" s="215">
        <f>IFERROR(VLOOKUP(E205,'VALORES VIAJES'!$A$2:$B$13,2,FALSE),"")</f>
        <v>210000</v>
      </c>
      <c r="T205" s="215" t="str">
        <f>IFERROR(VLOOKUP(H205,'VALORES VIAJES'!$A$2:$B$24,2,FALSE),"")</f>
        <v/>
      </c>
      <c r="U205" s="215" t="str">
        <f>IFERROR(VLOOKUP(I205,'VALORES VIAJES'!$A$2:$B$24,2,FALSE),"")</f>
        <v/>
      </c>
      <c r="V205" s="215" t="str">
        <f>IFERROR(VLOOKUP(K205,'VALORES VIAJES'!$A$2:$B$24,2,FALSE),"")</f>
        <v/>
      </c>
      <c r="X205" s="208">
        <f>SUM(Hoja1[[#This Row],[$ X TIP VEHICUL]:[AGREGADO]])</f>
        <v>210000</v>
      </c>
    </row>
    <row r="206" spans="1:24" s="215" customFormat="1" x14ac:dyDescent="0.25">
      <c r="A206" s="213">
        <v>205</v>
      </c>
      <c r="B206" s="214">
        <v>45377</v>
      </c>
      <c r="C206" s="215" t="s">
        <v>7497</v>
      </c>
      <c r="D206" s="215" t="s">
        <v>6883</v>
      </c>
      <c r="E206" s="215" t="s">
        <v>7443</v>
      </c>
      <c r="F206" s="215" t="s">
        <v>6954</v>
      </c>
      <c r="G206" s="215" t="s">
        <v>7626</v>
      </c>
      <c r="J206" s="214"/>
      <c r="L206" s="215" t="s">
        <v>7666</v>
      </c>
      <c r="M206" s="216">
        <v>0.625</v>
      </c>
      <c r="N206" s="215" t="s">
        <v>7477</v>
      </c>
      <c r="O206" s="215" t="s">
        <v>7478</v>
      </c>
      <c r="Q206" s="215">
        <v>18194</v>
      </c>
      <c r="R206" s="215" t="s">
        <v>7463</v>
      </c>
      <c r="S206" s="215">
        <f>IFERROR(VLOOKUP(E206,'VALORES VIAJES'!$A$2:$B$13,2,FALSE),"")</f>
        <v>210000</v>
      </c>
      <c r="T206" s="215" t="str">
        <f>IFERROR(VLOOKUP(H206,'VALORES VIAJES'!$A$2:$B$24,2,FALSE),"")</f>
        <v/>
      </c>
      <c r="U206" s="215" t="str">
        <f>IFERROR(VLOOKUP(I206,'VALORES VIAJES'!$A$2:$B$24,2,FALSE),"")</f>
        <v/>
      </c>
      <c r="V206" s="215" t="str">
        <f>IFERROR(VLOOKUP(K206,'VALORES VIAJES'!$A$2:$B$24,2,FALSE),"")</f>
        <v/>
      </c>
      <c r="X206" s="208">
        <f>SUM(Hoja1[[#This Row],[$ X TIP VEHICUL]:[AGREGADO]])</f>
        <v>210000</v>
      </c>
    </row>
    <row r="207" spans="1:24" s="219" customFormat="1" ht="15.75" thickBot="1" x14ac:dyDescent="0.3">
      <c r="A207" s="217">
        <v>206</v>
      </c>
      <c r="B207" s="218">
        <v>45377</v>
      </c>
      <c r="C207" s="219" t="s">
        <v>7461</v>
      </c>
      <c r="D207" s="219" t="s">
        <v>3627</v>
      </c>
      <c r="E207" s="219" t="s">
        <v>7443</v>
      </c>
      <c r="F207" s="219" t="s">
        <v>7467</v>
      </c>
      <c r="G207" s="219" t="s">
        <v>3627</v>
      </c>
      <c r="I207" s="219" t="s">
        <v>7434</v>
      </c>
      <c r="J207" s="218"/>
      <c r="L207" s="219" t="s">
        <v>7667</v>
      </c>
      <c r="M207" s="220">
        <v>0.41666666666666674</v>
      </c>
      <c r="N207" s="219" t="s">
        <v>7464</v>
      </c>
      <c r="O207" s="219" t="s">
        <v>7656</v>
      </c>
      <c r="Q207" s="219">
        <v>16627</v>
      </c>
      <c r="R207" s="219">
        <v>51413</v>
      </c>
      <c r="S207" s="219">
        <f>IFERROR(VLOOKUP(E207,'VALORES VIAJES'!$A$2:$B$13,2,FALSE),"")</f>
        <v>210000</v>
      </c>
      <c r="T207" s="219" t="str">
        <f>IFERROR(VLOOKUP(H207,'VALORES VIAJES'!$A$2:$B$24,2,FALSE),"")</f>
        <v/>
      </c>
      <c r="U207" s="219">
        <f>IFERROR(VLOOKUP(I207,'VALORES VIAJES'!$A$2:$B$24,2,FALSE),"")</f>
        <v>105000</v>
      </c>
      <c r="V207" s="219" t="str">
        <f>IFERROR(VLOOKUP(K207,'VALORES VIAJES'!$A$2:$B$24,2,FALSE),"")</f>
        <v/>
      </c>
      <c r="X207" s="221">
        <f>SUM(Hoja1[[#This Row],[$ X TIP VEHICUL]:[AGREGADO]])</f>
        <v>315000</v>
      </c>
    </row>
    <row r="208" spans="1:24" ht="15.75" hidden="1" thickBot="1" x14ac:dyDescent="0.3">
      <c r="A208">
        <v>207</v>
      </c>
      <c r="B208" s="189">
        <v>45377</v>
      </c>
      <c r="C208" t="s">
        <v>7462</v>
      </c>
      <c r="D208" t="s">
        <v>7509</v>
      </c>
      <c r="E208" t="s">
        <v>7442</v>
      </c>
      <c r="F208" t="s">
        <v>7462</v>
      </c>
      <c r="G208" t="s">
        <v>7509</v>
      </c>
      <c r="J208" s="189"/>
      <c r="L208" t="s">
        <v>7463</v>
      </c>
      <c r="M208" s="205">
        <v>0.29166666666666674</v>
      </c>
      <c r="N208" t="s">
        <v>7641</v>
      </c>
      <c r="O208" t="s">
        <v>7494</v>
      </c>
      <c r="S208">
        <f>IFERROR(VLOOKUP(E208,'VALORES VIAJES'!$A$2:$B$13,2,FALSE),"")</f>
        <v>160000</v>
      </c>
      <c r="T208" t="str">
        <f>IFERROR(VLOOKUP(H208,'VALORES VIAJES'!$A$2:$B$24,2,FALSE),"")</f>
        <v/>
      </c>
      <c r="U208" t="str">
        <f>IFERROR(VLOOKUP(I208,'VALORES VIAJES'!$A$2:$B$24,2,FALSE),"")</f>
        <v/>
      </c>
      <c r="V208" t="str">
        <f>IFERROR(VLOOKUP(K208,'VALORES VIAJES'!$A$2:$B$24,2,FALSE),"")</f>
        <v/>
      </c>
      <c r="X208" s="208">
        <f>SUM(Hoja1[[#This Row],[$ X TIP VEHICUL]:[AGREGADO]])</f>
        <v>160000</v>
      </c>
    </row>
    <row r="209" spans="1:24" ht="15.75" hidden="1" thickBot="1" x14ac:dyDescent="0.3">
      <c r="A209">
        <v>208</v>
      </c>
      <c r="B209" s="189">
        <v>45377</v>
      </c>
      <c r="C209" t="s">
        <v>7462</v>
      </c>
      <c r="D209" t="s">
        <v>7668</v>
      </c>
      <c r="E209" t="s">
        <v>7442</v>
      </c>
      <c r="F209" t="s">
        <v>7462</v>
      </c>
      <c r="G209" t="s">
        <v>6888</v>
      </c>
      <c r="J209" s="189"/>
      <c r="L209" t="s">
        <v>7463</v>
      </c>
      <c r="M209" s="205">
        <v>0.5</v>
      </c>
      <c r="N209" t="s">
        <v>7641</v>
      </c>
      <c r="O209" t="s">
        <v>7494</v>
      </c>
      <c r="S209">
        <f>IFERROR(VLOOKUP(E209,'VALORES VIAJES'!$A$2:$B$13,2,FALSE),"")</f>
        <v>160000</v>
      </c>
      <c r="T209" t="str">
        <f>IFERROR(VLOOKUP(H209,'VALORES VIAJES'!$A$2:$B$24,2,FALSE),"")</f>
        <v/>
      </c>
      <c r="U209" t="str">
        <f>IFERROR(VLOOKUP(I209,'VALORES VIAJES'!$A$2:$B$24,2,FALSE),"")</f>
        <v/>
      </c>
      <c r="V209" t="str">
        <f>IFERROR(VLOOKUP(K209,'VALORES VIAJES'!$A$2:$B$24,2,FALSE),"")</f>
        <v/>
      </c>
      <c r="X209" s="208">
        <f>SUM(Hoja1[[#This Row],[$ X TIP VEHICUL]:[AGREGADO]])</f>
        <v>160000</v>
      </c>
    </row>
    <row r="210" spans="1:24" ht="15.75" hidden="1" thickBot="1" x14ac:dyDescent="0.3">
      <c r="A210">
        <v>209</v>
      </c>
      <c r="B210" s="189">
        <v>45378</v>
      </c>
      <c r="C210" t="s">
        <v>7481</v>
      </c>
      <c r="D210" t="s">
        <v>7481</v>
      </c>
      <c r="E210" t="s">
        <v>7442</v>
      </c>
      <c r="F210" t="s">
        <v>7669</v>
      </c>
      <c r="G210" t="s">
        <v>7482</v>
      </c>
      <c r="H210" t="s">
        <v>7654</v>
      </c>
      <c r="J210" s="189"/>
      <c r="L210" t="s">
        <v>7463</v>
      </c>
      <c r="M210" s="205">
        <v>0.66666666666666674</v>
      </c>
      <c r="N210" t="s">
        <v>7641</v>
      </c>
      <c r="O210" t="s">
        <v>7494</v>
      </c>
      <c r="Q210">
        <v>6350</v>
      </c>
      <c r="R210">
        <v>18470</v>
      </c>
      <c r="S210">
        <f>IFERROR(VLOOKUP(E210,'VALORES VIAJES'!$A$2:$B$13,2,FALSE),"")</f>
        <v>160000</v>
      </c>
      <c r="T210" t="str">
        <f>IFERROR(VLOOKUP(H210,'VALORES VIAJES'!$A$2:$B$24,2,FALSE),"")</f>
        <v/>
      </c>
      <c r="U210" t="str">
        <f>IFERROR(VLOOKUP(I210,'VALORES VIAJES'!$A$2:$B$24,2,FALSE),"")</f>
        <v/>
      </c>
      <c r="V210" t="str">
        <f>IFERROR(VLOOKUP(K210,'VALORES VIAJES'!$A$2:$B$24,2,FALSE),"")</f>
        <v/>
      </c>
      <c r="X210" s="208">
        <f>SUM(Hoja1[[#This Row],[$ X TIP VEHICUL]:[AGREGADO]])</f>
        <v>160000</v>
      </c>
    </row>
    <row r="211" spans="1:24" ht="15.75" hidden="1" thickBot="1" x14ac:dyDescent="0.3">
      <c r="A211">
        <v>210</v>
      </c>
      <c r="B211" s="189">
        <v>45378</v>
      </c>
      <c r="C211" t="s">
        <v>7481</v>
      </c>
      <c r="D211" t="s">
        <v>7481</v>
      </c>
      <c r="E211" t="s">
        <v>7443</v>
      </c>
      <c r="F211" t="s">
        <v>6945</v>
      </c>
      <c r="G211" t="s">
        <v>7482</v>
      </c>
      <c r="H211" t="s">
        <v>7654</v>
      </c>
      <c r="I211" t="s">
        <v>7657</v>
      </c>
      <c r="J211" s="189">
        <v>45410</v>
      </c>
      <c r="L211" t="s">
        <v>7670</v>
      </c>
      <c r="M211" s="205">
        <v>0.79166666666666674</v>
      </c>
      <c r="N211" t="s">
        <v>7464</v>
      </c>
      <c r="O211" t="s">
        <v>7656</v>
      </c>
      <c r="Q211">
        <v>29061</v>
      </c>
      <c r="R211">
        <v>18486</v>
      </c>
      <c r="S211">
        <f>IFERROR(VLOOKUP(E211,'VALORES VIAJES'!$A$2:$B$13,2,FALSE),"")</f>
        <v>210000</v>
      </c>
      <c r="T211" t="str">
        <f>IFERROR(VLOOKUP(H211,'VALORES VIAJES'!$A$2:$B$24,2,FALSE),"")</f>
        <v/>
      </c>
      <c r="U211" t="str">
        <f>IFERROR(VLOOKUP(I211,'VALORES VIAJES'!$A$2:$B$24,2,FALSE),"")</f>
        <v/>
      </c>
      <c r="V211" t="str">
        <f>IFERROR(VLOOKUP(K211,'VALORES VIAJES'!$A$2:$B$24,2,FALSE),"")</f>
        <v/>
      </c>
      <c r="X211" s="208">
        <f>SUM(Hoja1[[#This Row],[$ X TIP VEHICUL]:[AGREGADO]])</f>
        <v>210000</v>
      </c>
    </row>
    <row r="212" spans="1:24" ht="15.75" hidden="1" thickBot="1" x14ac:dyDescent="0.3">
      <c r="A212">
        <v>211</v>
      </c>
      <c r="B212" s="189">
        <v>45378</v>
      </c>
      <c r="C212" t="s">
        <v>7481</v>
      </c>
      <c r="D212" t="s">
        <v>7481</v>
      </c>
      <c r="E212" t="s">
        <v>7443</v>
      </c>
      <c r="F212" t="s">
        <v>6945</v>
      </c>
      <c r="G212" t="s">
        <v>7482</v>
      </c>
      <c r="H212" t="s">
        <v>7671</v>
      </c>
      <c r="I212" t="s">
        <v>7657</v>
      </c>
      <c r="J212" s="189">
        <v>45410</v>
      </c>
      <c r="L212" t="s">
        <v>7672</v>
      </c>
      <c r="M212" s="205">
        <v>0.29166666666666674</v>
      </c>
      <c r="N212" t="s">
        <v>7477</v>
      </c>
      <c r="O212" t="s">
        <v>7478</v>
      </c>
      <c r="Q212">
        <v>29061</v>
      </c>
      <c r="R212">
        <v>18483</v>
      </c>
      <c r="S212">
        <f>IFERROR(VLOOKUP(E212,'VALORES VIAJES'!$A$2:$B$13,2,FALSE),"")</f>
        <v>210000</v>
      </c>
      <c r="T212">
        <f>IFERROR(VLOOKUP(H212,'VALORES VIAJES'!$A$2:$B$24,2,FALSE),"")</f>
        <v>315000</v>
      </c>
      <c r="U212" t="str">
        <f>IFERROR(VLOOKUP(I212,'VALORES VIAJES'!$A$2:$B$24,2,FALSE),"")</f>
        <v/>
      </c>
      <c r="V212" t="str">
        <f>IFERROR(VLOOKUP(K212,'VALORES VIAJES'!$A$2:$B$24,2,FALSE),"")</f>
        <v/>
      </c>
      <c r="X212" s="208">
        <f>SUM(Hoja1[[#This Row],[$ X TIP VEHICUL]:[AGREGADO]])</f>
        <v>525000</v>
      </c>
    </row>
    <row r="213" spans="1:24" ht="15.75" hidden="1" thickBot="1" x14ac:dyDescent="0.3">
      <c r="A213">
        <v>212</v>
      </c>
      <c r="B213" s="189">
        <v>45378</v>
      </c>
      <c r="C213" t="s">
        <v>7481</v>
      </c>
      <c r="D213" t="s">
        <v>7481</v>
      </c>
      <c r="E213" t="s">
        <v>7443</v>
      </c>
      <c r="F213" t="s">
        <v>6945</v>
      </c>
      <c r="G213" t="s">
        <v>7482</v>
      </c>
      <c r="H213" t="s">
        <v>7673</v>
      </c>
      <c r="I213" t="s">
        <v>7657</v>
      </c>
      <c r="J213" s="189">
        <v>45386</v>
      </c>
      <c r="L213" t="s">
        <v>7674</v>
      </c>
      <c r="M213" s="205">
        <v>0.79166666666666674</v>
      </c>
      <c r="N213" t="s">
        <v>7469</v>
      </c>
      <c r="O213" t="s">
        <v>7470</v>
      </c>
      <c r="Q213">
        <v>29061</v>
      </c>
      <c r="R213">
        <v>18484</v>
      </c>
      <c r="S213">
        <f>IFERROR(VLOOKUP(E213,'VALORES VIAJES'!$A$2:$B$13,2,FALSE),"")</f>
        <v>210000</v>
      </c>
      <c r="T213">
        <f>IFERROR(VLOOKUP(H213,'VALORES VIAJES'!$A$2:$B$24,2,FALSE),"")</f>
        <v>420000</v>
      </c>
      <c r="U213" t="str">
        <f>IFERROR(VLOOKUP(I213,'VALORES VIAJES'!$A$2:$B$24,2,FALSE),"")</f>
        <v/>
      </c>
      <c r="V213" t="str">
        <f>IFERROR(VLOOKUP(K213,'VALORES VIAJES'!$A$2:$B$24,2,FALSE),"")</f>
        <v/>
      </c>
      <c r="X213" s="208">
        <f>SUM(Hoja1[[#This Row],[$ X TIP VEHICUL]:[AGREGADO]])</f>
        <v>630000</v>
      </c>
    </row>
    <row r="214" spans="1:24" ht="15.75" hidden="1" thickBot="1" x14ac:dyDescent="0.3">
      <c r="A214">
        <v>213</v>
      </c>
      <c r="B214" s="189">
        <v>45378</v>
      </c>
      <c r="C214" t="s">
        <v>7481</v>
      </c>
      <c r="D214" t="s">
        <v>7481</v>
      </c>
      <c r="E214" t="s">
        <v>7443</v>
      </c>
      <c r="F214" t="s">
        <v>6945</v>
      </c>
      <c r="G214" t="s">
        <v>7482</v>
      </c>
      <c r="H214" t="s">
        <v>7673</v>
      </c>
      <c r="I214" t="s">
        <v>7657</v>
      </c>
      <c r="J214" s="189">
        <v>45386</v>
      </c>
      <c r="L214" t="s">
        <v>7675</v>
      </c>
      <c r="M214" s="205">
        <v>0.79166666666666674</v>
      </c>
      <c r="N214" t="s">
        <v>7504</v>
      </c>
      <c r="O214" t="s">
        <v>7505</v>
      </c>
      <c r="Q214">
        <v>29061</v>
      </c>
      <c r="R214">
        <v>18485</v>
      </c>
      <c r="S214">
        <f>IFERROR(VLOOKUP(E214,'VALORES VIAJES'!$A$2:$B$13,2,FALSE),"")</f>
        <v>210000</v>
      </c>
      <c r="T214">
        <f>IFERROR(VLOOKUP(H214,'VALORES VIAJES'!$A$2:$B$24,2,FALSE),"")</f>
        <v>420000</v>
      </c>
      <c r="U214" t="str">
        <f>IFERROR(VLOOKUP(I214,'VALORES VIAJES'!$A$2:$B$24,2,FALSE),"")</f>
        <v/>
      </c>
      <c r="V214" t="str">
        <f>IFERROR(VLOOKUP(K214,'VALORES VIAJES'!$A$2:$B$24,2,FALSE),"")</f>
        <v/>
      </c>
      <c r="X214" s="208">
        <f>SUM(Hoja1[[#This Row],[$ X TIP VEHICUL]:[AGREGADO]])</f>
        <v>630000</v>
      </c>
    </row>
    <row r="215" spans="1:24" s="211" customFormat="1" x14ac:dyDescent="0.25">
      <c r="A215" s="209">
        <v>214</v>
      </c>
      <c r="B215" s="210">
        <v>45378</v>
      </c>
      <c r="C215" s="211" t="s">
        <v>7461</v>
      </c>
      <c r="D215" s="211" t="s">
        <v>7540</v>
      </c>
      <c r="E215" s="211" t="s">
        <v>7441</v>
      </c>
      <c r="F215" s="211" t="s">
        <v>6954</v>
      </c>
      <c r="G215" s="211" t="s">
        <v>7540</v>
      </c>
      <c r="J215" s="210"/>
      <c r="L215" s="211" t="s">
        <v>7463</v>
      </c>
      <c r="M215" s="212">
        <v>0.33333333333333326</v>
      </c>
      <c r="N215" s="211" t="s">
        <v>7480</v>
      </c>
      <c r="O215" s="211" t="s">
        <v>7465</v>
      </c>
      <c r="Q215" s="211">
        <v>5782</v>
      </c>
      <c r="R215" s="211">
        <v>50624</v>
      </c>
      <c r="S215" s="211">
        <f>IFERROR(VLOOKUP(E215,'VALORES VIAJES'!$A$2:$B$13,2,FALSE),"")</f>
        <v>210000</v>
      </c>
      <c r="T215" s="211" t="str">
        <f>IFERROR(VLOOKUP(H215,'VALORES VIAJES'!$A$2:$B$24,2,FALSE),"")</f>
        <v/>
      </c>
      <c r="U215" s="211" t="str">
        <f>IFERROR(VLOOKUP(I215,'VALORES VIAJES'!$A$2:$B$24,2,FALSE),"")</f>
        <v/>
      </c>
      <c r="V215" s="211" t="str">
        <f>IFERROR(VLOOKUP(K215,'VALORES VIAJES'!$A$2:$B$24,2,FALSE),"")</f>
        <v/>
      </c>
      <c r="X215" s="207">
        <f>SUM(Hoja1[[#This Row],[$ X TIP VEHICUL]:[AGREGADO]])</f>
        <v>210000</v>
      </c>
    </row>
    <row r="216" spans="1:24" s="215" customFormat="1" x14ac:dyDescent="0.25">
      <c r="A216" s="213">
        <v>215</v>
      </c>
      <c r="B216" s="214">
        <v>45378</v>
      </c>
      <c r="C216" s="215" t="s">
        <v>7461</v>
      </c>
      <c r="D216" s="215" t="s">
        <v>6883</v>
      </c>
      <c r="E216" s="215" t="s">
        <v>7441</v>
      </c>
      <c r="F216" s="215" t="s">
        <v>6954</v>
      </c>
      <c r="G216" s="215" t="s">
        <v>6883</v>
      </c>
      <c r="H216" s="215" t="s">
        <v>7654</v>
      </c>
      <c r="J216" s="214"/>
      <c r="L216" s="215" t="s">
        <v>7463</v>
      </c>
      <c r="M216" s="216">
        <v>0.58333333333333326</v>
      </c>
      <c r="N216" s="215" t="s">
        <v>7480</v>
      </c>
      <c r="O216" s="215" t="s">
        <v>7465</v>
      </c>
      <c r="Q216" s="215">
        <v>14334</v>
      </c>
      <c r="R216" s="215">
        <v>50628</v>
      </c>
      <c r="S216" s="215">
        <f>IFERROR(VLOOKUP(E216,'VALORES VIAJES'!$A$2:$B$13,2,FALSE),"")</f>
        <v>210000</v>
      </c>
      <c r="T216" s="215" t="str">
        <f>IFERROR(VLOOKUP(H216,'VALORES VIAJES'!$A$2:$B$24,2,FALSE),"")</f>
        <v/>
      </c>
      <c r="U216" s="215" t="str">
        <f>IFERROR(VLOOKUP(I216,'VALORES VIAJES'!$A$2:$B$24,2,FALSE),"")</f>
        <v/>
      </c>
      <c r="V216" s="215" t="str">
        <f>IFERROR(VLOOKUP(K216,'VALORES VIAJES'!$A$2:$B$24,2,FALSE),"")</f>
        <v/>
      </c>
      <c r="X216" s="208">
        <f>SUM(Hoja1[[#This Row],[$ X TIP VEHICUL]:[AGREGADO]])</f>
        <v>210000</v>
      </c>
    </row>
    <row r="217" spans="1:24" s="215" customFormat="1" x14ac:dyDescent="0.25">
      <c r="A217" s="213">
        <v>216</v>
      </c>
      <c r="B217" s="214">
        <v>45378</v>
      </c>
      <c r="C217" s="215" t="s">
        <v>7466</v>
      </c>
      <c r="D217" s="215" t="s">
        <v>7676</v>
      </c>
      <c r="E217" s="215" t="s">
        <v>7443</v>
      </c>
      <c r="F217" s="215" t="s">
        <v>7484</v>
      </c>
      <c r="G217" s="215" t="s">
        <v>6954</v>
      </c>
      <c r="J217" s="214"/>
      <c r="L217" s="215" t="s">
        <v>7677</v>
      </c>
      <c r="M217" s="216">
        <v>0.41666666666666674</v>
      </c>
      <c r="N217" s="215" t="s">
        <v>7464</v>
      </c>
      <c r="O217" s="215" t="s">
        <v>7656</v>
      </c>
      <c r="Q217" s="215">
        <v>16814</v>
      </c>
      <c r="R217" s="215" t="s">
        <v>7678</v>
      </c>
      <c r="S217" s="215">
        <f>IFERROR(VLOOKUP(E217,'VALORES VIAJES'!$A$2:$B$13,2,FALSE),"")</f>
        <v>210000</v>
      </c>
      <c r="T217" s="215" t="str">
        <f>IFERROR(VLOOKUP(H217,'VALORES VIAJES'!$A$2:$B$24,2,FALSE),"")</f>
        <v/>
      </c>
      <c r="U217" s="215" t="str">
        <f>IFERROR(VLOOKUP(I217,'VALORES VIAJES'!$A$2:$B$24,2,FALSE),"")</f>
        <v/>
      </c>
      <c r="V217" s="215" t="str">
        <f>IFERROR(VLOOKUP(K217,'VALORES VIAJES'!$A$2:$B$24,2,FALSE),"")</f>
        <v/>
      </c>
      <c r="X217" s="208">
        <f>SUM(Hoja1[[#This Row],[$ X TIP VEHICUL]:[AGREGADO]])</f>
        <v>210000</v>
      </c>
    </row>
    <row r="218" spans="1:24" s="215" customFormat="1" x14ac:dyDescent="0.25">
      <c r="A218" s="213">
        <v>217</v>
      </c>
      <c r="B218" s="214">
        <v>45378</v>
      </c>
      <c r="C218" s="215" t="s">
        <v>7466</v>
      </c>
      <c r="D218" s="215" t="s">
        <v>6907</v>
      </c>
      <c r="E218" s="215" t="s">
        <v>7443</v>
      </c>
      <c r="F218" s="215" t="s">
        <v>7484</v>
      </c>
      <c r="G218" s="215" t="s">
        <v>6954</v>
      </c>
      <c r="J218" s="214"/>
      <c r="L218" s="215" t="s">
        <v>7679</v>
      </c>
      <c r="M218" s="216">
        <v>0.41666666666666674</v>
      </c>
      <c r="N218" s="215" t="s">
        <v>7469</v>
      </c>
      <c r="O218" s="215" t="s">
        <v>7470</v>
      </c>
      <c r="Q218" s="215">
        <v>16814</v>
      </c>
      <c r="R218" s="215" t="s">
        <v>7463</v>
      </c>
      <c r="S218" s="215">
        <f>IFERROR(VLOOKUP(E218,'VALORES VIAJES'!$A$2:$B$13,2,FALSE),"")</f>
        <v>210000</v>
      </c>
      <c r="T218" s="215" t="str">
        <f>IFERROR(VLOOKUP(H218,'VALORES VIAJES'!$A$2:$B$24,2,FALSE),"")</f>
        <v/>
      </c>
      <c r="U218" s="215" t="str">
        <f>IFERROR(VLOOKUP(I218,'VALORES VIAJES'!$A$2:$B$24,2,FALSE),"")</f>
        <v/>
      </c>
      <c r="V218" s="215" t="str">
        <f>IFERROR(VLOOKUP(K218,'VALORES VIAJES'!$A$2:$B$24,2,FALSE),"")</f>
        <v/>
      </c>
      <c r="X218" s="208">
        <f>SUM(Hoja1[[#This Row],[$ X TIP VEHICUL]:[AGREGADO]])</f>
        <v>210000</v>
      </c>
    </row>
    <row r="219" spans="1:24" s="215" customFormat="1" x14ac:dyDescent="0.25">
      <c r="A219" s="213">
        <v>218</v>
      </c>
      <c r="B219" s="214">
        <v>45378</v>
      </c>
      <c r="C219" s="215" t="s">
        <v>7466</v>
      </c>
      <c r="D219" s="215" t="s">
        <v>6907</v>
      </c>
      <c r="E219" s="215" t="s">
        <v>7443</v>
      </c>
      <c r="F219" s="215" t="s">
        <v>7484</v>
      </c>
      <c r="G219" s="215" t="s">
        <v>6954</v>
      </c>
      <c r="J219" s="214"/>
      <c r="L219" s="215" t="s">
        <v>7680</v>
      </c>
      <c r="M219" s="216">
        <v>0.41666666666666674</v>
      </c>
      <c r="N219" s="215" t="s">
        <v>7477</v>
      </c>
      <c r="O219" s="215" t="s">
        <v>7478</v>
      </c>
      <c r="Q219" s="215">
        <v>16814</v>
      </c>
      <c r="R219" s="215" t="s">
        <v>7463</v>
      </c>
      <c r="S219" s="215">
        <f>IFERROR(VLOOKUP(E219,'VALORES VIAJES'!$A$2:$B$13,2,FALSE),"")</f>
        <v>210000</v>
      </c>
      <c r="T219" s="215" t="str">
        <f>IFERROR(VLOOKUP(H219,'VALORES VIAJES'!$A$2:$B$24,2,FALSE),"")</f>
        <v/>
      </c>
      <c r="U219" s="215" t="str">
        <f>IFERROR(VLOOKUP(I219,'VALORES VIAJES'!$A$2:$B$24,2,FALSE),"")</f>
        <v/>
      </c>
      <c r="V219" s="215" t="str">
        <f>IFERROR(VLOOKUP(K219,'VALORES VIAJES'!$A$2:$B$24,2,FALSE),"")</f>
        <v/>
      </c>
      <c r="X219" s="208">
        <f>SUM(Hoja1[[#This Row],[$ X TIP VEHICUL]:[AGREGADO]])</f>
        <v>210000</v>
      </c>
    </row>
    <row r="220" spans="1:24" s="215" customFormat="1" x14ac:dyDescent="0.25">
      <c r="A220" s="213">
        <v>219</v>
      </c>
      <c r="B220" s="214">
        <v>45378</v>
      </c>
      <c r="C220" s="215" t="s">
        <v>7466</v>
      </c>
      <c r="D220" s="215" t="s">
        <v>6907</v>
      </c>
      <c r="E220" s="215" t="s">
        <v>7443</v>
      </c>
      <c r="F220" s="215" t="s">
        <v>7484</v>
      </c>
      <c r="G220" s="215" t="s">
        <v>6954</v>
      </c>
      <c r="J220" s="214"/>
      <c r="L220" s="215" t="s">
        <v>7681</v>
      </c>
      <c r="M220" s="216">
        <v>0.41666666666666674</v>
      </c>
      <c r="N220" s="215" t="s">
        <v>7504</v>
      </c>
      <c r="O220" s="215" t="s">
        <v>7505</v>
      </c>
      <c r="Q220" s="215">
        <v>16814</v>
      </c>
      <c r="R220" s="215" t="s">
        <v>7463</v>
      </c>
      <c r="S220" s="215">
        <f>IFERROR(VLOOKUP(E220,'VALORES VIAJES'!$A$2:$B$13,2,FALSE),"")</f>
        <v>210000</v>
      </c>
      <c r="T220" s="215" t="str">
        <f>IFERROR(VLOOKUP(H220,'VALORES VIAJES'!$A$2:$B$24,2,FALSE),"")</f>
        <v/>
      </c>
      <c r="U220" s="215" t="str">
        <f>IFERROR(VLOOKUP(I220,'VALORES VIAJES'!$A$2:$B$24,2,FALSE),"")</f>
        <v/>
      </c>
      <c r="V220" s="215" t="str">
        <f>IFERROR(VLOOKUP(K220,'VALORES VIAJES'!$A$2:$B$24,2,FALSE),"")</f>
        <v/>
      </c>
      <c r="X220" s="208">
        <f>SUM(Hoja1[[#This Row],[$ X TIP VEHICUL]:[AGREGADO]])</f>
        <v>210000</v>
      </c>
    </row>
    <row r="221" spans="1:24" s="215" customFormat="1" x14ac:dyDescent="0.25">
      <c r="A221" s="213">
        <v>220</v>
      </c>
      <c r="B221" s="214">
        <v>45378</v>
      </c>
      <c r="C221" s="215" t="s">
        <v>7497</v>
      </c>
      <c r="D221" s="215" t="s">
        <v>6883</v>
      </c>
      <c r="E221" s="215" t="s">
        <v>7443</v>
      </c>
      <c r="F221" s="215" t="s">
        <v>6954</v>
      </c>
      <c r="G221" s="215" t="s">
        <v>7626</v>
      </c>
      <c r="J221" s="214"/>
      <c r="L221" s="215" t="s">
        <v>7682</v>
      </c>
      <c r="M221" s="216">
        <v>0.625</v>
      </c>
      <c r="N221" s="215" t="s">
        <v>7477</v>
      </c>
      <c r="O221" s="215" t="s">
        <v>7478</v>
      </c>
      <c r="Q221" s="215">
        <v>18194</v>
      </c>
      <c r="R221" s="215" t="s">
        <v>7463</v>
      </c>
      <c r="S221" s="215">
        <f>IFERROR(VLOOKUP(E221,'VALORES VIAJES'!$A$2:$B$13,2,FALSE),"")</f>
        <v>210000</v>
      </c>
      <c r="T221" s="215" t="str">
        <f>IFERROR(VLOOKUP(H221,'VALORES VIAJES'!$A$2:$B$24,2,FALSE),"")</f>
        <v/>
      </c>
      <c r="U221" s="215" t="str">
        <f>IFERROR(VLOOKUP(I221,'VALORES VIAJES'!$A$2:$B$24,2,FALSE),"")</f>
        <v/>
      </c>
      <c r="V221" s="215" t="str">
        <f>IFERROR(VLOOKUP(K221,'VALORES VIAJES'!$A$2:$B$24,2,FALSE),"")</f>
        <v/>
      </c>
      <c r="X221" s="208">
        <f>SUM(Hoja1[[#This Row],[$ X TIP VEHICUL]:[AGREGADO]])</f>
        <v>210000</v>
      </c>
    </row>
    <row r="222" spans="1:24" s="215" customFormat="1" x14ac:dyDescent="0.25">
      <c r="A222" s="213">
        <v>221</v>
      </c>
      <c r="B222" s="214">
        <v>45378</v>
      </c>
      <c r="C222" s="215" t="s">
        <v>7497</v>
      </c>
      <c r="D222" s="215" t="s">
        <v>6883</v>
      </c>
      <c r="E222" s="215" t="s">
        <v>7443</v>
      </c>
      <c r="F222" s="215" t="s">
        <v>6954</v>
      </c>
      <c r="G222" s="215" t="s">
        <v>7626</v>
      </c>
      <c r="J222" s="214"/>
      <c r="L222" s="215" t="s">
        <v>7683</v>
      </c>
      <c r="M222" s="216">
        <v>0.625</v>
      </c>
      <c r="N222" s="215" t="s">
        <v>7469</v>
      </c>
      <c r="O222" s="215" t="s">
        <v>7470</v>
      </c>
      <c r="Q222" s="215">
        <v>18194</v>
      </c>
      <c r="R222" s="215" t="s">
        <v>7684</v>
      </c>
      <c r="S222" s="215">
        <f>IFERROR(VLOOKUP(E222,'VALORES VIAJES'!$A$2:$B$13,2,FALSE),"")</f>
        <v>210000</v>
      </c>
      <c r="T222" s="215" t="str">
        <f>IFERROR(VLOOKUP(H222,'VALORES VIAJES'!$A$2:$B$24,2,FALSE),"")</f>
        <v/>
      </c>
      <c r="U222" s="215" t="str">
        <f>IFERROR(VLOOKUP(I222,'VALORES VIAJES'!$A$2:$B$24,2,FALSE),"")</f>
        <v/>
      </c>
      <c r="V222" s="215" t="str">
        <f>IFERROR(VLOOKUP(K222,'VALORES VIAJES'!$A$2:$B$24,2,FALSE),"")</f>
        <v/>
      </c>
      <c r="X222" s="208">
        <f>SUM(Hoja1[[#This Row],[$ X TIP VEHICUL]:[AGREGADO]])</f>
        <v>210000</v>
      </c>
    </row>
    <row r="223" spans="1:24" s="215" customFormat="1" x14ac:dyDescent="0.25">
      <c r="A223" s="213">
        <v>222</v>
      </c>
      <c r="B223" s="214">
        <v>45378</v>
      </c>
      <c r="C223" s="215" t="s">
        <v>7497</v>
      </c>
      <c r="D223" s="215" t="s">
        <v>6883</v>
      </c>
      <c r="E223" s="215" t="s">
        <v>7443</v>
      </c>
      <c r="F223" s="215" t="s">
        <v>6954</v>
      </c>
      <c r="G223" s="215" t="s">
        <v>7626</v>
      </c>
      <c r="J223" s="214"/>
      <c r="L223" s="215" t="s">
        <v>7685</v>
      </c>
      <c r="M223" s="216">
        <v>0.625</v>
      </c>
      <c r="N223" s="215" t="s">
        <v>7504</v>
      </c>
      <c r="O223" s="215" t="s">
        <v>7505</v>
      </c>
      <c r="Q223" s="215">
        <v>18194</v>
      </c>
      <c r="R223" s="215" t="s">
        <v>7463</v>
      </c>
      <c r="S223" s="215">
        <f>IFERROR(VLOOKUP(E223,'VALORES VIAJES'!$A$2:$B$13,2,FALSE),"")</f>
        <v>210000</v>
      </c>
      <c r="T223" s="215" t="str">
        <f>IFERROR(VLOOKUP(H223,'VALORES VIAJES'!$A$2:$B$24,2,FALSE),"")</f>
        <v/>
      </c>
      <c r="U223" s="215" t="str">
        <f>IFERROR(VLOOKUP(I223,'VALORES VIAJES'!$A$2:$B$24,2,FALSE),"")</f>
        <v/>
      </c>
      <c r="V223" s="215" t="str">
        <f>IFERROR(VLOOKUP(K223,'VALORES VIAJES'!$A$2:$B$24,2,FALSE),"")</f>
        <v/>
      </c>
      <c r="X223" s="208">
        <f>SUM(Hoja1[[#This Row],[$ X TIP VEHICUL]:[AGREGADO]])</f>
        <v>210000</v>
      </c>
    </row>
    <row r="224" spans="1:24" s="219" customFormat="1" ht="15.75" thickBot="1" x14ac:dyDescent="0.3">
      <c r="A224" s="217">
        <v>223</v>
      </c>
      <c r="B224" s="218">
        <v>45378</v>
      </c>
      <c r="C224" s="219" t="s">
        <v>7497</v>
      </c>
      <c r="D224" s="219" t="s">
        <v>6883</v>
      </c>
      <c r="E224" s="219" t="s">
        <v>7443</v>
      </c>
      <c r="F224" s="219" t="s">
        <v>6954</v>
      </c>
      <c r="G224" s="219" t="s">
        <v>7626</v>
      </c>
      <c r="J224" s="218"/>
      <c r="L224" s="219" t="s">
        <v>7686</v>
      </c>
      <c r="M224" s="220">
        <v>0.625</v>
      </c>
      <c r="N224" s="219" t="s">
        <v>7464</v>
      </c>
      <c r="O224" s="219" t="s">
        <v>7656</v>
      </c>
      <c r="Q224" s="219">
        <v>18194</v>
      </c>
      <c r="R224" s="219" t="s">
        <v>7463</v>
      </c>
      <c r="S224" s="219">
        <f>IFERROR(VLOOKUP(E224,'VALORES VIAJES'!$A$2:$B$13,2,FALSE),"")</f>
        <v>210000</v>
      </c>
      <c r="T224" s="219" t="str">
        <f>IFERROR(VLOOKUP(H224,'VALORES VIAJES'!$A$2:$B$24,2,FALSE),"")</f>
        <v/>
      </c>
      <c r="U224" s="219" t="str">
        <f>IFERROR(VLOOKUP(I224,'VALORES VIAJES'!$A$2:$B$24,2,FALSE),"")</f>
        <v/>
      </c>
      <c r="V224" s="219" t="str">
        <f>IFERROR(VLOOKUP(K224,'VALORES VIAJES'!$A$2:$B$24,2,FALSE),"")</f>
        <v/>
      </c>
      <c r="X224" s="221">
        <f>SUM(Hoja1[[#This Row],[$ X TIP VEHICUL]:[AGREGADO]])</f>
        <v>210000</v>
      </c>
    </row>
    <row r="225" spans="1:24" hidden="1" x14ac:dyDescent="0.25">
      <c r="A225">
        <v>224</v>
      </c>
      <c r="B225" s="189">
        <v>45378</v>
      </c>
      <c r="C225" t="s">
        <v>7462</v>
      </c>
      <c r="D225" t="s">
        <v>7556</v>
      </c>
      <c r="E225" t="s">
        <v>7442</v>
      </c>
      <c r="F225" t="s">
        <v>7583</v>
      </c>
      <c r="G225" t="s">
        <v>7556</v>
      </c>
      <c r="J225" s="189"/>
      <c r="L225" t="s">
        <v>7463</v>
      </c>
      <c r="M225" s="205">
        <v>0.45833333333333326</v>
      </c>
      <c r="N225" t="s">
        <v>7641</v>
      </c>
      <c r="O225" t="s">
        <v>7494</v>
      </c>
      <c r="S225">
        <f>IFERROR(VLOOKUP(E225,'VALORES VIAJES'!$A$2:$B$13,2,FALSE),"")</f>
        <v>160000</v>
      </c>
      <c r="T225" t="str">
        <f>IFERROR(VLOOKUP(H225,'VALORES VIAJES'!$A$2:$B$24,2,FALSE),"")</f>
        <v/>
      </c>
      <c r="U225" t="str">
        <f>IFERROR(VLOOKUP(I225,'VALORES VIAJES'!$A$2:$B$24,2,FALSE),"")</f>
        <v/>
      </c>
      <c r="V225" t="str">
        <f>IFERROR(VLOOKUP(K225,'VALORES VIAJES'!$A$2:$B$24,2,FALSE),"")</f>
        <v/>
      </c>
      <c r="X225" s="208">
        <f>SUM(Hoja1[[#This Row],[$ X TIP VEHICUL]:[AGREGADO]])</f>
        <v>160000</v>
      </c>
    </row>
    <row r="226" spans="1:24" hidden="1" x14ac:dyDescent="0.25">
      <c r="A226">
        <v>225</v>
      </c>
      <c r="B226" s="189">
        <v>45379</v>
      </c>
      <c r="C226" t="s">
        <v>7481</v>
      </c>
      <c r="D226" t="s">
        <v>7481</v>
      </c>
      <c r="E226" t="s">
        <v>7442</v>
      </c>
      <c r="F226" t="s">
        <v>6952</v>
      </c>
      <c r="G226" t="s">
        <v>7482</v>
      </c>
      <c r="J226" s="189"/>
      <c r="L226" t="s">
        <v>7463</v>
      </c>
      <c r="M226" s="205">
        <v>0.33333333333333326</v>
      </c>
      <c r="N226" t="s">
        <v>7641</v>
      </c>
      <c r="O226" t="s">
        <v>7494</v>
      </c>
      <c r="Q226">
        <v>5600</v>
      </c>
      <c r="R226">
        <v>18439</v>
      </c>
      <c r="S226">
        <f>IFERROR(VLOOKUP(E226,'VALORES VIAJES'!$A$2:$B$13,2,FALSE),"")</f>
        <v>160000</v>
      </c>
      <c r="T226" t="str">
        <f>IFERROR(VLOOKUP(H226,'VALORES VIAJES'!$A$2:$B$24,2,FALSE),"")</f>
        <v/>
      </c>
      <c r="U226" t="str">
        <f>IFERROR(VLOOKUP(I226,'VALORES VIAJES'!$A$2:$B$24,2,FALSE),"")</f>
        <v/>
      </c>
      <c r="V226" t="str">
        <f>IFERROR(VLOOKUP(K226,'VALORES VIAJES'!$A$2:$B$24,2,FALSE),"")</f>
        <v/>
      </c>
      <c r="X226" s="208">
        <f>SUM(Hoja1[[#This Row],[$ X TIP VEHICUL]:[AGREGADO]])</f>
        <v>160000</v>
      </c>
    </row>
    <row r="227" spans="1:24" hidden="1" x14ac:dyDescent="0.25">
      <c r="A227">
        <v>226</v>
      </c>
      <c r="B227" s="189">
        <v>45385</v>
      </c>
      <c r="C227" t="s">
        <v>7461</v>
      </c>
      <c r="D227" t="s">
        <v>6906</v>
      </c>
      <c r="E227" t="s">
        <v>7441</v>
      </c>
      <c r="F227" t="s">
        <v>6954</v>
      </c>
      <c r="G227" t="s">
        <v>6906</v>
      </c>
      <c r="J227" s="189"/>
      <c r="L227" t="s">
        <v>7463</v>
      </c>
      <c r="M227" s="205">
        <v>0.33333333333333326</v>
      </c>
      <c r="N227" t="s">
        <v>7469</v>
      </c>
      <c r="O227" t="s">
        <v>7470</v>
      </c>
      <c r="Q227">
        <v>5600</v>
      </c>
      <c r="R227">
        <v>50638</v>
      </c>
      <c r="S227">
        <f>IFERROR(VLOOKUP(E227,'VALORES VIAJES'!$A$2:$B$13,2,FALSE),"")</f>
        <v>210000</v>
      </c>
      <c r="T227" t="str">
        <f>IFERROR(VLOOKUP(H227,'VALORES VIAJES'!$A$2:$B$24,2,FALSE),"")</f>
        <v/>
      </c>
      <c r="U227" t="str">
        <f>IFERROR(VLOOKUP(I227,'VALORES VIAJES'!$A$2:$B$24,2,FALSE),"")</f>
        <v/>
      </c>
      <c r="V227" t="str">
        <f>IFERROR(VLOOKUP(K227,'VALORES VIAJES'!$A$2:$B$24,2,FALSE),"")</f>
        <v/>
      </c>
      <c r="X227" s="208">
        <f>SUM(Hoja1[[#This Row],[$ X TIP VEHICUL]:[AGREGADO]])</f>
        <v>210000</v>
      </c>
    </row>
    <row r="228" spans="1:24" hidden="1" x14ac:dyDescent="0.25">
      <c r="A228">
        <v>227</v>
      </c>
      <c r="B228" s="189">
        <v>45385</v>
      </c>
      <c r="C228" t="s">
        <v>7461</v>
      </c>
      <c r="D228" t="s">
        <v>6906</v>
      </c>
      <c r="E228" t="s">
        <v>7441</v>
      </c>
      <c r="F228" t="s">
        <v>6954</v>
      </c>
      <c r="G228" t="s">
        <v>6906</v>
      </c>
      <c r="H228" t="s">
        <v>7433</v>
      </c>
      <c r="J228" s="189"/>
      <c r="L228" t="s">
        <v>7463</v>
      </c>
      <c r="M228" s="205">
        <v>0.33333333333333326</v>
      </c>
      <c r="N228" t="s">
        <v>7504</v>
      </c>
      <c r="O228" t="s">
        <v>7505</v>
      </c>
      <c r="Q228">
        <v>11200</v>
      </c>
      <c r="R228">
        <v>50637</v>
      </c>
      <c r="S228">
        <f>IFERROR(VLOOKUP(E228,'VALORES VIAJES'!$A$2:$B$13,2,FALSE),"")</f>
        <v>210000</v>
      </c>
      <c r="T228">
        <f>IFERROR(VLOOKUP(H228,'VALORES VIAJES'!$A$2:$B$24,2,FALSE),"")</f>
        <v>210000</v>
      </c>
      <c r="U228" t="str">
        <f>IFERROR(VLOOKUP(I228,'VALORES VIAJES'!$A$2:$B$24,2,FALSE),"")</f>
        <v/>
      </c>
      <c r="V228" t="str">
        <f>IFERROR(VLOOKUP(K228,'VALORES VIAJES'!$A$2:$B$24,2,FALSE),"")</f>
        <v/>
      </c>
      <c r="X228" s="208">
        <f>SUM(Hoja1[[#This Row],[$ X TIP VEHICUL]:[AGREGADO]])</f>
        <v>420000</v>
      </c>
    </row>
    <row r="229" spans="1:24" hidden="1" x14ac:dyDescent="0.25">
      <c r="A229">
        <v>228</v>
      </c>
      <c r="B229" s="189">
        <v>45385</v>
      </c>
      <c r="C229" t="s">
        <v>7461</v>
      </c>
      <c r="D229" t="s">
        <v>7475</v>
      </c>
      <c r="E229" t="s">
        <v>7443</v>
      </c>
      <c r="F229" t="s">
        <v>6954</v>
      </c>
      <c r="G229" t="s">
        <v>7530</v>
      </c>
      <c r="J229" s="189"/>
      <c r="L229" t="s">
        <v>7687</v>
      </c>
      <c r="M229" s="205">
        <v>0.33333333333333326</v>
      </c>
      <c r="N229" t="s">
        <v>7473</v>
      </c>
      <c r="O229" t="s">
        <v>7474</v>
      </c>
      <c r="Q229">
        <v>18334</v>
      </c>
      <c r="R229">
        <v>50849</v>
      </c>
      <c r="S229">
        <f>IFERROR(VLOOKUP(E229,'VALORES VIAJES'!$A$2:$B$13,2,FALSE),"")</f>
        <v>210000</v>
      </c>
      <c r="T229" t="str">
        <f>IFERROR(VLOOKUP(H229,'VALORES VIAJES'!$A$2:$B$24,2,FALSE),"")</f>
        <v/>
      </c>
      <c r="U229" t="str">
        <f>IFERROR(VLOOKUP(I229,'VALORES VIAJES'!$A$2:$B$24,2,FALSE),"")</f>
        <v/>
      </c>
      <c r="V229" t="str">
        <f>IFERROR(VLOOKUP(K229,'VALORES VIAJES'!$A$2:$B$24,2,FALSE),"")</f>
        <v/>
      </c>
      <c r="X229" s="208">
        <f>SUM(Hoja1[[#This Row],[$ X TIP VEHICUL]:[AGREGADO]])</f>
        <v>210000</v>
      </c>
    </row>
    <row r="230" spans="1:24" hidden="1" x14ac:dyDescent="0.25">
      <c r="A230">
        <v>229</v>
      </c>
      <c r="B230" s="189">
        <v>45385</v>
      </c>
      <c r="C230" t="s">
        <v>7461</v>
      </c>
      <c r="D230" t="s">
        <v>7475</v>
      </c>
      <c r="E230" t="s">
        <v>7443</v>
      </c>
      <c r="F230" t="s">
        <v>6954</v>
      </c>
      <c r="G230" t="s">
        <v>7530</v>
      </c>
      <c r="J230" s="189"/>
      <c r="L230" t="s">
        <v>7688</v>
      </c>
      <c r="M230" s="205">
        <v>0.33333333333333326</v>
      </c>
      <c r="N230" t="s">
        <v>7480</v>
      </c>
      <c r="O230" t="s">
        <v>7465</v>
      </c>
      <c r="Q230">
        <v>18334</v>
      </c>
      <c r="R230">
        <v>50850</v>
      </c>
      <c r="S230">
        <f>IFERROR(VLOOKUP(E230,'VALORES VIAJES'!$A$2:$B$13,2,FALSE),"")</f>
        <v>210000</v>
      </c>
      <c r="T230" t="str">
        <f>IFERROR(VLOOKUP(H230,'VALORES VIAJES'!$A$2:$B$24,2,FALSE),"")</f>
        <v/>
      </c>
      <c r="U230" t="str">
        <f>IFERROR(VLOOKUP(I230,'VALORES VIAJES'!$A$2:$B$24,2,FALSE),"")</f>
        <v/>
      </c>
      <c r="V230" t="str">
        <f>IFERROR(VLOOKUP(K230,'VALORES VIAJES'!$A$2:$B$24,2,FALSE),"")</f>
        <v/>
      </c>
      <c r="X230" s="208">
        <f>SUM(Hoja1[[#This Row],[$ X TIP VEHICUL]:[AGREGADO]])</f>
        <v>210000</v>
      </c>
    </row>
    <row r="231" spans="1:24" hidden="1" x14ac:dyDescent="0.25">
      <c r="A231">
        <v>230</v>
      </c>
      <c r="B231" s="189">
        <v>45385</v>
      </c>
      <c r="C231" t="s">
        <v>7462</v>
      </c>
      <c r="D231" t="s">
        <v>7689</v>
      </c>
      <c r="E231" t="s">
        <v>7442</v>
      </c>
      <c r="F231" t="s">
        <v>7462</v>
      </c>
      <c r="G231" t="s">
        <v>7689</v>
      </c>
      <c r="J231" s="189"/>
      <c r="L231" t="s">
        <v>7463</v>
      </c>
      <c r="M231" s="205">
        <v>0.5</v>
      </c>
      <c r="N231" t="s">
        <v>7641</v>
      </c>
      <c r="O231" t="s">
        <v>7494</v>
      </c>
      <c r="S231">
        <f>IFERROR(VLOOKUP(E231,'VALORES VIAJES'!$A$2:$B$13,2,FALSE),"")</f>
        <v>160000</v>
      </c>
      <c r="T231" t="str">
        <f>IFERROR(VLOOKUP(H231,'VALORES VIAJES'!$A$2:$B$24,2,FALSE),"")</f>
        <v/>
      </c>
      <c r="U231" t="str">
        <f>IFERROR(VLOOKUP(I231,'VALORES VIAJES'!$A$2:$B$24,2,FALSE),"")</f>
        <v/>
      </c>
      <c r="V231" t="str">
        <f>IFERROR(VLOOKUP(K231,'VALORES VIAJES'!$A$2:$B$24,2,FALSE),"")</f>
        <v/>
      </c>
      <c r="X231" s="208">
        <f>SUM(Hoja1[[#This Row],[$ X TIP VEHICUL]:[AGREGADO]])</f>
        <v>160000</v>
      </c>
    </row>
    <row r="232" spans="1:24" hidden="1" x14ac:dyDescent="0.25">
      <c r="A232">
        <v>231</v>
      </c>
      <c r="B232" s="189">
        <v>45386</v>
      </c>
      <c r="C232" t="s">
        <v>7481</v>
      </c>
      <c r="D232" t="s">
        <v>7481</v>
      </c>
      <c r="E232" t="s">
        <v>7443</v>
      </c>
      <c r="F232" t="s">
        <v>7467</v>
      </c>
      <c r="G232" t="s">
        <v>7482</v>
      </c>
      <c r="H232" t="s">
        <v>7433</v>
      </c>
      <c r="J232" s="189"/>
      <c r="L232" t="s">
        <v>7690</v>
      </c>
      <c r="M232" s="205">
        <v>0.66666666666666674</v>
      </c>
      <c r="N232" t="s">
        <v>7469</v>
      </c>
      <c r="O232" t="s">
        <v>7470</v>
      </c>
      <c r="Q232">
        <v>21167</v>
      </c>
      <c r="R232">
        <v>18494</v>
      </c>
      <c r="S232">
        <f>IFERROR(VLOOKUP(E232,'VALORES VIAJES'!$A$2:$B$13,2,FALSE),"")</f>
        <v>210000</v>
      </c>
      <c r="T232">
        <f>IFERROR(VLOOKUP(H232,'VALORES VIAJES'!$A$2:$B$24,2,FALSE),"")</f>
        <v>210000</v>
      </c>
      <c r="U232" t="str">
        <f>IFERROR(VLOOKUP(I232,'VALORES VIAJES'!$A$2:$B$24,2,FALSE),"")</f>
        <v/>
      </c>
      <c r="V232" t="str">
        <f>IFERROR(VLOOKUP(K232,'VALORES VIAJES'!$A$2:$B$24,2,FALSE),"")</f>
        <v/>
      </c>
      <c r="X232" s="208">
        <f>SUM(Hoja1[[#This Row],[$ X TIP VEHICUL]:[AGREGADO]])</f>
        <v>420000</v>
      </c>
    </row>
    <row r="233" spans="1:24" hidden="1" x14ac:dyDescent="0.25">
      <c r="A233">
        <v>232</v>
      </c>
      <c r="B233" s="189">
        <v>45386</v>
      </c>
      <c r="C233" t="s">
        <v>7461</v>
      </c>
      <c r="D233" t="s">
        <v>6906</v>
      </c>
      <c r="E233" t="s">
        <v>7441</v>
      </c>
      <c r="F233" t="s">
        <v>6954</v>
      </c>
      <c r="G233" t="s">
        <v>6906</v>
      </c>
      <c r="J233" s="189"/>
      <c r="L233" t="s">
        <v>7463</v>
      </c>
      <c r="M233" s="205">
        <v>0.33333333333333326</v>
      </c>
      <c r="N233" t="s">
        <v>7464</v>
      </c>
      <c r="O233" t="s">
        <v>7656</v>
      </c>
      <c r="Q233">
        <v>5600</v>
      </c>
      <c r="R233">
        <v>51661</v>
      </c>
      <c r="S233">
        <f>IFERROR(VLOOKUP(E233,'VALORES VIAJES'!$A$2:$B$13,2,FALSE),"")</f>
        <v>210000</v>
      </c>
      <c r="T233" t="str">
        <f>IFERROR(VLOOKUP(H233,'VALORES VIAJES'!$A$2:$B$24,2,FALSE),"")</f>
        <v/>
      </c>
      <c r="U233" t="str">
        <f>IFERROR(VLOOKUP(I233,'VALORES VIAJES'!$A$2:$B$24,2,FALSE),"")</f>
        <v/>
      </c>
      <c r="V233" t="str">
        <f>IFERROR(VLOOKUP(K233,'VALORES VIAJES'!$A$2:$B$24,2,FALSE),"")</f>
        <v/>
      </c>
      <c r="X233" s="208">
        <f>SUM(Hoja1[[#This Row],[$ X TIP VEHICUL]:[AGREGADO]])</f>
        <v>210000</v>
      </c>
    </row>
    <row r="234" spans="1:24" hidden="1" x14ac:dyDescent="0.25">
      <c r="A234">
        <v>233</v>
      </c>
      <c r="B234" s="189">
        <v>45386</v>
      </c>
      <c r="C234" t="s">
        <v>7461</v>
      </c>
      <c r="D234" t="s">
        <v>6906</v>
      </c>
      <c r="E234" t="s">
        <v>7441</v>
      </c>
      <c r="F234" t="s">
        <v>6954</v>
      </c>
      <c r="G234" t="s">
        <v>6906</v>
      </c>
      <c r="J234" s="189"/>
      <c r="L234" t="s">
        <v>7463</v>
      </c>
      <c r="M234" s="205">
        <v>0.33333333333333326</v>
      </c>
      <c r="N234" t="s">
        <v>7473</v>
      </c>
      <c r="O234" t="s">
        <v>7474</v>
      </c>
      <c r="Q234">
        <v>5600</v>
      </c>
      <c r="R234">
        <v>51662</v>
      </c>
      <c r="S234">
        <f>IFERROR(VLOOKUP(E234,'VALORES VIAJES'!$A$2:$B$13,2,FALSE),"")</f>
        <v>210000</v>
      </c>
      <c r="T234" t="str">
        <f>IFERROR(VLOOKUP(H234,'VALORES VIAJES'!$A$2:$B$24,2,FALSE),"")</f>
        <v/>
      </c>
      <c r="U234" t="str">
        <f>IFERROR(VLOOKUP(I234,'VALORES VIAJES'!$A$2:$B$24,2,FALSE),"")</f>
        <v/>
      </c>
      <c r="V234" t="str">
        <f>IFERROR(VLOOKUP(K234,'VALORES VIAJES'!$A$2:$B$24,2,FALSE),"")</f>
        <v/>
      </c>
      <c r="X234" s="208">
        <f>SUM(Hoja1[[#This Row],[$ X TIP VEHICUL]:[AGREGADO]])</f>
        <v>210000</v>
      </c>
    </row>
    <row r="235" spans="1:24" hidden="1" x14ac:dyDescent="0.25">
      <c r="A235">
        <v>234</v>
      </c>
      <c r="B235" s="189">
        <v>45386</v>
      </c>
      <c r="C235" t="s">
        <v>7461</v>
      </c>
      <c r="D235" t="s">
        <v>7475</v>
      </c>
      <c r="E235" t="s">
        <v>7443</v>
      </c>
      <c r="F235" t="s">
        <v>6954</v>
      </c>
      <c r="G235" t="s">
        <v>7530</v>
      </c>
      <c r="J235" s="189"/>
      <c r="L235" t="s">
        <v>7691</v>
      </c>
      <c r="M235" s="205">
        <v>0.33333333333333326</v>
      </c>
      <c r="N235" t="s">
        <v>7477</v>
      </c>
      <c r="O235" t="s">
        <v>7478</v>
      </c>
      <c r="Q235">
        <v>18334</v>
      </c>
      <c r="R235">
        <v>51663</v>
      </c>
      <c r="S235">
        <f>IFERROR(VLOOKUP(E235,'VALORES VIAJES'!$A$2:$B$13,2,FALSE),"")</f>
        <v>210000</v>
      </c>
      <c r="T235" t="str">
        <f>IFERROR(VLOOKUP(H235,'VALORES VIAJES'!$A$2:$B$24,2,FALSE),"")</f>
        <v/>
      </c>
      <c r="U235" t="str">
        <f>IFERROR(VLOOKUP(I235,'VALORES VIAJES'!$A$2:$B$24,2,FALSE),"")</f>
        <v/>
      </c>
      <c r="V235" t="str">
        <f>IFERROR(VLOOKUP(K235,'VALORES VIAJES'!$A$2:$B$24,2,FALSE),"")</f>
        <v/>
      </c>
      <c r="X235" s="208">
        <f>SUM(Hoja1[[#This Row],[$ X TIP VEHICUL]:[AGREGADO]])</f>
        <v>210000</v>
      </c>
    </row>
    <row r="236" spans="1:24" hidden="1" x14ac:dyDescent="0.25">
      <c r="A236">
        <v>235</v>
      </c>
      <c r="B236" s="189">
        <v>45386</v>
      </c>
      <c r="C236" t="s">
        <v>7461</v>
      </c>
      <c r="D236" t="s">
        <v>7475</v>
      </c>
      <c r="E236" t="s">
        <v>7443</v>
      </c>
      <c r="F236" t="s">
        <v>6954</v>
      </c>
      <c r="G236" t="s">
        <v>7530</v>
      </c>
      <c r="J236" s="189"/>
      <c r="L236" t="s">
        <v>7692</v>
      </c>
      <c r="M236" s="205">
        <v>0.33333333333333326</v>
      </c>
      <c r="N236" t="s">
        <v>7480</v>
      </c>
      <c r="O236" t="s">
        <v>7465</v>
      </c>
      <c r="Q236">
        <v>18334</v>
      </c>
      <c r="R236">
        <v>51664</v>
      </c>
      <c r="S236">
        <f>IFERROR(VLOOKUP(E236,'VALORES VIAJES'!$A$2:$B$13,2,FALSE),"")</f>
        <v>210000</v>
      </c>
      <c r="T236" t="str">
        <f>IFERROR(VLOOKUP(H236,'VALORES VIAJES'!$A$2:$B$24,2,FALSE),"")</f>
        <v/>
      </c>
      <c r="U236" t="str">
        <f>IFERROR(VLOOKUP(I236,'VALORES VIAJES'!$A$2:$B$24,2,FALSE),"")</f>
        <v/>
      </c>
      <c r="V236" t="str">
        <f>IFERROR(VLOOKUP(K236,'VALORES VIAJES'!$A$2:$B$24,2,FALSE),"")</f>
        <v/>
      </c>
      <c r="X236" s="208">
        <f>SUM(Hoja1[[#This Row],[$ X TIP VEHICUL]:[AGREGADO]])</f>
        <v>210000</v>
      </c>
    </row>
    <row r="237" spans="1:24" hidden="1" x14ac:dyDescent="0.25">
      <c r="A237">
        <v>236</v>
      </c>
      <c r="B237" s="189">
        <v>45387</v>
      </c>
      <c r="C237" t="s">
        <v>7481</v>
      </c>
      <c r="D237" t="s">
        <v>7481</v>
      </c>
      <c r="E237" t="s">
        <v>7443</v>
      </c>
      <c r="F237" t="s">
        <v>6945</v>
      </c>
      <c r="G237" t="s">
        <v>7482</v>
      </c>
      <c r="H237" t="s">
        <v>7433</v>
      </c>
      <c r="J237" s="189">
        <v>45391</v>
      </c>
      <c r="L237" t="s">
        <v>7733</v>
      </c>
      <c r="M237" s="205">
        <v>0.625</v>
      </c>
      <c r="N237" t="s">
        <v>7469</v>
      </c>
      <c r="O237" t="s">
        <v>7470</v>
      </c>
      <c r="Q237">
        <v>29061</v>
      </c>
      <c r="R237">
        <v>18487</v>
      </c>
      <c r="S237">
        <f>IFERROR(VLOOKUP(E237,'VALORES VIAJES'!$A$2:$B$13,2,FALSE),"")</f>
        <v>210000</v>
      </c>
      <c r="T237">
        <f>IFERROR(VLOOKUP(H237,'VALORES VIAJES'!$A$2:$B$24,2,FALSE),"")</f>
        <v>210000</v>
      </c>
      <c r="U237" t="str">
        <f>IFERROR(VLOOKUP(I237,'VALORES VIAJES'!$A$2:$B$24,2,FALSE),"")</f>
        <v/>
      </c>
      <c r="V237" t="str">
        <f>IFERROR(VLOOKUP(K237,'VALORES VIAJES'!$A$2:$B$24,2,FALSE),"")</f>
        <v/>
      </c>
      <c r="X237" s="208">
        <f>SUM(Hoja1[[#This Row],[$ X TIP VEHICUL]:[AGREGADO]])</f>
        <v>420000</v>
      </c>
    </row>
    <row r="238" spans="1:24" hidden="1" x14ac:dyDescent="0.25">
      <c r="A238">
        <v>237</v>
      </c>
      <c r="B238" s="189">
        <v>45387</v>
      </c>
      <c r="C238" t="s">
        <v>7481</v>
      </c>
      <c r="D238" t="s">
        <v>7481</v>
      </c>
      <c r="E238" t="s">
        <v>7443</v>
      </c>
      <c r="F238" t="s">
        <v>6945</v>
      </c>
      <c r="G238" t="s">
        <v>7482</v>
      </c>
      <c r="H238" t="s">
        <v>7433</v>
      </c>
      <c r="J238" s="189">
        <v>45391</v>
      </c>
      <c r="L238" t="s">
        <v>7694</v>
      </c>
      <c r="M238" s="205">
        <v>0.625</v>
      </c>
      <c r="N238" t="s">
        <v>7477</v>
      </c>
      <c r="O238" t="s">
        <v>7478</v>
      </c>
      <c r="Q238">
        <v>29061</v>
      </c>
      <c r="R238">
        <v>18487</v>
      </c>
      <c r="S238">
        <f>IFERROR(VLOOKUP(E238,'VALORES VIAJES'!$A$2:$B$13,2,FALSE),"")</f>
        <v>210000</v>
      </c>
      <c r="T238">
        <f>IFERROR(VLOOKUP(H238,'VALORES VIAJES'!$A$2:$B$24,2,FALSE),"")</f>
        <v>210000</v>
      </c>
      <c r="U238" t="str">
        <f>IFERROR(VLOOKUP(I238,'VALORES VIAJES'!$A$2:$B$24,2,FALSE),"")</f>
        <v/>
      </c>
      <c r="V238" t="str">
        <f>IFERROR(VLOOKUP(K238,'VALORES VIAJES'!$A$2:$B$24,2,FALSE),"")</f>
        <v/>
      </c>
      <c r="X238" s="208">
        <f>SUM(Hoja1[[#This Row],[$ X TIP VEHICUL]:[AGREGADO]])</f>
        <v>420000</v>
      </c>
    </row>
    <row r="239" spans="1:24" hidden="1" x14ac:dyDescent="0.25">
      <c r="A239">
        <v>238</v>
      </c>
      <c r="B239" s="189">
        <v>45387</v>
      </c>
      <c r="C239" t="s">
        <v>7481</v>
      </c>
      <c r="D239" t="s">
        <v>7481</v>
      </c>
      <c r="E239" t="s">
        <v>7443</v>
      </c>
      <c r="F239" t="s">
        <v>7467</v>
      </c>
      <c r="G239" t="s">
        <v>7482</v>
      </c>
      <c r="H239" t="s">
        <v>7693</v>
      </c>
      <c r="I239" t="s">
        <v>7657</v>
      </c>
      <c r="J239" s="189">
        <v>45390</v>
      </c>
      <c r="L239" t="s">
        <v>7694</v>
      </c>
      <c r="M239" s="205">
        <v>0.70833333333333326</v>
      </c>
      <c r="N239" t="s">
        <v>7473</v>
      </c>
      <c r="O239" t="s">
        <v>7474</v>
      </c>
      <c r="Q239">
        <v>21167</v>
      </c>
      <c r="R239">
        <v>18487</v>
      </c>
      <c r="S239">
        <f>IFERROR(VLOOKUP(E239,'VALORES VIAJES'!$A$2:$B$13,2,FALSE),"")</f>
        <v>210000</v>
      </c>
      <c r="T239" t="str">
        <f>IFERROR(VLOOKUP(H239,'VALORES VIAJES'!$A$2:$B$24,2,FALSE),"")</f>
        <v/>
      </c>
      <c r="U239" t="str">
        <f>IFERROR(VLOOKUP(I239,'VALORES VIAJES'!$A$2:$B$24,2,FALSE),"")</f>
        <v/>
      </c>
      <c r="V239" t="str">
        <f>IFERROR(VLOOKUP(K239,'VALORES VIAJES'!$A$2:$B$24,2,FALSE),"")</f>
        <v/>
      </c>
      <c r="X239" s="208">
        <f>SUM(Hoja1[[#This Row],[$ X TIP VEHICUL]:[AGREGADO]])</f>
        <v>210000</v>
      </c>
    </row>
    <row r="240" spans="1:24" hidden="1" x14ac:dyDescent="0.25">
      <c r="A240">
        <v>239</v>
      </c>
      <c r="B240" s="189">
        <v>45387</v>
      </c>
      <c r="C240" t="s">
        <v>7461</v>
      </c>
      <c r="D240" t="s">
        <v>7620</v>
      </c>
      <c r="E240" t="s">
        <v>7443</v>
      </c>
      <c r="F240" t="s">
        <v>6945</v>
      </c>
      <c r="G240" t="s">
        <v>7620</v>
      </c>
      <c r="H240" t="s">
        <v>7433</v>
      </c>
      <c r="J240" s="189"/>
      <c r="L240" t="s">
        <v>7695</v>
      </c>
      <c r="M240" s="205">
        <v>0.70833333333333326</v>
      </c>
      <c r="N240" t="s">
        <v>7464</v>
      </c>
      <c r="O240" t="s">
        <v>7656</v>
      </c>
      <c r="Q240">
        <v>29141</v>
      </c>
      <c r="R240">
        <v>51427</v>
      </c>
      <c r="S240">
        <f>IFERROR(VLOOKUP(E240,'VALORES VIAJES'!$A$2:$B$13,2,FALSE),"")</f>
        <v>210000</v>
      </c>
      <c r="T240">
        <f>IFERROR(VLOOKUP(H240,'VALORES VIAJES'!$A$2:$B$24,2,FALSE),"")</f>
        <v>210000</v>
      </c>
      <c r="U240" t="str">
        <f>IFERROR(VLOOKUP(I240,'VALORES VIAJES'!$A$2:$B$24,2,FALSE),"")</f>
        <v/>
      </c>
      <c r="V240" t="str">
        <f>IFERROR(VLOOKUP(K240,'VALORES VIAJES'!$A$2:$B$24,2,FALSE),"")</f>
        <v/>
      </c>
      <c r="X240" s="208">
        <f>SUM(Hoja1[[#This Row],[$ X TIP VEHICUL]:[AGREGADO]])</f>
        <v>420000</v>
      </c>
    </row>
    <row r="241" spans="1:24" hidden="1" x14ac:dyDescent="0.25">
      <c r="A241">
        <v>240</v>
      </c>
      <c r="B241" s="189">
        <v>45387</v>
      </c>
      <c r="C241" t="s">
        <v>7461</v>
      </c>
      <c r="D241" t="s">
        <v>7620</v>
      </c>
      <c r="E241" t="s">
        <v>7443</v>
      </c>
      <c r="F241" t="s">
        <v>6945</v>
      </c>
      <c r="G241" t="s">
        <v>7620</v>
      </c>
      <c r="H241" t="s">
        <v>7433</v>
      </c>
      <c r="J241" s="189"/>
      <c r="L241" t="s">
        <v>7696</v>
      </c>
      <c r="M241" s="205">
        <v>0.70833333333333326</v>
      </c>
      <c r="N241" t="s">
        <v>7480</v>
      </c>
      <c r="O241" t="s">
        <v>7465</v>
      </c>
      <c r="Q241">
        <v>29141</v>
      </c>
      <c r="R241">
        <v>51428</v>
      </c>
      <c r="S241">
        <f>IFERROR(VLOOKUP(E241,'VALORES VIAJES'!$A$2:$B$13,2,FALSE),"")</f>
        <v>210000</v>
      </c>
      <c r="T241">
        <f>IFERROR(VLOOKUP(H241,'VALORES VIAJES'!$A$2:$B$24,2,FALSE),"")</f>
        <v>210000</v>
      </c>
      <c r="U241" t="str">
        <f>IFERROR(VLOOKUP(I241,'VALORES VIAJES'!$A$2:$B$24,2,FALSE),"")</f>
        <v/>
      </c>
      <c r="V241" t="str">
        <f>IFERROR(VLOOKUP(K241,'VALORES VIAJES'!$A$2:$B$24,2,FALSE),"")</f>
        <v/>
      </c>
      <c r="X241" s="208">
        <f>SUM(Hoja1[[#This Row],[$ X TIP VEHICUL]:[AGREGADO]])</f>
        <v>420000</v>
      </c>
    </row>
    <row r="242" spans="1:24" hidden="1" x14ac:dyDescent="0.25">
      <c r="A242">
        <v>241</v>
      </c>
      <c r="B242" s="189">
        <v>45387</v>
      </c>
      <c r="C242" t="s">
        <v>7462</v>
      </c>
      <c r="D242" t="s">
        <v>3982</v>
      </c>
      <c r="E242" t="s">
        <v>7442</v>
      </c>
      <c r="F242" t="s">
        <v>7462</v>
      </c>
      <c r="G242" t="s">
        <v>3982</v>
      </c>
      <c r="J242" s="189"/>
      <c r="L242" t="s">
        <v>7463</v>
      </c>
      <c r="M242" s="205">
        <v>0.33333333333333326</v>
      </c>
      <c r="N242" t="s">
        <v>7641</v>
      </c>
      <c r="O242" t="s">
        <v>7494</v>
      </c>
      <c r="S242">
        <f>IFERROR(VLOOKUP(E242,'VALORES VIAJES'!$A$2:$B$13,2,FALSE),"")</f>
        <v>160000</v>
      </c>
      <c r="T242" t="str">
        <f>IFERROR(VLOOKUP(H242,'VALORES VIAJES'!$A$2:$B$24,2,FALSE),"")</f>
        <v/>
      </c>
      <c r="U242" t="str">
        <f>IFERROR(VLOOKUP(I242,'VALORES VIAJES'!$A$2:$B$24,2,FALSE),"")</f>
        <v/>
      </c>
      <c r="V242" t="str">
        <f>IFERROR(VLOOKUP(K242,'VALORES VIAJES'!$A$2:$B$24,2,FALSE),"")</f>
        <v/>
      </c>
      <c r="X242" s="208">
        <f>SUM(Hoja1[[#This Row],[$ X TIP VEHICUL]:[AGREGADO]])</f>
        <v>160000</v>
      </c>
    </row>
    <row r="243" spans="1:24" hidden="1" x14ac:dyDescent="0.25">
      <c r="A243">
        <v>242</v>
      </c>
      <c r="B243" s="189">
        <v>45390</v>
      </c>
      <c r="C243" t="s">
        <v>7481</v>
      </c>
      <c r="D243" t="s">
        <v>7481</v>
      </c>
      <c r="E243" t="s">
        <v>7441</v>
      </c>
      <c r="F243" t="s">
        <v>7485</v>
      </c>
      <c r="G243" t="s">
        <v>7482</v>
      </c>
      <c r="I243" t="s">
        <v>7657</v>
      </c>
      <c r="J243" s="189"/>
      <c r="L243" t="s">
        <v>7463</v>
      </c>
      <c r="M243" s="205">
        <v>0.25</v>
      </c>
      <c r="N243" t="s">
        <v>7477</v>
      </c>
      <c r="O243" t="s">
        <v>7478</v>
      </c>
      <c r="Q243">
        <v>11927</v>
      </c>
      <c r="R243" t="s">
        <v>7697</v>
      </c>
      <c r="S243">
        <f>IFERROR(VLOOKUP(E243,'VALORES VIAJES'!$A$2:$B$13,2,FALSE),"")</f>
        <v>210000</v>
      </c>
      <c r="T243" t="str">
        <f>IFERROR(VLOOKUP(H243,'VALORES VIAJES'!$A$2:$B$24,2,FALSE),"")</f>
        <v/>
      </c>
      <c r="U243" t="str">
        <f>IFERROR(VLOOKUP(I243,'VALORES VIAJES'!$A$2:$B$24,2,FALSE),"")</f>
        <v/>
      </c>
      <c r="V243" t="str">
        <f>IFERROR(VLOOKUP(K243,'VALORES VIAJES'!$A$2:$B$24,2,FALSE),"")</f>
        <v/>
      </c>
      <c r="X243" s="208">
        <f>SUM(Hoja1[[#This Row],[$ X TIP VEHICUL]:[AGREGADO]])</f>
        <v>210000</v>
      </c>
    </row>
    <row r="244" spans="1:24" hidden="1" x14ac:dyDescent="0.25">
      <c r="A244">
        <v>243</v>
      </c>
      <c r="B244" s="189">
        <v>45390</v>
      </c>
      <c r="C244" t="s">
        <v>7461</v>
      </c>
      <c r="D244" t="s">
        <v>6906</v>
      </c>
      <c r="E244" t="s">
        <v>7442</v>
      </c>
      <c r="F244" t="s">
        <v>7698</v>
      </c>
      <c r="G244" t="s">
        <v>6906</v>
      </c>
      <c r="J244" s="189"/>
      <c r="L244" t="s">
        <v>7463</v>
      </c>
      <c r="M244" s="205">
        <v>0.33333333333333326</v>
      </c>
      <c r="N244" t="s">
        <v>7641</v>
      </c>
      <c r="O244" t="s">
        <v>7494</v>
      </c>
      <c r="Q244">
        <v>6782</v>
      </c>
      <c r="R244">
        <v>50590</v>
      </c>
      <c r="S244">
        <f>IFERROR(VLOOKUP(E244,'VALORES VIAJES'!$A$2:$B$13,2,FALSE),"")</f>
        <v>160000</v>
      </c>
      <c r="T244" t="str">
        <f>IFERROR(VLOOKUP(H244,'VALORES VIAJES'!$A$2:$B$24,2,FALSE),"")</f>
        <v/>
      </c>
      <c r="U244" t="str">
        <f>IFERROR(VLOOKUP(I244,'VALORES VIAJES'!$A$2:$B$24,2,FALSE),"")</f>
        <v/>
      </c>
      <c r="V244" t="str">
        <f>IFERROR(VLOOKUP(K244,'VALORES VIAJES'!$A$2:$B$24,2,FALSE),"")</f>
        <v/>
      </c>
      <c r="X244" s="208">
        <f>SUM(Hoja1[[#This Row],[$ X TIP VEHICUL]:[AGREGADO]])</f>
        <v>160000</v>
      </c>
    </row>
    <row r="245" spans="1:24" hidden="1" x14ac:dyDescent="0.25">
      <c r="A245">
        <v>244</v>
      </c>
      <c r="B245" s="189">
        <v>45390</v>
      </c>
      <c r="C245" t="s">
        <v>7461</v>
      </c>
      <c r="D245" t="s">
        <v>7699</v>
      </c>
      <c r="E245" t="s">
        <v>7442</v>
      </c>
      <c r="F245" t="s">
        <v>7669</v>
      </c>
      <c r="G245" t="s">
        <v>7699</v>
      </c>
      <c r="J245" s="189"/>
      <c r="L245" t="s">
        <v>7463</v>
      </c>
      <c r="M245" s="205">
        <v>0.58333333333333326</v>
      </c>
      <c r="N245" t="s">
        <v>7641</v>
      </c>
      <c r="O245" t="s">
        <v>7494</v>
      </c>
      <c r="Q245">
        <v>6152</v>
      </c>
      <c r="R245">
        <v>51569</v>
      </c>
      <c r="S245">
        <f>IFERROR(VLOOKUP(E245,'VALORES VIAJES'!$A$2:$B$13,2,FALSE),"")</f>
        <v>160000</v>
      </c>
      <c r="T245" t="str">
        <f>IFERROR(VLOOKUP(H245,'VALORES VIAJES'!$A$2:$B$24,2,FALSE),"")</f>
        <v/>
      </c>
      <c r="U245" t="str">
        <f>IFERROR(VLOOKUP(I245,'VALORES VIAJES'!$A$2:$B$24,2,FALSE),"")</f>
        <v/>
      </c>
      <c r="V245" t="str">
        <f>IFERROR(VLOOKUP(K245,'VALORES VIAJES'!$A$2:$B$24,2,FALSE),"")</f>
        <v/>
      </c>
      <c r="X245" s="208">
        <f>SUM(Hoja1[[#This Row],[$ X TIP VEHICUL]:[AGREGADO]])</f>
        <v>160000</v>
      </c>
    </row>
    <row r="246" spans="1:24" hidden="1" x14ac:dyDescent="0.25">
      <c r="A246">
        <v>245</v>
      </c>
      <c r="B246" s="189">
        <v>45390</v>
      </c>
      <c r="C246" t="s">
        <v>7461</v>
      </c>
      <c r="D246" t="s">
        <v>6896</v>
      </c>
      <c r="E246" t="s">
        <v>7443</v>
      </c>
      <c r="F246" t="s">
        <v>6954</v>
      </c>
      <c r="G246" t="s">
        <v>6896</v>
      </c>
      <c r="J246" s="189"/>
      <c r="L246" t="s">
        <v>7700</v>
      </c>
      <c r="M246" s="205">
        <v>0.375</v>
      </c>
      <c r="N246" t="s">
        <v>7464</v>
      </c>
      <c r="O246" t="s">
        <v>7656</v>
      </c>
      <c r="Q246">
        <v>18334</v>
      </c>
      <c r="R246">
        <v>51689</v>
      </c>
      <c r="S246">
        <f>IFERROR(VLOOKUP(E246,'VALORES VIAJES'!$A$2:$B$13,2,FALSE),"")</f>
        <v>210000</v>
      </c>
      <c r="T246" t="str">
        <f>IFERROR(VLOOKUP(H246,'VALORES VIAJES'!$A$2:$B$24,2,FALSE),"")</f>
        <v/>
      </c>
      <c r="U246" t="str">
        <f>IFERROR(VLOOKUP(I246,'VALORES VIAJES'!$A$2:$B$24,2,FALSE),"")</f>
        <v/>
      </c>
      <c r="V246" t="str">
        <f>IFERROR(VLOOKUP(K246,'VALORES VIAJES'!$A$2:$B$24,2,FALSE),"")</f>
        <v/>
      </c>
      <c r="X246" s="208">
        <f>SUM(Hoja1[[#This Row],[$ X TIP VEHICUL]:[AGREGADO]])</f>
        <v>210000</v>
      </c>
    </row>
    <row r="247" spans="1:24" hidden="1" x14ac:dyDescent="0.25">
      <c r="A247">
        <v>246</v>
      </c>
      <c r="B247" s="189">
        <v>45390</v>
      </c>
      <c r="C247" t="s">
        <v>7461</v>
      </c>
      <c r="D247" t="s">
        <v>6896</v>
      </c>
      <c r="E247" t="s">
        <v>7443</v>
      </c>
      <c r="F247" t="s">
        <v>6954</v>
      </c>
      <c r="G247" t="s">
        <v>6896</v>
      </c>
      <c r="J247" s="189"/>
      <c r="L247" t="s">
        <v>7701</v>
      </c>
      <c r="M247" s="205">
        <v>0.375</v>
      </c>
      <c r="N247" t="s">
        <v>7480</v>
      </c>
      <c r="O247" t="s">
        <v>7465</v>
      </c>
      <c r="Q247">
        <v>18334</v>
      </c>
      <c r="R247">
        <v>51690</v>
      </c>
      <c r="S247">
        <f>IFERROR(VLOOKUP(E247,'VALORES VIAJES'!$A$2:$B$13,2,FALSE),"")</f>
        <v>210000</v>
      </c>
      <c r="T247" t="str">
        <f>IFERROR(VLOOKUP(H247,'VALORES VIAJES'!$A$2:$B$24,2,FALSE),"")</f>
        <v/>
      </c>
      <c r="U247" t="str">
        <f>IFERROR(VLOOKUP(I247,'VALORES VIAJES'!$A$2:$B$24,2,FALSE),"")</f>
        <v/>
      </c>
      <c r="V247" t="str">
        <f>IFERROR(VLOOKUP(K247,'VALORES VIAJES'!$A$2:$B$24,2,FALSE),"")</f>
        <v/>
      </c>
      <c r="X247" s="208">
        <f>SUM(Hoja1[[#This Row],[$ X TIP VEHICUL]:[AGREGADO]])</f>
        <v>210000</v>
      </c>
    </row>
    <row r="248" spans="1:24" hidden="1" x14ac:dyDescent="0.25">
      <c r="A248">
        <v>247</v>
      </c>
      <c r="B248" s="189">
        <v>45390</v>
      </c>
      <c r="C248" t="s">
        <v>7461</v>
      </c>
      <c r="D248" t="s">
        <v>6906</v>
      </c>
      <c r="E248" t="s">
        <v>7443</v>
      </c>
      <c r="F248" t="s">
        <v>6954</v>
      </c>
      <c r="G248" t="s">
        <v>6906</v>
      </c>
      <c r="J248" s="189"/>
      <c r="L248" t="s">
        <v>7702</v>
      </c>
      <c r="M248" s="205">
        <v>0.375</v>
      </c>
      <c r="N248" t="s">
        <v>7504</v>
      </c>
      <c r="O248" t="s">
        <v>7505</v>
      </c>
      <c r="Q248">
        <v>14007</v>
      </c>
      <c r="R248">
        <v>51691</v>
      </c>
      <c r="S248">
        <f>IFERROR(VLOOKUP(E248,'VALORES VIAJES'!$A$2:$B$13,2,FALSE),"")</f>
        <v>210000</v>
      </c>
      <c r="T248" t="str">
        <f>IFERROR(VLOOKUP(H248,'VALORES VIAJES'!$A$2:$B$24,2,FALSE),"")</f>
        <v/>
      </c>
      <c r="U248" t="str">
        <f>IFERROR(VLOOKUP(I248,'VALORES VIAJES'!$A$2:$B$24,2,FALSE),"")</f>
        <v/>
      </c>
      <c r="V248" t="str">
        <f>IFERROR(VLOOKUP(K248,'VALORES VIAJES'!$A$2:$B$24,2,FALSE),"")</f>
        <v/>
      </c>
      <c r="X248" s="208">
        <f>SUM(Hoja1[[#This Row],[$ X TIP VEHICUL]:[AGREGADO]])</f>
        <v>210000</v>
      </c>
    </row>
    <row r="249" spans="1:24" hidden="1" x14ac:dyDescent="0.25">
      <c r="A249">
        <v>248</v>
      </c>
      <c r="B249" s="189">
        <v>45390</v>
      </c>
      <c r="C249" t="s">
        <v>7461</v>
      </c>
      <c r="D249" t="s">
        <v>7498</v>
      </c>
      <c r="E249" t="s">
        <v>7441</v>
      </c>
      <c r="F249" t="s">
        <v>6954</v>
      </c>
      <c r="G249" t="s">
        <v>7498</v>
      </c>
      <c r="J249" s="189"/>
      <c r="L249" t="s">
        <v>7463</v>
      </c>
      <c r="M249" s="205">
        <v>0.375</v>
      </c>
      <c r="N249" t="s">
        <v>7469</v>
      </c>
      <c r="O249" t="s">
        <v>7470</v>
      </c>
      <c r="Q249">
        <v>13207</v>
      </c>
      <c r="R249">
        <v>51696</v>
      </c>
      <c r="S249">
        <f>IFERROR(VLOOKUP(E249,'VALORES VIAJES'!$A$2:$B$13,2,FALSE),"")</f>
        <v>210000</v>
      </c>
      <c r="T249" t="str">
        <f>IFERROR(VLOOKUP(H249,'VALORES VIAJES'!$A$2:$B$24,2,FALSE),"")</f>
        <v/>
      </c>
      <c r="U249" t="str">
        <f>IFERROR(VLOOKUP(I249,'VALORES VIAJES'!$A$2:$B$24,2,FALSE),"")</f>
        <v/>
      </c>
      <c r="V249" t="str">
        <f>IFERROR(VLOOKUP(K249,'VALORES VIAJES'!$A$2:$B$24,2,FALSE),"")</f>
        <v/>
      </c>
      <c r="X249" s="208">
        <f>SUM(Hoja1[[#This Row],[$ X TIP VEHICUL]:[AGREGADO]])</f>
        <v>210000</v>
      </c>
    </row>
    <row r="250" spans="1:24" hidden="1" x14ac:dyDescent="0.25">
      <c r="A250">
        <v>249</v>
      </c>
      <c r="B250" s="189">
        <v>45391</v>
      </c>
      <c r="C250" t="s">
        <v>7461</v>
      </c>
      <c r="D250" t="s">
        <v>3982</v>
      </c>
      <c r="E250" t="s">
        <v>7442</v>
      </c>
      <c r="F250" t="s">
        <v>7703</v>
      </c>
      <c r="G250" t="s">
        <v>3982</v>
      </c>
      <c r="J250" s="189"/>
      <c r="L250" t="s">
        <v>7463</v>
      </c>
      <c r="M250" s="205">
        <v>0.375</v>
      </c>
      <c r="N250" t="s">
        <v>7641</v>
      </c>
      <c r="O250" t="s">
        <v>7494</v>
      </c>
      <c r="Q250">
        <v>6152</v>
      </c>
      <c r="R250">
        <v>50595</v>
      </c>
      <c r="S250">
        <f>IFERROR(VLOOKUP(E250,'VALORES VIAJES'!$A$2:$B$13,2,FALSE),"")</f>
        <v>160000</v>
      </c>
      <c r="T250" t="str">
        <f>IFERROR(VLOOKUP(H250,'VALORES VIAJES'!$A$2:$B$24,2,FALSE),"")</f>
        <v/>
      </c>
      <c r="U250" t="str">
        <f>IFERROR(VLOOKUP(I250,'VALORES VIAJES'!$A$2:$B$24,2,FALSE),"")</f>
        <v/>
      </c>
      <c r="V250" t="str">
        <f>IFERROR(VLOOKUP(K250,'VALORES VIAJES'!$A$2:$B$24,2,FALSE),"")</f>
        <v/>
      </c>
      <c r="X250" s="208">
        <f>SUM(Hoja1[[#This Row],[$ X TIP VEHICUL]:[AGREGADO]])</f>
        <v>160000</v>
      </c>
    </row>
    <row r="251" spans="1:24" hidden="1" x14ac:dyDescent="0.25">
      <c r="A251">
        <v>250</v>
      </c>
      <c r="B251" s="189">
        <v>45391</v>
      </c>
      <c r="C251" t="s">
        <v>7461</v>
      </c>
      <c r="D251" t="s">
        <v>6896</v>
      </c>
      <c r="E251" t="s">
        <v>7443</v>
      </c>
      <c r="F251" t="s">
        <v>6954</v>
      </c>
      <c r="G251" t="s">
        <v>6896</v>
      </c>
      <c r="J251" s="189"/>
      <c r="L251" t="s">
        <v>7734</v>
      </c>
      <c r="M251" s="205">
        <v>0.33333333333333326</v>
      </c>
      <c r="N251" t="s">
        <v>7504</v>
      </c>
      <c r="O251" t="s">
        <v>7505</v>
      </c>
      <c r="Q251">
        <v>18334</v>
      </c>
      <c r="R251">
        <v>51699</v>
      </c>
      <c r="S251">
        <f>IFERROR(VLOOKUP(E251,'VALORES VIAJES'!$A$2:$B$13,2,FALSE),"")</f>
        <v>210000</v>
      </c>
      <c r="T251" t="str">
        <f>IFERROR(VLOOKUP(H251,'VALORES VIAJES'!$A$2:$B$24,2,FALSE),"")</f>
        <v/>
      </c>
      <c r="U251" t="str">
        <f>IFERROR(VLOOKUP(I251,'VALORES VIAJES'!$A$2:$B$24,2,FALSE),"")</f>
        <v/>
      </c>
      <c r="V251" t="str">
        <f>IFERROR(VLOOKUP(K251,'VALORES VIAJES'!$A$2:$B$24,2,FALSE),"")</f>
        <v/>
      </c>
      <c r="X251" s="208">
        <f>SUM(Hoja1[[#This Row],[$ X TIP VEHICUL]:[AGREGADO]])</f>
        <v>210000</v>
      </c>
    </row>
    <row r="252" spans="1:24" hidden="1" x14ac:dyDescent="0.25">
      <c r="A252">
        <v>251</v>
      </c>
      <c r="B252" s="189">
        <v>45391</v>
      </c>
      <c r="C252" t="s">
        <v>7461</v>
      </c>
      <c r="D252" t="s">
        <v>7475</v>
      </c>
      <c r="E252" t="s">
        <v>7443</v>
      </c>
      <c r="F252" t="s">
        <v>6954</v>
      </c>
      <c r="G252" t="s">
        <v>7530</v>
      </c>
      <c r="J252" s="189"/>
      <c r="L252" t="s">
        <v>7704</v>
      </c>
      <c r="M252" s="205">
        <v>0.33333333333333326</v>
      </c>
      <c r="N252" t="s">
        <v>7473</v>
      </c>
      <c r="O252" t="s">
        <v>7474</v>
      </c>
      <c r="Q252">
        <v>18334</v>
      </c>
      <c r="R252">
        <v>51604</v>
      </c>
      <c r="S252">
        <f>IFERROR(VLOOKUP(E252,'VALORES VIAJES'!$A$2:$B$13,2,FALSE),"")</f>
        <v>210000</v>
      </c>
      <c r="T252" t="str">
        <f>IFERROR(VLOOKUP(H252,'VALORES VIAJES'!$A$2:$B$24,2,FALSE),"")</f>
        <v/>
      </c>
      <c r="U252" t="str">
        <f>IFERROR(VLOOKUP(I252,'VALORES VIAJES'!$A$2:$B$24,2,FALSE),"")</f>
        <v/>
      </c>
      <c r="V252" t="str">
        <f>IFERROR(VLOOKUP(K252,'VALORES VIAJES'!$A$2:$B$24,2,FALSE),"")</f>
        <v/>
      </c>
      <c r="X252" s="208">
        <f>SUM(Hoja1[[#This Row],[$ X TIP VEHICUL]:[AGREGADO]])</f>
        <v>210000</v>
      </c>
    </row>
    <row r="253" spans="1:24" hidden="1" x14ac:dyDescent="0.25">
      <c r="A253">
        <v>252</v>
      </c>
      <c r="B253" s="189">
        <v>45391</v>
      </c>
      <c r="C253" t="s">
        <v>7461</v>
      </c>
      <c r="D253" t="s">
        <v>7475</v>
      </c>
      <c r="E253" t="s">
        <v>7443</v>
      </c>
      <c r="F253" t="s">
        <v>6954</v>
      </c>
      <c r="G253" t="s">
        <v>7530</v>
      </c>
      <c r="J253" s="189"/>
      <c r="L253" t="s">
        <v>7705</v>
      </c>
      <c r="M253" s="205">
        <v>0.33333333333333326</v>
      </c>
      <c r="N253" t="s">
        <v>7464</v>
      </c>
      <c r="O253" t="s">
        <v>7656</v>
      </c>
      <c r="Q253">
        <v>18334</v>
      </c>
      <c r="R253">
        <v>51603</v>
      </c>
      <c r="S253">
        <f>IFERROR(VLOOKUP(E253,'VALORES VIAJES'!$A$2:$B$13,2,FALSE),"")</f>
        <v>210000</v>
      </c>
      <c r="T253" t="str">
        <f>IFERROR(VLOOKUP(H253,'VALORES VIAJES'!$A$2:$B$24,2,FALSE),"")</f>
        <v/>
      </c>
      <c r="U253" t="str">
        <f>IFERROR(VLOOKUP(I253,'VALORES VIAJES'!$A$2:$B$24,2,FALSE),"")</f>
        <v/>
      </c>
      <c r="V253" t="str">
        <f>IFERROR(VLOOKUP(K253,'VALORES VIAJES'!$A$2:$B$24,2,FALSE),"")</f>
        <v/>
      </c>
      <c r="X253" s="208">
        <f>SUM(Hoja1[[#This Row],[$ X TIP VEHICUL]:[AGREGADO]])</f>
        <v>210000</v>
      </c>
    </row>
    <row r="254" spans="1:24" hidden="1" x14ac:dyDescent="0.25">
      <c r="A254">
        <v>253</v>
      </c>
      <c r="B254" s="189">
        <v>45391</v>
      </c>
      <c r="C254" t="s">
        <v>7461</v>
      </c>
      <c r="D254" t="s">
        <v>7676</v>
      </c>
      <c r="E254" t="s">
        <v>7443</v>
      </c>
      <c r="F254" t="s">
        <v>6954</v>
      </c>
      <c r="G254" t="s">
        <v>7676</v>
      </c>
      <c r="J254" s="189"/>
      <c r="L254" t="s">
        <v>7679</v>
      </c>
      <c r="M254" s="205">
        <v>0.375</v>
      </c>
      <c r="N254" t="s">
        <v>7480</v>
      </c>
      <c r="O254" t="s">
        <v>7465</v>
      </c>
      <c r="Q254">
        <v>10734</v>
      </c>
      <c r="R254">
        <v>51700</v>
      </c>
      <c r="S254">
        <f>IFERROR(VLOOKUP(E254,'VALORES VIAJES'!$A$2:$B$13,2,FALSE),"")</f>
        <v>210000</v>
      </c>
      <c r="T254" t="str">
        <f>IFERROR(VLOOKUP(H254,'VALORES VIAJES'!$A$2:$B$24,2,FALSE),"")</f>
        <v/>
      </c>
      <c r="U254" t="str">
        <f>IFERROR(VLOOKUP(I254,'VALORES VIAJES'!$A$2:$B$24,2,FALSE),"")</f>
        <v/>
      </c>
      <c r="V254" t="str">
        <f>IFERROR(VLOOKUP(K254,'VALORES VIAJES'!$A$2:$B$24,2,FALSE),"")</f>
        <v/>
      </c>
      <c r="X254" s="208">
        <f>SUM(Hoja1[[#This Row],[$ X TIP VEHICUL]:[AGREGADO]])</f>
        <v>210000</v>
      </c>
    </row>
    <row r="255" spans="1:24" hidden="1" x14ac:dyDescent="0.25">
      <c r="A255">
        <v>254</v>
      </c>
      <c r="B255" s="189">
        <v>45392</v>
      </c>
      <c r="C255" t="s">
        <v>7461</v>
      </c>
      <c r="D255" t="s">
        <v>7632</v>
      </c>
      <c r="E255" t="s">
        <v>7441</v>
      </c>
      <c r="F255" t="s">
        <v>7633</v>
      </c>
      <c r="G255" t="s">
        <v>7632</v>
      </c>
      <c r="J255" s="189"/>
      <c r="L255" t="s">
        <v>7463</v>
      </c>
      <c r="M255" s="205">
        <v>0.41666666666666674</v>
      </c>
      <c r="N255" t="s">
        <v>7469</v>
      </c>
      <c r="O255" t="s">
        <v>7470</v>
      </c>
      <c r="Q255">
        <v>12734</v>
      </c>
      <c r="S255">
        <f>IFERROR(VLOOKUP(E255,'VALORES VIAJES'!$A$2:$B$13,2,FALSE),"")</f>
        <v>210000</v>
      </c>
      <c r="T255" t="str">
        <f>IFERROR(VLOOKUP(H255,'VALORES VIAJES'!$A$2:$B$24,2,FALSE),"")</f>
        <v/>
      </c>
      <c r="U255" t="str">
        <f>IFERROR(VLOOKUP(I255,'VALORES VIAJES'!$A$2:$B$24,2,FALSE),"")</f>
        <v/>
      </c>
      <c r="V255" t="str">
        <f>IFERROR(VLOOKUP(K255,'VALORES VIAJES'!$A$2:$B$24,2,FALSE),"")</f>
        <v/>
      </c>
      <c r="X255" s="208">
        <f>SUM(Hoja1[[#This Row],[$ X TIP VEHICUL]:[AGREGADO]])</f>
        <v>210000</v>
      </c>
    </row>
    <row r="256" spans="1:24" hidden="1" x14ac:dyDescent="0.25">
      <c r="A256">
        <v>255</v>
      </c>
      <c r="B256" s="189">
        <v>45392</v>
      </c>
      <c r="C256" t="s">
        <v>7461</v>
      </c>
      <c r="D256" t="s">
        <v>7632</v>
      </c>
      <c r="E256" t="s">
        <v>7442</v>
      </c>
      <c r="F256" t="s">
        <v>7633</v>
      </c>
      <c r="G256" t="s">
        <v>7632</v>
      </c>
      <c r="J256" s="189"/>
      <c r="L256" t="s">
        <v>7463</v>
      </c>
      <c r="M256" s="205">
        <v>0.41666666666666674</v>
      </c>
      <c r="N256" t="s">
        <v>7641</v>
      </c>
      <c r="O256" t="s">
        <v>7494</v>
      </c>
      <c r="Q256">
        <v>8752</v>
      </c>
      <c r="R256">
        <v>51573</v>
      </c>
      <c r="S256">
        <f>IFERROR(VLOOKUP(E256,'VALORES VIAJES'!$A$2:$B$13,2,FALSE),"")</f>
        <v>160000</v>
      </c>
      <c r="T256" t="str">
        <f>IFERROR(VLOOKUP(H256,'VALORES VIAJES'!$A$2:$B$24,2,FALSE),"")</f>
        <v/>
      </c>
      <c r="U256" t="str">
        <f>IFERROR(VLOOKUP(I256,'VALORES VIAJES'!$A$2:$B$24,2,FALSE),"")</f>
        <v/>
      </c>
      <c r="V256" t="str">
        <f>IFERROR(VLOOKUP(K256,'VALORES VIAJES'!$A$2:$B$24,2,FALSE),"")</f>
        <v/>
      </c>
      <c r="X256" s="208">
        <f>SUM(Hoja1[[#This Row],[$ X TIP VEHICUL]:[AGREGADO]])</f>
        <v>160000</v>
      </c>
    </row>
    <row r="257" spans="1:24" hidden="1" x14ac:dyDescent="0.25">
      <c r="A257">
        <v>256</v>
      </c>
      <c r="B257" s="189">
        <v>45392</v>
      </c>
      <c r="C257" t="s">
        <v>7461</v>
      </c>
      <c r="D257" t="s">
        <v>3562</v>
      </c>
      <c r="E257" t="s">
        <v>7443</v>
      </c>
      <c r="F257" t="s">
        <v>6954</v>
      </c>
      <c r="G257" t="s">
        <v>7545</v>
      </c>
      <c r="J257" s="189"/>
      <c r="L257" t="s">
        <v>7706</v>
      </c>
      <c r="M257" s="205">
        <v>0.33333333333333326</v>
      </c>
      <c r="N257" t="s">
        <v>7473</v>
      </c>
      <c r="O257" t="s">
        <v>7474</v>
      </c>
      <c r="Q257">
        <v>18334</v>
      </c>
      <c r="R257">
        <v>51615</v>
      </c>
      <c r="S257">
        <f>IFERROR(VLOOKUP(E257,'VALORES VIAJES'!$A$2:$B$13,2,FALSE),"")</f>
        <v>210000</v>
      </c>
      <c r="T257" t="str">
        <f>IFERROR(VLOOKUP(H257,'VALORES VIAJES'!$A$2:$B$24,2,FALSE),"")</f>
        <v/>
      </c>
      <c r="U257" t="str">
        <f>IFERROR(VLOOKUP(I257,'VALORES VIAJES'!$A$2:$B$24,2,FALSE),"")</f>
        <v/>
      </c>
      <c r="V257" t="str">
        <f>IFERROR(VLOOKUP(K257,'VALORES VIAJES'!$A$2:$B$24,2,FALSE),"")</f>
        <v/>
      </c>
      <c r="X257" s="208">
        <f>SUM(Hoja1[[#This Row],[$ X TIP VEHICUL]:[AGREGADO]])</f>
        <v>210000</v>
      </c>
    </row>
    <row r="258" spans="1:24" hidden="1" x14ac:dyDescent="0.25">
      <c r="A258">
        <v>257</v>
      </c>
      <c r="B258" s="189">
        <v>45392</v>
      </c>
      <c r="C258" t="s">
        <v>7461</v>
      </c>
      <c r="D258" t="s">
        <v>3562</v>
      </c>
      <c r="E258" t="s">
        <v>7443</v>
      </c>
      <c r="F258" t="s">
        <v>6954</v>
      </c>
      <c r="G258" t="s">
        <v>7545</v>
      </c>
      <c r="J258" s="189"/>
      <c r="L258" t="s">
        <v>7707</v>
      </c>
      <c r="M258" s="205">
        <v>0.33333333333333326</v>
      </c>
      <c r="N258" t="s">
        <v>7464</v>
      </c>
      <c r="O258" t="s">
        <v>7656</v>
      </c>
      <c r="Q258">
        <v>18334</v>
      </c>
      <c r="R258">
        <v>51616</v>
      </c>
      <c r="S258">
        <f>IFERROR(VLOOKUP(E258,'VALORES VIAJES'!$A$2:$B$13,2,FALSE),"")</f>
        <v>210000</v>
      </c>
      <c r="T258" t="str">
        <f>IFERROR(VLOOKUP(H258,'VALORES VIAJES'!$A$2:$B$24,2,FALSE),"")</f>
        <v/>
      </c>
      <c r="U258" t="str">
        <f>IFERROR(VLOOKUP(I258,'VALORES VIAJES'!$A$2:$B$24,2,FALSE),"")</f>
        <v/>
      </c>
      <c r="V258" t="str">
        <f>IFERROR(VLOOKUP(K258,'VALORES VIAJES'!$A$2:$B$24,2,FALSE),"")</f>
        <v/>
      </c>
      <c r="X258" s="208">
        <f>SUM(Hoja1[[#This Row],[$ X TIP VEHICUL]:[AGREGADO]])</f>
        <v>210000</v>
      </c>
    </row>
    <row r="259" spans="1:24" hidden="1" x14ac:dyDescent="0.25">
      <c r="A259">
        <v>258</v>
      </c>
      <c r="B259" s="189">
        <v>45392</v>
      </c>
      <c r="C259" t="s">
        <v>7461</v>
      </c>
      <c r="D259" t="s">
        <v>7475</v>
      </c>
      <c r="E259" t="s">
        <v>7443</v>
      </c>
      <c r="F259" t="s">
        <v>6954</v>
      </c>
      <c r="G259" t="s">
        <v>7530</v>
      </c>
      <c r="J259" s="189"/>
      <c r="L259" t="s">
        <v>7708</v>
      </c>
      <c r="M259" s="205">
        <v>0.33333333333333326</v>
      </c>
      <c r="N259" t="s">
        <v>7480</v>
      </c>
      <c r="O259" t="s">
        <v>7465</v>
      </c>
      <c r="Q259">
        <v>18334</v>
      </c>
      <c r="R259">
        <v>51619</v>
      </c>
      <c r="S259">
        <f>IFERROR(VLOOKUP(E259,'VALORES VIAJES'!$A$2:$B$13,2,FALSE),"")</f>
        <v>210000</v>
      </c>
      <c r="T259" t="str">
        <f>IFERROR(VLOOKUP(H259,'VALORES VIAJES'!$A$2:$B$24,2,FALSE),"")</f>
        <v/>
      </c>
      <c r="U259" t="str">
        <f>IFERROR(VLOOKUP(I259,'VALORES VIAJES'!$A$2:$B$24,2,FALSE),"")</f>
        <v/>
      </c>
      <c r="V259" t="str">
        <f>IFERROR(VLOOKUP(K259,'VALORES VIAJES'!$A$2:$B$24,2,FALSE),"")</f>
        <v/>
      </c>
      <c r="X259" s="208">
        <f>SUM(Hoja1[[#This Row],[$ X TIP VEHICUL]:[AGREGADO]])</f>
        <v>210000</v>
      </c>
    </row>
    <row r="260" spans="1:24" hidden="1" x14ac:dyDescent="0.25">
      <c r="A260">
        <v>259</v>
      </c>
      <c r="B260" s="189">
        <v>45392</v>
      </c>
      <c r="C260" t="s">
        <v>7461</v>
      </c>
      <c r="D260" t="s">
        <v>7475</v>
      </c>
      <c r="E260" t="s">
        <v>7443</v>
      </c>
      <c r="F260" t="s">
        <v>6954</v>
      </c>
      <c r="G260" t="s">
        <v>7530</v>
      </c>
      <c r="J260" s="189"/>
      <c r="L260" t="s">
        <v>7709</v>
      </c>
      <c r="M260" s="205">
        <v>0.33333333333333326</v>
      </c>
      <c r="N260" t="s">
        <v>7477</v>
      </c>
      <c r="O260" t="s">
        <v>7478</v>
      </c>
      <c r="Q260">
        <v>18334</v>
      </c>
      <c r="R260">
        <v>51618</v>
      </c>
      <c r="S260">
        <f>IFERROR(VLOOKUP(E260,'VALORES VIAJES'!$A$2:$B$13,2,FALSE),"")</f>
        <v>210000</v>
      </c>
      <c r="T260" t="str">
        <f>IFERROR(VLOOKUP(H260,'VALORES VIAJES'!$A$2:$B$24,2,FALSE),"")</f>
        <v/>
      </c>
      <c r="U260" t="str">
        <f>IFERROR(VLOOKUP(I260,'VALORES VIAJES'!$A$2:$B$24,2,FALSE),"")</f>
        <v/>
      </c>
      <c r="V260" t="str">
        <f>IFERROR(VLOOKUP(K260,'VALORES VIAJES'!$A$2:$B$24,2,FALSE),"")</f>
        <v/>
      </c>
      <c r="X260" s="208">
        <f>SUM(Hoja1[[#This Row],[$ X TIP VEHICUL]:[AGREGADO]])</f>
        <v>210000</v>
      </c>
    </row>
    <row r="261" spans="1:24" hidden="1" x14ac:dyDescent="0.25">
      <c r="A261">
        <v>260</v>
      </c>
      <c r="B261" s="189">
        <v>45392</v>
      </c>
      <c r="C261" t="s">
        <v>7461</v>
      </c>
      <c r="D261" t="s">
        <v>6896</v>
      </c>
      <c r="E261" t="s">
        <v>7443</v>
      </c>
      <c r="F261" t="s">
        <v>7484</v>
      </c>
      <c r="G261" t="s">
        <v>6896</v>
      </c>
      <c r="I261" t="s">
        <v>7434</v>
      </c>
      <c r="J261" s="189"/>
      <c r="L261" t="s">
        <v>7710</v>
      </c>
      <c r="M261" s="205">
        <v>0.375</v>
      </c>
      <c r="N261" t="s">
        <v>7504</v>
      </c>
      <c r="O261" t="s">
        <v>7505</v>
      </c>
      <c r="Q261">
        <v>14954</v>
      </c>
      <c r="R261">
        <v>51436</v>
      </c>
      <c r="S261">
        <f>IFERROR(VLOOKUP(E261,'VALORES VIAJES'!$A$2:$B$13,2,FALSE),"")</f>
        <v>210000</v>
      </c>
      <c r="T261" t="str">
        <f>IFERROR(VLOOKUP(H261,'VALORES VIAJES'!$A$2:$B$24,2,FALSE),"")</f>
        <v/>
      </c>
      <c r="U261">
        <f>IFERROR(VLOOKUP(I261,'VALORES VIAJES'!$A$2:$B$24,2,FALSE),"")</f>
        <v>105000</v>
      </c>
      <c r="V261" t="str">
        <f>IFERROR(VLOOKUP(K261,'VALORES VIAJES'!$A$2:$B$24,2,FALSE),"")</f>
        <v/>
      </c>
      <c r="X261" s="208">
        <f>SUM(Hoja1[[#This Row],[$ X TIP VEHICUL]:[AGREGADO]])</f>
        <v>315000</v>
      </c>
    </row>
    <row r="262" spans="1:24" hidden="1" x14ac:dyDescent="0.25">
      <c r="A262">
        <v>261</v>
      </c>
      <c r="B262" s="189">
        <v>45393</v>
      </c>
      <c r="C262" t="s">
        <v>7481</v>
      </c>
      <c r="D262" t="s">
        <v>7481</v>
      </c>
      <c r="E262" t="s">
        <v>7443</v>
      </c>
      <c r="F262" t="s">
        <v>7484</v>
      </c>
      <c r="G262" t="s">
        <v>7482</v>
      </c>
      <c r="H262" t="s">
        <v>7654</v>
      </c>
      <c r="J262" s="189">
        <v>45394</v>
      </c>
      <c r="L262" t="s">
        <v>7735</v>
      </c>
      <c r="M262" s="205">
        <v>0.54166666666666674</v>
      </c>
      <c r="N262" t="s">
        <v>7504</v>
      </c>
      <c r="O262" t="s">
        <v>7505</v>
      </c>
      <c r="Q262">
        <v>21167</v>
      </c>
      <c r="R262">
        <v>18492</v>
      </c>
      <c r="S262">
        <f>IFERROR(VLOOKUP(E262,'VALORES VIAJES'!$A$2:$B$13,2,FALSE),"")</f>
        <v>210000</v>
      </c>
      <c r="T262" t="str">
        <f>IFERROR(VLOOKUP(H262,'VALORES VIAJES'!$A$2:$B$24,2,FALSE),"")</f>
        <v/>
      </c>
      <c r="U262" t="str">
        <f>IFERROR(VLOOKUP(I262,'VALORES VIAJES'!$A$2:$B$24,2,FALSE),"")</f>
        <v/>
      </c>
      <c r="V262" t="str">
        <f>IFERROR(VLOOKUP(K262,'VALORES VIAJES'!$A$2:$B$24,2,FALSE),"")</f>
        <v/>
      </c>
      <c r="X262" s="208">
        <f>SUM(Hoja1[[#This Row],[$ X TIP VEHICUL]:[AGREGADO]])</f>
        <v>210000</v>
      </c>
    </row>
    <row r="263" spans="1:24" hidden="1" x14ac:dyDescent="0.25">
      <c r="A263">
        <v>262</v>
      </c>
      <c r="B263" s="189">
        <v>45393</v>
      </c>
      <c r="C263" t="s">
        <v>7461</v>
      </c>
      <c r="D263" t="s">
        <v>6896</v>
      </c>
      <c r="E263" t="s">
        <v>7443</v>
      </c>
      <c r="F263" t="s">
        <v>6945</v>
      </c>
      <c r="G263" t="s">
        <v>6896</v>
      </c>
      <c r="H263" t="s">
        <v>7654</v>
      </c>
      <c r="J263" s="189"/>
      <c r="L263" t="s">
        <v>7724</v>
      </c>
      <c r="M263" s="205">
        <v>0.375</v>
      </c>
      <c r="N263" t="s">
        <v>7477</v>
      </c>
      <c r="O263" t="s">
        <v>7478</v>
      </c>
      <c r="Q263">
        <v>24668</v>
      </c>
      <c r="R263">
        <v>51438</v>
      </c>
      <c r="S263">
        <f>IFERROR(VLOOKUP(E263,'VALORES VIAJES'!$A$2:$B$13,2,FALSE),"")</f>
        <v>210000</v>
      </c>
      <c r="T263" t="str">
        <f>IFERROR(VLOOKUP(H263,'VALORES VIAJES'!$A$2:$B$24,2,FALSE),"")</f>
        <v/>
      </c>
      <c r="U263" t="str">
        <f>IFERROR(VLOOKUP(I263,'VALORES VIAJES'!$A$2:$B$24,2,FALSE),"")</f>
        <v/>
      </c>
      <c r="V263" t="str">
        <f>IFERROR(VLOOKUP(K263,'VALORES VIAJES'!$A$2:$B$24,2,FALSE),"")</f>
        <v/>
      </c>
      <c r="X263" s="208">
        <f>SUM(Hoja1[[#This Row],[$ X TIP VEHICUL]:[AGREGADO]])</f>
        <v>210000</v>
      </c>
    </row>
    <row r="264" spans="1:24" hidden="1" x14ac:dyDescent="0.25">
      <c r="A264">
        <v>263</v>
      </c>
      <c r="B264" s="189">
        <v>45393</v>
      </c>
      <c r="C264" t="s">
        <v>7461</v>
      </c>
      <c r="D264" t="s">
        <v>6883</v>
      </c>
      <c r="E264" t="s">
        <v>7443</v>
      </c>
      <c r="F264" t="s">
        <v>6954</v>
      </c>
      <c r="G264" t="s">
        <v>6883</v>
      </c>
      <c r="J264" s="189"/>
      <c r="L264" t="s">
        <v>7663</v>
      </c>
      <c r="M264" s="205">
        <v>0.33333333333333326</v>
      </c>
      <c r="N264" t="s">
        <v>7473</v>
      </c>
      <c r="O264" t="s">
        <v>7474</v>
      </c>
      <c r="Q264">
        <v>16407</v>
      </c>
      <c r="R264">
        <v>51628</v>
      </c>
      <c r="S264">
        <f>IFERROR(VLOOKUP(E264,'VALORES VIAJES'!$A$2:$B$13,2,FALSE),"")</f>
        <v>210000</v>
      </c>
      <c r="T264" t="str">
        <f>IFERROR(VLOOKUP(H264,'VALORES VIAJES'!$A$2:$B$24,2,FALSE),"")</f>
        <v/>
      </c>
      <c r="U264" t="str">
        <f>IFERROR(VLOOKUP(I264,'VALORES VIAJES'!$A$2:$B$24,2,FALSE),"")</f>
        <v/>
      </c>
      <c r="V264" t="str">
        <f>IFERROR(VLOOKUP(K264,'VALORES VIAJES'!$A$2:$B$24,2,FALSE),"")</f>
        <v/>
      </c>
      <c r="X264" s="208">
        <f>SUM(Hoja1[[#This Row],[$ X TIP VEHICUL]:[AGREGADO]])</f>
        <v>210000</v>
      </c>
    </row>
    <row r="265" spans="1:24" hidden="1" x14ac:dyDescent="0.25">
      <c r="A265">
        <v>264</v>
      </c>
      <c r="B265" s="189">
        <v>45393</v>
      </c>
      <c r="C265" t="s">
        <v>7461</v>
      </c>
      <c r="D265" t="s">
        <v>6883</v>
      </c>
      <c r="E265" t="s">
        <v>7443</v>
      </c>
      <c r="F265" t="s">
        <v>6954</v>
      </c>
      <c r="G265" t="s">
        <v>6883</v>
      </c>
      <c r="J265" s="189"/>
      <c r="L265" t="s">
        <v>7664</v>
      </c>
      <c r="M265" s="205">
        <v>0.33333333333333326</v>
      </c>
      <c r="N265" t="s">
        <v>7464</v>
      </c>
      <c r="O265" t="s">
        <v>7656</v>
      </c>
      <c r="Q265">
        <v>16407</v>
      </c>
      <c r="R265">
        <v>51627</v>
      </c>
      <c r="S265">
        <f>IFERROR(VLOOKUP(E265,'VALORES VIAJES'!$A$2:$B$13,2,FALSE),"")</f>
        <v>210000</v>
      </c>
      <c r="T265" t="str">
        <f>IFERROR(VLOOKUP(H265,'VALORES VIAJES'!$A$2:$B$24,2,FALSE),"")</f>
        <v/>
      </c>
      <c r="U265" t="str">
        <f>IFERROR(VLOOKUP(I265,'VALORES VIAJES'!$A$2:$B$24,2,FALSE),"")</f>
        <v/>
      </c>
      <c r="V265" t="str">
        <f>IFERROR(VLOOKUP(K265,'VALORES VIAJES'!$A$2:$B$24,2,FALSE),"")</f>
        <v/>
      </c>
      <c r="X265" s="208">
        <f>SUM(Hoja1[[#This Row],[$ X TIP VEHICUL]:[AGREGADO]])</f>
        <v>210000</v>
      </c>
    </row>
    <row r="266" spans="1:24" hidden="1" x14ac:dyDescent="0.25">
      <c r="A266">
        <v>265</v>
      </c>
      <c r="B266" s="189">
        <v>45393</v>
      </c>
      <c r="C266" t="s">
        <v>7461</v>
      </c>
      <c r="D266" t="s">
        <v>7620</v>
      </c>
      <c r="E266" t="s">
        <v>7443</v>
      </c>
      <c r="F266" t="s">
        <v>6954</v>
      </c>
      <c r="G266" t="s">
        <v>7620</v>
      </c>
      <c r="J266" s="189"/>
      <c r="L266" t="s">
        <v>7723</v>
      </c>
      <c r="M266" s="205">
        <v>0.33333333333333326</v>
      </c>
      <c r="N266" t="s">
        <v>7480</v>
      </c>
      <c r="O266" t="s">
        <v>7465</v>
      </c>
      <c r="Q266">
        <v>16407</v>
      </c>
      <c r="R266">
        <v>51631</v>
      </c>
      <c r="S266">
        <f>IFERROR(VLOOKUP(E266,'VALORES VIAJES'!$A$2:$B$13,2,FALSE),"")</f>
        <v>210000</v>
      </c>
      <c r="T266" t="str">
        <f>IFERROR(VLOOKUP(H266,'VALORES VIAJES'!$A$2:$B$24,2,FALSE),"")</f>
        <v/>
      </c>
      <c r="U266" t="str">
        <f>IFERROR(VLOOKUP(I266,'VALORES VIAJES'!$A$2:$B$24,2,FALSE),"")</f>
        <v/>
      </c>
      <c r="V266" t="str">
        <f>IFERROR(VLOOKUP(K266,'VALORES VIAJES'!$A$2:$B$24,2,FALSE),"")</f>
        <v/>
      </c>
      <c r="X266" s="208">
        <f>SUM(Hoja1[[#This Row],[$ X TIP VEHICUL]:[AGREGADO]])</f>
        <v>210000</v>
      </c>
    </row>
    <row r="267" spans="1:24" hidden="1" x14ac:dyDescent="0.25">
      <c r="A267">
        <v>266</v>
      </c>
      <c r="B267" s="189">
        <v>45393</v>
      </c>
      <c r="C267" t="s">
        <v>7461</v>
      </c>
      <c r="D267" t="s">
        <v>7509</v>
      </c>
      <c r="E267" t="s">
        <v>7441</v>
      </c>
      <c r="F267" t="s">
        <v>6954</v>
      </c>
      <c r="G267" t="s">
        <v>7509</v>
      </c>
      <c r="J267" s="189"/>
      <c r="L267" t="s">
        <v>7463</v>
      </c>
      <c r="M267" s="205">
        <v>0.375</v>
      </c>
      <c r="N267" t="s">
        <v>7469</v>
      </c>
      <c r="O267" t="s">
        <v>7470</v>
      </c>
      <c r="Q267">
        <v>10640</v>
      </c>
      <c r="R267">
        <v>51640</v>
      </c>
      <c r="S267">
        <f>IFERROR(VLOOKUP(E267,'VALORES VIAJES'!$A$2:$B$13,2,FALSE),"")</f>
        <v>210000</v>
      </c>
      <c r="T267" t="str">
        <f>IFERROR(VLOOKUP(H267,'VALORES VIAJES'!$A$2:$B$24,2,FALSE),"")</f>
        <v/>
      </c>
      <c r="U267" t="str">
        <f>IFERROR(VLOOKUP(I267,'VALORES VIAJES'!$A$2:$B$24,2,FALSE),"")</f>
        <v/>
      </c>
      <c r="V267" t="str">
        <f>IFERROR(VLOOKUP(K267,'VALORES VIAJES'!$A$2:$B$24,2,FALSE),"")</f>
        <v/>
      </c>
      <c r="X267" s="208">
        <f>SUM(Hoja1[[#This Row],[$ X TIP VEHICUL]:[AGREGADO]])</f>
        <v>210000</v>
      </c>
    </row>
    <row r="268" spans="1:24" hidden="1" x14ac:dyDescent="0.25">
      <c r="A268">
        <v>267</v>
      </c>
      <c r="B268" s="189">
        <v>45394</v>
      </c>
      <c r="C268" t="s">
        <v>7461</v>
      </c>
      <c r="D268" t="s">
        <v>6896</v>
      </c>
      <c r="E268" t="s">
        <v>7443</v>
      </c>
      <c r="F268" t="s">
        <v>6945</v>
      </c>
      <c r="G268" t="s">
        <v>6896</v>
      </c>
      <c r="I268" t="s">
        <v>7434</v>
      </c>
      <c r="J268" s="189"/>
      <c r="L268" t="s">
        <v>7736</v>
      </c>
      <c r="M268" s="205">
        <v>0.375</v>
      </c>
      <c r="N268" t="s">
        <v>7464</v>
      </c>
      <c r="O268" t="s">
        <v>7656</v>
      </c>
      <c r="Q268">
        <v>19680</v>
      </c>
      <c r="R268">
        <v>51442</v>
      </c>
      <c r="S268">
        <f>IFERROR(VLOOKUP(E268,'VALORES VIAJES'!$A$2:$B$13,2,FALSE),"")</f>
        <v>210000</v>
      </c>
      <c r="T268" t="str">
        <f>IFERROR(VLOOKUP(H268,'VALORES VIAJES'!$A$2:$B$24,2,FALSE),"")</f>
        <v/>
      </c>
      <c r="U268">
        <f>IFERROR(VLOOKUP(I268,'VALORES VIAJES'!$A$2:$B$24,2,FALSE),"")</f>
        <v>105000</v>
      </c>
      <c r="V268" t="str">
        <f>IFERROR(VLOOKUP(K268,'VALORES VIAJES'!$A$2:$B$24,2,FALSE),"")</f>
        <v/>
      </c>
      <c r="X268" s="208">
        <f>SUM(Hoja1[[#This Row],[$ X TIP VEHICUL]:[AGREGADO]])</f>
        <v>315000</v>
      </c>
    </row>
    <row r="269" spans="1:24" hidden="1" x14ac:dyDescent="0.25">
      <c r="A269">
        <v>268</v>
      </c>
      <c r="B269" s="189">
        <v>45394</v>
      </c>
      <c r="C269" t="s">
        <v>7461</v>
      </c>
      <c r="D269" t="s">
        <v>7428</v>
      </c>
      <c r="E269" t="s">
        <v>7442</v>
      </c>
      <c r="F269" t="s">
        <v>7553</v>
      </c>
      <c r="G269" t="s">
        <v>7428</v>
      </c>
      <c r="J269" s="189"/>
      <c r="L269" t="s">
        <v>7463</v>
      </c>
      <c r="M269" s="205">
        <v>0.41666666666666674</v>
      </c>
      <c r="O269" t="s">
        <v>7711</v>
      </c>
      <c r="Q269">
        <v>3150</v>
      </c>
      <c r="R269">
        <v>50898</v>
      </c>
      <c r="S269">
        <f>IFERROR(VLOOKUP(E269,'VALORES VIAJES'!$A$2:$B$13,2,FALSE),"")</f>
        <v>160000</v>
      </c>
      <c r="T269" t="str">
        <f>IFERROR(VLOOKUP(H269,'VALORES VIAJES'!$A$2:$B$24,2,FALSE),"")</f>
        <v/>
      </c>
      <c r="U269" t="str">
        <f>IFERROR(VLOOKUP(I269,'VALORES VIAJES'!$A$2:$B$24,2,FALSE),"")</f>
        <v/>
      </c>
      <c r="V269" t="str">
        <f>IFERROR(VLOOKUP(K269,'VALORES VIAJES'!$A$2:$B$24,2,FALSE),"")</f>
        <v/>
      </c>
      <c r="X269" s="208">
        <f>SUM(Hoja1[[#This Row],[$ X TIP VEHICUL]:[AGREGADO]])</f>
        <v>160000</v>
      </c>
    </row>
    <row r="270" spans="1:24" hidden="1" x14ac:dyDescent="0.25">
      <c r="A270">
        <v>269</v>
      </c>
      <c r="B270" s="189">
        <v>45394</v>
      </c>
      <c r="C270" t="s">
        <v>7461</v>
      </c>
      <c r="D270" t="s">
        <v>7620</v>
      </c>
      <c r="E270" t="s">
        <v>7443</v>
      </c>
      <c r="F270" t="s">
        <v>6954</v>
      </c>
      <c r="G270" t="s">
        <v>7620</v>
      </c>
      <c r="J270" s="189"/>
      <c r="L270" t="s">
        <v>7737</v>
      </c>
      <c r="M270" s="205">
        <v>0.33333333333333326</v>
      </c>
      <c r="N270" t="s">
        <v>7480</v>
      </c>
      <c r="O270" t="s">
        <v>7465</v>
      </c>
      <c r="Q270">
        <v>16407</v>
      </c>
      <c r="R270">
        <v>51649</v>
      </c>
      <c r="S270">
        <f>IFERROR(VLOOKUP(E270,'VALORES VIAJES'!$A$2:$B$13,2,FALSE),"")</f>
        <v>210000</v>
      </c>
      <c r="T270" t="str">
        <f>IFERROR(VLOOKUP(H270,'VALORES VIAJES'!$A$2:$B$24,2,FALSE),"")</f>
        <v/>
      </c>
      <c r="U270" t="str">
        <f>IFERROR(VLOOKUP(I270,'VALORES VIAJES'!$A$2:$B$24,2,FALSE),"")</f>
        <v/>
      </c>
      <c r="V270" t="str">
        <f>IFERROR(VLOOKUP(K270,'VALORES VIAJES'!$A$2:$B$24,2,FALSE),"")</f>
        <v/>
      </c>
      <c r="X270" s="208">
        <f>SUM(Hoja1[[#This Row],[$ X TIP VEHICUL]:[AGREGADO]])</f>
        <v>210000</v>
      </c>
    </row>
    <row r="271" spans="1:24" hidden="1" x14ac:dyDescent="0.25">
      <c r="A271">
        <v>270</v>
      </c>
      <c r="B271" s="189">
        <v>45394</v>
      </c>
      <c r="C271" t="s">
        <v>7461</v>
      </c>
      <c r="D271" t="s">
        <v>6907</v>
      </c>
      <c r="E271" t="s">
        <v>7441</v>
      </c>
      <c r="F271" t="s">
        <v>6954</v>
      </c>
      <c r="G271" t="s">
        <v>6907</v>
      </c>
      <c r="J271" s="189"/>
      <c r="L271" t="s">
        <v>7463</v>
      </c>
      <c r="M271" s="205">
        <v>0.33333333333333326</v>
      </c>
      <c r="N271" t="s">
        <v>7469</v>
      </c>
      <c r="O271" t="s">
        <v>7470</v>
      </c>
      <c r="Q271">
        <v>16407</v>
      </c>
      <c r="R271">
        <v>52003</v>
      </c>
      <c r="S271">
        <f>IFERROR(VLOOKUP(E271,'VALORES VIAJES'!$A$2:$B$13,2,FALSE),"")</f>
        <v>210000</v>
      </c>
      <c r="T271" t="str">
        <f>IFERROR(VLOOKUP(H271,'VALORES VIAJES'!$A$2:$B$24,2,FALSE),"")</f>
        <v/>
      </c>
      <c r="U271" t="str">
        <f>IFERROR(VLOOKUP(I271,'VALORES VIAJES'!$A$2:$B$24,2,FALSE),"")</f>
        <v/>
      </c>
      <c r="V271" t="str">
        <f>IFERROR(VLOOKUP(K271,'VALORES VIAJES'!$A$2:$B$24,2,FALSE),"")</f>
        <v/>
      </c>
      <c r="X271" s="208">
        <f>SUM(Hoja1[[#This Row],[$ X TIP VEHICUL]:[AGREGADO]])</f>
        <v>210000</v>
      </c>
    </row>
    <row r="272" spans="1:24" hidden="1" x14ac:dyDescent="0.25">
      <c r="A272">
        <v>271</v>
      </c>
      <c r="B272" s="189">
        <v>45394</v>
      </c>
      <c r="C272" t="s">
        <v>7461</v>
      </c>
      <c r="D272" t="s">
        <v>7727</v>
      </c>
      <c r="E272" t="s">
        <v>7442</v>
      </c>
      <c r="F272" t="s">
        <v>6954</v>
      </c>
      <c r="G272" t="s">
        <v>7727</v>
      </c>
      <c r="J272" s="189"/>
      <c r="L272" t="s">
        <v>7463</v>
      </c>
      <c r="M272" s="205">
        <v>0.375</v>
      </c>
      <c r="N272" t="s">
        <v>7641</v>
      </c>
      <c r="O272" t="s">
        <v>7494</v>
      </c>
      <c r="Q272">
        <v>13207</v>
      </c>
      <c r="R272">
        <v>52005</v>
      </c>
      <c r="S272">
        <f>IFERROR(VLOOKUP(E272,'VALORES VIAJES'!$A$2:$B$13,2,FALSE),"")</f>
        <v>160000</v>
      </c>
      <c r="T272" t="str">
        <f>IFERROR(VLOOKUP(H272,'VALORES VIAJES'!$A$2:$B$24,2,FALSE),"")</f>
        <v/>
      </c>
      <c r="U272" t="str">
        <f>IFERROR(VLOOKUP(I272,'VALORES VIAJES'!$A$2:$B$24,2,FALSE),"")</f>
        <v/>
      </c>
      <c r="V272" t="str">
        <f>IFERROR(VLOOKUP(K272,'VALORES VIAJES'!$A$2:$B$24,2,FALSE),"")</f>
        <v/>
      </c>
      <c r="X272" s="208">
        <f>SUM(Hoja1[[#This Row],[$ X TIP VEHICUL]:[AGREGADO]])</f>
        <v>160000</v>
      </c>
    </row>
    <row r="273" spans="1:24" hidden="1" x14ac:dyDescent="0.25">
      <c r="A273">
        <v>272</v>
      </c>
      <c r="B273" s="189">
        <v>45394</v>
      </c>
      <c r="C273" t="s">
        <v>7461</v>
      </c>
      <c r="D273" t="s">
        <v>7728</v>
      </c>
      <c r="E273" t="s">
        <v>7443</v>
      </c>
      <c r="F273" t="s">
        <v>6954</v>
      </c>
      <c r="G273" t="s">
        <v>7728</v>
      </c>
      <c r="J273" s="189"/>
      <c r="L273" t="s">
        <v>7738</v>
      </c>
      <c r="M273" s="205">
        <v>0.375</v>
      </c>
      <c r="N273" t="s">
        <v>7473</v>
      </c>
      <c r="O273" t="s">
        <v>7474</v>
      </c>
      <c r="Q273">
        <v>23454</v>
      </c>
      <c r="R273">
        <v>52006</v>
      </c>
      <c r="S273">
        <f>IFERROR(VLOOKUP(E273,'VALORES VIAJES'!$A$2:$B$13,2,FALSE),"")</f>
        <v>210000</v>
      </c>
      <c r="T273" t="str">
        <f>IFERROR(VLOOKUP(H273,'VALORES VIAJES'!$A$2:$B$24,2,FALSE),"")</f>
        <v/>
      </c>
      <c r="U273" t="str">
        <f>IFERROR(VLOOKUP(I273,'VALORES VIAJES'!$A$2:$B$24,2,FALSE),"")</f>
        <v/>
      </c>
      <c r="V273" t="str">
        <f>IFERROR(VLOOKUP(K273,'VALORES VIAJES'!$A$2:$B$24,2,FALSE),"")</f>
        <v/>
      </c>
      <c r="X273" s="208">
        <f>SUM(Hoja1[[#This Row],[$ X TIP VEHICUL]:[AGREGADO]])</f>
        <v>210000</v>
      </c>
    </row>
    <row r="274" spans="1:24" hidden="1" x14ac:dyDescent="0.25">
      <c r="A274">
        <v>273</v>
      </c>
      <c r="B274" s="189">
        <v>45397</v>
      </c>
      <c r="C274" t="s">
        <v>7481</v>
      </c>
      <c r="D274" t="s">
        <v>7481</v>
      </c>
      <c r="E274" t="s">
        <v>7443</v>
      </c>
      <c r="F274" t="s">
        <v>6945</v>
      </c>
      <c r="G274" t="s">
        <v>7482</v>
      </c>
      <c r="H274" t="s">
        <v>7654</v>
      </c>
      <c r="J274" s="189"/>
      <c r="L274" t="s">
        <v>7739</v>
      </c>
      <c r="M274" s="205">
        <v>0.54166666666666674</v>
      </c>
      <c r="N274" t="s">
        <v>7464</v>
      </c>
      <c r="O274" t="s">
        <v>7656</v>
      </c>
      <c r="Q274">
        <v>29061</v>
      </c>
      <c r="R274">
        <v>18500</v>
      </c>
      <c r="S274">
        <f>IFERROR(VLOOKUP(E274,'VALORES VIAJES'!$A$2:$B$13,2,FALSE),"")</f>
        <v>210000</v>
      </c>
      <c r="T274" t="str">
        <f>IFERROR(VLOOKUP(H274,'VALORES VIAJES'!$A$2:$B$24,2,FALSE),"")</f>
        <v/>
      </c>
      <c r="U274" t="str">
        <f>IFERROR(VLOOKUP(I274,'VALORES VIAJES'!$A$2:$B$24,2,FALSE),"")</f>
        <v/>
      </c>
      <c r="V274" t="str">
        <f>IFERROR(VLOOKUP(K274,'VALORES VIAJES'!$A$2:$B$24,2,FALSE),"")</f>
        <v/>
      </c>
      <c r="X274" s="208">
        <f>SUM(Hoja1[[#This Row],[$ X TIP VEHICUL]:[AGREGADO]])</f>
        <v>210000</v>
      </c>
    </row>
    <row r="275" spans="1:24" hidden="1" x14ac:dyDescent="0.25">
      <c r="A275">
        <v>274</v>
      </c>
      <c r="B275" s="189">
        <v>45397</v>
      </c>
      <c r="C275" t="s">
        <v>7481</v>
      </c>
      <c r="D275" t="s">
        <v>7481</v>
      </c>
      <c r="E275" t="s">
        <v>7443</v>
      </c>
      <c r="F275" t="s">
        <v>6945</v>
      </c>
      <c r="G275" t="s">
        <v>7503</v>
      </c>
      <c r="H275" t="s">
        <v>7673</v>
      </c>
      <c r="J275" s="189">
        <v>45399</v>
      </c>
      <c r="M275" s="205">
        <v>0.54166666666666674</v>
      </c>
      <c r="N275" t="s">
        <v>7473</v>
      </c>
      <c r="O275" t="s">
        <v>7474</v>
      </c>
      <c r="Q275">
        <v>29061</v>
      </c>
      <c r="S275">
        <f>IFERROR(VLOOKUP(E275,'VALORES VIAJES'!$A$2:$B$13,2,FALSE),"")</f>
        <v>210000</v>
      </c>
      <c r="T275">
        <f>IFERROR(VLOOKUP(H275,'VALORES VIAJES'!$A$2:$B$24,2,FALSE),"")</f>
        <v>420000</v>
      </c>
      <c r="U275" t="str">
        <f>IFERROR(VLOOKUP(I275,'VALORES VIAJES'!$A$2:$B$24,2,FALSE),"")</f>
        <v/>
      </c>
      <c r="V275" t="str">
        <f>IFERROR(VLOOKUP(K275,'VALORES VIAJES'!$A$2:$B$24,2,FALSE),"")</f>
        <v/>
      </c>
      <c r="X275" s="208">
        <f>SUM(Hoja1[[#This Row],[$ X TIP VEHICUL]:[AGREGADO]])</f>
        <v>630000</v>
      </c>
    </row>
    <row r="276" spans="1:24" hidden="1" x14ac:dyDescent="0.25">
      <c r="A276">
        <v>275</v>
      </c>
      <c r="B276" s="189">
        <v>15</v>
      </c>
      <c r="C276" t="s">
        <v>7481</v>
      </c>
      <c r="D276" t="s">
        <v>7481</v>
      </c>
      <c r="E276" t="s">
        <v>7443</v>
      </c>
      <c r="F276" t="s">
        <v>6945</v>
      </c>
      <c r="G276" t="s">
        <v>7482</v>
      </c>
      <c r="H276" t="s">
        <v>7654</v>
      </c>
      <c r="J276" s="189"/>
      <c r="M276" s="205">
        <v>0.54166666666666674</v>
      </c>
      <c r="N276" t="s">
        <v>7504</v>
      </c>
      <c r="O276" t="s">
        <v>7505</v>
      </c>
      <c r="Q276">
        <v>29061</v>
      </c>
      <c r="S276">
        <f>IFERROR(VLOOKUP(E276,'VALORES VIAJES'!$A$2:$B$13,2,FALSE),"")</f>
        <v>210000</v>
      </c>
      <c r="T276" t="str">
        <f>IFERROR(VLOOKUP(H276,'VALORES VIAJES'!$A$2:$B$24,2,FALSE),"")</f>
        <v/>
      </c>
      <c r="U276" t="str">
        <f>IFERROR(VLOOKUP(I276,'VALORES VIAJES'!$A$2:$B$24,2,FALSE),"")</f>
        <v/>
      </c>
      <c r="V276" t="str">
        <f>IFERROR(VLOOKUP(K276,'VALORES VIAJES'!$A$2:$B$24,2,FALSE),"")</f>
        <v/>
      </c>
      <c r="X276" s="208">
        <f>SUM(Hoja1[[#This Row],[$ X TIP VEHICUL]:[AGREGADO]])</f>
        <v>210000</v>
      </c>
    </row>
    <row r="277" spans="1:24" hidden="1" x14ac:dyDescent="0.25">
      <c r="A277">
        <v>276</v>
      </c>
      <c r="B277" s="189">
        <v>45397</v>
      </c>
      <c r="C277" t="s">
        <v>7481</v>
      </c>
      <c r="D277" t="s">
        <v>7481</v>
      </c>
      <c r="E277" t="s">
        <v>7441</v>
      </c>
      <c r="F277" t="s">
        <v>7485</v>
      </c>
      <c r="G277" t="s">
        <v>7482</v>
      </c>
      <c r="I277" t="s">
        <v>7657</v>
      </c>
      <c r="J277" s="189"/>
      <c r="L277" t="s">
        <v>7463</v>
      </c>
      <c r="M277" s="205">
        <v>0.25</v>
      </c>
      <c r="N277" t="s">
        <v>7477</v>
      </c>
      <c r="O277" t="s">
        <v>7478</v>
      </c>
      <c r="Q277">
        <v>11927</v>
      </c>
      <c r="R277" t="s">
        <v>7740</v>
      </c>
      <c r="S277">
        <f>IFERROR(VLOOKUP(E277,'VALORES VIAJES'!$A$2:$B$13,2,FALSE),"")</f>
        <v>210000</v>
      </c>
      <c r="T277" t="str">
        <f>IFERROR(VLOOKUP(H277,'VALORES VIAJES'!$A$2:$B$24,2,FALSE),"")</f>
        <v/>
      </c>
      <c r="U277" t="str">
        <f>IFERROR(VLOOKUP(I277,'VALORES VIAJES'!$A$2:$B$24,2,FALSE),"")</f>
        <v/>
      </c>
      <c r="V277" t="str">
        <f>IFERROR(VLOOKUP(K277,'VALORES VIAJES'!$A$2:$B$24,2,FALSE),"")</f>
        <v/>
      </c>
      <c r="X277" s="208">
        <f>SUM(Hoja1[[#This Row],[$ X TIP VEHICUL]:[AGREGADO]])</f>
        <v>210000</v>
      </c>
    </row>
    <row r="278" spans="1:24" hidden="1" x14ac:dyDescent="0.25">
      <c r="A278">
        <v>277</v>
      </c>
      <c r="B278" s="189">
        <v>45397</v>
      </c>
      <c r="C278" t="s">
        <v>7461</v>
      </c>
      <c r="D278" t="s">
        <v>7729</v>
      </c>
      <c r="E278" t="s">
        <v>7443</v>
      </c>
      <c r="F278" t="s">
        <v>7467</v>
      </c>
      <c r="G278" t="s">
        <v>7729</v>
      </c>
      <c r="J278" s="189"/>
      <c r="L278" t="s">
        <v>7741</v>
      </c>
      <c r="M278" s="205">
        <v>0.41666666666666674</v>
      </c>
      <c r="N278" t="s">
        <v>7480</v>
      </c>
      <c r="O278" t="s">
        <v>7465</v>
      </c>
      <c r="Q278">
        <v>13754</v>
      </c>
      <c r="R278">
        <v>51577</v>
      </c>
      <c r="S278">
        <f>IFERROR(VLOOKUP(E278,'VALORES VIAJES'!$A$2:$B$13,2,FALSE),"")</f>
        <v>210000</v>
      </c>
      <c r="T278" t="str">
        <f>IFERROR(VLOOKUP(H278,'VALORES VIAJES'!$A$2:$B$24,2,FALSE),"")</f>
        <v/>
      </c>
      <c r="U278" t="str">
        <f>IFERROR(VLOOKUP(I278,'VALORES VIAJES'!$A$2:$B$24,2,FALSE),"")</f>
        <v/>
      </c>
      <c r="V278" t="str">
        <f>IFERROR(VLOOKUP(K278,'VALORES VIAJES'!$A$2:$B$24,2,FALSE),"")</f>
        <v/>
      </c>
      <c r="X278" s="208">
        <f>SUM(Hoja1[[#This Row],[$ X TIP VEHICUL]:[AGREGADO]])</f>
        <v>210000</v>
      </c>
    </row>
    <row r="279" spans="1:24" hidden="1" x14ac:dyDescent="0.25">
      <c r="A279">
        <v>278</v>
      </c>
      <c r="B279" s="189">
        <v>45397</v>
      </c>
      <c r="C279" t="s">
        <v>7461</v>
      </c>
      <c r="D279" t="s">
        <v>7730</v>
      </c>
      <c r="E279" t="s">
        <v>7443</v>
      </c>
      <c r="F279" t="s">
        <v>6945</v>
      </c>
      <c r="G279" t="s">
        <v>7730</v>
      </c>
      <c r="H279" t="s">
        <v>7654</v>
      </c>
      <c r="I279" t="s">
        <v>7657</v>
      </c>
      <c r="J279" s="189"/>
      <c r="M279" s="205">
        <v>0.70833333333333326</v>
      </c>
      <c r="N279" t="s">
        <v>7469</v>
      </c>
      <c r="O279" t="s">
        <v>7470</v>
      </c>
      <c r="Q279">
        <v>23868</v>
      </c>
      <c r="S279">
        <f>IFERROR(VLOOKUP(E279,'VALORES VIAJES'!$A$2:$B$13,2,FALSE),"")</f>
        <v>210000</v>
      </c>
      <c r="T279" t="str">
        <f>IFERROR(VLOOKUP(H279,'VALORES VIAJES'!$A$2:$B$24,2,FALSE),"")</f>
        <v/>
      </c>
      <c r="U279" t="str">
        <f>IFERROR(VLOOKUP(I279,'VALORES VIAJES'!$A$2:$B$24,2,FALSE),"")</f>
        <v/>
      </c>
      <c r="V279" t="str">
        <f>IFERROR(VLOOKUP(K279,'VALORES VIAJES'!$A$2:$B$24,2,FALSE),"")</f>
        <v/>
      </c>
      <c r="X279" s="208">
        <f>SUM(Hoja1[[#This Row],[$ X TIP VEHICUL]:[AGREGADO]])</f>
        <v>210000</v>
      </c>
    </row>
    <row r="280" spans="1:24" hidden="1" x14ac:dyDescent="0.25">
      <c r="A280">
        <v>279</v>
      </c>
      <c r="B280" s="189">
        <v>45397</v>
      </c>
      <c r="C280" t="s">
        <v>7461</v>
      </c>
      <c r="D280" t="s">
        <v>7727</v>
      </c>
      <c r="E280" t="s">
        <v>7441</v>
      </c>
      <c r="F280" t="s">
        <v>6954</v>
      </c>
      <c r="G280" t="s">
        <v>7727</v>
      </c>
      <c r="J280" s="189"/>
      <c r="L280" t="s">
        <v>7463</v>
      </c>
      <c r="M280" s="205">
        <v>0.41666666666666674</v>
      </c>
      <c r="N280" t="s">
        <v>7477</v>
      </c>
      <c r="O280" t="s">
        <v>7478</v>
      </c>
      <c r="Q280">
        <v>13207</v>
      </c>
      <c r="R280">
        <v>52023</v>
      </c>
      <c r="S280">
        <f>IFERROR(VLOOKUP(E280,'VALORES VIAJES'!$A$2:$B$13,2,FALSE),"")</f>
        <v>210000</v>
      </c>
      <c r="T280" t="str">
        <f>IFERROR(VLOOKUP(H280,'VALORES VIAJES'!$A$2:$B$24,2,FALSE),"")</f>
        <v/>
      </c>
      <c r="U280" t="str">
        <f>IFERROR(VLOOKUP(I280,'VALORES VIAJES'!$A$2:$B$24,2,FALSE),"")</f>
        <v/>
      </c>
      <c r="V280" t="str">
        <f>IFERROR(VLOOKUP(K280,'VALORES VIAJES'!$A$2:$B$24,2,FALSE),"")</f>
        <v/>
      </c>
      <c r="X280" s="208">
        <f>SUM(Hoja1[[#This Row],[$ X TIP VEHICUL]:[AGREGADO]])</f>
        <v>210000</v>
      </c>
    </row>
    <row r="281" spans="1:24" hidden="1" x14ac:dyDescent="0.25">
      <c r="A281">
        <v>280</v>
      </c>
      <c r="B281" s="189">
        <v>45397</v>
      </c>
      <c r="C281" t="s">
        <v>7466</v>
      </c>
      <c r="D281" t="s">
        <v>6907</v>
      </c>
      <c r="E281" t="s">
        <v>7443</v>
      </c>
      <c r="F281" t="s">
        <v>7467</v>
      </c>
      <c r="G281" t="s">
        <v>6907</v>
      </c>
      <c r="J281" s="189"/>
      <c r="L281" t="s">
        <v>7742</v>
      </c>
      <c r="M281" s="205">
        <v>0.29166666666666674</v>
      </c>
      <c r="N281" t="s">
        <v>7473</v>
      </c>
      <c r="O281" t="s">
        <v>7474</v>
      </c>
      <c r="Q281">
        <v>16814</v>
      </c>
      <c r="R281" t="s">
        <v>7463</v>
      </c>
      <c r="S281">
        <f>IFERROR(VLOOKUP(E281,'VALORES VIAJES'!$A$2:$B$13,2,FALSE),"")</f>
        <v>210000</v>
      </c>
      <c r="T281" t="str">
        <f>IFERROR(VLOOKUP(H281,'VALORES VIAJES'!$A$2:$B$24,2,FALSE),"")</f>
        <v/>
      </c>
      <c r="U281" t="str">
        <f>IFERROR(VLOOKUP(I281,'VALORES VIAJES'!$A$2:$B$24,2,FALSE),"")</f>
        <v/>
      </c>
      <c r="V281" t="str">
        <f>IFERROR(VLOOKUP(K281,'VALORES VIAJES'!$A$2:$B$24,2,FALSE),"")</f>
        <v/>
      </c>
      <c r="X281" s="208">
        <f>SUM(Hoja1[[#This Row],[$ X TIP VEHICUL]:[AGREGADO]])</f>
        <v>210000</v>
      </c>
    </row>
    <row r="282" spans="1:24" hidden="1" x14ac:dyDescent="0.25">
      <c r="A282">
        <v>281</v>
      </c>
      <c r="B282" s="189">
        <v>45397</v>
      </c>
      <c r="C282" t="s">
        <v>7466</v>
      </c>
      <c r="D282" t="s">
        <v>6907</v>
      </c>
      <c r="E282" t="s">
        <v>7443</v>
      </c>
      <c r="F282" t="s">
        <v>7467</v>
      </c>
      <c r="G282" t="s">
        <v>6907</v>
      </c>
      <c r="J282" s="189"/>
      <c r="L282" t="s">
        <v>7743</v>
      </c>
      <c r="M282" s="205">
        <v>0.33333333333333326</v>
      </c>
      <c r="N282" t="s">
        <v>7504</v>
      </c>
      <c r="O282" t="s">
        <v>7505</v>
      </c>
      <c r="Q282">
        <v>16814</v>
      </c>
      <c r="R282" t="s">
        <v>7463</v>
      </c>
      <c r="S282">
        <f>IFERROR(VLOOKUP(E282,'VALORES VIAJES'!$A$2:$B$13,2,FALSE),"")</f>
        <v>210000</v>
      </c>
      <c r="T282" t="str">
        <f>IFERROR(VLOOKUP(H282,'VALORES VIAJES'!$A$2:$B$24,2,FALSE),"")</f>
        <v/>
      </c>
      <c r="U282" t="str">
        <f>IFERROR(VLOOKUP(I282,'VALORES VIAJES'!$A$2:$B$24,2,FALSE),"")</f>
        <v/>
      </c>
      <c r="V282" t="str">
        <f>IFERROR(VLOOKUP(K282,'VALORES VIAJES'!$A$2:$B$24,2,FALSE),"")</f>
        <v/>
      </c>
      <c r="X282" s="208">
        <f>SUM(Hoja1[[#This Row],[$ X TIP VEHICUL]:[AGREGADO]])</f>
        <v>210000</v>
      </c>
    </row>
    <row r="283" spans="1:24" hidden="1" x14ac:dyDescent="0.25">
      <c r="A283">
        <v>282</v>
      </c>
      <c r="B283" s="189">
        <v>45397</v>
      </c>
      <c r="C283" t="s">
        <v>7466</v>
      </c>
      <c r="D283" t="s">
        <v>6907</v>
      </c>
      <c r="E283" t="s">
        <v>7443</v>
      </c>
      <c r="F283" t="s">
        <v>7467</v>
      </c>
      <c r="G283" t="s">
        <v>6907</v>
      </c>
      <c r="J283" s="189"/>
      <c r="L283" t="s">
        <v>7744</v>
      </c>
      <c r="M283" s="205">
        <v>0.375</v>
      </c>
      <c r="N283" t="s">
        <v>7464</v>
      </c>
      <c r="O283" t="s">
        <v>7656</v>
      </c>
      <c r="Q283">
        <v>16814</v>
      </c>
      <c r="R283" t="s">
        <v>7463</v>
      </c>
      <c r="S283">
        <f>IFERROR(VLOOKUP(E283,'VALORES VIAJES'!$A$2:$B$13,2,FALSE),"")</f>
        <v>210000</v>
      </c>
      <c r="T283" t="str">
        <f>IFERROR(VLOOKUP(H283,'VALORES VIAJES'!$A$2:$B$24,2,FALSE),"")</f>
        <v/>
      </c>
      <c r="U283" t="str">
        <f>IFERROR(VLOOKUP(I283,'VALORES VIAJES'!$A$2:$B$24,2,FALSE),"")</f>
        <v/>
      </c>
      <c r="V283" t="str">
        <f>IFERROR(VLOOKUP(K283,'VALORES VIAJES'!$A$2:$B$24,2,FALSE),"")</f>
        <v/>
      </c>
      <c r="X283" s="208">
        <f>SUM(Hoja1[[#This Row],[$ X TIP VEHICUL]:[AGREGADO]])</f>
        <v>210000</v>
      </c>
    </row>
    <row r="284" spans="1:24" hidden="1" x14ac:dyDescent="0.25">
      <c r="A284">
        <v>283</v>
      </c>
      <c r="B284" s="189">
        <v>45397</v>
      </c>
      <c r="C284" t="s">
        <v>7466</v>
      </c>
      <c r="D284" t="s">
        <v>6907</v>
      </c>
      <c r="E284" t="s">
        <v>7443</v>
      </c>
      <c r="F284" t="s">
        <v>7467</v>
      </c>
      <c r="G284" t="s">
        <v>6907</v>
      </c>
      <c r="J284" s="189"/>
      <c r="L284" t="s">
        <v>7745</v>
      </c>
      <c r="M284" s="205">
        <v>0.41666666666666674</v>
      </c>
      <c r="N284" t="s">
        <v>7469</v>
      </c>
      <c r="O284" t="s">
        <v>7470</v>
      </c>
      <c r="Q284">
        <v>16814</v>
      </c>
      <c r="R284" t="s">
        <v>7463</v>
      </c>
      <c r="S284">
        <f>IFERROR(VLOOKUP(E284,'VALORES VIAJES'!$A$2:$B$13,2,FALSE),"")</f>
        <v>210000</v>
      </c>
      <c r="T284" t="str">
        <f>IFERROR(VLOOKUP(H284,'VALORES VIAJES'!$A$2:$B$24,2,FALSE),"")</f>
        <v/>
      </c>
      <c r="U284" t="str">
        <f>IFERROR(VLOOKUP(I284,'VALORES VIAJES'!$A$2:$B$24,2,FALSE),"")</f>
        <v/>
      </c>
      <c r="V284" t="str">
        <f>IFERROR(VLOOKUP(K284,'VALORES VIAJES'!$A$2:$B$24,2,FALSE),"")</f>
        <v/>
      </c>
      <c r="X284" s="208">
        <f>SUM(Hoja1[[#This Row],[$ X TIP VEHICUL]:[AGREGADO]])</f>
        <v>210000</v>
      </c>
    </row>
    <row r="285" spans="1:24" hidden="1" x14ac:dyDescent="0.25">
      <c r="A285">
        <v>284</v>
      </c>
      <c r="B285" s="189">
        <v>45398</v>
      </c>
      <c r="C285" t="s">
        <v>7481</v>
      </c>
      <c r="D285" t="s">
        <v>7481</v>
      </c>
      <c r="E285" t="s">
        <v>7443</v>
      </c>
      <c r="F285" t="s">
        <v>6945</v>
      </c>
      <c r="G285" t="s">
        <v>7503</v>
      </c>
      <c r="H285" t="s">
        <v>7654</v>
      </c>
      <c r="J285" s="189"/>
      <c r="M285" s="205">
        <v>0.54166666666666674</v>
      </c>
      <c r="N285" t="s">
        <v>7469</v>
      </c>
      <c r="O285" t="s">
        <v>7470</v>
      </c>
      <c r="Q285">
        <v>29061</v>
      </c>
      <c r="S285">
        <f>IFERROR(VLOOKUP(E285,'VALORES VIAJES'!$A$2:$B$13,2,FALSE),"")</f>
        <v>210000</v>
      </c>
      <c r="T285" t="str">
        <f>IFERROR(VLOOKUP(H285,'VALORES VIAJES'!$A$2:$B$24,2,FALSE),"")</f>
        <v/>
      </c>
      <c r="U285" t="str">
        <f>IFERROR(VLOOKUP(I285,'VALORES VIAJES'!$A$2:$B$24,2,FALSE),"")</f>
        <v/>
      </c>
      <c r="V285" t="str">
        <f>IFERROR(VLOOKUP(K285,'VALORES VIAJES'!$A$2:$B$24,2,FALSE),"")</f>
        <v/>
      </c>
      <c r="X285" s="208">
        <f>SUM(Hoja1[[#This Row],[$ X TIP VEHICUL]:[AGREGADO]])</f>
        <v>210000</v>
      </c>
    </row>
    <row r="286" spans="1:24" hidden="1" x14ac:dyDescent="0.25">
      <c r="A286">
        <v>285</v>
      </c>
      <c r="B286" s="189">
        <v>45398</v>
      </c>
      <c r="C286" t="s">
        <v>7461</v>
      </c>
      <c r="D286" t="s">
        <v>7731</v>
      </c>
      <c r="E286" t="s">
        <v>7443</v>
      </c>
      <c r="F286" t="s">
        <v>6945</v>
      </c>
      <c r="G286" t="s">
        <v>7731</v>
      </c>
      <c r="H286" t="s">
        <v>7654</v>
      </c>
      <c r="J286" s="189"/>
      <c r="M286" s="205">
        <v>0.45833333333333326</v>
      </c>
      <c r="N286" t="s">
        <v>7473</v>
      </c>
      <c r="O286" t="s">
        <v>7474</v>
      </c>
      <c r="Q286">
        <v>23868</v>
      </c>
      <c r="S286">
        <f>IFERROR(VLOOKUP(E286,'VALORES VIAJES'!$A$2:$B$13,2,FALSE),"")</f>
        <v>210000</v>
      </c>
      <c r="T286" t="str">
        <f>IFERROR(VLOOKUP(H286,'VALORES VIAJES'!$A$2:$B$24,2,FALSE),"")</f>
        <v/>
      </c>
      <c r="U286" t="str">
        <f>IFERROR(VLOOKUP(I286,'VALORES VIAJES'!$A$2:$B$24,2,FALSE),"")</f>
        <v/>
      </c>
      <c r="V286" t="str">
        <f>IFERROR(VLOOKUP(K286,'VALORES VIAJES'!$A$2:$B$24,2,FALSE),"")</f>
        <v/>
      </c>
      <c r="X286" s="208">
        <f>SUM(Hoja1[[#This Row],[$ X TIP VEHICUL]:[AGREGADO]])</f>
        <v>210000</v>
      </c>
    </row>
    <row r="287" spans="1:24" hidden="1" x14ac:dyDescent="0.25">
      <c r="A287">
        <v>286</v>
      </c>
      <c r="B287" s="189">
        <v>45398</v>
      </c>
      <c r="C287" t="s">
        <v>7461</v>
      </c>
      <c r="D287" t="s">
        <v>7731</v>
      </c>
      <c r="E287" t="s">
        <v>7443</v>
      </c>
      <c r="F287" t="s">
        <v>6945</v>
      </c>
      <c r="G287" t="s">
        <v>7731</v>
      </c>
      <c r="H287" t="s">
        <v>7654</v>
      </c>
      <c r="J287" s="189"/>
      <c r="M287" s="205">
        <v>0.45833333333333326</v>
      </c>
      <c r="N287" t="s">
        <v>7480</v>
      </c>
      <c r="O287" t="s">
        <v>7465</v>
      </c>
      <c r="Q287">
        <v>23868</v>
      </c>
      <c r="S287">
        <f>IFERROR(VLOOKUP(E287,'VALORES VIAJES'!$A$2:$B$13,2,FALSE),"")</f>
        <v>210000</v>
      </c>
      <c r="T287" t="str">
        <f>IFERROR(VLOOKUP(H287,'VALORES VIAJES'!$A$2:$B$24,2,FALSE),"")</f>
        <v/>
      </c>
      <c r="U287" t="str">
        <f>IFERROR(VLOOKUP(I287,'VALORES VIAJES'!$A$2:$B$24,2,FALSE),"")</f>
        <v/>
      </c>
      <c r="V287" t="str">
        <f>IFERROR(VLOOKUP(K287,'VALORES VIAJES'!$A$2:$B$24,2,FALSE),"")</f>
        <v/>
      </c>
      <c r="X287" s="208">
        <f>SUM(Hoja1[[#This Row],[$ X TIP VEHICUL]:[AGREGADO]])</f>
        <v>210000</v>
      </c>
    </row>
    <row r="288" spans="1:24" hidden="1" x14ac:dyDescent="0.25">
      <c r="A288">
        <v>287</v>
      </c>
      <c r="B288" s="189">
        <v>45398</v>
      </c>
      <c r="C288" t="s">
        <v>7461</v>
      </c>
      <c r="D288" t="s">
        <v>7732</v>
      </c>
      <c r="E288" t="s">
        <v>7442</v>
      </c>
      <c r="F288" t="s">
        <v>7669</v>
      </c>
      <c r="G288" t="s">
        <v>7732</v>
      </c>
      <c r="J288" s="189"/>
      <c r="L288" t="s">
        <v>7463</v>
      </c>
      <c r="M288" s="205">
        <v>0.33333333333333326</v>
      </c>
      <c r="O288" t="s">
        <v>7711</v>
      </c>
      <c r="Q288">
        <v>3870</v>
      </c>
      <c r="R288">
        <v>51131</v>
      </c>
      <c r="S288">
        <f>IFERROR(VLOOKUP(E288,'VALORES VIAJES'!$A$2:$B$13,2,FALSE),"")</f>
        <v>160000</v>
      </c>
      <c r="T288" t="str">
        <f>IFERROR(VLOOKUP(H288,'VALORES VIAJES'!$A$2:$B$24,2,FALSE),"")</f>
        <v/>
      </c>
      <c r="U288" t="str">
        <f>IFERROR(VLOOKUP(I288,'VALORES VIAJES'!$A$2:$B$24,2,FALSE),"")</f>
        <v/>
      </c>
      <c r="V288" t="str">
        <f>IFERROR(VLOOKUP(K288,'VALORES VIAJES'!$A$2:$B$24,2,FALSE),"")</f>
        <v/>
      </c>
      <c r="X288" s="208">
        <f>SUM(Hoja1[[#This Row],[$ X TIP VEHICUL]:[AGREGADO]])</f>
        <v>160000</v>
      </c>
    </row>
    <row r="289" spans="1:24" hidden="1" x14ac:dyDescent="0.25">
      <c r="A289">
        <v>288</v>
      </c>
      <c r="B289" s="189">
        <v>45398</v>
      </c>
      <c r="C289" t="s">
        <v>7461</v>
      </c>
      <c r="D289" t="s">
        <v>7727</v>
      </c>
      <c r="E289" t="s">
        <v>7441</v>
      </c>
      <c r="F289" t="s">
        <v>6954</v>
      </c>
      <c r="G289" t="s">
        <v>7727</v>
      </c>
      <c r="J289" s="189"/>
      <c r="L289" t="s">
        <v>7463</v>
      </c>
      <c r="M289" s="205">
        <v>0.33333333333333326</v>
      </c>
      <c r="N289" t="s">
        <v>7477</v>
      </c>
      <c r="O289" t="s">
        <v>7478</v>
      </c>
      <c r="Q289">
        <v>13207</v>
      </c>
      <c r="R289">
        <v>52025</v>
      </c>
      <c r="S289">
        <f>IFERROR(VLOOKUP(E289,'VALORES VIAJES'!$A$2:$B$13,2,FALSE),"")</f>
        <v>210000</v>
      </c>
      <c r="T289" t="str">
        <f>IFERROR(VLOOKUP(H289,'VALORES VIAJES'!$A$2:$B$24,2,FALSE),"")</f>
        <v/>
      </c>
      <c r="U289" t="str">
        <f>IFERROR(VLOOKUP(I289,'VALORES VIAJES'!$A$2:$B$24,2,FALSE),"")</f>
        <v/>
      </c>
      <c r="V289" t="str">
        <f>IFERROR(VLOOKUP(K289,'VALORES VIAJES'!$A$2:$B$24,2,FALSE),"")</f>
        <v/>
      </c>
      <c r="X289" s="208">
        <f>SUM(Hoja1[[#This Row],[$ X TIP VEHICUL]:[AGREGADO]])</f>
        <v>210000</v>
      </c>
    </row>
    <row r="290" spans="1:24" hidden="1" x14ac:dyDescent="0.25">
      <c r="A290">
        <v>289</v>
      </c>
      <c r="B290" s="189">
        <v>45398</v>
      </c>
      <c r="C290" t="s">
        <v>7462</v>
      </c>
      <c r="D290" t="s">
        <v>7509</v>
      </c>
      <c r="E290" t="s">
        <v>7442</v>
      </c>
      <c r="F290" t="s">
        <v>7462</v>
      </c>
      <c r="G290" t="s">
        <v>7509</v>
      </c>
      <c r="J290" s="189"/>
      <c r="M290" s="205">
        <v>0.29166666666666674</v>
      </c>
      <c r="N290" t="s">
        <v>7641</v>
      </c>
      <c r="O290" t="s">
        <v>7494</v>
      </c>
      <c r="S290">
        <f>IFERROR(VLOOKUP(E290,'VALORES VIAJES'!$A$2:$B$13,2,FALSE),"")</f>
        <v>160000</v>
      </c>
      <c r="T290" t="str">
        <f>IFERROR(VLOOKUP(H290,'VALORES VIAJES'!$A$2:$B$24,2,FALSE),"")</f>
        <v/>
      </c>
      <c r="U290" t="str">
        <f>IFERROR(VLOOKUP(I290,'VALORES VIAJES'!$A$2:$B$24,2,FALSE),"")</f>
        <v/>
      </c>
      <c r="V290" t="str">
        <f>IFERROR(VLOOKUP(K290,'VALORES VIAJES'!$A$2:$B$24,2,FALSE),"")</f>
        <v/>
      </c>
      <c r="X290" s="208">
        <f>SUM(Hoja1[[#This Row],[$ X TIP VEHICUL]:[AGREGADO]])</f>
        <v>160000</v>
      </c>
    </row>
    <row r="291" spans="1:24" hidden="1" x14ac:dyDescent="0.25">
      <c r="A291">
        <v>290</v>
      </c>
      <c r="B291" s="189">
        <v>45399</v>
      </c>
      <c r="C291" t="s">
        <v>7461</v>
      </c>
      <c r="D291" t="s">
        <v>6896</v>
      </c>
      <c r="E291" t="s">
        <v>7443</v>
      </c>
      <c r="F291" t="s">
        <v>6945</v>
      </c>
      <c r="G291" t="s">
        <v>6896</v>
      </c>
      <c r="I291" t="s">
        <v>7434</v>
      </c>
      <c r="J291" s="189"/>
      <c r="M291" s="205">
        <v>0.45833333333333326</v>
      </c>
      <c r="N291" t="s">
        <v>7504</v>
      </c>
      <c r="O291" t="s">
        <v>7505</v>
      </c>
      <c r="Q291">
        <v>19680</v>
      </c>
      <c r="S291">
        <f>IFERROR(VLOOKUP(E291,'VALORES VIAJES'!$A$2:$B$13,2,FALSE),"")</f>
        <v>210000</v>
      </c>
      <c r="T291" t="str">
        <f>IFERROR(VLOOKUP(H291,'VALORES VIAJES'!$A$2:$B$24,2,FALSE),"")</f>
        <v/>
      </c>
      <c r="U291">
        <f>IFERROR(VLOOKUP(I291,'VALORES VIAJES'!$A$2:$B$24,2,FALSE),"")</f>
        <v>105000</v>
      </c>
      <c r="V291" t="str">
        <f>IFERROR(VLOOKUP(K291,'VALORES VIAJES'!$A$2:$B$24,2,FALSE),"")</f>
        <v/>
      </c>
      <c r="X291" s="208">
        <f>SUM(Hoja1[[#This Row],[$ X TIP VEHICUL]:[AGREGADO]])</f>
        <v>315000</v>
      </c>
    </row>
    <row r="292" spans="1:24" hidden="1" x14ac:dyDescent="0.25">
      <c r="A292">
        <v>291</v>
      </c>
      <c r="B292" s="189">
        <v>45399</v>
      </c>
      <c r="C292" t="s">
        <v>7461</v>
      </c>
      <c r="D292" t="s">
        <v>7509</v>
      </c>
      <c r="E292" t="s">
        <v>7442</v>
      </c>
      <c r="F292" t="s">
        <v>7493</v>
      </c>
      <c r="G292" t="s">
        <v>7509</v>
      </c>
      <c r="J292" s="189"/>
      <c r="L292" t="s">
        <v>7463</v>
      </c>
      <c r="M292" s="205">
        <v>0.41666666666666674</v>
      </c>
      <c r="O292" t="s">
        <v>7711</v>
      </c>
      <c r="Q292">
        <v>6152</v>
      </c>
      <c r="S292">
        <f>IFERROR(VLOOKUP(E292,'VALORES VIAJES'!$A$2:$B$13,2,FALSE),"")</f>
        <v>160000</v>
      </c>
      <c r="T292" t="str">
        <f>IFERROR(VLOOKUP(H292,'VALORES VIAJES'!$A$2:$B$24,2,FALSE),"")</f>
        <v/>
      </c>
      <c r="U292" t="str">
        <f>IFERROR(VLOOKUP(I292,'VALORES VIAJES'!$A$2:$B$24,2,FALSE),"")</f>
        <v/>
      </c>
      <c r="V292" t="str">
        <f>IFERROR(VLOOKUP(K292,'VALORES VIAJES'!$A$2:$B$24,2,FALSE),"")</f>
        <v/>
      </c>
      <c r="X292" s="208">
        <f>SUM(Hoja1[[#This Row],[$ X TIP VEHICUL]:[AGREGADO]])</f>
        <v>160000</v>
      </c>
    </row>
    <row r="293" spans="1:24" hidden="1" x14ac:dyDescent="0.25">
      <c r="A293">
        <v>292</v>
      </c>
      <c r="B293" s="189">
        <v>45399</v>
      </c>
      <c r="C293" t="s">
        <v>7461</v>
      </c>
      <c r="D293" t="s">
        <v>3562</v>
      </c>
      <c r="E293" t="s">
        <v>7443</v>
      </c>
      <c r="F293" t="s">
        <v>6954</v>
      </c>
      <c r="G293" t="s">
        <v>7545</v>
      </c>
      <c r="J293" s="189"/>
      <c r="M293" s="205">
        <v>0.33333333333333326</v>
      </c>
      <c r="N293" t="s">
        <v>7464</v>
      </c>
      <c r="O293" t="s">
        <v>7656</v>
      </c>
      <c r="Q293">
        <v>18334</v>
      </c>
      <c r="S293">
        <f>IFERROR(VLOOKUP(E293,'VALORES VIAJES'!$A$2:$B$13,2,FALSE),"")</f>
        <v>210000</v>
      </c>
      <c r="T293" t="str">
        <f>IFERROR(VLOOKUP(H293,'VALORES VIAJES'!$A$2:$B$24,2,FALSE),"")</f>
        <v/>
      </c>
      <c r="U293" t="str">
        <f>IFERROR(VLOOKUP(I293,'VALORES VIAJES'!$A$2:$B$24,2,FALSE),"")</f>
        <v/>
      </c>
      <c r="V293" t="str">
        <f>IFERROR(VLOOKUP(K293,'VALORES VIAJES'!$A$2:$B$24,2,FALSE),"")</f>
        <v/>
      </c>
      <c r="X293" s="208">
        <f>SUM(Hoja1[[#This Row],[$ X TIP VEHICUL]:[AGREGADO]])</f>
        <v>210000</v>
      </c>
    </row>
    <row r="294" spans="1:24" hidden="1" x14ac:dyDescent="0.25">
      <c r="A294">
        <v>293</v>
      </c>
      <c r="B294" s="189">
        <v>45399</v>
      </c>
      <c r="C294" t="s">
        <v>7461</v>
      </c>
      <c r="D294" t="s">
        <v>7728</v>
      </c>
      <c r="E294" t="s">
        <v>7443</v>
      </c>
      <c r="F294" t="s">
        <v>6954</v>
      </c>
      <c r="G294" t="s">
        <v>7728</v>
      </c>
      <c r="I294" t="s">
        <v>7434</v>
      </c>
      <c r="J294" s="189"/>
      <c r="M294" s="205">
        <v>0.375</v>
      </c>
      <c r="N294" t="s">
        <v>7480</v>
      </c>
      <c r="O294" t="s">
        <v>7465</v>
      </c>
      <c r="Q294">
        <v>26254</v>
      </c>
      <c r="S294">
        <f>IFERROR(VLOOKUP(E294,'VALORES VIAJES'!$A$2:$B$13,2,FALSE),"")</f>
        <v>210000</v>
      </c>
      <c r="T294" t="str">
        <f>IFERROR(VLOOKUP(H294,'VALORES VIAJES'!$A$2:$B$24,2,FALSE),"")</f>
        <v/>
      </c>
      <c r="U294">
        <f>IFERROR(VLOOKUP(I294,'VALORES VIAJES'!$A$2:$B$24,2,FALSE),"")</f>
        <v>105000</v>
      </c>
      <c r="V294" t="str">
        <f>IFERROR(VLOOKUP(K294,'VALORES VIAJES'!$A$2:$B$24,2,FALSE),"")</f>
        <v/>
      </c>
      <c r="X294" s="208">
        <f>SUM(Hoja1[[#This Row],[$ X TIP VEHICUL]:[AGREGADO]])</f>
        <v>315000</v>
      </c>
    </row>
    <row r="295" spans="1:24" hidden="1" x14ac:dyDescent="0.25">
      <c r="A295">
        <v>294</v>
      </c>
      <c r="B295" s="189">
        <v>45399</v>
      </c>
      <c r="C295" t="s">
        <v>7461</v>
      </c>
      <c r="D295" t="s">
        <v>6906</v>
      </c>
      <c r="E295" t="s">
        <v>7441</v>
      </c>
      <c r="F295" t="s">
        <v>6954</v>
      </c>
      <c r="G295" t="s">
        <v>6906</v>
      </c>
      <c r="J295" s="189"/>
      <c r="L295" t="s">
        <v>7463</v>
      </c>
      <c r="M295" s="205">
        <v>0.33333333333333326</v>
      </c>
      <c r="N295" t="s">
        <v>7477</v>
      </c>
      <c r="O295" t="s">
        <v>7478</v>
      </c>
      <c r="Q295">
        <v>5600</v>
      </c>
      <c r="S295">
        <f>IFERROR(VLOOKUP(E295,'VALORES VIAJES'!$A$2:$B$13,2,FALSE),"")</f>
        <v>210000</v>
      </c>
      <c r="T295" t="str">
        <f>IFERROR(VLOOKUP(H295,'VALORES VIAJES'!$A$2:$B$24,2,FALSE),"")</f>
        <v/>
      </c>
      <c r="U295" t="str">
        <f>IFERROR(VLOOKUP(I295,'VALORES VIAJES'!$A$2:$B$24,2,FALSE),"")</f>
        <v/>
      </c>
      <c r="V295" t="str">
        <f>IFERROR(VLOOKUP(K295,'VALORES VIAJES'!$A$2:$B$24,2,FALSE),"")</f>
        <v/>
      </c>
      <c r="X295" s="208">
        <f>SUM(Hoja1[[#This Row],[$ X TIP VEHICUL]:[AGREGADO]])</f>
        <v>210000</v>
      </c>
    </row>
    <row r="296" spans="1:24" hidden="1" x14ac:dyDescent="0.25">
      <c r="A296">
        <v>295</v>
      </c>
      <c r="B296" s="189">
        <v>45399</v>
      </c>
      <c r="C296" t="s">
        <v>7462</v>
      </c>
      <c r="D296" t="s">
        <v>7509</v>
      </c>
      <c r="E296" t="s">
        <v>7442</v>
      </c>
      <c r="F296" t="s">
        <v>7462</v>
      </c>
      <c r="G296" t="s">
        <v>7509</v>
      </c>
      <c r="J296" s="189"/>
      <c r="L296" t="s">
        <v>7463</v>
      </c>
      <c r="M296" s="205">
        <v>0.29166666666666674</v>
      </c>
      <c r="N296" t="s">
        <v>7641</v>
      </c>
      <c r="O296" t="s">
        <v>7494</v>
      </c>
      <c r="S296">
        <f>IFERROR(VLOOKUP(E296,'VALORES VIAJES'!$A$2:$B$13,2,FALSE),"")</f>
        <v>160000</v>
      </c>
      <c r="T296" t="str">
        <f>IFERROR(VLOOKUP(H296,'VALORES VIAJES'!$A$2:$B$24,2,FALSE),"")</f>
        <v/>
      </c>
      <c r="U296" t="str">
        <f>IFERROR(VLOOKUP(I296,'VALORES VIAJES'!$A$2:$B$24,2,FALSE),"")</f>
        <v/>
      </c>
      <c r="V296" t="str">
        <f>IFERROR(VLOOKUP(K296,'VALORES VIAJES'!$A$2:$B$24,2,FALSE),"")</f>
        <v/>
      </c>
      <c r="X296" s="208">
        <f>SUM(Hoja1[[#This Row],[$ X TIP VEHICUL]:[AGREGADO]])</f>
        <v>160000</v>
      </c>
    </row>
    <row r="297" spans="1:24" hidden="1" x14ac:dyDescent="0.25">
      <c r="A297">
        <v>296</v>
      </c>
      <c r="B297" s="189">
        <v>45400</v>
      </c>
      <c r="C297" t="s">
        <v>7481</v>
      </c>
      <c r="D297" t="s">
        <v>7481</v>
      </c>
      <c r="E297" t="s">
        <v>7443</v>
      </c>
      <c r="F297" t="s">
        <v>6945</v>
      </c>
      <c r="G297" t="s">
        <v>7485</v>
      </c>
      <c r="H297" t="s">
        <v>7654</v>
      </c>
      <c r="I297" t="s">
        <v>8410</v>
      </c>
      <c r="J297" s="189">
        <v>45404</v>
      </c>
      <c r="K297" t="s">
        <v>8411</v>
      </c>
      <c r="M297" s="205">
        <v>0.70833333333333326</v>
      </c>
      <c r="N297" t="s">
        <v>7473</v>
      </c>
      <c r="O297" t="s">
        <v>7474</v>
      </c>
      <c r="Q297">
        <v>23868</v>
      </c>
      <c r="S297">
        <f>IFERROR(VLOOKUP(E297,'VALORES VIAJES'!$A$2:$B$13,2,FALSE),"")</f>
        <v>210000</v>
      </c>
      <c r="T297" t="str">
        <f>IFERROR(VLOOKUP(H297,'VALORES VIAJES'!$A$2:$B$24,2,FALSE),"")</f>
        <v/>
      </c>
      <c r="U297" t="str">
        <f>IFERROR(VLOOKUP(I297,'VALORES VIAJES'!$A$2:$B$24,2,FALSE),"")</f>
        <v/>
      </c>
      <c r="V297" t="str">
        <f>IFERROR(VLOOKUP(K297,'VALORES VIAJES'!$A$2:$B$24,2,FALSE),"")</f>
        <v/>
      </c>
      <c r="X297" s="208">
        <f>SUM(Hoja1[[#This Row],[$ X TIP VEHICUL]:[AGREGADO]])</f>
        <v>210000</v>
      </c>
    </row>
    <row r="298" spans="1:24" hidden="1" x14ac:dyDescent="0.25">
      <c r="A298">
        <v>297</v>
      </c>
      <c r="B298" s="189">
        <v>45400</v>
      </c>
      <c r="C298" t="s">
        <v>7481</v>
      </c>
      <c r="D298" t="s">
        <v>7481</v>
      </c>
      <c r="E298" t="s">
        <v>7443</v>
      </c>
      <c r="F298" t="s">
        <v>6945</v>
      </c>
      <c r="G298" t="s">
        <v>7485</v>
      </c>
      <c r="H298" t="s">
        <v>7654</v>
      </c>
      <c r="I298" t="s">
        <v>8410</v>
      </c>
      <c r="J298" s="189">
        <v>45406</v>
      </c>
      <c r="M298" s="205">
        <v>0.70833333333333326</v>
      </c>
      <c r="N298" t="s">
        <v>7504</v>
      </c>
      <c r="O298" t="s">
        <v>7505</v>
      </c>
      <c r="Q298">
        <v>23868</v>
      </c>
      <c r="S298">
        <f>IFERROR(VLOOKUP(E298,'VALORES VIAJES'!$A$2:$B$13,2,FALSE),"")</f>
        <v>210000</v>
      </c>
      <c r="T298" t="str">
        <f>IFERROR(VLOOKUP(H298,'VALORES VIAJES'!$A$2:$B$24,2,FALSE),"")</f>
        <v/>
      </c>
      <c r="U298" t="str">
        <f>IFERROR(VLOOKUP(I298,'VALORES VIAJES'!$A$2:$B$24,2,FALSE),"")</f>
        <v/>
      </c>
      <c r="V298" t="str">
        <f>IFERROR(VLOOKUP(K298,'VALORES VIAJES'!$A$2:$B$24,2,FALSE),"")</f>
        <v/>
      </c>
      <c r="X298" s="208">
        <f>SUM(Hoja1[[#This Row],[$ X TIP VEHICUL]:[AGREGADO]])</f>
        <v>210000</v>
      </c>
    </row>
    <row r="299" spans="1:24" hidden="1" x14ac:dyDescent="0.25">
      <c r="A299">
        <v>298</v>
      </c>
      <c r="B299" s="189">
        <v>45400</v>
      </c>
      <c r="C299" t="s">
        <v>7481</v>
      </c>
      <c r="D299" t="s">
        <v>7481</v>
      </c>
      <c r="E299" t="s">
        <v>7443</v>
      </c>
      <c r="F299" t="s">
        <v>6945</v>
      </c>
      <c r="G299" t="s">
        <v>7485</v>
      </c>
      <c r="H299" t="s">
        <v>7433</v>
      </c>
      <c r="I299" t="s">
        <v>8410</v>
      </c>
      <c r="J299" s="189">
        <v>45406</v>
      </c>
      <c r="K299" t="s">
        <v>8411</v>
      </c>
      <c r="M299" s="205">
        <v>0.70833333333333326</v>
      </c>
      <c r="N299" t="s">
        <v>7464</v>
      </c>
      <c r="O299" t="s">
        <v>7656</v>
      </c>
      <c r="Q299">
        <v>23868</v>
      </c>
      <c r="S299">
        <f>IFERROR(VLOOKUP(E299,'VALORES VIAJES'!$A$2:$B$13,2,FALSE),"")</f>
        <v>210000</v>
      </c>
      <c r="T299">
        <f>IFERROR(VLOOKUP(H299,'VALORES VIAJES'!$A$2:$B$24,2,FALSE),"")</f>
        <v>210000</v>
      </c>
      <c r="U299" t="str">
        <f>IFERROR(VLOOKUP(I299,'VALORES VIAJES'!$A$2:$B$24,2,FALSE),"")</f>
        <v/>
      </c>
      <c r="V299" t="str">
        <f>IFERROR(VLOOKUP(K299,'VALORES VIAJES'!$A$2:$B$24,2,FALSE),"")</f>
        <v/>
      </c>
      <c r="X299" s="208">
        <f>SUM(Hoja1[[#This Row],[$ X TIP VEHICUL]:[AGREGADO]])</f>
        <v>420000</v>
      </c>
    </row>
    <row r="300" spans="1:24" hidden="1" x14ac:dyDescent="0.25">
      <c r="A300">
        <v>299</v>
      </c>
      <c r="B300" s="189">
        <v>45400</v>
      </c>
      <c r="C300" t="s">
        <v>7461</v>
      </c>
      <c r="D300" t="s">
        <v>6908</v>
      </c>
      <c r="E300" t="s">
        <v>7443</v>
      </c>
      <c r="F300" t="s">
        <v>6945</v>
      </c>
      <c r="G300" t="s">
        <v>6908</v>
      </c>
      <c r="H300" t="s">
        <v>7654</v>
      </c>
      <c r="I300" t="s">
        <v>7434</v>
      </c>
      <c r="J300" s="189"/>
      <c r="K300" t="s">
        <v>8411</v>
      </c>
      <c r="M300" s="205">
        <v>0.54166666666666674</v>
      </c>
      <c r="N300" t="s">
        <v>7480</v>
      </c>
      <c r="O300" t="s">
        <v>7465</v>
      </c>
      <c r="Q300">
        <v>23868</v>
      </c>
      <c r="S300">
        <f>IFERROR(VLOOKUP(E300,'VALORES VIAJES'!$A$2:$B$13,2,FALSE),"")</f>
        <v>210000</v>
      </c>
      <c r="T300" t="str">
        <f>IFERROR(VLOOKUP(H300,'VALORES VIAJES'!$A$2:$B$24,2,FALSE),"")</f>
        <v/>
      </c>
      <c r="U300">
        <f>IFERROR(VLOOKUP(I300,'VALORES VIAJES'!$A$2:$B$24,2,FALSE),"")</f>
        <v>105000</v>
      </c>
      <c r="V300" t="str">
        <f>IFERROR(VLOOKUP(K300,'VALORES VIAJES'!$A$2:$B$24,2,FALSE),"")</f>
        <v/>
      </c>
      <c r="X300" s="208">
        <f>SUM(Hoja1[[#This Row],[$ X TIP VEHICUL]:[AGREGADO]])</f>
        <v>315000</v>
      </c>
    </row>
    <row r="301" spans="1:24" hidden="1" x14ac:dyDescent="0.25">
      <c r="A301">
        <v>300</v>
      </c>
      <c r="B301" s="189">
        <v>45400</v>
      </c>
      <c r="C301" t="s">
        <v>7461</v>
      </c>
      <c r="D301" t="s">
        <v>6906</v>
      </c>
      <c r="E301" t="s">
        <v>7442</v>
      </c>
      <c r="F301" t="s">
        <v>6954</v>
      </c>
      <c r="G301" t="s">
        <v>6906</v>
      </c>
      <c r="J301" s="189"/>
      <c r="M301" s="205">
        <v>0.33333333333333326</v>
      </c>
      <c r="O301" t="s">
        <v>7711</v>
      </c>
      <c r="Q301">
        <v>3800</v>
      </c>
      <c r="S301">
        <f>IFERROR(VLOOKUP(E301,'VALORES VIAJES'!$A$2:$B$13,2,FALSE),"")</f>
        <v>160000</v>
      </c>
      <c r="T301" t="str">
        <f>IFERROR(VLOOKUP(H301,'VALORES VIAJES'!$A$2:$B$24,2,FALSE),"")</f>
        <v/>
      </c>
      <c r="U301" t="str">
        <f>IFERROR(VLOOKUP(I301,'VALORES VIAJES'!$A$2:$B$24,2,FALSE),"")</f>
        <v/>
      </c>
      <c r="V301" t="str">
        <f>IFERROR(VLOOKUP(K301,'VALORES VIAJES'!$A$2:$B$24,2,FALSE),"")</f>
        <v/>
      </c>
      <c r="X301" s="208">
        <f>SUM(Hoja1[[#This Row],[$ X TIP VEHICUL]:[AGREGADO]])</f>
        <v>160000</v>
      </c>
    </row>
    <row r="302" spans="1:24" hidden="1" x14ac:dyDescent="0.25">
      <c r="A302">
        <v>301</v>
      </c>
      <c r="B302" s="189">
        <v>45400</v>
      </c>
      <c r="C302" t="s">
        <v>7461</v>
      </c>
      <c r="D302" t="s">
        <v>7727</v>
      </c>
      <c r="E302" t="s">
        <v>7441</v>
      </c>
      <c r="F302" t="s">
        <v>6954</v>
      </c>
      <c r="G302" t="s">
        <v>7727</v>
      </c>
      <c r="J302" s="189"/>
      <c r="L302" t="s">
        <v>7463</v>
      </c>
      <c r="M302" s="205">
        <v>0.375</v>
      </c>
      <c r="N302" t="s">
        <v>7469</v>
      </c>
      <c r="O302" t="s">
        <v>7470</v>
      </c>
      <c r="Q302">
        <v>13207</v>
      </c>
      <c r="S302">
        <f>IFERROR(VLOOKUP(E302,'VALORES VIAJES'!$A$2:$B$13,2,FALSE),"")</f>
        <v>210000</v>
      </c>
      <c r="T302" t="str">
        <f>IFERROR(VLOOKUP(H302,'VALORES VIAJES'!$A$2:$B$24,2,FALSE),"")</f>
        <v/>
      </c>
      <c r="U302" t="str">
        <f>IFERROR(VLOOKUP(I302,'VALORES VIAJES'!$A$2:$B$24,2,FALSE),"")</f>
        <v/>
      </c>
      <c r="V302" t="str">
        <f>IFERROR(VLOOKUP(K302,'VALORES VIAJES'!$A$2:$B$24,2,FALSE),"")</f>
        <v/>
      </c>
      <c r="X302" s="208">
        <f>SUM(Hoja1[[#This Row],[$ X TIP VEHICUL]:[AGREGADO]])</f>
        <v>210000</v>
      </c>
    </row>
    <row r="303" spans="1:24" hidden="1" x14ac:dyDescent="0.25">
      <c r="A303">
        <v>302</v>
      </c>
      <c r="B303" s="189">
        <v>45400</v>
      </c>
      <c r="C303" t="s">
        <v>7461</v>
      </c>
      <c r="D303" t="s">
        <v>6883</v>
      </c>
      <c r="E303" t="s">
        <v>7441</v>
      </c>
      <c r="F303" t="s">
        <v>6954</v>
      </c>
      <c r="G303" t="s">
        <v>6883</v>
      </c>
      <c r="J303" s="189"/>
      <c r="L303" t="s">
        <v>7463</v>
      </c>
      <c r="M303" s="205">
        <v>0.33333333333333326</v>
      </c>
      <c r="N303" t="s">
        <v>7477</v>
      </c>
      <c r="O303" t="s">
        <v>7478</v>
      </c>
      <c r="Q303">
        <v>16407</v>
      </c>
      <c r="S303">
        <f>IFERROR(VLOOKUP(E303,'VALORES VIAJES'!$A$2:$B$13,2,FALSE),"")</f>
        <v>210000</v>
      </c>
      <c r="T303" t="str">
        <f>IFERROR(VLOOKUP(H303,'VALORES VIAJES'!$A$2:$B$24,2,FALSE),"")</f>
        <v/>
      </c>
      <c r="U303" t="str">
        <f>IFERROR(VLOOKUP(I303,'VALORES VIAJES'!$A$2:$B$24,2,FALSE),"")</f>
        <v/>
      </c>
      <c r="V303" t="str">
        <f>IFERROR(VLOOKUP(K303,'VALORES VIAJES'!$A$2:$B$24,2,FALSE),"")</f>
        <v/>
      </c>
      <c r="X303" s="208">
        <f>SUM(Hoja1[[#This Row],[$ X TIP VEHICUL]:[AGREGADO]])</f>
        <v>210000</v>
      </c>
    </row>
    <row r="304" spans="1:24" hidden="1" x14ac:dyDescent="0.25">
      <c r="A304">
        <v>303</v>
      </c>
      <c r="B304" s="189">
        <v>45400</v>
      </c>
      <c r="C304" t="s">
        <v>7461</v>
      </c>
      <c r="D304" t="s">
        <v>6883</v>
      </c>
      <c r="E304" t="s">
        <v>7441</v>
      </c>
      <c r="F304" t="s">
        <v>6954</v>
      </c>
      <c r="G304" t="s">
        <v>6883</v>
      </c>
      <c r="H304" t="s">
        <v>7654</v>
      </c>
      <c r="J304" s="189"/>
      <c r="L304" t="s">
        <v>7463</v>
      </c>
      <c r="M304" s="205">
        <v>0.58333333333333326</v>
      </c>
      <c r="N304" t="s">
        <v>7477</v>
      </c>
      <c r="O304" t="s">
        <v>7478</v>
      </c>
      <c r="Q304">
        <v>19207</v>
      </c>
      <c r="S304">
        <f>IFERROR(VLOOKUP(E304,'VALORES VIAJES'!$A$2:$B$13,2,FALSE),"")</f>
        <v>210000</v>
      </c>
      <c r="T304" t="str">
        <f>IFERROR(VLOOKUP(H304,'VALORES VIAJES'!$A$2:$B$24,2,FALSE),"")</f>
        <v/>
      </c>
      <c r="U304" t="str">
        <f>IFERROR(VLOOKUP(I304,'VALORES VIAJES'!$A$2:$B$24,2,FALSE),"")</f>
        <v/>
      </c>
      <c r="V304" t="str">
        <f>IFERROR(VLOOKUP(K304,'VALORES VIAJES'!$A$2:$B$24,2,FALSE),"")</f>
        <v/>
      </c>
      <c r="X304" s="208">
        <f>SUM(Hoja1[[#This Row],[$ X TIP VEHICUL]:[AGREGADO]])</f>
        <v>210000</v>
      </c>
    </row>
    <row r="305" spans="1:24" hidden="1" x14ac:dyDescent="0.25">
      <c r="A305">
        <v>304</v>
      </c>
      <c r="B305" s="189">
        <v>45400</v>
      </c>
      <c r="C305" t="s">
        <v>7462</v>
      </c>
      <c r="D305" t="s">
        <v>7509</v>
      </c>
      <c r="E305" t="s">
        <v>7442</v>
      </c>
      <c r="F305" t="s">
        <v>7462</v>
      </c>
      <c r="G305" t="s">
        <v>7509</v>
      </c>
      <c r="J305" s="189"/>
      <c r="L305" t="s">
        <v>7463</v>
      </c>
      <c r="M305" s="205">
        <v>0.29166666666666674</v>
      </c>
      <c r="N305" t="s">
        <v>7641</v>
      </c>
      <c r="O305" t="s">
        <v>7494</v>
      </c>
      <c r="S305">
        <f>IFERROR(VLOOKUP(E305,'VALORES VIAJES'!$A$2:$B$13,2,FALSE),"")</f>
        <v>160000</v>
      </c>
      <c r="T305" t="str">
        <f>IFERROR(VLOOKUP(H305,'VALORES VIAJES'!$A$2:$B$24,2,FALSE),"")</f>
        <v/>
      </c>
      <c r="U305" t="str">
        <f>IFERROR(VLOOKUP(I305,'VALORES VIAJES'!$A$2:$B$24,2,FALSE),"")</f>
        <v/>
      </c>
      <c r="V305" t="str">
        <f>IFERROR(VLOOKUP(K305,'VALORES VIAJES'!$A$2:$B$24,2,FALSE),"")</f>
        <v/>
      </c>
      <c r="X305" s="208">
        <f>SUM(Hoja1[[#This Row],[$ X TIP VEHICUL]:[AGREGADO]])</f>
        <v>160000</v>
      </c>
    </row>
    <row r="306" spans="1:24" hidden="1" x14ac:dyDescent="0.25">
      <c r="A306">
        <v>305</v>
      </c>
      <c r="B306" s="189">
        <v>45401</v>
      </c>
      <c r="C306" t="s">
        <v>7461</v>
      </c>
      <c r="D306" t="s">
        <v>8412</v>
      </c>
      <c r="E306" t="s">
        <v>7441</v>
      </c>
      <c r="F306" t="s">
        <v>6954</v>
      </c>
      <c r="G306" t="s">
        <v>8412</v>
      </c>
      <c r="J306" s="189"/>
      <c r="L306" t="s">
        <v>7463</v>
      </c>
      <c r="M306" s="205">
        <v>0.375</v>
      </c>
      <c r="N306" t="s">
        <v>7469</v>
      </c>
      <c r="O306" t="s">
        <v>7470</v>
      </c>
      <c r="Q306">
        <v>13207</v>
      </c>
      <c r="S306">
        <f>IFERROR(VLOOKUP(E306,'VALORES VIAJES'!$A$2:$B$13,2,FALSE),"")</f>
        <v>210000</v>
      </c>
      <c r="T306" t="str">
        <f>IFERROR(VLOOKUP(H306,'VALORES VIAJES'!$A$2:$B$24,2,FALSE),"")</f>
        <v/>
      </c>
      <c r="U306" t="str">
        <f>IFERROR(VLOOKUP(I306,'VALORES VIAJES'!$A$2:$B$24,2,FALSE),"")</f>
        <v/>
      </c>
      <c r="V306" t="str">
        <f>IFERROR(VLOOKUP(K306,'VALORES VIAJES'!$A$2:$B$24,2,FALSE),"")</f>
        <v/>
      </c>
      <c r="X306" s="208">
        <f>SUM(Hoja1[[#This Row],[$ X TIP VEHICUL]:[AGREGADO]])</f>
        <v>210000</v>
      </c>
    </row>
    <row r="307" spans="1:24" hidden="1" x14ac:dyDescent="0.25">
      <c r="A307">
        <v>306</v>
      </c>
      <c r="B307" s="189">
        <v>45401</v>
      </c>
      <c r="C307" t="s">
        <v>7461</v>
      </c>
      <c r="D307" t="s">
        <v>6907</v>
      </c>
      <c r="E307" t="s">
        <v>7443</v>
      </c>
      <c r="F307" t="s">
        <v>6954</v>
      </c>
      <c r="G307" t="s">
        <v>6907</v>
      </c>
      <c r="J307" s="189"/>
      <c r="M307" s="205">
        <v>0.45833333333333326</v>
      </c>
      <c r="N307" t="s">
        <v>7473</v>
      </c>
      <c r="O307" t="s">
        <v>7474</v>
      </c>
      <c r="Q307">
        <v>16407</v>
      </c>
      <c r="S307">
        <f>IFERROR(VLOOKUP(E307,'VALORES VIAJES'!$A$2:$B$13,2,FALSE),"")</f>
        <v>210000</v>
      </c>
      <c r="T307" t="str">
        <f>IFERROR(VLOOKUP(H307,'VALORES VIAJES'!$A$2:$B$24,2,FALSE),"")</f>
        <v/>
      </c>
      <c r="U307" t="str">
        <f>IFERROR(VLOOKUP(I307,'VALORES VIAJES'!$A$2:$B$24,2,FALSE),"")</f>
        <v/>
      </c>
      <c r="V307" t="str">
        <f>IFERROR(VLOOKUP(K307,'VALORES VIAJES'!$A$2:$B$24,2,FALSE),"")</f>
        <v/>
      </c>
      <c r="X307" s="208">
        <f>SUM(Hoja1[[#This Row],[$ X TIP VEHICUL]:[AGREGADO]])</f>
        <v>210000</v>
      </c>
    </row>
    <row r="308" spans="1:24" hidden="1" x14ac:dyDescent="0.25">
      <c r="A308">
        <v>307</v>
      </c>
      <c r="B308" s="189">
        <v>45401</v>
      </c>
      <c r="C308" t="s">
        <v>7461</v>
      </c>
      <c r="D308" t="s">
        <v>6907</v>
      </c>
      <c r="E308" t="s">
        <v>7443</v>
      </c>
      <c r="F308" t="s">
        <v>6954</v>
      </c>
      <c r="G308" t="s">
        <v>6907</v>
      </c>
      <c r="J308" s="189"/>
      <c r="M308" s="205">
        <v>0.45833333333333326</v>
      </c>
      <c r="N308" t="s">
        <v>7464</v>
      </c>
      <c r="O308" t="s">
        <v>7656</v>
      </c>
      <c r="Q308">
        <v>16407</v>
      </c>
      <c r="S308">
        <f>IFERROR(VLOOKUP(E308,'VALORES VIAJES'!$A$2:$B$13,2,FALSE),"")</f>
        <v>210000</v>
      </c>
      <c r="T308" t="str">
        <f>IFERROR(VLOOKUP(H308,'VALORES VIAJES'!$A$2:$B$24,2,FALSE),"")</f>
        <v/>
      </c>
      <c r="U308" t="str">
        <f>IFERROR(VLOOKUP(I308,'VALORES VIAJES'!$A$2:$B$24,2,FALSE),"")</f>
        <v/>
      </c>
      <c r="V308" t="str">
        <f>IFERROR(VLOOKUP(K308,'VALORES VIAJES'!$A$2:$B$24,2,FALSE),"")</f>
        <v/>
      </c>
      <c r="X308" s="208">
        <f>SUM(Hoja1[[#This Row],[$ X TIP VEHICUL]:[AGREGADO]])</f>
        <v>210000</v>
      </c>
    </row>
    <row r="309" spans="1:24" hidden="1" x14ac:dyDescent="0.25">
      <c r="A309">
        <v>308</v>
      </c>
      <c r="B309" s="189">
        <v>45401</v>
      </c>
      <c r="C309" t="s">
        <v>7461</v>
      </c>
      <c r="D309" t="s">
        <v>6907</v>
      </c>
      <c r="E309" t="s">
        <v>7443</v>
      </c>
      <c r="F309" t="s">
        <v>6954</v>
      </c>
      <c r="G309" t="s">
        <v>6907</v>
      </c>
      <c r="I309" t="s">
        <v>7434</v>
      </c>
      <c r="J309" s="189"/>
      <c r="M309" s="205">
        <v>0.45833333333333326</v>
      </c>
      <c r="N309" t="s">
        <v>7504</v>
      </c>
      <c r="O309" t="s">
        <v>7505</v>
      </c>
      <c r="Q309">
        <v>22007</v>
      </c>
      <c r="S309">
        <f>IFERROR(VLOOKUP(E309,'VALORES VIAJES'!$A$2:$B$13,2,FALSE),"")</f>
        <v>210000</v>
      </c>
      <c r="T309" t="str">
        <f>IFERROR(VLOOKUP(H309,'VALORES VIAJES'!$A$2:$B$24,2,FALSE),"")</f>
        <v/>
      </c>
      <c r="U309">
        <f>IFERROR(VLOOKUP(I309,'VALORES VIAJES'!$A$2:$B$24,2,FALSE),"")</f>
        <v>105000</v>
      </c>
      <c r="V309" t="str">
        <f>IFERROR(VLOOKUP(K309,'VALORES VIAJES'!$A$2:$B$24,2,FALSE),"")</f>
        <v/>
      </c>
      <c r="X309" s="208">
        <f>SUM(Hoja1[[#This Row],[$ X TIP VEHICUL]:[AGREGADO]])</f>
        <v>315000</v>
      </c>
    </row>
    <row r="310" spans="1:24" hidden="1" x14ac:dyDescent="0.25">
      <c r="A310">
        <v>309</v>
      </c>
      <c r="B310" s="189">
        <v>45401</v>
      </c>
      <c r="C310" t="s">
        <v>7462</v>
      </c>
      <c r="D310" t="s">
        <v>8413</v>
      </c>
      <c r="E310" t="s">
        <v>7442</v>
      </c>
      <c r="F310" t="s">
        <v>7462</v>
      </c>
      <c r="G310" t="s">
        <v>8413</v>
      </c>
      <c r="J310" s="189"/>
      <c r="M310" s="205">
        <v>0.29166666666666674</v>
      </c>
      <c r="N310" t="s">
        <v>7641</v>
      </c>
      <c r="O310" t="s">
        <v>7494</v>
      </c>
      <c r="S310">
        <f>IFERROR(VLOOKUP(E310,'VALORES VIAJES'!$A$2:$B$13,2,FALSE),"")</f>
        <v>160000</v>
      </c>
      <c r="T310" t="str">
        <f>IFERROR(VLOOKUP(H310,'VALORES VIAJES'!$A$2:$B$24,2,FALSE),"")</f>
        <v/>
      </c>
      <c r="U310" t="str">
        <f>IFERROR(VLOOKUP(I310,'VALORES VIAJES'!$A$2:$B$24,2,FALSE),"")</f>
        <v/>
      </c>
      <c r="V310" t="str">
        <f>IFERROR(VLOOKUP(K310,'VALORES VIAJES'!$A$2:$B$24,2,FALSE),"")</f>
        <v/>
      </c>
      <c r="X310" s="208">
        <f>SUM(Hoja1[[#This Row],[$ X TIP VEHICUL]:[AGREGADO]])</f>
        <v>160000</v>
      </c>
    </row>
    <row r="311" spans="1:24" hidden="1" x14ac:dyDescent="0.25">
      <c r="A311">
        <v>310</v>
      </c>
      <c r="B311" s="189">
        <v>45401</v>
      </c>
      <c r="C311" t="s">
        <v>7462</v>
      </c>
      <c r="D311" t="s">
        <v>7427</v>
      </c>
      <c r="E311" t="s">
        <v>7442</v>
      </c>
      <c r="F311" t="s">
        <v>7462</v>
      </c>
      <c r="G311" t="s">
        <v>7427</v>
      </c>
      <c r="J311" s="189"/>
      <c r="M311" s="205">
        <v>0.5</v>
      </c>
      <c r="N311" t="s">
        <v>7641</v>
      </c>
      <c r="O311" t="s">
        <v>7494</v>
      </c>
      <c r="S311">
        <f>IFERROR(VLOOKUP(E311,'VALORES VIAJES'!$A$2:$B$13,2,FALSE),"")</f>
        <v>160000</v>
      </c>
      <c r="T311" t="str">
        <f>IFERROR(VLOOKUP(H311,'VALORES VIAJES'!$A$2:$B$24,2,FALSE),"")</f>
        <v/>
      </c>
      <c r="U311" t="str">
        <f>IFERROR(VLOOKUP(I311,'VALORES VIAJES'!$A$2:$B$24,2,FALSE),"")</f>
        <v/>
      </c>
      <c r="V311" t="str">
        <f>IFERROR(VLOOKUP(K311,'VALORES VIAJES'!$A$2:$B$24,2,FALSE),"")</f>
        <v/>
      </c>
      <c r="X311" s="208">
        <f>SUM(Hoja1[[#This Row],[$ X TIP VEHICUL]:[AGREGADO]])</f>
        <v>160000</v>
      </c>
    </row>
    <row r="312" spans="1:24" hidden="1" x14ac:dyDescent="0.25">
      <c r="B312" s="189"/>
      <c r="J312" s="189"/>
      <c r="M312" s="205"/>
      <c r="O312" t="s">
        <v>7711</v>
      </c>
      <c r="S312" t="str">
        <f>IFERROR(VLOOKUP(E312,'VALORES VIAJES'!$A$2:$B$13,2,FALSE),"")</f>
        <v/>
      </c>
      <c r="T312" t="str">
        <f>IFERROR(VLOOKUP(H312,'VALORES VIAJES'!$A$2:$B$24,2,FALSE),"")</f>
        <v/>
      </c>
      <c r="U312" t="str">
        <f>IFERROR(VLOOKUP(I312,'VALORES VIAJES'!$A$2:$B$24,2,FALSE),"")</f>
        <v/>
      </c>
      <c r="V312" t="str">
        <f>IFERROR(VLOOKUP(K312,'VALORES VIAJES'!$A$2:$B$24,2,FALSE),"")</f>
        <v/>
      </c>
      <c r="X312" s="208">
        <f>SUM(Hoja1[[#This Row],[$ X TIP VEHICUL]:[AGREGADO]])</f>
        <v>0</v>
      </c>
    </row>
    <row r="313" spans="1:24" hidden="1" x14ac:dyDescent="0.25">
      <c r="B313" s="189"/>
      <c r="J313" s="189"/>
      <c r="M313" s="205"/>
      <c r="O313" t="s">
        <v>7711</v>
      </c>
      <c r="S313" t="str">
        <f>IFERROR(VLOOKUP(E313,'VALORES VIAJES'!$A$2:$B$13,2,FALSE),"")</f>
        <v/>
      </c>
      <c r="T313" t="str">
        <f>IFERROR(VLOOKUP(H313,'VALORES VIAJES'!$A$2:$B$24,2,FALSE),"")</f>
        <v/>
      </c>
      <c r="U313" t="str">
        <f>IFERROR(VLOOKUP(I313,'VALORES VIAJES'!$A$2:$B$24,2,FALSE),"")</f>
        <v/>
      </c>
      <c r="V313" t="str">
        <f>IFERROR(VLOOKUP(K313,'VALORES VIAJES'!$A$2:$B$24,2,FALSE),"")</f>
        <v/>
      </c>
      <c r="X313" s="208">
        <f>SUM(Hoja1[[#This Row],[$ X TIP VEHICUL]:[AGREGADO]])</f>
        <v>0</v>
      </c>
    </row>
    <row r="314" spans="1:24" hidden="1" x14ac:dyDescent="0.25">
      <c r="B314" s="189"/>
      <c r="J314" s="189"/>
      <c r="M314" s="205"/>
      <c r="O314" t="s">
        <v>7711</v>
      </c>
      <c r="S314" t="str">
        <f>IFERROR(VLOOKUP(E314,'VALORES VIAJES'!$A$2:$B$13,2,FALSE),"")</f>
        <v/>
      </c>
      <c r="T314" t="str">
        <f>IFERROR(VLOOKUP(H314,'VALORES VIAJES'!$A$2:$B$24,2,FALSE),"")</f>
        <v/>
      </c>
      <c r="U314" t="str">
        <f>IFERROR(VLOOKUP(I314,'VALORES VIAJES'!$A$2:$B$24,2,FALSE),"")</f>
        <v/>
      </c>
      <c r="V314" t="str">
        <f>IFERROR(VLOOKUP(K314,'VALORES VIAJES'!$A$2:$B$24,2,FALSE),"")</f>
        <v/>
      </c>
      <c r="X314" s="208">
        <f>SUM(Hoja1[[#This Row],[$ X TIP VEHICUL]:[AGREGADO]])</f>
        <v>0</v>
      </c>
    </row>
    <row r="315" spans="1:24" hidden="1" x14ac:dyDescent="0.25">
      <c r="B315" s="189"/>
      <c r="J315" s="189"/>
      <c r="M315" s="205"/>
      <c r="O315" t="s">
        <v>7711</v>
      </c>
      <c r="S315" t="str">
        <f>IFERROR(VLOOKUP(E315,'VALORES VIAJES'!$A$2:$B$13,2,FALSE),"")</f>
        <v/>
      </c>
      <c r="T315" t="str">
        <f>IFERROR(VLOOKUP(H315,'VALORES VIAJES'!$A$2:$B$24,2,FALSE),"")</f>
        <v/>
      </c>
      <c r="U315" t="str">
        <f>IFERROR(VLOOKUP(I315,'VALORES VIAJES'!$A$2:$B$24,2,FALSE),"")</f>
        <v/>
      </c>
      <c r="V315" t="str">
        <f>IFERROR(VLOOKUP(K315,'VALORES VIAJES'!$A$2:$B$24,2,FALSE),"")</f>
        <v/>
      </c>
      <c r="X315" s="208">
        <f>SUM(Hoja1[[#This Row],[$ X TIP VEHICUL]:[AGREGADO]])</f>
        <v>0</v>
      </c>
    </row>
    <row r="316" spans="1:24" hidden="1" x14ac:dyDescent="0.25">
      <c r="B316" s="189"/>
      <c r="J316" s="189"/>
      <c r="M316" s="205"/>
      <c r="O316" t="s">
        <v>7711</v>
      </c>
      <c r="S316" t="str">
        <f>IFERROR(VLOOKUP(E316,'VALORES VIAJES'!$A$2:$B$13,2,FALSE),"")</f>
        <v/>
      </c>
      <c r="T316" t="str">
        <f>IFERROR(VLOOKUP(H316,'VALORES VIAJES'!$A$2:$B$24,2,FALSE),"")</f>
        <v/>
      </c>
      <c r="U316" t="str">
        <f>IFERROR(VLOOKUP(I316,'VALORES VIAJES'!$A$2:$B$24,2,FALSE),"")</f>
        <v/>
      </c>
      <c r="V316" t="str">
        <f>IFERROR(VLOOKUP(K316,'VALORES VIAJES'!$A$2:$B$24,2,FALSE),"")</f>
        <v/>
      </c>
      <c r="X316" s="208">
        <f>SUM(Hoja1[[#This Row],[$ X TIP VEHICUL]:[AGREGADO]])</f>
        <v>0</v>
      </c>
    </row>
    <row r="317" spans="1:24" hidden="1" x14ac:dyDescent="0.25">
      <c r="B317" s="189"/>
      <c r="J317" s="189"/>
      <c r="M317" s="205"/>
      <c r="O317" t="s">
        <v>7711</v>
      </c>
      <c r="S317" t="str">
        <f>IFERROR(VLOOKUP(E317,'VALORES VIAJES'!$A$2:$B$13,2,FALSE),"")</f>
        <v/>
      </c>
      <c r="T317" t="str">
        <f>IFERROR(VLOOKUP(H317,'VALORES VIAJES'!$A$2:$B$24,2,FALSE),"")</f>
        <v/>
      </c>
      <c r="U317" t="str">
        <f>IFERROR(VLOOKUP(I317,'VALORES VIAJES'!$A$2:$B$24,2,FALSE),"")</f>
        <v/>
      </c>
      <c r="V317" t="str">
        <f>IFERROR(VLOOKUP(K317,'VALORES VIAJES'!$A$2:$B$24,2,FALSE),"")</f>
        <v/>
      </c>
      <c r="X317" s="208">
        <f>SUM(Hoja1[[#This Row],[$ X TIP VEHICUL]:[AGREGADO]])</f>
        <v>0</v>
      </c>
    </row>
    <row r="318" spans="1:24" hidden="1" x14ac:dyDescent="0.25">
      <c r="B318" s="189"/>
      <c r="J318" s="189"/>
      <c r="M318" s="205"/>
      <c r="O318" t="s">
        <v>7711</v>
      </c>
      <c r="S318" t="str">
        <f>IFERROR(VLOOKUP(E318,'VALORES VIAJES'!$A$2:$B$13,2,FALSE),"")</f>
        <v/>
      </c>
      <c r="T318" t="str">
        <f>IFERROR(VLOOKUP(H318,'VALORES VIAJES'!$A$2:$B$24,2,FALSE),"")</f>
        <v/>
      </c>
      <c r="U318" t="str">
        <f>IFERROR(VLOOKUP(I318,'VALORES VIAJES'!$A$2:$B$24,2,FALSE),"")</f>
        <v/>
      </c>
      <c r="V318" t="str">
        <f>IFERROR(VLOOKUP(K318,'VALORES VIAJES'!$A$2:$B$24,2,FALSE),"")</f>
        <v/>
      </c>
      <c r="X318" s="208">
        <f>SUM(Hoja1[[#This Row],[$ X TIP VEHICUL]:[AGREGADO]])</f>
        <v>0</v>
      </c>
    </row>
    <row r="319" spans="1:24" hidden="1" x14ac:dyDescent="0.25">
      <c r="B319" s="189"/>
      <c r="J319" s="189"/>
      <c r="M319" s="205"/>
      <c r="O319" t="s">
        <v>7711</v>
      </c>
      <c r="S319" t="str">
        <f>IFERROR(VLOOKUP(E319,'VALORES VIAJES'!$A$2:$B$13,2,FALSE),"")</f>
        <v/>
      </c>
      <c r="T319" t="str">
        <f>IFERROR(VLOOKUP(H319,'VALORES VIAJES'!$A$2:$B$24,2,FALSE),"")</f>
        <v/>
      </c>
      <c r="U319" t="str">
        <f>IFERROR(VLOOKUP(I319,'VALORES VIAJES'!$A$2:$B$24,2,FALSE),"")</f>
        <v/>
      </c>
      <c r="V319" t="str">
        <f>IFERROR(VLOOKUP(K319,'VALORES VIAJES'!$A$2:$B$24,2,FALSE),"")</f>
        <v/>
      </c>
      <c r="X319" s="208">
        <f>SUM(Hoja1[[#This Row],[$ X TIP VEHICUL]:[AGREGADO]])</f>
        <v>0</v>
      </c>
    </row>
    <row r="320" spans="1:24" hidden="1" x14ac:dyDescent="0.25">
      <c r="B320" s="189"/>
      <c r="J320" s="189"/>
      <c r="M320" s="205"/>
      <c r="O320" t="s">
        <v>7711</v>
      </c>
      <c r="S320" t="str">
        <f>IFERROR(VLOOKUP(E320,'VALORES VIAJES'!$A$2:$B$13,2,FALSE),"")</f>
        <v/>
      </c>
      <c r="T320" t="str">
        <f>IFERROR(VLOOKUP(H320,'VALORES VIAJES'!$A$2:$B$24,2,FALSE),"")</f>
        <v/>
      </c>
      <c r="U320" t="str">
        <f>IFERROR(VLOOKUP(I320,'VALORES VIAJES'!$A$2:$B$24,2,FALSE),"")</f>
        <v/>
      </c>
      <c r="V320" t="str">
        <f>IFERROR(VLOOKUP(K320,'VALORES VIAJES'!$A$2:$B$24,2,FALSE),"")</f>
        <v/>
      </c>
      <c r="X320" s="208">
        <f>SUM(Hoja1[[#This Row],[$ X TIP VEHICUL]:[AGREGADO]])</f>
        <v>0</v>
      </c>
    </row>
    <row r="321" spans="2:24" hidden="1" x14ac:dyDescent="0.25">
      <c r="B321" s="189"/>
      <c r="J321" s="189"/>
      <c r="M321" s="205"/>
      <c r="O321" t="s">
        <v>7711</v>
      </c>
      <c r="S321" t="str">
        <f>IFERROR(VLOOKUP(E321,'VALORES VIAJES'!$A$2:$B$13,2,FALSE),"")</f>
        <v/>
      </c>
      <c r="T321" t="str">
        <f>IFERROR(VLOOKUP(H321,'VALORES VIAJES'!$A$2:$B$24,2,FALSE),"")</f>
        <v/>
      </c>
      <c r="U321" t="str">
        <f>IFERROR(VLOOKUP(I321,'VALORES VIAJES'!$A$2:$B$24,2,FALSE),"")</f>
        <v/>
      </c>
      <c r="V321" t="str">
        <f>IFERROR(VLOOKUP(K321,'VALORES VIAJES'!$A$2:$B$24,2,FALSE),"")</f>
        <v/>
      </c>
      <c r="X321" s="208">
        <f>SUM(Hoja1[[#This Row],[$ X TIP VEHICUL]:[AGREGADO]])</f>
        <v>0</v>
      </c>
    </row>
    <row r="322" spans="2:24" hidden="1" x14ac:dyDescent="0.25">
      <c r="B322" s="189"/>
      <c r="J322" s="189"/>
      <c r="M322" s="205"/>
      <c r="O322" t="s">
        <v>7711</v>
      </c>
      <c r="S322" t="str">
        <f>IFERROR(VLOOKUP(E322,'VALORES VIAJES'!$A$2:$B$13,2,FALSE),"")</f>
        <v/>
      </c>
      <c r="T322" t="str">
        <f>IFERROR(VLOOKUP(H322,'VALORES VIAJES'!$A$2:$B$24,2,FALSE),"")</f>
        <v/>
      </c>
      <c r="U322" t="str">
        <f>IFERROR(VLOOKUP(I322,'VALORES VIAJES'!$A$2:$B$24,2,FALSE),"")</f>
        <v/>
      </c>
      <c r="V322" t="str">
        <f>IFERROR(VLOOKUP(K322,'VALORES VIAJES'!$A$2:$B$24,2,FALSE),"")</f>
        <v/>
      </c>
      <c r="X322" s="208">
        <f>SUM(Hoja1[[#This Row],[$ X TIP VEHICUL]:[AGREGADO]])</f>
        <v>0</v>
      </c>
    </row>
    <row r="323" spans="2:24" hidden="1" x14ac:dyDescent="0.25">
      <c r="B323" s="189"/>
      <c r="J323" s="189"/>
      <c r="M323" s="205"/>
      <c r="O323" t="s">
        <v>7711</v>
      </c>
      <c r="S323" t="str">
        <f>IFERROR(VLOOKUP(E323,'VALORES VIAJES'!$A$2:$B$13,2,FALSE),"")</f>
        <v/>
      </c>
      <c r="T323" t="str">
        <f>IFERROR(VLOOKUP(H323,'VALORES VIAJES'!$A$2:$B$24,2,FALSE),"")</f>
        <v/>
      </c>
      <c r="U323" t="str">
        <f>IFERROR(VLOOKUP(I323,'VALORES VIAJES'!$A$2:$B$24,2,FALSE),"")</f>
        <v/>
      </c>
      <c r="V323" t="str">
        <f>IFERROR(VLOOKUP(K323,'VALORES VIAJES'!$A$2:$B$24,2,FALSE),"")</f>
        <v/>
      </c>
      <c r="X323" s="208">
        <f>SUM(Hoja1[[#This Row],[$ X TIP VEHICUL]:[AGREGADO]])</f>
        <v>0</v>
      </c>
    </row>
    <row r="324" spans="2:24" hidden="1" x14ac:dyDescent="0.25">
      <c r="B324" s="189"/>
      <c r="J324" s="189"/>
      <c r="M324" s="205"/>
      <c r="O324" t="s">
        <v>7711</v>
      </c>
      <c r="S324" t="str">
        <f>IFERROR(VLOOKUP(E324,'VALORES VIAJES'!$A$2:$B$13,2,FALSE),"")</f>
        <v/>
      </c>
      <c r="T324" t="str">
        <f>IFERROR(VLOOKUP(H324,'VALORES VIAJES'!$A$2:$B$24,2,FALSE),"")</f>
        <v/>
      </c>
      <c r="U324" t="str">
        <f>IFERROR(VLOOKUP(I324,'VALORES VIAJES'!$A$2:$B$24,2,FALSE),"")</f>
        <v/>
      </c>
      <c r="V324" t="str">
        <f>IFERROR(VLOOKUP(K324,'VALORES VIAJES'!$A$2:$B$24,2,FALSE),"")</f>
        <v/>
      </c>
      <c r="X324" s="208">
        <f>SUM(Hoja1[[#This Row],[$ X TIP VEHICUL]:[AGREGADO]])</f>
        <v>0</v>
      </c>
    </row>
    <row r="325" spans="2:24" hidden="1" x14ac:dyDescent="0.25">
      <c r="B325" s="189"/>
      <c r="J325" s="189"/>
      <c r="M325" s="205"/>
      <c r="O325" t="s">
        <v>7711</v>
      </c>
      <c r="S325" t="str">
        <f>IFERROR(VLOOKUP(E325,'VALORES VIAJES'!$A$2:$B$13,2,FALSE),"")</f>
        <v/>
      </c>
      <c r="T325" t="str">
        <f>IFERROR(VLOOKUP(H325,'VALORES VIAJES'!$A$2:$B$24,2,FALSE),"")</f>
        <v/>
      </c>
      <c r="U325" t="str">
        <f>IFERROR(VLOOKUP(I325,'VALORES VIAJES'!$A$2:$B$24,2,FALSE),"")</f>
        <v/>
      </c>
      <c r="V325" t="str">
        <f>IFERROR(VLOOKUP(K325,'VALORES VIAJES'!$A$2:$B$24,2,FALSE),"")</f>
        <v/>
      </c>
      <c r="X325" s="208">
        <f>SUM(Hoja1[[#This Row],[$ X TIP VEHICUL]:[AGREGADO]])</f>
        <v>0</v>
      </c>
    </row>
    <row r="326" spans="2:24" hidden="1" x14ac:dyDescent="0.25">
      <c r="B326" s="189"/>
      <c r="J326" s="189"/>
      <c r="M326" s="205"/>
      <c r="O326" t="s">
        <v>7711</v>
      </c>
      <c r="S326" t="str">
        <f>IFERROR(VLOOKUP(E326,'VALORES VIAJES'!$A$2:$B$13,2,FALSE),"")</f>
        <v/>
      </c>
      <c r="T326" t="str">
        <f>IFERROR(VLOOKUP(H326,'VALORES VIAJES'!$A$2:$B$24,2,FALSE),"")</f>
        <v/>
      </c>
      <c r="U326" t="str">
        <f>IFERROR(VLOOKUP(I326,'VALORES VIAJES'!$A$2:$B$24,2,FALSE),"")</f>
        <v/>
      </c>
      <c r="V326" t="str">
        <f>IFERROR(VLOOKUP(K326,'VALORES VIAJES'!$A$2:$B$24,2,FALSE),"")</f>
        <v/>
      </c>
      <c r="X326" s="208">
        <f>SUM(Hoja1[[#This Row],[$ X TIP VEHICUL]:[AGREGADO]])</f>
        <v>0</v>
      </c>
    </row>
    <row r="327" spans="2:24" hidden="1" x14ac:dyDescent="0.25">
      <c r="B327" s="189"/>
      <c r="J327" s="189"/>
      <c r="M327" s="205"/>
      <c r="O327" t="s">
        <v>7711</v>
      </c>
      <c r="S327" t="str">
        <f>IFERROR(VLOOKUP(E327,'VALORES VIAJES'!$A$2:$B$13,2,FALSE),"")</f>
        <v/>
      </c>
      <c r="T327" t="str">
        <f>IFERROR(VLOOKUP(H327,'VALORES VIAJES'!$A$2:$B$24,2,FALSE),"")</f>
        <v/>
      </c>
      <c r="U327" t="str">
        <f>IFERROR(VLOOKUP(I327,'VALORES VIAJES'!$A$2:$B$24,2,FALSE),"")</f>
        <v/>
      </c>
      <c r="V327" t="str">
        <f>IFERROR(VLOOKUP(K327,'VALORES VIAJES'!$A$2:$B$24,2,FALSE),"")</f>
        <v/>
      </c>
      <c r="X327" s="208">
        <f>SUM(Hoja1[[#This Row],[$ X TIP VEHICUL]:[AGREGADO]])</f>
        <v>0</v>
      </c>
    </row>
    <row r="328" spans="2:24" hidden="1" x14ac:dyDescent="0.25">
      <c r="B328" s="189"/>
      <c r="J328" s="189"/>
      <c r="M328" s="205"/>
      <c r="O328" t="s">
        <v>7711</v>
      </c>
      <c r="S328" t="str">
        <f>IFERROR(VLOOKUP(E328,'VALORES VIAJES'!$A$2:$B$13,2,FALSE),"")</f>
        <v/>
      </c>
      <c r="T328" t="str">
        <f>IFERROR(VLOOKUP(H328,'VALORES VIAJES'!$A$2:$B$24,2,FALSE),"")</f>
        <v/>
      </c>
      <c r="U328" t="str">
        <f>IFERROR(VLOOKUP(I328,'VALORES VIAJES'!$A$2:$B$24,2,FALSE),"")</f>
        <v/>
      </c>
      <c r="V328" t="str">
        <f>IFERROR(VLOOKUP(K328,'VALORES VIAJES'!$A$2:$B$24,2,FALSE),"")</f>
        <v/>
      </c>
      <c r="X328" s="208">
        <f>SUM(Hoja1[[#This Row],[$ X TIP VEHICUL]:[AGREGADO]])</f>
        <v>0</v>
      </c>
    </row>
    <row r="329" spans="2:24" hidden="1" x14ac:dyDescent="0.25">
      <c r="B329" s="189"/>
      <c r="J329" s="189"/>
      <c r="M329" s="205"/>
      <c r="O329" t="s">
        <v>7711</v>
      </c>
      <c r="S329" t="str">
        <f>IFERROR(VLOOKUP(E329,'VALORES VIAJES'!$A$2:$B$13,2,FALSE),"")</f>
        <v/>
      </c>
      <c r="T329" t="str">
        <f>IFERROR(VLOOKUP(H329,'VALORES VIAJES'!$A$2:$B$24,2,FALSE),"")</f>
        <v/>
      </c>
      <c r="U329" t="str">
        <f>IFERROR(VLOOKUP(I329,'VALORES VIAJES'!$A$2:$B$24,2,FALSE),"")</f>
        <v/>
      </c>
      <c r="V329" t="str">
        <f>IFERROR(VLOOKUP(K329,'VALORES VIAJES'!$A$2:$B$24,2,FALSE),"")</f>
        <v/>
      </c>
      <c r="X329" s="208">
        <f>SUM(Hoja1[[#This Row],[$ X TIP VEHICUL]:[AGREGADO]])</f>
        <v>0</v>
      </c>
    </row>
    <row r="330" spans="2:24" hidden="1" x14ac:dyDescent="0.25">
      <c r="B330" s="189"/>
      <c r="J330" s="189"/>
      <c r="M330" s="205"/>
      <c r="O330" t="s">
        <v>7711</v>
      </c>
      <c r="S330" t="str">
        <f>IFERROR(VLOOKUP(E330,'VALORES VIAJES'!$A$2:$B$13,2,FALSE),"")</f>
        <v/>
      </c>
      <c r="T330" t="str">
        <f>IFERROR(VLOOKUP(H330,'VALORES VIAJES'!$A$2:$B$24,2,FALSE),"")</f>
        <v/>
      </c>
      <c r="U330" t="str">
        <f>IFERROR(VLOOKUP(I330,'VALORES VIAJES'!$A$2:$B$24,2,FALSE),"")</f>
        <v/>
      </c>
      <c r="V330" t="str">
        <f>IFERROR(VLOOKUP(K330,'VALORES VIAJES'!$A$2:$B$24,2,FALSE),"")</f>
        <v/>
      </c>
      <c r="X330" s="208">
        <f>SUM(Hoja1[[#This Row],[$ X TIP VEHICUL]:[AGREGADO]])</f>
        <v>0</v>
      </c>
    </row>
    <row r="331" spans="2:24" hidden="1" x14ac:dyDescent="0.25">
      <c r="B331" s="189"/>
      <c r="J331" s="189"/>
      <c r="M331" s="205"/>
      <c r="O331" t="s">
        <v>7711</v>
      </c>
      <c r="S331" t="str">
        <f>IFERROR(VLOOKUP(E331,'VALORES VIAJES'!$A$2:$B$13,2,FALSE),"")</f>
        <v/>
      </c>
      <c r="T331" t="str">
        <f>IFERROR(VLOOKUP(H331,'VALORES VIAJES'!$A$2:$B$24,2,FALSE),"")</f>
        <v/>
      </c>
      <c r="U331" t="str">
        <f>IFERROR(VLOOKUP(I331,'VALORES VIAJES'!$A$2:$B$24,2,FALSE),"")</f>
        <v/>
      </c>
      <c r="V331" t="str">
        <f>IFERROR(VLOOKUP(K331,'VALORES VIAJES'!$A$2:$B$24,2,FALSE),"")</f>
        <v/>
      </c>
      <c r="X331" s="208">
        <f>SUM(Hoja1[[#This Row],[$ X TIP VEHICUL]:[AGREGADO]])</f>
        <v>0</v>
      </c>
    </row>
    <row r="332" spans="2:24" hidden="1" x14ac:dyDescent="0.25">
      <c r="B332" s="189"/>
      <c r="J332" s="189"/>
      <c r="M332" s="205"/>
      <c r="O332" t="s">
        <v>7711</v>
      </c>
      <c r="S332" t="str">
        <f>IFERROR(VLOOKUP(E332,'VALORES VIAJES'!$A$2:$B$13,2,FALSE),"")</f>
        <v/>
      </c>
      <c r="T332" t="str">
        <f>IFERROR(VLOOKUP(H332,'VALORES VIAJES'!$A$2:$B$24,2,FALSE),"")</f>
        <v/>
      </c>
      <c r="U332" t="str">
        <f>IFERROR(VLOOKUP(I332,'VALORES VIAJES'!$A$2:$B$24,2,FALSE),"")</f>
        <v/>
      </c>
      <c r="V332" t="str">
        <f>IFERROR(VLOOKUP(K332,'VALORES VIAJES'!$A$2:$B$24,2,FALSE),"")</f>
        <v/>
      </c>
      <c r="X332" s="208">
        <f>SUM(Hoja1[[#This Row],[$ X TIP VEHICUL]:[AGREGADO]])</f>
        <v>0</v>
      </c>
    </row>
    <row r="333" spans="2:24" hidden="1" x14ac:dyDescent="0.25">
      <c r="B333" s="189"/>
      <c r="J333" s="189"/>
      <c r="M333" s="205"/>
      <c r="O333" t="s">
        <v>7711</v>
      </c>
      <c r="S333" t="str">
        <f>IFERROR(VLOOKUP(E333,'VALORES VIAJES'!$A$2:$B$13,2,FALSE),"")</f>
        <v/>
      </c>
      <c r="T333" t="str">
        <f>IFERROR(VLOOKUP(H333,'VALORES VIAJES'!$A$2:$B$24,2,FALSE),"")</f>
        <v/>
      </c>
      <c r="U333" t="str">
        <f>IFERROR(VLOOKUP(I333,'VALORES VIAJES'!$A$2:$B$24,2,FALSE),"")</f>
        <v/>
      </c>
      <c r="V333" t="str">
        <f>IFERROR(VLOOKUP(K333,'VALORES VIAJES'!$A$2:$B$24,2,FALSE),"")</f>
        <v/>
      </c>
      <c r="X333" s="208">
        <f>SUM(Hoja1[[#This Row],[$ X TIP VEHICUL]:[AGREGADO]])</f>
        <v>0</v>
      </c>
    </row>
    <row r="334" spans="2:24" hidden="1" x14ac:dyDescent="0.25">
      <c r="B334" s="189"/>
      <c r="J334" s="189"/>
      <c r="M334" s="205"/>
      <c r="O334" t="s">
        <v>7711</v>
      </c>
      <c r="S334" t="str">
        <f>IFERROR(VLOOKUP(E334,'VALORES VIAJES'!$A$2:$B$13,2,FALSE),"")</f>
        <v/>
      </c>
      <c r="T334" t="str">
        <f>IFERROR(VLOOKUP(H334,'VALORES VIAJES'!$A$2:$B$24,2,FALSE),"")</f>
        <v/>
      </c>
      <c r="U334" t="str">
        <f>IFERROR(VLOOKUP(I334,'VALORES VIAJES'!$A$2:$B$24,2,FALSE),"")</f>
        <v/>
      </c>
      <c r="V334" t="str">
        <f>IFERROR(VLOOKUP(K334,'VALORES VIAJES'!$A$2:$B$24,2,FALSE),"")</f>
        <v/>
      </c>
      <c r="X334" s="208">
        <f>SUM(Hoja1[[#This Row],[$ X TIP VEHICUL]:[AGREGADO]])</f>
        <v>0</v>
      </c>
    </row>
    <row r="335" spans="2:24" hidden="1" x14ac:dyDescent="0.25">
      <c r="B335" s="189"/>
      <c r="J335" s="189"/>
      <c r="M335" s="205"/>
      <c r="O335" t="s">
        <v>7711</v>
      </c>
      <c r="S335" t="str">
        <f>IFERROR(VLOOKUP(E335,'VALORES VIAJES'!$A$2:$B$13,2,FALSE),"")</f>
        <v/>
      </c>
      <c r="T335" t="str">
        <f>IFERROR(VLOOKUP(H335,'VALORES VIAJES'!$A$2:$B$24,2,FALSE),"")</f>
        <v/>
      </c>
      <c r="U335" t="str">
        <f>IFERROR(VLOOKUP(I335,'VALORES VIAJES'!$A$2:$B$24,2,FALSE),"")</f>
        <v/>
      </c>
      <c r="V335" t="str">
        <f>IFERROR(VLOOKUP(K335,'VALORES VIAJES'!$A$2:$B$24,2,FALSE),"")</f>
        <v/>
      </c>
      <c r="X335" s="208">
        <f>SUM(Hoja1[[#This Row],[$ X TIP VEHICUL]:[AGREGADO]])</f>
        <v>0</v>
      </c>
    </row>
    <row r="336" spans="2:24" hidden="1" x14ac:dyDescent="0.25">
      <c r="B336" s="189"/>
      <c r="J336" s="189"/>
      <c r="M336" s="205"/>
      <c r="O336" t="s">
        <v>7711</v>
      </c>
      <c r="S336" t="str">
        <f>IFERROR(VLOOKUP(E336,'VALORES VIAJES'!$A$2:$B$13,2,FALSE),"")</f>
        <v/>
      </c>
      <c r="T336" t="str">
        <f>IFERROR(VLOOKUP(H336,'VALORES VIAJES'!$A$2:$B$24,2,FALSE),"")</f>
        <v/>
      </c>
      <c r="U336" t="str">
        <f>IFERROR(VLOOKUP(I336,'VALORES VIAJES'!$A$2:$B$24,2,FALSE),"")</f>
        <v/>
      </c>
      <c r="V336" t="str">
        <f>IFERROR(VLOOKUP(K336,'VALORES VIAJES'!$A$2:$B$24,2,FALSE),"")</f>
        <v/>
      </c>
      <c r="X336" s="208">
        <f>SUM(Hoja1[[#This Row],[$ X TIP VEHICUL]:[AGREGADO]])</f>
        <v>0</v>
      </c>
    </row>
    <row r="337" spans="2:24" hidden="1" x14ac:dyDescent="0.25">
      <c r="B337" s="189"/>
      <c r="J337" s="189"/>
      <c r="M337" s="205"/>
      <c r="O337" t="s">
        <v>7711</v>
      </c>
      <c r="S337" t="str">
        <f>IFERROR(VLOOKUP(E337,'VALORES VIAJES'!$A$2:$B$13,2,FALSE),"")</f>
        <v/>
      </c>
      <c r="T337" t="str">
        <f>IFERROR(VLOOKUP(H337,'VALORES VIAJES'!$A$2:$B$24,2,FALSE),"")</f>
        <v/>
      </c>
      <c r="U337" t="str">
        <f>IFERROR(VLOOKUP(I337,'VALORES VIAJES'!$A$2:$B$24,2,FALSE),"")</f>
        <v/>
      </c>
      <c r="V337" t="str">
        <f>IFERROR(VLOOKUP(K337,'VALORES VIAJES'!$A$2:$B$24,2,FALSE),"")</f>
        <v/>
      </c>
      <c r="X337" s="208">
        <f>SUM(Hoja1[[#This Row],[$ X TIP VEHICUL]:[AGREGADO]])</f>
        <v>0</v>
      </c>
    </row>
    <row r="338" spans="2:24" hidden="1" x14ac:dyDescent="0.25">
      <c r="B338" s="189"/>
      <c r="J338" s="189"/>
      <c r="M338" s="205"/>
      <c r="O338" t="s">
        <v>7711</v>
      </c>
      <c r="S338" t="str">
        <f>IFERROR(VLOOKUP(E338,'VALORES VIAJES'!$A$2:$B$13,2,FALSE),"")</f>
        <v/>
      </c>
      <c r="T338" t="str">
        <f>IFERROR(VLOOKUP(H338,'VALORES VIAJES'!$A$2:$B$24,2,FALSE),"")</f>
        <v/>
      </c>
      <c r="U338" t="str">
        <f>IFERROR(VLOOKUP(I338,'VALORES VIAJES'!$A$2:$B$24,2,FALSE),"")</f>
        <v/>
      </c>
      <c r="V338" t="str">
        <f>IFERROR(VLOOKUP(K338,'VALORES VIAJES'!$A$2:$B$24,2,FALSE),"")</f>
        <v/>
      </c>
      <c r="X338" s="208">
        <f>SUM(Hoja1[[#This Row],[$ X TIP VEHICUL]:[AGREGADO]])</f>
        <v>0</v>
      </c>
    </row>
    <row r="339" spans="2:24" hidden="1" x14ac:dyDescent="0.25">
      <c r="B339" s="189"/>
      <c r="J339" s="189"/>
      <c r="M339" s="205"/>
      <c r="O339" t="s">
        <v>7711</v>
      </c>
      <c r="S339" t="str">
        <f>IFERROR(VLOOKUP(E339,'VALORES VIAJES'!$A$2:$B$13,2,FALSE),"")</f>
        <v/>
      </c>
      <c r="T339" t="str">
        <f>IFERROR(VLOOKUP(H339,'VALORES VIAJES'!$A$2:$B$24,2,FALSE),"")</f>
        <v/>
      </c>
      <c r="U339" t="str">
        <f>IFERROR(VLOOKUP(I339,'VALORES VIAJES'!$A$2:$B$24,2,FALSE),"")</f>
        <v/>
      </c>
      <c r="V339" t="str">
        <f>IFERROR(VLOOKUP(K339,'VALORES VIAJES'!$A$2:$B$24,2,FALSE),"")</f>
        <v/>
      </c>
      <c r="X339" s="208">
        <f>SUM(Hoja1[[#This Row],[$ X TIP VEHICUL]:[AGREGADO]])</f>
        <v>0</v>
      </c>
    </row>
    <row r="340" spans="2:24" hidden="1" x14ac:dyDescent="0.25">
      <c r="B340" s="189"/>
      <c r="J340" s="189"/>
      <c r="M340" s="205"/>
      <c r="O340" t="s">
        <v>7711</v>
      </c>
      <c r="S340" t="str">
        <f>IFERROR(VLOOKUP(E340,'VALORES VIAJES'!$A$2:$B$13,2,FALSE),"")</f>
        <v/>
      </c>
      <c r="T340" t="str">
        <f>IFERROR(VLOOKUP(H340,'VALORES VIAJES'!$A$2:$B$24,2,FALSE),"")</f>
        <v/>
      </c>
      <c r="U340" t="str">
        <f>IFERROR(VLOOKUP(I340,'VALORES VIAJES'!$A$2:$B$24,2,FALSE),"")</f>
        <v/>
      </c>
      <c r="V340" t="str">
        <f>IFERROR(VLOOKUP(K340,'VALORES VIAJES'!$A$2:$B$24,2,FALSE),"")</f>
        <v/>
      </c>
      <c r="X340" s="208">
        <f>SUM(Hoja1[[#This Row],[$ X TIP VEHICUL]:[AGREGADO]])</f>
        <v>0</v>
      </c>
    </row>
    <row r="341" spans="2:24" hidden="1" x14ac:dyDescent="0.25">
      <c r="B341" s="189"/>
      <c r="J341" s="189"/>
      <c r="M341" s="205"/>
      <c r="O341" t="s">
        <v>7711</v>
      </c>
      <c r="S341" t="str">
        <f>IFERROR(VLOOKUP(E341,'VALORES VIAJES'!$A$2:$B$13,2,FALSE),"")</f>
        <v/>
      </c>
      <c r="T341" t="str">
        <f>IFERROR(VLOOKUP(H341,'VALORES VIAJES'!$A$2:$B$24,2,FALSE),"")</f>
        <v/>
      </c>
      <c r="U341" t="str">
        <f>IFERROR(VLOOKUP(I341,'VALORES VIAJES'!$A$2:$B$24,2,FALSE),"")</f>
        <v/>
      </c>
      <c r="V341" t="str">
        <f>IFERROR(VLOOKUP(K341,'VALORES VIAJES'!$A$2:$B$24,2,FALSE),"")</f>
        <v/>
      </c>
      <c r="X341" s="208">
        <f>SUM(Hoja1[[#This Row],[$ X TIP VEHICUL]:[AGREGADO]])</f>
        <v>0</v>
      </c>
    </row>
    <row r="342" spans="2:24" hidden="1" x14ac:dyDescent="0.25">
      <c r="B342" s="189"/>
      <c r="J342" s="189"/>
      <c r="M342" s="205"/>
      <c r="O342" t="s">
        <v>7711</v>
      </c>
      <c r="S342" t="str">
        <f>IFERROR(VLOOKUP(E342,'VALORES VIAJES'!$A$2:$B$13,2,FALSE),"")</f>
        <v/>
      </c>
      <c r="T342" t="str">
        <f>IFERROR(VLOOKUP(H342,'VALORES VIAJES'!$A$2:$B$24,2,FALSE),"")</f>
        <v/>
      </c>
      <c r="U342" t="str">
        <f>IFERROR(VLOOKUP(I342,'VALORES VIAJES'!$A$2:$B$24,2,FALSE),"")</f>
        <v/>
      </c>
      <c r="V342" t="str">
        <f>IFERROR(VLOOKUP(K342,'VALORES VIAJES'!$A$2:$B$24,2,FALSE),"")</f>
        <v/>
      </c>
      <c r="X342" s="208">
        <f>SUM(Hoja1[[#This Row],[$ X TIP VEHICUL]:[AGREGADO]])</f>
        <v>0</v>
      </c>
    </row>
    <row r="343" spans="2:24" hidden="1" x14ac:dyDescent="0.25">
      <c r="B343" s="189"/>
      <c r="J343" s="189"/>
      <c r="M343" s="205"/>
      <c r="O343" t="s">
        <v>7711</v>
      </c>
      <c r="S343" t="str">
        <f>IFERROR(VLOOKUP(E343,'VALORES VIAJES'!$A$2:$B$13,2,FALSE),"")</f>
        <v/>
      </c>
      <c r="T343" t="str">
        <f>IFERROR(VLOOKUP(H343,'VALORES VIAJES'!$A$2:$B$24,2,FALSE),"")</f>
        <v/>
      </c>
      <c r="U343" t="str">
        <f>IFERROR(VLOOKUP(I343,'VALORES VIAJES'!$A$2:$B$24,2,FALSE),"")</f>
        <v/>
      </c>
      <c r="V343" t="str">
        <f>IFERROR(VLOOKUP(K343,'VALORES VIAJES'!$A$2:$B$24,2,FALSE),"")</f>
        <v/>
      </c>
      <c r="X343" s="208">
        <f>SUM(Hoja1[[#This Row],[$ X TIP VEHICUL]:[AGREGADO]])</f>
        <v>0</v>
      </c>
    </row>
    <row r="344" spans="2:24" hidden="1" x14ac:dyDescent="0.25">
      <c r="B344" s="189"/>
      <c r="J344" s="189"/>
      <c r="M344" s="205"/>
      <c r="O344" t="s">
        <v>7711</v>
      </c>
      <c r="S344" t="str">
        <f>IFERROR(VLOOKUP(E344,'VALORES VIAJES'!$A$2:$B$13,2,FALSE),"")</f>
        <v/>
      </c>
      <c r="T344" t="str">
        <f>IFERROR(VLOOKUP(H344,'VALORES VIAJES'!$A$2:$B$24,2,FALSE),"")</f>
        <v/>
      </c>
      <c r="U344" t="str">
        <f>IFERROR(VLOOKUP(I344,'VALORES VIAJES'!$A$2:$B$24,2,FALSE),"")</f>
        <v/>
      </c>
      <c r="V344" t="str">
        <f>IFERROR(VLOOKUP(K344,'VALORES VIAJES'!$A$2:$B$24,2,FALSE),"")</f>
        <v/>
      </c>
      <c r="X344" s="208">
        <f>SUM(Hoja1[[#This Row],[$ X TIP VEHICUL]:[AGREGADO]])</f>
        <v>0</v>
      </c>
    </row>
    <row r="345" spans="2:24" hidden="1" x14ac:dyDescent="0.25">
      <c r="B345" s="189"/>
      <c r="J345" s="189"/>
      <c r="M345" s="205"/>
      <c r="O345" t="s">
        <v>7711</v>
      </c>
      <c r="S345" t="str">
        <f>IFERROR(VLOOKUP(E345,'VALORES VIAJES'!$A$2:$B$13,2,FALSE),"")</f>
        <v/>
      </c>
      <c r="T345" t="str">
        <f>IFERROR(VLOOKUP(H345,'VALORES VIAJES'!$A$2:$B$24,2,FALSE),"")</f>
        <v/>
      </c>
      <c r="U345" t="str">
        <f>IFERROR(VLOOKUP(I345,'VALORES VIAJES'!$A$2:$B$24,2,FALSE),"")</f>
        <v/>
      </c>
      <c r="V345" t="str">
        <f>IFERROR(VLOOKUP(K345,'VALORES VIAJES'!$A$2:$B$24,2,FALSE),"")</f>
        <v/>
      </c>
      <c r="X345" s="208">
        <f>SUM(Hoja1[[#This Row],[$ X TIP VEHICUL]:[AGREGADO]])</f>
        <v>0</v>
      </c>
    </row>
    <row r="346" spans="2:24" hidden="1" x14ac:dyDescent="0.25">
      <c r="B346" s="189"/>
      <c r="J346" s="189"/>
      <c r="M346" s="205"/>
      <c r="O346" t="s">
        <v>7711</v>
      </c>
      <c r="S346" t="str">
        <f>IFERROR(VLOOKUP(E346,'VALORES VIAJES'!$A$2:$B$13,2,FALSE),"")</f>
        <v/>
      </c>
      <c r="T346" t="str">
        <f>IFERROR(VLOOKUP(H346,'VALORES VIAJES'!$A$2:$B$24,2,FALSE),"")</f>
        <v/>
      </c>
      <c r="U346" t="str">
        <f>IFERROR(VLOOKUP(I346,'VALORES VIAJES'!$A$2:$B$24,2,FALSE),"")</f>
        <v/>
      </c>
      <c r="V346" t="str">
        <f>IFERROR(VLOOKUP(K346,'VALORES VIAJES'!$A$2:$B$24,2,FALSE),"")</f>
        <v/>
      </c>
      <c r="X346" s="208">
        <f>SUM(Hoja1[[#This Row],[$ X TIP VEHICUL]:[AGREGADO]])</f>
        <v>0</v>
      </c>
    </row>
    <row r="347" spans="2:24" hidden="1" x14ac:dyDescent="0.25">
      <c r="B347" s="189"/>
      <c r="J347" s="189"/>
      <c r="M347" s="205"/>
      <c r="O347" t="s">
        <v>7711</v>
      </c>
      <c r="S347" t="str">
        <f>IFERROR(VLOOKUP(E347,'VALORES VIAJES'!$A$2:$B$13,2,FALSE),"")</f>
        <v/>
      </c>
      <c r="T347" t="str">
        <f>IFERROR(VLOOKUP(H347,'VALORES VIAJES'!$A$2:$B$24,2,FALSE),"")</f>
        <v/>
      </c>
      <c r="U347" t="str">
        <f>IFERROR(VLOOKUP(I347,'VALORES VIAJES'!$A$2:$B$24,2,FALSE),"")</f>
        <v/>
      </c>
      <c r="V347" t="str">
        <f>IFERROR(VLOOKUP(K347,'VALORES VIAJES'!$A$2:$B$24,2,FALSE),"")</f>
        <v/>
      </c>
      <c r="X347" s="208">
        <f>SUM(Hoja1[[#This Row],[$ X TIP VEHICUL]:[AGREGADO]])</f>
        <v>0</v>
      </c>
    </row>
    <row r="348" spans="2:24" hidden="1" x14ac:dyDescent="0.25">
      <c r="B348" s="189"/>
      <c r="J348" s="189"/>
      <c r="M348" s="205"/>
      <c r="O348" t="s">
        <v>7711</v>
      </c>
      <c r="S348" t="str">
        <f>IFERROR(VLOOKUP(E348,'VALORES VIAJES'!$A$2:$B$13,2,FALSE),"")</f>
        <v/>
      </c>
      <c r="T348" t="str">
        <f>IFERROR(VLOOKUP(H348,'VALORES VIAJES'!$A$2:$B$24,2,FALSE),"")</f>
        <v/>
      </c>
      <c r="U348" t="str">
        <f>IFERROR(VLOOKUP(I348,'VALORES VIAJES'!$A$2:$B$24,2,FALSE),"")</f>
        <v/>
      </c>
      <c r="V348" t="str">
        <f>IFERROR(VLOOKUP(K348,'VALORES VIAJES'!$A$2:$B$24,2,FALSE),"")</f>
        <v/>
      </c>
      <c r="X348" s="208">
        <f>SUM(Hoja1[[#This Row],[$ X TIP VEHICUL]:[AGREGADO]])</f>
        <v>0</v>
      </c>
    </row>
    <row r="349" spans="2:24" hidden="1" x14ac:dyDescent="0.25">
      <c r="B349" s="189"/>
      <c r="J349" s="189"/>
      <c r="M349" s="205"/>
      <c r="O349" t="s">
        <v>7711</v>
      </c>
      <c r="S349" t="str">
        <f>IFERROR(VLOOKUP(E349,'VALORES VIAJES'!$A$2:$B$13,2,FALSE),"")</f>
        <v/>
      </c>
      <c r="T349" t="str">
        <f>IFERROR(VLOOKUP(H349,'VALORES VIAJES'!$A$2:$B$24,2,FALSE),"")</f>
        <v/>
      </c>
      <c r="U349" t="str">
        <f>IFERROR(VLOOKUP(I349,'VALORES VIAJES'!$A$2:$B$24,2,FALSE),"")</f>
        <v/>
      </c>
      <c r="V349" t="str">
        <f>IFERROR(VLOOKUP(K349,'VALORES VIAJES'!$A$2:$B$24,2,FALSE),"")</f>
        <v/>
      </c>
      <c r="X349" s="208">
        <f>SUM(Hoja1[[#This Row],[$ X TIP VEHICUL]:[AGREGADO]])</f>
        <v>0</v>
      </c>
    </row>
    <row r="350" spans="2:24" hidden="1" x14ac:dyDescent="0.25">
      <c r="B350" s="189"/>
      <c r="J350" s="189"/>
      <c r="M350" s="205"/>
      <c r="O350" t="s">
        <v>7711</v>
      </c>
      <c r="S350" t="str">
        <f>IFERROR(VLOOKUP(E350,'VALORES VIAJES'!$A$2:$B$13,2,FALSE),"")</f>
        <v/>
      </c>
      <c r="T350" t="str">
        <f>IFERROR(VLOOKUP(H350,'VALORES VIAJES'!$A$2:$B$24,2,FALSE),"")</f>
        <v/>
      </c>
      <c r="U350" t="str">
        <f>IFERROR(VLOOKUP(I350,'VALORES VIAJES'!$A$2:$B$24,2,FALSE),"")</f>
        <v/>
      </c>
      <c r="V350" t="str">
        <f>IFERROR(VLOOKUP(K350,'VALORES VIAJES'!$A$2:$B$24,2,FALSE),"")</f>
        <v/>
      </c>
      <c r="X350" s="208">
        <f>SUM(Hoja1[[#This Row],[$ X TIP VEHICUL]:[AGREGADO]])</f>
        <v>0</v>
      </c>
    </row>
    <row r="351" spans="2:24" hidden="1" x14ac:dyDescent="0.25">
      <c r="B351" s="189"/>
      <c r="J351" s="189"/>
      <c r="M351" s="205"/>
      <c r="O351" t="s">
        <v>7711</v>
      </c>
      <c r="S351" t="str">
        <f>IFERROR(VLOOKUP(E351,'VALORES VIAJES'!$A$2:$B$13,2,FALSE),"")</f>
        <v/>
      </c>
      <c r="T351" t="str">
        <f>IFERROR(VLOOKUP(H351,'VALORES VIAJES'!$A$2:$B$24,2,FALSE),"")</f>
        <v/>
      </c>
      <c r="U351" t="str">
        <f>IFERROR(VLOOKUP(I351,'VALORES VIAJES'!$A$2:$B$24,2,FALSE),"")</f>
        <v/>
      </c>
      <c r="V351" t="str">
        <f>IFERROR(VLOOKUP(K351,'VALORES VIAJES'!$A$2:$B$24,2,FALSE),"")</f>
        <v/>
      </c>
      <c r="X351" s="208">
        <f>SUM(Hoja1[[#This Row],[$ X TIP VEHICUL]:[AGREGADO]])</f>
        <v>0</v>
      </c>
    </row>
    <row r="352" spans="2:24" hidden="1" x14ac:dyDescent="0.25">
      <c r="B352" s="189"/>
      <c r="J352" s="189"/>
      <c r="M352" s="205"/>
      <c r="O352" t="s">
        <v>7711</v>
      </c>
      <c r="S352" t="str">
        <f>IFERROR(VLOOKUP(E352,'VALORES VIAJES'!$A$2:$B$13,2,FALSE),"")</f>
        <v/>
      </c>
      <c r="T352" t="str">
        <f>IFERROR(VLOOKUP(H352,'VALORES VIAJES'!$A$2:$B$24,2,FALSE),"")</f>
        <v/>
      </c>
      <c r="U352" t="str">
        <f>IFERROR(VLOOKUP(I352,'VALORES VIAJES'!$A$2:$B$24,2,FALSE),"")</f>
        <v/>
      </c>
      <c r="V352" t="str">
        <f>IFERROR(VLOOKUP(K352,'VALORES VIAJES'!$A$2:$B$24,2,FALSE),"")</f>
        <v/>
      </c>
      <c r="X352" s="208">
        <f>SUM(Hoja1[[#This Row],[$ X TIP VEHICUL]:[AGREGADO]])</f>
        <v>0</v>
      </c>
    </row>
    <row r="353" spans="2:24" hidden="1" x14ac:dyDescent="0.25">
      <c r="B353" s="189"/>
      <c r="J353" s="189"/>
      <c r="M353" s="205"/>
      <c r="O353" t="s">
        <v>7711</v>
      </c>
      <c r="S353" t="str">
        <f>IFERROR(VLOOKUP(E353,'VALORES VIAJES'!$A$2:$B$13,2,FALSE),"")</f>
        <v/>
      </c>
      <c r="T353" t="str">
        <f>IFERROR(VLOOKUP(H353,'VALORES VIAJES'!$A$2:$B$24,2,FALSE),"")</f>
        <v/>
      </c>
      <c r="U353" t="str">
        <f>IFERROR(VLOOKUP(I353,'VALORES VIAJES'!$A$2:$B$24,2,FALSE),"")</f>
        <v/>
      </c>
      <c r="V353" t="str">
        <f>IFERROR(VLOOKUP(K353,'VALORES VIAJES'!$A$2:$B$24,2,FALSE),"")</f>
        <v/>
      </c>
      <c r="X353" s="208">
        <f>SUM(Hoja1[[#This Row],[$ X TIP VEHICUL]:[AGREGADO]])</f>
        <v>0</v>
      </c>
    </row>
    <row r="354" spans="2:24" hidden="1" x14ac:dyDescent="0.25">
      <c r="B354" s="189"/>
      <c r="J354" s="189"/>
      <c r="M354" s="205"/>
      <c r="O354" t="s">
        <v>7711</v>
      </c>
      <c r="S354" t="str">
        <f>IFERROR(VLOOKUP(E354,'VALORES VIAJES'!$A$2:$B$13,2,FALSE),"")</f>
        <v/>
      </c>
      <c r="T354" t="str">
        <f>IFERROR(VLOOKUP(H354,'VALORES VIAJES'!$A$2:$B$24,2,FALSE),"")</f>
        <v/>
      </c>
      <c r="U354" t="str">
        <f>IFERROR(VLOOKUP(I354,'VALORES VIAJES'!$A$2:$B$24,2,FALSE),"")</f>
        <v/>
      </c>
      <c r="V354" t="str">
        <f>IFERROR(VLOOKUP(K354,'VALORES VIAJES'!$A$2:$B$24,2,FALSE),"")</f>
        <v/>
      </c>
      <c r="X354" s="208">
        <f>SUM(Hoja1[[#This Row],[$ X TIP VEHICUL]:[AGREGADO]])</f>
        <v>0</v>
      </c>
    </row>
    <row r="355" spans="2:24" hidden="1" x14ac:dyDescent="0.25">
      <c r="B355" s="189"/>
      <c r="J355" s="189"/>
      <c r="M355" s="205"/>
      <c r="O355" t="s">
        <v>7711</v>
      </c>
      <c r="S355" t="str">
        <f>IFERROR(VLOOKUP(E355,'VALORES VIAJES'!$A$2:$B$13,2,FALSE),"")</f>
        <v/>
      </c>
      <c r="T355" t="str">
        <f>IFERROR(VLOOKUP(H355,'VALORES VIAJES'!$A$2:$B$24,2,FALSE),"")</f>
        <v/>
      </c>
      <c r="U355" t="str">
        <f>IFERROR(VLOOKUP(I355,'VALORES VIAJES'!$A$2:$B$24,2,FALSE),"")</f>
        <v/>
      </c>
      <c r="V355" t="str">
        <f>IFERROR(VLOOKUP(K355,'VALORES VIAJES'!$A$2:$B$24,2,FALSE),"")</f>
        <v/>
      </c>
      <c r="X355" s="208">
        <f>SUM(Hoja1[[#This Row],[$ X TIP VEHICUL]:[AGREGADO]])</f>
        <v>0</v>
      </c>
    </row>
    <row r="356" spans="2:24" hidden="1" x14ac:dyDescent="0.25">
      <c r="B356" s="189"/>
      <c r="J356" s="189"/>
      <c r="M356" s="205"/>
      <c r="O356" t="s">
        <v>7711</v>
      </c>
      <c r="S356" t="str">
        <f>IFERROR(VLOOKUP(E356,'VALORES VIAJES'!$A$2:$B$13,2,FALSE),"")</f>
        <v/>
      </c>
      <c r="T356" t="str">
        <f>IFERROR(VLOOKUP(H356,'VALORES VIAJES'!$A$2:$B$24,2,FALSE),"")</f>
        <v/>
      </c>
      <c r="U356" t="str">
        <f>IFERROR(VLOOKUP(I356,'VALORES VIAJES'!$A$2:$B$24,2,FALSE),"")</f>
        <v/>
      </c>
      <c r="V356" t="str">
        <f>IFERROR(VLOOKUP(K356,'VALORES VIAJES'!$A$2:$B$24,2,FALSE),"")</f>
        <v/>
      </c>
      <c r="X356" s="208">
        <f>SUM(Hoja1[[#This Row],[$ X TIP VEHICUL]:[AGREGADO]])</f>
        <v>0</v>
      </c>
    </row>
    <row r="357" spans="2:24" hidden="1" x14ac:dyDescent="0.25">
      <c r="B357" s="189"/>
      <c r="J357" s="189"/>
      <c r="M357" s="205"/>
      <c r="O357" t="s">
        <v>7711</v>
      </c>
      <c r="S357" t="str">
        <f>IFERROR(VLOOKUP(E357,'VALORES VIAJES'!$A$2:$B$13,2,FALSE),"")</f>
        <v/>
      </c>
      <c r="T357" t="str">
        <f>IFERROR(VLOOKUP(H357,'VALORES VIAJES'!$A$2:$B$24,2,FALSE),"")</f>
        <v/>
      </c>
      <c r="U357" t="str">
        <f>IFERROR(VLOOKUP(I357,'VALORES VIAJES'!$A$2:$B$24,2,FALSE),"")</f>
        <v/>
      </c>
      <c r="V357" t="str">
        <f>IFERROR(VLOOKUP(K357,'VALORES VIAJES'!$A$2:$B$24,2,FALSE),"")</f>
        <v/>
      </c>
      <c r="X357" s="208">
        <f>SUM(Hoja1[[#This Row],[$ X TIP VEHICUL]:[AGREGADO]])</f>
        <v>0</v>
      </c>
    </row>
    <row r="358" spans="2:24" hidden="1" x14ac:dyDescent="0.25">
      <c r="B358" s="189"/>
      <c r="J358" s="189"/>
      <c r="M358" s="205"/>
      <c r="O358" t="s">
        <v>7711</v>
      </c>
      <c r="S358" t="str">
        <f>IFERROR(VLOOKUP(E358,'VALORES VIAJES'!$A$2:$B$13,2,FALSE),"")</f>
        <v/>
      </c>
      <c r="T358" t="str">
        <f>IFERROR(VLOOKUP(H358,'VALORES VIAJES'!$A$2:$B$24,2,FALSE),"")</f>
        <v/>
      </c>
      <c r="U358" t="str">
        <f>IFERROR(VLOOKUP(I358,'VALORES VIAJES'!$A$2:$B$24,2,FALSE),"")</f>
        <v/>
      </c>
      <c r="V358" t="str">
        <f>IFERROR(VLOOKUP(K358,'VALORES VIAJES'!$A$2:$B$24,2,FALSE),"")</f>
        <v/>
      </c>
      <c r="X358" s="208">
        <f>SUM(Hoja1[[#This Row],[$ X TIP VEHICUL]:[AGREGADO]])</f>
        <v>0</v>
      </c>
    </row>
    <row r="359" spans="2:24" hidden="1" x14ac:dyDescent="0.25">
      <c r="B359" s="189"/>
      <c r="J359" s="189"/>
      <c r="M359" s="205"/>
      <c r="O359" t="s">
        <v>7711</v>
      </c>
      <c r="S359" t="str">
        <f>IFERROR(VLOOKUP(E359,'VALORES VIAJES'!$A$2:$B$13,2,FALSE),"")</f>
        <v/>
      </c>
      <c r="T359" t="str">
        <f>IFERROR(VLOOKUP(H359,'VALORES VIAJES'!$A$2:$B$24,2,FALSE),"")</f>
        <v/>
      </c>
      <c r="U359" t="str">
        <f>IFERROR(VLOOKUP(I359,'VALORES VIAJES'!$A$2:$B$24,2,FALSE),"")</f>
        <v/>
      </c>
      <c r="V359" t="str">
        <f>IFERROR(VLOOKUP(K359,'VALORES VIAJES'!$A$2:$B$24,2,FALSE),"")</f>
        <v/>
      </c>
      <c r="X359" s="208">
        <f>SUM(Hoja1[[#This Row],[$ X TIP VEHICUL]:[AGREGADO]])</f>
        <v>0</v>
      </c>
    </row>
    <row r="360" spans="2:24" hidden="1" x14ac:dyDescent="0.25">
      <c r="B360" s="189"/>
      <c r="J360" s="189"/>
      <c r="M360" s="205"/>
      <c r="O360" t="s">
        <v>7711</v>
      </c>
      <c r="S360" t="str">
        <f>IFERROR(VLOOKUP(E360,'VALORES VIAJES'!$A$2:$B$13,2,FALSE),"")</f>
        <v/>
      </c>
      <c r="T360" t="str">
        <f>IFERROR(VLOOKUP(H360,'VALORES VIAJES'!$A$2:$B$24,2,FALSE),"")</f>
        <v/>
      </c>
      <c r="U360" t="str">
        <f>IFERROR(VLOOKUP(I360,'VALORES VIAJES'!$A$2:$B$24,2,FALSE),"")</f>
        <v/>
      </c>
      <c r="V360" t="str">
        <f>IFERROR(VLOOKUP(K360,'VALORES VIAJES'!$A$2:$B$24,2,FALSE),"")</f>
        <v/>
      </c>
      <c r="X360" s="208">
        <f>SUM(Hoja1[[#This Row],[$ X TIP VEHICUL]:[AGREGADO]])</f>
        <v>0</v>
      </c>
    </row>
    <row r="361" spans="2:24" hidden="1" x14ac:dyDescent="0.25">
      <c r="B361" s="189"/>
      <c r="J361" s="189"/>
      <c r="M361" s="205"/>
      <c r="O361" t="s">
        <v>7711</v>
      </c>
      <c r="S361" t="str">
        <f>IFERROR(VLOOKUP(E361,'VALORES VIAJES'!$A$2:$B$13,2,FALSE),"")</f>
        <v/>
      </c>
      <c r="T361" t="str">
        <f>IFERROR(VLOOKUP(H361,'VALORES VIAJES'!$A$2:$B$24,2,FALSE),"")</f>
        <v/>
      </c>
      <c r="U361" t="str">
        <f>IFERROR(VLOOKUP(I361,'VALORES VIAJES'!$A$2:$B$24,2,FALSE),"")</f>
        <v/>
      </c>
      <c r="V361" t="str">
        <f>IFERROR(VLOOKUP(K361,'VALORES VIAJES'!$A$2:$B$24,2,FALSE),"")</f>
        <v/>
      </c>
      <c r="X361" s="208">
        <f>SUM(Hoja1[[#This Row],[$ X TIP VEHICUL]:[AGREGADO]])</f>
        <v>0</v>
      </c>
    </row>
    <row r="362" spans="2:24" hidden="1" x14ac:dyDescent="0.25">
      <c r="B362" s="189"/>
      <c r="J362" s="189"/>
      <c r="M362" s="205"/>
      <c r="O362" t="s">
        <v>7711</v>
      </c>
      <c r="S362" t="str">
        <f>IFERROR(VLOOKUP(E362,'VALORES VIAJES'!$A$2:$B$13,2,FALSE),"")</f>
        <v/>
      </c>
      <c r="T362" t="str">
        <f>IFERROR(VLOOKUP(H362,'VALORES VIAJES'!$A$2:$B$24,2,FALSE),"")</f>
        <v/>
      </c>
      <c r="U362" t="str">
        <f>IFERROR(VLOOKUP(I362,'VALORES VIAJES'!$A$2:$B$24,2,FALSE),"")</f>
        <v/>
      </c>
      <c r="V362" t="str">
        <f>IFERROR(VLOOKUP(K362,'VALORES VIAJES'!$A$2:$B$24,2,FALSE),"")</f>
        <v/>
      </c>
      <c r="X362" s="208">
        <f>SUM(Hoja1[[#This Row],[$ X TIP VEHICUL]:[AGREGADO]])</f>
        <v>0</v>
      </c>
    </row>
    <row r="363" spans="2:24" hidden="1" x14ac:dyDescent="0.25">
      <c r="B363" s="189"/>
      <c r="J363" s="189"/>
      <c r="M363" s="205"/>
      <c r="O363" t="s">
        <v>7711</v>
      </c>
      <c r="S363" t="str">
        <f>IFERROR(VLOOKUP(E363,'VALORES VIAJES'!$A$2:$B$13,2,FALSE),"")</f>
        <v/>
      </c>
      <c r="T363" t="str">
        <f>IFERROR(VLOOKUP(H363,'VALORES VIAJES'!$A$2:$B$24,2,FALSE),"")</f>
        <v/>
      </c>
      <c r="U363" t="str">
        <f>IFERROR(VLOOKUP(I363,'VALORES VIAJES'!$A$2:$B$24,2,FALSE),"")</f>
        <v/>
      </c>
      <c r="V363" t="str">
        <f>IFERROR(VLOOKUP(K363,'VALORES VIAJES'!$A$2:$B$24,2,FALSE),"")</f>
        <v/>
      </c>
      <c r="X363" s="208">
        <f>SUM(Hoja1[[#This Row],[$ X TIP VEHICUL]:[AGREGADO]])</f>
        <v>0</v>
      </c>
    </row>
    <row r="364" spans="2:24" hidden="1" x14ac:dyDescent="0.25">
      <c r="B364" s="189"/>
      <c r="J364" s="189"/>
      <c r="M364" s="205"/>
      <c r="O364" t="s">
        <v>7711</v>
      </c>
      <c r="S364" t="str">
        <f>IFERROR(VLOOKUP(E364,'VALORES VIAJES'!$A$2:$B$13,2,FALSE),"")</f>
        <v/>
      </c>
      <c r="T364" t="str">
        <f>IFERROR(VLOOKUP(H364,'VALORES VIAJES'!$A$2:$B$24,2,FALSE),"")</f>
        <v/>
      </c>
      <c r="U364" t="str">
        <f>IFERROR(VLOOKUP(I364,'VALORES VIAJES'!$A$2:$B$24,2,FALSE),"")</f>
        <v/>
      </c>
      <c r="V364" t="str">
        <f>IFERROR(VLOOKUP(K364,'VALORES VIAJES'!$A$2:$B$24,2,FALSE),"")</f>
        <v/>
      </c>
      <c r="X364" s="208">
        <f>SUM(Hoja1[[#This Row],[$ X TIP VEHICUL]:[AGREGADO]])</f>
        <v>0</v>
      </c>
    </row>
    <row r="365" spans="2:24" hidden="1" x14ac:dyDescent="0.25">
      <c r="B365" s="189"/>
      <c r="J365" s="189"/>
      <c r="M365" s="205"/>
      <c r="O365" t="s">
        <v>7711</v>
      </c>
      <c r="S365" t="str">
        <f>IFERROR(VLOOKUP(E365,'VALORES VIAJES'!$A$2:$B$13,2,FALSE),"")</f>
        <v/>
      </c>
      <c r="T365" t="str">
        <f>IFERROR(VLOOKUP(H365,'VALORES VIAJES'!$A$2:$B$24,2,FALSE),"")</f>
        <v/>
      </c>
      <c r="U365" t="str">
        <f>IFERROR(VLOOKUP(I365,'VALORES VIAJES'!$A$2:$B$24,2,FALSE),"")</f>
        <v/>
      </c>
      <c r="V365" t="str">
        <f>IFERROR(VLOOKUP(K365,'VALORES VIAJES'!$A$2:$B$24,2,FALSE),"")</f>
        <v/>
      </c>
      <c r="X365" s="208">
        <f>SUM(Hoja1[[#This Row],[$ X TIP VEHICUL]:[AGREGADO]])</f>
        <v>0</v>
      </c>
    </row>
    <row r="366" spans="2:24" hidden="1" x14ac:dyDescent="0.25">
      <c r="B366" s="189"/>
      <c r="J366" s="189"/>
      <c r="M366" s="205"/>
      <c r="O366" t="s">
        <v>7711</v>
      </c>
      <c r="S366" t="str">
        <f>IFERROR(VLOOKUP(E366,'VALORES VIAJES'!$A$2:$B$13,2,FALSE),"")</f>
        <v/>
      </c>
      <c r="T366" t="str">
        <f>IFERROR(VLOOKUP(H366,'VALORES VIAJES'!$A$2:$B$24,2,FALSE),"")</f>
        <v/>
      </c>
      <c r="U366" t="str">
        <f>IFERROR(VLOOKUP(I366,'VALORES VIAJES'!$A$2:$B$24,2,FALSE),"")</f>
        <v/>
      </c>
      <c r="V366" t="str">
        <f>IFERROR(VLOOKUP(K366,'VALORES VIAJES'!$A$2:$B$24,2,FALSE),"")</f>
        <v/>
      </c>
      <c r="X366" s="208">
        <f>SUM(Hoja1[[#This Row],[$ X TIP VEHICUL]:[AGREGADO]])</f>
        <v>0</v>
      </c>
    </row>
    <row r="367" spans="2:24" hidden="1" x14ac:dyDescent="0.25">
      <c r="B367" s="189"/>
      <c r="J367" s="189"/>
      <c r="M367" s="205"/>
      <c r="O367" t="s">
        <v>7711</v>
      </c>
      <c r="S367" t="str">
        <f>IFERROR(VLOOKUP(E367,'VALORES VIAJES'!$A$2:$B$13,2,FALSE),"")</f>
        <v/>
      </c>
      <c r="T367" t="str">
        <f>IFERROR(VLOOKUP(H367,'VALORES VIAJES'!$A$2:$B$24,2,FALSE),"")</f>
        <v/>
      </c>
      <c r="U367" t="str">
        <f>IFERROR(VLOOKUP(I367,'VALORES VIAJES'!$A$2:$B$24,2,FALSE),"")</f>
        <v/>
      </c>
      <c r="V367" t="str">
        <f>IFERROR(VLOOKUP(K367,'VALORES VIAJES'!$A$2:$B$24,2,FALSE),"")</f>
        <v/>
      </c>
      <c r="X367" s="208">
        <f>SUM(Hoja1[[#This Row],[$ X TIP VEHICUL]:[AGREGADO]])</f>
        <v>0</v>
      </c>
    </row>
    <row r="368" spans="2:24" hidden="1" x14ac:dyDescent="0.25">
      <c r="B368" s="189"/>
      <c r="J368" s="189"/>
      <c r="M368" s="205"/>
      <c r="O368" t="s">
        <v>7711</v>
      </c>
      <c r="S368" t="str">
        <f>IFERROR(VLOOKUP(E368,'VALORES VIAJES'!$A$2:$B$13,2,FALSE),"")</f>
        <v/>
      </c>
      <c r="T368" t="str">
        <f>IFERROR(VLOOKUP(H368,'VALORES VIAJES'!$A$2:$B$24,2,FALSE),"")</f>
        <v/>
      </c>
      <c r="U368" t="str">
        <f>IFERROR(VLOOKUP(I368,'VALORES VIAJES'!$A$2:$B$24,2,FALSE),"")</f>
        <v/>
      </c>
      <c r="V368" t="str">
        <f>IFERROR(VLOOKUP(K368,'VALORES VIAJES'!$A$2:$B$24,2,FALSE),"")</f>
        <v/>
      </c>
      <c r="X368" s="208">
        <f>SUM(Hoja1[[#This Row],[$ X TIP VEHICUL]:[AGREGADO]])</f>
        <v>0</v>
      </c>
    </row>
    <row r="369" spans="2:24" hidden="1" x14ac:dyDescent="0.25">
      <c r="B369" s="189"/>
      <c r="J369" s="189"/>
      <c r="M369" s="205"/>
      <c r="O369" t="s">
        <v>7711</v>
      </c>
      <c r="S369" t="str">
        <f>IFERROR(VLOOKUP(E369,'VALORES VIAJES'!$A$2:$B$13,2,FALSE),"")</f>
        <v/>
      </c>
      <c r="T369" t="str">
        <f>IFERROR(VLOOKUP(H369,'VALORES VIAJES'!$A$2:$B$24,2,FALSE),"")</f>
        <v/>
      </c>
      <c r="U369" t="str">
        <f>IFERROR(VLOOKUP(I369,'VALORES VIAJES'!$A$2:$B$24,2,FALSE),"")</f>
        <v/>
      </c>
      <c r="V369" t="str">
        <f>IFERROR(VLOOKUP(K369,'VALORES VIAJES'!$A$2:$B$24,2,FALSE),"")</f>
        <v/>
      </c>
      <c r="X369" s="208">
        <f>SUM(Hoja1[[#This Row],[$ X TIP VEHICUL]:[AGREGADO]])</f>
        <v>0</v>
      </c>
    </row>
    <row r="370" spans="2:24" hidden="1" x14ac:dyDescent="0.25">
      <c r="B370" s="189"/>
      <c r="J370" s="189"/>
      <c r="M370" s="205"/>
      <c r="O370" t="s">
        <v>7711</v>
      </c>
      <c r="S370" t="str">
        <f>IFERROR(VLOOKUP(E370,'VALORES VIAJES'!$A$2:$B$13,2,FALSE),"")</f>
        <v/>
      </c>
      <c r="T370" t="str">
        <f>IFERROR(VLOOKUP(H370,'VALORES VIAJES'!$A$2:$B$24,2,FALSE),"")</f>
        <v/>
      </c>
      <c r="U370" t="str">
        <f>IFERROR(VLOOKUP(I370,'VALORES VIAJES'!$A$2:$B$24,2,FALSE),"")</f>
        <v/>
      </c>
      <c r="V370" t="str">
        <f>IFERROR(VLOOKUP(K370,'VALORES VIAJES'!$A$2:$B$24,2,FALSE),"")</f>
        <v/>
      </c>
      <c r="X370" s="208">
        <f>SUM(Hoja1[[#This Row],[$ X TIP VEHICUL]:[AGREGADO]])</f>
        <v>0</v>
      </c>
    </row>
    <row r="371" spans="2:24" hidden="1" x14ac:dyDescent="0.25">
      <c r="B371" s="189"/>
      <c r="J371" s="189"/>
      <c r="M371" s="205"/>
      <c r="O371" t="s">
        <v>7711</v>
      </c>
      <c r="S371" t="str">
        <f>IFERROR(VLOOKUP(E371,'VALORES VIAJES'!$A$2:$B$13,2,FALSE),"")</f>
        <v/>
      </c>
      <c r="T371" t="str">
        <f>IFERROR(VLOOKUP(H371,'VALORES VIAJES'!$A$2:$B$24,2,FALSE),"")</f>
        <v/>
      </c>
      <c r="U371" t="str">
        <f>IFERROR(VLOOKUP(I371,'VALORES VIAJES'!$A$2:$B$24,2,FALSE),"")</f>
        <v/>
      </c>
      <c r="V371" t="str">
        <f>IFERROR(VLOOKUP(K371,'VALORES VIAJES'!$A$2:$B$24,2,FALSE),"")</f>
        <v/>
      </c>
      <c r="X371" s="208">
        <f>SUM(Hoja1[[#This Row],[$ X TIP VEHICUL]:[AGREGADO]])</f>
        <v>0</v>
      </c>
    </row>
    <row r="372" spans="2:24" hidden="1" x14ac:dyDescent="0.25">
      <c r="B372" s="189"/>
      <c r="J372" s="189"/>
      <c r="M372" s="205"/>
      <c r="O372" t="s">
        <v>7711</v>
      </c>
      <c r="S372" t="str">
        <f>IFERROR(VLOOKUP(E372,'VALORES VIAJES'!$A$2:$B$13,2,FALSE),"")</f>
        <v/>
      </c>
      <c r="T372" t="str">
        <f>IFERROR(VLOOKUP(H372,'VALORES VIAJES'!$A$2:$B$24,2,FALSE),"")</f>
        <v/>
      </c>
      <c r="U372" t="str">
        <f>IFERROR(VLOOKUP(I372,'VALORES VIAJES'!$A$2:$B$24,2,FALSE),"")</f>
        <v/>
      </c>
      <c r="V372" t="str">
        <f>IFERROR(VLOOKUP(K372,'VALORES VIAJES'!$A$2:$B$24,2,FALSE),"")</f>
        <v/>
      </c>
      <c r="X372" s="208">
        <f>SUM(Hoja1[[#This Row],[$ X TIP VEHICUL]:[AGREGADO]])</f>
        <v>0</v>
      </c>
    </row>
    <row r="373" spans="2:24" hidden="1" x14ac:dyDescent="0.25">
      <c r="B373" s="189"/>
      <c r="J373" s="189"/>
      <c r="M373" s="205"/>
      <c r="O373" t="s">
        <v>7711</v>
      </c>
      <c r="S373" t="str">
        <f>IFERROR(VLOOKUP(E373,'VALORES VIAJES'!$A$2:$B$13,2,FALSE),"")</f>
        <v/>
      </c>
      <c r="T373" t="str">
        <f>IFERROR(VLOOKUP(H373,'VALORES VIAJES'!$A$2:$B$24,2,FALSE),"")</f>
        <v/>
      </c>
      <c r="U373" t="str">
        <f>IFERROR(VLOOKUP(I373,'VALORES VIAJES'!$A$2:$B$24,2,FALSE),"")</f>
        <v/>
      </c>
      <c r="V373" t="str">
        <f>IFERROR(VLOOKUP(K373,'VALORES VIAJES'!$A$2:$B$24,2,FALSE),"")</f>
        <v/>
      </c>
      <c r="X373" s="208">
        <f>SUM(Hoja1[[#This Row],[$ X TIP VEHICUL]:[AGREGADO]])</f>
        <v>0</v>
      </c>
    </row>
    <row r="374" spans="2:24" hidden="1" x14ac:dyDescent="0.25">
      <c r="B374" s="189"/>
      <c r="J374" s="189"/>
      <c r="M374" s="205"/>
      <c r="O374" t="s">
        <v>7711</v>
      </c>
      <c r="S374" t="str">
        <f>IFERROR(VLOOKUP(E374,'VALORES VIAJES'!$A$2:$B$13,2,FALSE),"")</f>
        <v/>
      </c>
      <c r="T374" t="str">
        <f>IFERROR(VLOOKUP(H374,'VALORES VIAJES'!$A$2:$B$24,2,FALSE),"")</f>
        <v/>
      </c>
      <c r="U374" t="str">
        <f>IFERROR(VLOOKUP(I374,'VALORES VIAJES'!$A$2:$B$24,2,FALSE),"")</f>
        <v/>
      </c>
      <c r="V374" t="str">
        <f>IFERROR(VLOOKUP(K374,'VALORES VIAJES'!$A$2:$B$24,2,FALSE),"")</f>
        <v/>
      </c>
      <c r="X374" s="208">
        <f>SUM(Hoja1[[#This Row],[$ X TIP VEHICUL]:[AGREGADO]])</f>
        <v>0</v>
      </c>
    </row>
    <row r="375" spans="2:24" hidden="1" x14ac:dyDescent="0.25">
      <c r="B375" s="189"/>
      <c r="J375" s="189"/>
      <c r="M375" s="205"/>
      <c r="O375" t="s">
        <v>7711</v>
      </c>
      <c r="S375" t="str">
        <f>IFERROR(VLOOKUP(E375,'VALORES VIAJES'!$A$2:$B$13,2,FALSE),"")</f>
        <v/>
      </c>
      <c r="T375" t="str">
        <f>IFERROR(VLOOKUP(H375,'VALORES VIAJES'!$A$2:$B$24,2,FALSE),"")</f>
        <v/>
      </c>
      <c r="U375" t="str">
        <f>IFERROR(VLOOKUP(I375,'VALORES VIAJES'!$A$2:$B$24,2,FALSE),"")</f>
        <v/>
      </c>
      <c r="V375" t="str">
        <f>IFERROR(VLOOKUP(K375,'VALORES VIAJES'!$A$2:$B$24,2,FALSE),"")</f>
        <v/>
      </c>
      <c r="X375" s="208">
        <f>SUM(Hoja1[[#This Row],[$ X TIP VEHICUL]:[AGREGADO]])</f>
        <v>0</v>
      </c>
    </row>
    <row r="376" spans="2:24" hidden="1" x14ac:dyDescent="0.25">
      <c r="B376" s="189"/>
      <c r="J376" s="189"/>
      <c r="M376" s="205"/>
      <c r="O376" t="s">
        <v>7711</v>
      </c>
      <c r="S376" t="str">
        <f>IFERROR(VLOOKUP(E376,'VALORES VIAJES'!$A$2:$B$13,2,FALSE),"")</f>
        <v/>
      </c>
      <c r="T376" t="str">
        <f>IFERROR(VLOOKUP(H376,'VALORES VIAJES'!$A$2:$B$24,2,FALSE),"")</f>
        <v/>
      </c>
      <c r="U376" t="str">
        <f>IFERROR(VLOOKUP(I376,'VALORES VIAJES'!$A$2:$B$24,2,FALSE),"")</f>
        <v/>
      </c>
      <c r="V376" t="str">
        <f>IFERROR(VLOOKUP(K376,'VALORES VIAJES'!$A$2:$B$24,2,FALSE),"")</f>
        <v/>
      </c>
      <c r="X376" s="208">
        <f>SUM(Hoja1[[#This Row],[$ X TIP VEHICUL]:[AGREGADO]])</f>
        <v>0</v>
      </c>
    </row>
    <row r="377" spans="2:24" hidden="1" x14ac:dyDescent="0.25">
      <c r="B377" s="189"/>
      <c r="J377" s="189"/>
      <c r="M377" s="205"/>
      <c r="O377" t="s">
        <v>7711</v>
      </c>
      <c r="S377" t="str">
        <f>IFERROR(VLOOKUP(E377,'VALORES VIAJES'!$A$2:$B$13,2,FALSE),"")</f>
        <v/>
      </c>
      <c r="T377" t="str">
        <f>IFERROR(VLOOKUP(H377,'VALORES VIAJES'!$A$2:$B$24,2,FALSE),"")</f>
        <v/>
      </c>
      <c r="U377" t="str">
        <f>IFERROR(VLOOKUP(I377,'VALORES VIAJES'!$A$2:$B$24,2,FALSE),"")</f>
        <v/>
      </c>
      <c r="V377" t="str">
        <f>IFERROR(VLOOKUP(K377,'VALORES VIAJES'!$A$2:$B$24,2,FALSE),"")</f>
        <v/>
      </c>
      <c r="X377" s="208">
        <f>SUM(Hoja1[[#This Row],[$ X TIP VEHICUL]:[AGREGADO]])</f>
        <v>0</v>
      </c>
    </row>
    <row r="378" spans="2:24" hidden="1" x14ac:dyDescent="0.25">
      <c r="B378" s="189"/>
      <c r="J378" s="189"/>
      <c r="M378" s="205"/>
      <c r="O378" t="s">
        <v>7711</v>
      </c>
      <c r="S378" t="str">
        <f>IFERROR(VLOOKUP(E378,'VALORES VIAJES'!$A$2:$B$13,2,FALSE),"")</f>
        <v/>
      </c>
      <c r="T378" t="str">
        <f>IFERROR(VLOOKUP(H378,'VALORES VIAJES'!$A$2:$B$24,2,FALSE),"")</f>
        <v/>
      </c>
      <c r="U378" t="str">
        <f>IFERROR(VLOOKUP(I378,'VALORES VIAJES'!$A$2:$B$24,2,FALSE),"")</f>
        <v/>
      </c>
      <c r="V378" t="str">
        <f>IFERROR(VLOOKUP(K378,'VALORES VIAJES'!$A$2:$B$24,2,FALSE),"")</f>
        <v/>
      </c>
      <c r="X378" s="208">
        <f>SUM(Hoja1[[#This Row],[$ X TIP VEHICUL]:[AGREGADO]])</f>
        <v>0</v>
      </c>
    </row>
    <row r="379" spans="2:24" hidden="1" x14ac:dyDescent="0.25">
      <c r="B379" s="189"/>
      <c r="J379" s="189"/>
      <c r="M379" s="205"/>
      <c r="O379" t="s">
        <v>7711</v>
      </c>
      <c r="S379" t="str">
        <f>IFERROR(VLOOKUP(E379,'VALORES VIAJES'!$A$2:$B$13,2,FALSE),"")</f>
        <v/>
      </c>
      <c r="T379" t="str">
        <f>IFERROR(VLOOKUP(H379,'VALORES VIAJES'!$A$2:$B$24,2,FALSE),"")</f>
        <v/>
      </c>
      <c r="U379" t="str">
        <f>IFERROR(VLOOKUP(I379,'VALORES VIAJES'!$A$2:$B$24,2,FALSE),"")</f>
        <v/>
      </c>
      <c r="V379" t="str">
        <f>IFERROR(VLOOKUP(K379,'VALORES VIAJES'!$A$2:$B$24,2,FALSE),"")</f>
        <v/>
      </c>
      <c r="X379" s="208">
        <f>SUM(Hoja1[[#This Row],[$ X TIP VEHICUL]:[AGREGADO]])</f>
        <v>0</v>
      </c>
    </row>
    <row r="380" spans="2:24" hidden="1" x14ac:dyDescent="0.25">
      <c r="B380" s="189"/>
      <c r="J380" s="189"/>
      <c r="M380" s="205"/>
      <c r="O380" t="s">
        <v>7711</v>
      </c>
      <c r="S380" t="str">
        <f>IFERROR(VLOOKUP(E380,'VALORES VIAJES'!$A$2:$B$13,2,FALSE),"")</f>
        <v/>
      </c>
      <c r="T380" t="str">
        <f>IFERROR(VLOOKUP(H380,'VALORES VIAJES'!$A$2:$B$24,2,FALSE),"")</f>
        <v/>
      </c>
      <c r="U380" t="str">
        <f>IFERROR(VLOOKUP(I380,'VALORES VIAJES'!$A$2:$B$24,2,FALSE),"")</f>
        <v/>
      </c>
      <c r="V380" t="str">
        <f>IFERROR(VLOOKUP(K380,'VALORES VIAJES'!$A$2:$B$24,2,FALSE),"")</f>
        <v/>
      </c>
      <c r="X380" s="208">
        <f>SUM(Hoja1[[#This Row],[$ X TIP VEHICUL]:[AGREGADO]])</f>
        <v>0</v>
      </c>
    </row>
    <row r="381" spans="2:24" hidden="1" x14ac:dyDescent="0.25">
      <c r="B381" s="189"/>
      <c r="J381" s="189"/>
      <c r="M381" s="205"/>
      <c r="O381" t="s">
        <v>7711</v>
      </c>
      <c r="S381" t="str">
        <f>IFERROR(VLOOKUP(E381,'VALORES VIAJES'!$A$2:$B$13,2,FALSE),"")</f>
        <v/>
      </c>
      <c r="T381" t="str">
        <f>IFERROR(VLOOKUP(H381,'VALORES VIAJES'!$A$2:$B$24,2,FALSE),"")</f>
        <v/>
      </c>
      <c r="U381" t="str">
        <f>IFERROR(VLOOKUP(I381,'VALORES VIAJES'!$A$2:$B$24,2,FALSE),"")</f>
        <v/>
      </c>
      <c r="V381" t="str">
        <f>IFERROR(VLOOKUP(K381,'VALORES VIAJES'!$A$2:$B$24,2,FALSE),"")</f>
        <v/>
      </c>
      <c r="X381" s="208">
        <f>SUM(Hoja1[[#This Row],[$ X TIP VEHICUL]:[AGREGADO]])</f>
        <v>0</v>
      </c>
    </row>
    <row r="382" spans="2:24" hidden="1" x14ac:dyDescent="0.25">
      <c r="B382" s="189"/>
      <c r="J382" s="189"/>
      <c r="M382" s="205"/>
      <c r="O382" t="s">
        <v>7711</v>
      </c>
      <c r="S382" t="str">
        <f>IFERROR(VLOOKUP(E382,'VALORES VIAJES'!$A$2:$B$13,2,FALSE),"")</f>
        <v/>
      </c>
      <c r="T382" t="str">
        <f>IFERROR(VLOOKUP(H382,'VALORES VIAJES'!$A$2:$B$24,2,FALSE),"")</f>
        <v/>
      </c>
      <c r="U382" t="str">
        <f>IFERROR(VLOOKUP(I382,'VALORES VIAJES'!$A$2:$B$24,2,FALSE),"")</f>
        <v/>
      </c>
      <c r="V382" t="str">
        <f>IFERROR(VLOOKUP(K382,'VALORES VIAJES'!$A$2:$B$24,2,FALSE),"")</f>
        <v/>
      </c>
      <c r="X382" s="208">
        <f>SUM(Hoja1[[#This Row],[$ X TIP VEHICUL]:[AGREGADO]])</f>
        <v>0</v>
      </c>
    </row>
    <row r="383" spans="2:24" hidden="1" x14ac:dyDescent="0.25">
      <c r="B383" s="189"/>
      <c r="J383" s="189"/>
      <c r="M383" s="205"/>
      <c r="O383" t="s">
        <v>7711</v>
      </c>
      <c r="S383" t="str">
        <f>IFERROR(VLOOKUP(E383,'VALORES VIAJES'!$A$2:$B$13,2,FALSE),"")</f>
        <v/>
      </c>
      <c r="T383" t="str">
        <f>IFERROR(VLOOKUP(H383,'VALORES VIAJES'!$A$2:$B$24,2,FALSE),"")</f>
        <v/>
      </c>
      <c r="U383" t="str">
        <f>IFERROR(VLOOKUP(I383,'VALORES VIAJES'!$A$2:$B$24,2,FALSE),"")</f>
        <v/>
      </c>
      <c r="V383" t="str">
        <f>IFERROR(VLOOKUP(K383,'VALORES VIAJES'!$A$2:$B$24,2,FALSE),"")</f>
        <v/>
      </c>
      <c r="X383" s="208">
        <f>SUM(Hoja1[[#This Row],[$ X TIP VEHICUL]:[AGREGADO]])</f>
        <v>0</v>
      </c>
    </row>
    <row r="384" spans="2:24" hidden="1" x14ac:dyDescent="0.25">
      <c r="B384" s="189"/>
      <c r="J384" s="189"/>
      <c r="M384" s="205"/>
      <c r="O384" t="s">
        <v>7711</v>
      </c>
      <c r="S384" t="str">
        <f>IFERROR(VLOOKUP(E384,'VALORES VIAJES'!$A$2:$B$13,2,FALSE),"")</f>
        <v/>
      </c>
      <c r="T384" t="str">
        <f>IFERROR(VLOOKUP(H384,'VALORES VIAJES'!$A$2:$B$24,2,FALSE),"")</f>
        <v/>
      </c>
      <c r="U384" t="str">
        <f>IFERROR(VLOOKUP(I384,'VALORES VIAJES'!$A$2:$B$24,2,FALSE),"")</f>
        <v/>
      </c>
      <c r="V384" t="str">
        <f>IFERROR(VLOOKUP(K384,'VALORES VIAJES'!$A$2:$B$24,2,FALSE),"")</f>
        <v/>
      </c>
      <c r="X384" s="208">
        <f>SUM(Hoja1[[#This Row],[$ X TIP VEHICUL]:[AGREGADO]])</f>
        <v>0</v>
      </c>
    </row>
    <row r="385" spans="2:24" hidden="1" x14ac:dyDescent="0.25">
      <c r="B385" s="189"/>
      <c r="J385" s="189"/>
      <c r="M385" s="205"/>
      <c r="O385" t="s">
        <v>7711</v>
      </c>
      <c r="S385" t="str">
        <f>IFERROR(VLOOKUP(E385,'VALORES VIAJES'!$A$2:$B$13,2,FALSE),"")</f>
        <v/>
      </c>
      <c r="T385" t="str">
        <f>IFERROR(VLOOKUP(H385,'VALORES VIAJES'!$A$2:$B$24,2,FALSE),"")</f>
        <v/>
      </c>
      <c r="U385" t="str">
        <f>IFERROR(VLOOKUP(I385,'VALORES VIAJES'!$A$2:$B$24,2,FALSE),"")</f>
        <v/>
      </c>
      <c r="V385" t="str">
        <f>IFERROR(VLOOKUP(K385,'VALORES VIAJES'!$A$2:$B$24,2,FALSE),"")</f>
        <v/>
      </c>
      <c r="X385" s="208">
        <f>SUM(Hoja1[[#This Row],[$ X TIP VEHICUL]:[AGREGADO]])</f>
        <v>0</v>
      </c>
    </row>
    <row r="386" spans="2:24" hidden="1" x14ac:dyDescent="0.25">
      <c r="B386" s="189"/>
      <c r="J386" s="189"/>
      <c r="M386" s="205"/>
      <c r="O386" t="s">
        <v>7711</v>
      </c>
      <c r="S386" t="str">
        <f>IFERROR(VLOOKUP(E386,'VALORES VIAJES'!$A$2:$B$13,2,FALSE),"")</f>
        <v/>
      </c>
      <c r="T386" t="str">
        <f>IFERROR(VLOOKUP(H386,'VALORES VIAJES'!$A$2:$B$24,2,FALSE),"")</f>
        <v/>
      </c>
      <c r="U386" t="str">
        <f>IFERROR(VLOOKUP(I386,'VALORES VIAJES'!$A$2:$B$24,2,FALSE),"")</f>
        <v/>
      </c>
      <c r="V386" t="str">
        <f>IFERROR(VLOOKUP(K386,'VALORES VIAJES'!$A$2:$B$24,2,FALSE),"")</f>
        <v/>
      </c>
      <c r="X386" s="208">
        <f>SUM(Hoja1[[#This Row],[$ X TIP VEHICUL]:[AGREGADO]])</f>
        <v>0</v>
      </c>
    </row>
    <row r="387" spans="2:24" hidden="1" x14ac:dyDescent="0.25">
      <c r="B387" s="189"/>
      <c r="J387" s="189"/>
      <c r="M387" s="205"/>
      <c r="O387" t="s">
        <v>7711</v>
      </c>
      <c r="S387" t="str">
        <f>IFERROR(VLOOKUP(E387,'VALORES VIAJES'!$A$2:$B$13,2,FALSE),"")</f>
        <v/>
      </c>
      <c r="T387" t="str">
        <f>IFERROR(VLOOKUP(H387,'VALORES VIAJES'!$A$2:$B$24,2,FALSE),"")</f>
        <v/>
      </c>
      <c r="U387" t="str">
        <f>IFERROR(VLOOKUP(I387,'VALORES VIAJES'!$A$2:$B$24,2,FALSE),"")</f>
        <v/>
      </c>
      <c r="V387" t="str">
        <f>IFERROR(VLOOKUP(K387,'VALORES VIAJES'!$A$2:$B$24,2,FALSE),"")</f>
        <v/>
      </c>
      <c r="X387" s="208">
        <f>SUM(Hoja1[[#This Row],[$ X TIP VEHICUL]:[AGREGADO]])</f>
        <v>0</v>
      </c>
    </row>
    <row r="388" spans="2:24" hidden="1" x14ac:dyDescent="0.25">
      <c r="B388" s="189"/>
      <c r="J388" s="189"/>
      <c r="M388" s="205"/>
      <c r="O388" t="s">
        <v>7711</v>
      </c>
      <c r="S388" t="str">
        <f>IFERROR(VLOOKUP(E388,'VALORES VIAJES'!$A$2:$B$13,2,FALSE),"")</f>
        <v/>
      </c>
      <c r="T388" t="str">
        <f>IFERROR(VLOOKUP(H388,'VALORES VIAJES'!$A$2:$B$24,2,FALSE),"")</f>
        <v/>
      </c>
      <c r="U388" t="str">
        <f>IFERROR(VLOOKUP(I388,'VALORES VIAJES'!$A$2:$B$24,2,FALSE),"")</f>
        <v/>
      </c>
      <c r="V388" t="str">
        <f>IFERROR(VLOOKUP(K388,'VALORES VIAJES'!$A$2:$B$24,2,FALSE),"")</f>
        <v/>
      </c>
      <c r="X388" s="208">
        <f>SUM(Hoja1[[#This Row],[$ X TIP VEHICUL]:[AGREGADO]])</f>
        <v>0</v>
      </c>
    </row>
    <row r="389" spans="2:24" hidden="1" x14ac:dyDescent="0.25">
      <c r="B389" s="189"/>
      <c r="J389" s="189"/>
      <c r="M389" s="205"/>
      <c r="O389" t="s">
        <v>7711</v>
      </c>
      <c r="S389" t="str">
        <f>IFERROR(VLOOKUP(E389,'VALORES VIAJES'!$A$2:$B$13,2,FALSE),"")</f>
        <v/>
      </c>
      <c r="T389" t="str">
        <f>IFERROR(VLOOKUP(H389,'VALORES VIAJES'!$A$2:$B$24,2,FALSE),"")</f>
        <v/>
      </c>
      <c r="U389" t="str">
        <f>IFERROR(VLOOKUP(I389,'VALORES VIAJES'!$A$2:$B$24,2,FALSE),"")</f>
        <v/>
      </c>
      <c r="V389" t="str">
        <f>IFERROR(VLOOKUP(K389,'VALORES VIAJES'!$A$2:$B$24,2,FALSE),"")</f>
        <v/>
      </c>
      <c r="X389" s="208">
        <f>SUM(Hoja1[[#This Row],[$ X TIP VEHICUL]:[AGREGADO]])</f>
        <v>0</v>
      </c>
    </row>
    <row r="390" spans="2:24" hidden="1" x14ac:dyDescent="0.25">
      <c r="B390" s="189"/>
      <c r="J390" s="189"/>
      <c r="M390" s="205"/>
      <c r="O390" t="s">
        <v>7711</v>
      </c>
      <c r="S390" t="str">
        <f>IFERROR(VLOOKUP(E390,'VALORES VIAJES'!$A$2:$B$13,2,FALSE),"")</f>
        <v/>
      </c>
      <c r="T390" t="str">
        <f>IFERROR(VLOOKUP(H390,'VALORES VIAJES'!$A$2:$B$24,2,FALSE),"")</f>
        <v/>
      </c>
      <c r="U390" t="str">
        <f>IFERROR(VLOOKUP(I390,'VALORES VIAJES'!$A$2:$B$24,2,FALSE),"")</f>
        <v/>
      </c>
      <c r="V390" t="str">
        <f>IFERROR(VLOOKUP(K390,'VALORES VIAJES'!$A$2:$B$24,2,FALSE),"")</f>
        <v/>
      </c>
      <c r="X390" s="208">
        <f>SUM(Hoja1[[#This Row],[$ X TIP VEHICUL]:[AGREGADO]])</f>
        <v>0</v>
      </c>
    </row>
    <row r="391" spans="2:24" hidden="1" x14ac:dyDescent="0.25">
      <c r="B391" s="189"/>
      <c r="J391" s="189"/>
      <c r="M391" s="205"/>
      <c r="O391" t="s">
        <v>7711</v>
      </c>
      <c r="S391" t="str">
        <f>IFERROR(VLOOKUP(E391,'VALORES VIAJES'!$A$2:$B$13,2,FALSE),"")</f>
        <v/>
      </c>
      <c r="T391" t="str">
        <f>IFERROR(VLOOKUP(H391,'VALORES VIAJES'!$A$2:$B$24,2,FALSE),"")</f>
        <v/>
      </c>
      <c r="U391" t="str">
        <f>IFERROR(VLOOKUP(I391,'VALORES VIAJES'!$A$2:$B$24,2,FALSE),"")</f>
        <v/>
      </c>
      <c r="V391" t="str">
        <f>IFERROR(VLOOKUP(K391,'VALORES VIAJES'!$A$2:$B$24,2,FALSE),"")</f>
        <v/>
      </c>
      <c r="X391" s="208">
        <f>SUM(Hoja1[[#This Row],[$ X TIP VEHICUL]:[AGREGADO]])</f>
        <v>0</v>
      </c>
    </row>
    <row r="392" spans="2:24" hidden="1" x14ac:dyDescent="0.25">
      <c r="B392" s="189"/>
      <c r="J392" s="189"/>
      <c r="M392" s="205"/>
      <c r="O392" t="s">
        <v>7711</v>
      </c>
      <c r="S392" t="str">
        <f>IFERROR(VLOOKUP(E392,'VALORES VIAJES'!$A$2:$B$13,2,FALSE),"")</f>
        <v/>
      </c>
      <c r="T392" t="str">
        <f>IFERROR(VLOOKUP(H392,'VALORES VIAJES'!$A$2:$B$24,2,FALSE),"")</f>
        <v/>
      </c>
      <c r="U392" t="str">
        <f>IFERROR(VLOOKUP(I392,'VALORES VIAJES'!$A$2:$B$24,2,FALSE),"")</f>
        <v/>
      </c>
      <c r="V392" t="str">
        <f>IFERROR(VLOOKUP(K392,'VALORES VIAJES'!$A$2:$B$24,2,FALSE),"")</f>
        <v/>
      </c>
      <c r="X392" s="208">
        <f>SUM(Hoja1[[#This Row],[$ X TIP VEHICUL]:[AGREGADO]])</f>
        <v>0</v>
      </c>
    </row>
    <row r="393" spans="2:24" hidden="1" x14ac:dyDescent="0.25">
      <c r="B393" s="189"/>
      <c r="J393" s="189"/>
      <c r="M393" s="205"/>
      <c r="O393" t="s">
        <v>7711</v>
      </c>
      <c r="S393" t="str">
        <f>IFERROR(VLOOKUP(E393,'VALORES VIAJES'!$A$2:$B$13,2,FALSE),"")</f>
        <v/>
      </c>
      <c r="T393" t="str">
        <f>IFERROR(VLOOKUP(H393,'VALORES VIAJES'!$A$2:$B$24,2,FALSE),"")</f>
        <v/>
      </c>
      <c r="U393" t="str">
        <f>IFERROR(VLOOKUP(I393,'VALORES VIAJES'!$A$2:$B$24,2,FALSE),"")</f>
        <v/>
      </c>
      <c r="V393" t="str">
        <f>IFERROR(VLOOKUP(K393,'VALORES VIAJES'!$A$2:$B$24,2,FALSE),"")</f>
        <v/>
      </c>
      <c r="X393" s="208">
        <f>SUM(Hoja1[[#This Row],[$ X TIP VEHICUL]:[AGREGADO]])</f>
        <v>0</v>
      </c>
    </row>
    <row r="394" spans="2:24" hidden="1" x14ac:dyDescent="0.25">
      <c r="B394" s="189"/>
      <c r="J394" s="189"/>
      <c r="M394" s="205"/>
      <c r="O394" t="s">
        <v>7711</v>
      </c>
      <c r="S394" t="str">
        <f>IFERROR(VLOOKUP(E394,'VALORES VIAJES'!$A$2:$B$13,2,FALSE),"")</f>
        <v/>
      </c>
      <c r="T394" t="str">
        <f>IFERROR(VLOOKUP(H394,'VALORES VIAJES'!$A$2:$B$24,2,FALSE),"")</f>
        <v/>
      </c>
      <c r="U394" t="str">
        <f>IFERROR(VLOOKUP(I394,'VALORES VIAJES'!$A$2:$B$24,2,FALSE),"")</f>
        <v/>
      </c>
      <c r="V394" t="str">
        <f>IFERROR(VLOOKUP(K394,'VALORES VIAJES'!$A$2:$B$24,2,FALSE),"")</f>
        <v/>
      </c>
      <c r="X394" s="208">
        <f>SUM(Hoja1[[#This Row],[$ X TIP VEHICUL]:[AGREGADO]])</f>
        <v>0</v>
      </c>
    </row>
    <row r="395" spans="2:24" hidden="1" x14ac:dyDescent="0.25">
      <c r="B395" s="189"/>
      <c r="J395" s="189"/>
      <c r="M395" s="205"/>
      <c r="O395" t="s">
        <v>7711</v>
      </c>
      <c r="S395" t="str">
        <f>IFERROR(VLOOKUP(E395,'VALORES VIAJES'!$A$2:$B$13,2,FALSE),"")</f>
        <v/>
      </c>
      <c r="T395" t="str">
        <f>IFERROR(VLOOKUP(H395,'VALORES VIAJES'!$A$2:$B$24,2,FALSE),"")</f>
        <v/>
      </c>
      <c r="U395" t="str">
        <f>IFERROR(VLOOKUP(I395,'VALORES VIAJES'!$A$2:$B$24,2,FALSE),"")</f>
        <v/>
      </c>
      <c r="V395" t="str">
        <f>IFERROR(VLOOKUP(K395,'VALORES VIAJES'!$A$2:$B$24,2,FALSE),"")</f>
        <v/>
      </c>
      <c r="X395" s="208">
        <f>SUM(Hoja1[[#This Row],[$ X TIP VEHICUL]:[AGREGADO]])</f>
        <v>0</v>
      </c>
    </row>
    <row r="396" spans="2:24" hidden="1" x14ac:dyDescent="0.25">
      <c r="B396" s="189"/>
      <c r="J396" s="189"/>
      <c r="M396" s="205"/>
      <c r="O396" t="s">
        <v>7711</v>
      </c>
      <c r="S396" t="str">
        <f>IFERROR(VLOOKUP(E396,'VALORES VIAJES'!$A$2:$B$13,2,FALSE),"")</f>
        <v/>
      </c>
      <c r="T396" t="str">
        <f>IFERROR(VLOOKUP(H396,'VALORES VIAJES'!$A$2:$B$24,2,FALSE),"")</f>
        <v/>
      </c>
      <c r="U396" t="str">
        <f>IFERROR(VLOOKUP(I396,'VALORES VIAJES'!$A$2:$B$24,2,FALSE),"")</f>
        <v/>
      </c>
      <c r="V396" t="str">
        <f>IFERROR(VLOOKUP(K396,'VALORES VIAJES'!$A$2:$B$24,2,FALSE),"")</f>
        <v/>
      </c>
      <c r="X396" s="208">
        <f>SUM(Hoja1[[#This Row],[$ X TIP VEHICUL]:[AGREGADO]])</f>
        <v>0</v>
      </c>
    </row>
    <row r="397" spans="2:24" hidden="1" x14ac:dyDescent="0.25">
      <c r="B397" s="189"/>
      <c r="J397" s="189"/>
      <c r="M397" s="205"/>
      <c r="O397" t="s">
        <v>7711</v>
      </c>
      <c r="S397" t="str">
        <f>IFERROR(VLOOKUP(E397,'VALORES VIAJES'!$A$2:$B$13,2,FALSE),"")</f>
        <v/>
      </c>
      <c r="T397" t="str">
        <f>IFERROR(VLOOKUP(H397,'VALORES VIAJES'!$A$2:$B$24,2,FALSE),"")</f>
        <v/>
      </c>
      <c r="U397" t="str">
        <f>IFERROR(VLOOKUP(I397,'VALORES VIAJES'!$A$2:$B$24,2,FALSE),"")</f>
        <v/>
      </c>
      <c r="V397" t="str">
        <f>IFERROR(VLOOKUP(K397,'VALORES VIAJES'!$A$2:$B$24,2,FALSE),"")</f>
        <v/>
      </c>
      <c r="X397" s="208">
        <f>SUM(Hoja1[[#This Row],[$ X TIP VEHICUL]:[AGREGADO]])</f>
        <v>0</v>
      </c>
    </row>
    <row r="398" spans="2:24" hidden="1" x14ac:dyDescent="0.25">
      <c r="B398" s="189"/>
      <c r="J398" s="189"/>
      <c r="M398" s="205"/>
      <c r="O398" t="s">
        <v>7711</v>
      </c>
      <c r="S398" t="str">
        <f>IFERROR(VLOOKUP(E398,'VALORES VIAJES'!$A$2:$B$13,2,FALSE),"")</f>
        <v/>
      </c>
      <c r="T398" t="str">
        <f>IFERROR(VLOOKUP(H398,'VALORES VIAJES'!$A$2:$B$24,2,FALSE),"")</f>
        <v/>
      </c>
      <c r="U398" t="str">
        <f>IFERROR(VLOOKUP(I398,'VALORES VIAJES'!$A$2:$B$24,2,FALSE),"")</f>
        <v/>
      </c>
      <c r="V398" t="str">
        <f>IFERROR(VLOOKUP(K398,'VALORES VIAJES'!$A$2:$B$24,2,FALSE),"")</f>
        <v/>
      </c>
      <c r="X398" s="208">
        <f>SUM(Hoja1[[#This Row],[$ X TIP VEHICUL]:[AGREGADO]])</f>
        <v>0</v>
      </c>
    </row>
    <row r="399" spans="2:24" hidden="1" x14ac:dyDescent="0.25">
      <c r="B399" s="189"/>
      <c r="J399" s="189"/>
      <c r="M399" s="205"/>
      <c r="O399" t="s">
        <v>7711</v>
      </c>
      <c r="S399" t="str">
        <f>IFERROR(VLOOKUP(E399,'VALORES VIAJES'!$A$2:$B$13,2,FALSE),"")</f>
        <v/>
      </c>
      <c r="T399" t="str">
        <f>IFERROR(VLOOKUP(H399,'VALORES VIAJES'!$A$2:$B$24,2,FALSE),"")</f>
        <v/>
      </c>
      <c r="U399" t="str">
        <f>IFERROR(VLOOKUP(I399,'VALORES VIAJES'!$A$2:$B$24,2,FALSE),"")</f>
        <v/>
      </c>
      <c r="V399" t="str">
        <f>IFERROR(VLOOKUP(K399,'VALORES VIAJES'!$A$2:$B$24,2,FALSE),"")</f>
        <v/>
      </c>
      <c r="X399" s="208">
        <f>SUM(Hoja1[[#This Row],[$ X TIP VEHICUL]:[AGREGADO]])</f>
        <v>0</v>
      </c>
    </row>
    <row r="400" spans="2:24" hidden="1" x14ac:dyDescent="0.25">
      <c r="B400" s="189"/>
      <c r="J400" s="189"/>
      <c r="M400" s="205"/>
      <c r="O400" t="s">
        <v>7711</v>
      </c>
      <c r="S400" t="str">
        <f>IFERROR(VLOOKUP(E400,'VALORES VIAJES'!$A$2:$B$13,2,FALSE),"")</f>
        <v/>
      </c>
      <c r="T400" t="str">
        <f>IFERROR(VLOOKUP(H400,'VALORES VIAJES'!$A$2:$B$24,2,FALSE),"")</f>
        <v/>
      </c>
      <c r="U400" t="str">
        <f>IFERROR(VLOOKUP(I400,'VALORES VIAJES'!$A$2:$B$24,2,FALSE),"")</f>
        <v/>
      </c>
      <c r="V400" t="str">
        <f>IFERROR(VLOOKUP(K400,'VALORES VIAJES'!$A$2:$B$24,2,FALSE),"")</f>
        <v/>
      </c>
      <c r="X400" s="208">
        <f>SUM(Hoja1[[#This Row],[$ X TIP VEHICUL]:[AGREGADO]])</f>
        <v>0</v>
      </c>
    </row>
    <row r="401" spans="2:24" hidden="1" x14ac:dyDescent="0.25">
      <c r="B401" s="189"/>
      <c r="J401" s="189"/>
      <c r="M401" s="205"/>
      <c r="O401" t="s">
        <v>7711</v>
      </c>
      <c r="S401" t="str">
        <f>IFERROR(VLOOKUP(E401,'VALORES VIAJES'!$A$2:$B$13,2,FALSE),"")</f>
        <v/>
      </c>
      <c r="T401" t="str">
        <f>IFERROR(VLOOKUP(H401,'VALORES VIAJES'!$A$2:$B$24,2,FALSE),"")</f>
        <v/>
      </c>
      <c r="U401" t="str">
        <f>IFERROR(VLOOKUP(I401,'VALORES VIAJES'!$A$2:$B$24,2,FALSE),"")</f>
        <v/>
      </c>
      <c r="V401" t="str">
        <f>IFERROR(VLOOKUP(K401,'VALORES VIAJES'!$A$2:$B$24,2,FALSE),"")</f>
        <v/>
      </c>
      <c r="X401" s="208">
        <f>SUM(Hoja1[[#This Row],[$ X TIP VEHICUL]:[AGREGADO]])</f>
        <v>0</v>
      </c>
    </row>
    <row r="402" spans="2:24" hidden="1" x14ac:dyDescent="0.25">
      <c r="B402" s="189"/>
      <c r="J402" s="189"/>
      <c r="M402" s="205"/>
      <c r="O402" t="s">
        <v>7711</v>
      </c>
      <c r="S402" t="str">
        <f>IFERROR(VLOOKUP(E402,'VALORES VIAJES'!$A$2:$B$13,2,FALSE),"")</f>
        <v/>
      </c>
      <c r="T402" t="str">
        <f>IFERROR(VLOOKUP(H402,'VALORES VIAJES'!$A$2:$B$24,2,FALSE),"")</f>
        <v/>
      </c>
      <c r="U402" t="str">
        <f>IFERROR(VLOOKUP(I402,'VALORES VIAJES'!$A$2:$B$24,2,FALSE),"")</f>
        <v/>
      </c>
      <c r="V402" t="str">
        <f>IFERROR(VLOOKUP(K402,'VALORES VIAJES'!$A$2:$B$24,2,FALSE),"")</f>
        <v/>
      </c>
      <c r="X402" s="208">
        <f>SUM(Hoja1[[#This Row],[$ X TIP VEHICUL]:[AGREGADO]])</f>
        <v>0</v>
      </c>
    </row>
    <row r="403" spans="2:24" hidden="1" x14ac:dyDescent="0.25">
      <c r="B403" s="189"/>
      <c r="J403" s="189"/>
      <c r="M403" s="205"/>
      <c r="O403" t="s">
        <v>7711</v>
      </c>
      <c r="S403" t="str">
        <f>IFERROR(VLOOKUP(E403,'VALORES VIAJES'!$A$2:$B$13,2,FALSE),"")</f>
        <v/>
      </c>
      <c r="T403" t="str">
        <f>IFERROR(VLOOKUP(H403,'VALORES VIAJES'!$A$2:$B$24,2,FALSE),"")</f>
        <v/>
      </c>
      <c r="U403" t="str">
        <f>IFERROR(VLOOKUP(I403,'VALORES VIAJES'!$A$2:$B$24,2,FALSE),"")</f>
        <v/>
      </c>
      <c r="V403" t="str">
        <f>IFERROR(VLOOKUP(K403,'VALORES VIAJES'!$A$2:$B$24,2,FALSE),"")</f>
        <v/>
      </c>
      <c r="X403" s="208">
        <f>SUM(Hoja1[[#This Row],[$ X TIP VEHICUL]:[AGREGADO]])</f>
        <v>0</v>
      </c>
    </row>
    <row r="404" spans="2:24" hidden="1" x14ac:dyDescent="0.25">
      <c r="B404" s="189"/>
      <c r="J404" s="189"/>
      <c r="M404" s="205"/>
      <c r="O404" t="s">
        <v>7711</v>
      </c>
      <c r="S404" t="str">
        <f>IFERROR(VLOOKUP(E404,'VALORES VIAJES'!$A$2:$B$13,2,FALSE),"")</f>
        <v/>
      </c>
      <c r="T404" t="str">
        <f>IFERROR(VLOOKUP(H404,'VALORES VIAJES'!$A$2:$B$24,2,FALSE),"")</f>
        <v/>
      </c>
      <c r="U404" t="str">
        <f>IFERROR(VLOOKUP(I404,'VALORES VIAJES'!$A$2:$B$24,2,FALSE),"")</f>
        <v/>
      </c>
      <c r="V404" t="str">
        <f>IFERROR(VLOOKUP(K404,'VALORES VIAJES'!$A$2:$B$24,2,FALSE),"")</f>
        <v/>
      </c>
      <c r="X404" s="208">
        <f>SUM(Hoja1[[#This Row],[$ X TIP VEHICUL]:[AGREGADO]])</f>
        <v>0</v>
      </c>
    </row>
    <row r="405" spans="2:24" hidden="1" x14ac:dyDescent="0.25">
      <c r="B405" s="189"/>
      <c r="J405" s="189"/>
      <c r="M405" s="205"/>
      <c r="O405" t="s">
        <v>7711</v>
      </c>
      <c r="S405" t="str">
        <f>IFERROR(VLOOKUP(E405,'VALORES VIAJES'!$A$2:$B$13,2,FALSE),"")</f>
        <v/>
      </c>
      <c r="T405" t="str">
        <f>IFERROR(VLOOKUP(H405,'VALORES VIAJES'!$A$2:$B$24,2,FALSE),"")</f>
        <v/>
      </c>
      <c r="U405" t="str">
        <f>IFERROR(VLOOKUP(I405,'VALORES VIAJES'!$A$2:$B$24,2,FALSE),"")</f>
        <v/>
      </c>
      <c r="V405" t="str">
        <f>IFERROR(VLOOKUP(K405,'VALORES VIAJES'!$A$2:$B$24,2,FALSE),"")</f>
        <v/>
      </c>
      <c r="X405" s="208">
        <f>SUM(Hoja1[[#This Row],[$ X TIP VEHICUL]:[AGREGADO]])</f>
        <v>0</v>
      </c>
    </row>
    <row r="406" spans="2:24" hidden="1" x14ac:dyDescent="0.25">
      <c r="B406" s="189"/>
      <c r="J406" s="189"/>
      <c r="M406" s="205"/>
      <c r="O406" t="s">
        <v>7711</v>
      </c>
      <c r="S406" t="str">
        <f>IFERROR(VLOOKUP(E406,'VALORES VIAJES'!$A$2:$B$13,2,FALSE),"")</f>
        <v/>
      </c>
      <c r="T406" t="str">
        <f>IFERROR(VLOOKUP(H406,'VALORES VIAJES'!$A$2:$B$24,2,FALSE),"")</f>
        <v/>
      </c>
      <c r="U406" t="str">
        <f>IFERROR(VLOOKUP(I406,'VALORES VIAJES'!$A$2:$B$24,2,FALSE),"")</f>
        <v/>
      </c>
      <c r="V406" t="str">
        <f>IFERROR(VLOOKUP(K406,'VALORES VIAJES'!$A$2:$B$24,2,FALSE),"")</f>
        <v/>
      </c>
      <c r="X406" s="208">
        <f>SUM(Hoja1[[#This Row],[$ X TIP VEHICUL]:[AGREGADO]])</f>
        <v>0</v>
      </c>
    </row>
    <row r="407" spans="2:24" hidden="1" x14ac:dyDescent="0.25">
      <c r="B407" s="189"/>
      <c r="J407" s="189"/>
      <c r="M407" s="205"/>
      <c r="O407" t="s">
        <v>7711</v>
      </c>
      <c r="S407" t="str">
        <f>IFERROR(VLOOKUP(E407,'VALORES VIAJES'!$A$2:$B$13,2,FALSE),"")</f>
        <v/>
      </c>
      <c r="T407" t="str">
        <f>IFERROR(VLOOKUP(H407,'VALORES VIAJES'!$A$2:$B$24,2,FALSE),"")</f>
        <v/>
      </c>
      <c r="U407" t="str">
        <f>IFERROR(VLOOKUP(I407,'VALORES VIAJES'!$A$2:$B$24,2,FALSE),"")</f>
        <v/>
      </c>
      <c r="V407" t="str">
        <f>IFERROR(VLOOKUP(K407,'VALORES VIAJES'!$A$2:$B$24,2,FALSE),"")</f>
        <v/>
      </c>
      <c r="X407" s="208">
        <f>SUM(Hoja1[[#This Row],[$ X TIP VEHICUL]:[AGREGADO]])</f>
        <v>0</v>
      </c>
    </row>
    <row r="408" spans="2:24" hidden="1" x14ac:dyDescent="0.25">
      <c r="B408" s="189"/>
      <c r="J408" s="189"/>
      <c r="M408" s="205"/>
      <c r="O408" t="s">
        <v>7711</v>
      </c>
      <c r="S408" t="str">
        <f>IFERROR(VLOOKUP(E408,'VALORES VIAJES'!$A$2:$B$13,2,FALSE),"")</f>
        <v/>
      </c>
      <c r="T408" t="str">
        <f>IFERROR(VLOOKUP(H408,'VALORES VIAJES'!$A$2:$B$24,2,FALSE),"")</f>
        <v/>
      </c>
      <c r="U408" t="str">
        <f>IFERROR(VLOOKUP(I408,'VALORES VIAJES'!$A$2:$B$24,2,FALSE),"")</f>
        <v/>
      </c>
      <c r="V408" t="str">
        <f>IFERROR(VLOOKUP(K408,'VALORES VIAJES'!$A$2:$B$24,2,FALSE),"")</f>
        <v/>
      </c>
      <c r="X408" s="208">
        <f>SUM(Hoja1[[#This Row],[$ X TIP VEHICUL]:[AGREGADO]])</f>
        <v>0</v>
      </c>
    </row>
    <row r="409" spans="2:24" hidden="1" x14ac:dyDescent="0.25">
      <c r="B409" s="189"/>
      <c r="J409" s="189"/>
      <c r="M409" s="205"/>
      <c r="O409" t="s">
        <v>7711</v>
      </c>
      <c r="S409" t="str">
        <f>IFERROR(VLOOKUP(E409,'VALORES VIAJES'!$A$2:$B$13,2,FALSE),"")</f>
        <v/>
      </c>
      <c r="T409" t="str">
        <f>IFERROR(VLOOKUP(H409,'VALORES VIAJES'!$A$2:$B$24,2,FALSE),"")</f>
        <v/>
      </c>
      <c r="U409" t="str">
        <f>IFERROR(VLOOKUP(I409,'VALORES VIAJES'!$A$2:$B$24,2,FALSE),"")</f>
        <v/>
      </c>
      <c r="V409" t="str">
        <f>IFERROR(VLOOKUP(K409,'VALORES VIAJES'!$A$2:$B$24,2,FALSE),"")</f>
        <v/>
      </c>
      <c r="X409" s="208">
        <f>SUM(Hoja1[[#This Row],[$ X TIP VEHICUL]:[AGREGADO]])</f>
        <v>0</v>
      </c>
    </row>
    <row r="410" spans="2:24" hidden="1" x14ac:dyDescent="0.25">
      <c r="B410" s="189"/>
      <c r="J410" s="189"/>
      <c r="M410" s="205"/>
      <c r="O410" t="s">
        <v>7711</v>
      </c>
      <c r="S410" t="str">
        <f>IFERROR(VLOOKUP(E410,'VALORES VIAJES'!$A$2:$B$13,2,FALSE),"")</f>
        <v/>
      </c>
      <c r="T410" t="str">
        <f>IFERROR(VLOOKUP(H410,'VALORES VIAJES'!$A$2:$B$24,2,FALSE),"")</f>
        <v/>
      </c>
      <c r="U410" t="str">
        <f>IFERROR(VLOOKUP(I410,'VALORES VIAJES'!$A$2:$B$24,2,FALSE),"")</f>
        <v/>
      </c>
      <c r="V410" t="str">
        <f>IFERROR(VLOOKUP(K410,'VALORES VIAJES'!$A$2:$B$24,2,FALSE),"")</f>
        <v/>
      </c>
      <c r="X410" s="208">
        <f>SUM(Hoja1[[#This Row],[$ X TIP VEHICUL]:[AGREGADO]])</f>
        <v>0</v>
      </c>
    </row>
    <row r="411" spans="2:24" hidden="1" x14ac:dyDescent="0.25">
      <c r="B411" s="189"/>
      <c r="J411" s="189"/>
      <c r="M411" s="205"/>
      <c r="O411" t="s">
        <v>7711</v>
      </c>
      <c r="S411" t="str">
        <f>IFERROR(VLOOKUP(E411,'VALORES VIAJES'!$A$2:$B$13,2,FALSE),"")</f>
        <v/>
      </c>
      <c r="T411" t="str">
        <f>IFERROR(VLOOKUP(H411,'VALORES VIAJES'!$A$2:$B$24,2,FALSE),"")</f>
        <v/>
      </c>
      <c r="U411" t="str">
        <f>IFERROR(VLOOKUP(I411,'VALORES VIAJES'!$A$2:$B$24,2,FALSE),"")</f>
        <v/>
      </c>
      <c r="V411" t="str">
        <f>IFERROR(VLOOKUP(K411,'VALORES VIAJES'!$A$2:$B$24,2,FALSE),"")</f>
        <v/>
      </c>
      <c r="X411" s="208">
        <f>SUM(Hoja1[[#This Row],[$ X TIP VEHICUL]:[AGREGADO]])</f>
        <v>0</v>
      </c>
    </row>
    <row r="412" spans="2:24" hidden="1" x14ac:dyDescent="0.25">
      <c r="B412" s="189"/>
      <c r="J412" s="189"/>
      <c r="M412" s="205"/>
      <c r="O412" t="s">
        <v>7711</v>
      </c>
      <c r="S412" t="str">
        <f>IFERROR(VLOOKUP(E412,'VALORES VIAJES'!$A$2:$B$13,2,FALSE),"")</f>
        <v/>
      </c>
      <c r="T412" t="str">
        <f>IFERROR(VLOOKUP(H412,'VALORES VIAJES'!$A$2:$B$24,2,FALSE),"")</f>
        <v/>
      </c>
      <c r="U412" t="str">
        <f>IFERROR(VLOOKUP(I412,'VALORES VIAJES'!$A$2:$B$24,2,FALSE),"")</f>
        <v/>
      </c>
      <c r="V412" t="str">
        <f>IFERROR(VLOOKUP(K412,'VALORES VIAJES'!$A$2:$B$24,2,FALSE),"")</f>
        <v/>
      </c>
      <c r="X412" s="208">
        <f>SUM(Hoja1[[#This Row],[$ X TIP VEHICUL]:[AGREGADO]])</f>
        <v>0</v>
      </c>
    </row>
    <row r="413" spans="2:24" hidden="1" x14ac:dyDescent="0.25">
      <c r="B413" s="189"/>
      <c r="J413" s="189"/>
      <c r="M413" s="205"/>
      <c r="O413" t="s">
        <v>7711</v>
      </c>
      <c r="S413" t="str">
        <f>IFERROR(VLOOKUP(E413,'VALORES VIAJES'!$A$2:$B$13,2,FALSE),"")</f>
        <v/>
      </c>
      <c r="T413" t="str">
        <f>IFERROR(VLOOKUP(H413,'VALORES VIAJES'!$A$2:$B$24,2,FALSE),"")</f>
        <v/>
      </c>
      <c r="U413" t="str">
        <f>IFERROR(VLOOKUP(I413,'VALORES VIAJES'!$A$2:$B$24,2,FALSE),"")</f>
        <v/>
      </c>
      <c r="V413" t="str">
        <f>IFERROR(VLOOKUP(K413,'VALORES VIAJES'!$A$2:$B$24,2,FALSE),"")</f>
        <v/>
      </c>
      <c r="X413" s="208">
        <f>SUM(Hoja1[[#This Row],[$ X TIP VEHICUL]:[AGREGADO]])</f>
        <v>0</v>
      </c>
    </row>
    <row r="414" spans="2:24" hidden="1" x14ac:dyDescent="0.25">
      <c r="B414" s="189"/>
      <c r="J414" s="189"/>
      <c r="M414" s="205"/>
      <c r="O414" t="s">
        <v>7711</v>
      </c>
      <c r="S414" t="str">
        <f>IFERROR(VLOOKUP(E414,'VALORES VIAJES'!$A$2:$B$13,2,FALSE),"")</f>
        <v/>
      </c>
      <c r="T414" t="str">
        <f>IFERROR(VLOOKUP(H414,'VALORES VIAJES'!$A$2:$B$24,2,FALSE),"")</f>
        <v/>
      </c>
      <c r="U414" t="str">
        <f>IFERROR(VLOOKUP(I414,'VALORES VIAJES'!$A$2:$B$24,2,FALSE),"")</f>
        <v/>
      </c>
      <c r="V414" t="str">
        <f>IFERROR(VLOOKUP(K414,'VALORES VIAJES'!$A$2:$B$24,2,FALSE),"")</f>
        <v/>
      </c>
      <c r="X414" s="208">
        <f>SUM(Hoja1[[#This Row],[$ X TIP VEHICUL]:[AGREGADO]])</f>
        <v>0</v>
      </c>
    </row>
    <row r="415" spans="2:24" hidden="1" x14ac:dyDescent="0.25">
      <c r="B415" s="189"/>
      <c r="J415" s="189"/>
      <c r="M415" s="205"/>
      <c r="O415" t="s">
        <v>7711</v>
      </c>
      <c r="S415" t="str">
        <f>IFERROR(VLOOKUP(E415,'VALORES VIAJES'!$A$2:$B$13,2,FALSE),"")</f>
        <v/>
      </c>
      <c r="T415" t="str">
        <f>IFERROR(VLOOKUP(H415,'VALORES VIAJES'!$A$2:$B$24,2,FALSE),"")</f>
        <v/>
      </c>
      <c r="U415" t="str">
        <f>IFERROR(VLOOKUP(I415,'VALORES VIAJES'!$A$2:$B$24,2,FALSE),"")</f>
        <v/>
      </c>
      <c r="V415" t="str">
        <f>IFERROR(VLOOKUP(K415,'VALORES VIAJES'!$A$2:$B$24,2,FALSE),"")</f>
        <v/>
      </c>
      <c r="X415" s="208">
        <f>SUM(Hoja1[[#This Row],[$ X TIP VEHICUL]:[AGREGADO]])</f>
        <v>0</v>
      </c>
    </row>
    <row r="416" spans="2:24" hidden="1" x14ac:dyDescent="0.25">
      <c r="B416" s="189"/>
      <c r="J416" s="189"/>
      <c r="M416" s="205"/>
      <c r="O416" t="s">
        <v>7711</v>
      </c>
      <c r="S416" t="str">
        <f>IFERROR(VLOOKUP(E416,'VALORES VIAJES'!$A$2:$B$13,2,FALSE),"")</f>
        <v/>
      </c>
      <c r="T416" t="str">
        <f>IFERROR(VLOOKUP(H416,'VALORES VIAJES'!$A$2:$B$24,2,FALSE),"")</f>
        <v/>
      </c>
      <c r="U416" t="str">
        <f>IFERROR(VLOOKUP(I416,'VALORES VIAJES'!$A$2:$B$24,2,FALSE),"")</f>
        <v/>
      </c>
      <c r="V416" t="str">
        <f>IFERROR(VLOOKUP(K416,'VALORES VIAJES'!$A$2:$B$24,2,FALSE),"")</f>
        <v/>
      </c>
      <c r="X416" s="208">
        <f>SUM(Hoja1[[#This Row],[$ X TIP VEHICUL]:[AGREGADO]])</f>
        <v>0</v>
      </c>
    </row>
    <row r="417" spans="2:24" hidden="1" x14ac:dyDescent="0.25">
      <c r="B417" s="189"/>
      <c r="J417" s="189"/>
      <c r="M417" s="205"/>
      <c r="O417" t="s">
        <v>7711</v>
      </c>
      <c r="S417" t="str">
        <f>IFERROR(VLOOKUP(E417,'VALORES VIAJES'!$A$2:$B$13,2,FALSE),"")</f>
        <v/>
      </c>
      <c r="T417" t="str">
        <f>IFERROR(VLOOKUP(H417,'VALORES VIAJES'!$A$2:$B$24,2,FALSE),"")</f>
        <v/>
      </c>
      <c r="U417" t="str">
        <f>IFERROR(VLOOKUP(I417,'VALORES VIAJES'!$A$2:$B$24,2,FALSE),"")</f>
        <v/>
      </c>
      <c r="V417" t="str">
        <f>IFERROR(VLOOKUP(K417,'VALORES VIAJES'!$A$2:$B$24,2,FALSE),"")</f>
        <v/>
      </c>
      <c r="X417" s="208">
        <f>SUM(Hoja1[[#This Row],[$ X TIP VEHICUL]:[AGREGADO]])</f>
        <v>0</v>
      </c>
    </row>
    <row r="418" spans="2:24" hidden="1" x14ac:dyDescent="0.25">
      <c r="B418" s="189"/>
      <c r="J418" s="189"/>
      <c r="M418" s="205"/>
      <c r="O418" t="s">
        <v>7711</v>
      </c>
      <c r="S418" t="str">
        <f>IFERROR(VLOOKUP(E418,'VALORES VIAJES'!$A$2:$B$13,2,FALSE),"")</f>
        <v/>
      </c>
      <c r="T418" t="str">
        <f>IFERROR(VLOOKUP(H418,'VALORES VIAJES'!$A$2:$B$24,2,FALSE),"")</f>
        <v/>
      </c>
      <c r="U418" t="str">
        <f>IFERROR(VLOOKUP(I418,'VALORES VIAJES'!$A$2:$B$24,2,FALSE),"")</f>
        <v/>
      </c>
      <c r="V418" t="str">
        <f>IFERROR(VLOOKUP(K418,'VALORES VIAJES'!$A$2:$B$24,2,FALSE),"")</f>
        <v/>
      </c>
      <c r="X418" s="208">
        <f>SUM(Hoja1[[#This Row],[$ X TIP VEHICUL]:[AGREGADO]])</f>
        <v>0</v>
      </c>
    </row>
    <row r="419" spans="2:24" hidden="1" x14ac:dyDescent="0.25">
      <c r="B419" s="189"/>
      <c r="J419" s="189"/>
      <c r="M419" s="205"/>
      <c r="O419" t="s">
        <v>7711</v>
      </c>
      <c r="S419" t="str">
        <f>IFERROR(VLOOKUP(E419,'VALORES VIAJES'!$A$2:$B$13,2,FALSE),"")</f>
        <v/>
      </c>
      <c r="T419" t="str">
        <f>IFERROR(VLOOKUP(H419,'VALORES VIAJES'!$A$2:$B$24,2,FALSE),"")</f>
        <v/>
      </c>
      <c r="U419" t="str">
        <f>IFERROR(VLOOKUP(I419,'VALORES VIAJES'!$A$2:$B$24,2,FALSE),"")</f>
        <v/>
      </c>
      <c r="V419" t="str">
        <f>IFERROR(VLOOKUP(K419,'VALORES VIAJES'!$A$2:$B$24,2,FALSE),"")</f>
        <v/>
      </c>
      <c r="X419" s="208">
        <f>SUM(Hoja1[[#This Row],[$ X TIP VEHICUL]:[AGREGADO]])</f>
        <v>0</v>
      </c>
    </row>
    <row r="420" spans="2:24" hidden="1" x14ac:dyDescent="0.25">
      <c r="B420" s="189"/>
      <c r="J420" s="189"/>
      <c r="M420" s="205"/>
      <c r="O420" t="s">
        <v>7711</v>
      </c>
      <c r="S420" t="str">
        <f>IFERROR(VLOOKUP(E420,'VALORES VIAJES'!$A$2:$B$13,2,FALSE),"")</f>
        <v/>
      </c>
      <c r="T420" t="str">
        <f>IFERROR(VLOOKUP(H420,'VALORES VIAJES'!$A$2:$B$24,2,FALSE),"")</f>
        <v/>
      </c>
      <c r="U420" t="str">
        <f>IFERROR(VLOOKUP(I420,'VALORES VIAJES'!$A$2:$B$24,2,FALSE),"")</f>
        <v/>
      </c>
      <c r="V420" t="str">
        <f>IFERROR(VLOOKUP(K420,'VALORES VIAJES'!$A$2:$B$24,2,FALSE),"")</f>
        <v/>
      </c>
      <c r="X420" s="208">
        <f>SUM(Hoja1[[#This Row],[$ X TIP VEHICUL]:[AGREGADO]])</f>
        <v>0</v>
      </c>
    </row>
    <row r="421" spans="2:24" hidden="1" x14ac:dyDescent="0.25">
      <c r="B421" s="189"/>
      <c r="J421" s="189"/>
      <c r="M421" s="205"/>
      <c r="O421" t="s">
        <v>7711</v>
      </c>
      <c r="S421" t="str">
        <f>IFERROR(VLOOKUP(E421,'VALORES VIAJES'!$A$2:$B$13,2,FALSE),"")</f>
        <v/>
      </c>
      <c r="T421" t="str">
        <f>IFERROR(VLOOKUP(H421,'VALORES VIAJES'!$A$2:$B$24,2,FALSE),"")</f>
        <v/>
      </c>
      <c r="U421" t="str">
        <f>IFERROR(VLOOKUP(I421,'VALORES VIAJES'!$A$2:$B$24,2,FALSE),"")</f>
        <v/>
      </c>
      <c r="V421" t="str">
        <f>IFERROR(VLOOKUP(K421,'VALORES VIAJES'!$A$2:$B$24,2,FALSE),"")</f>
        <v/>
      </c>
      <c r="X421" s="208">
        <f>SUM(Hoja1[[#This Row],[$ X TIP VEHICUL]:[AGREGADO]])</f>
        <v>0</v>
      </c>
    </row>
    <row r="422" spans="2:24" hidden="1" x14ac:dyDescent="0.25">
      <c r="B422" s="189"/>
      <c r="J422" s="189"/>
      <c r="M422" s="205"/>
      <c r="O422" t="s">
        <v>7711</v>
      </c>
      <c r="S422" t="str">
        <f>IFERROR(VLOOKUP(E422,'VALORES VIAJES'!$A$2:$B$13,2,FALSE),"")</f>
        <v/>
      </c>
      <c r="T422" t="str">
        <f>IFERROR(VLOOKUP(H422,'VALORES VIAJES'!$A$2:$B$24,2,FALSE),"")</f>
        <v/>
      </c>
      <c r="U422" t="str">
        <f>IFERROR(VLOOKUP(I422,'VALORES VIAJES'!$A$2:$B$24,2,FALSE),"")</f>
        <v/>
      </c>
      <c r="V422" t="str">
        <f>IFERROR(VLOOKUP(K422,'VALORES VIAJES'!$A$2:$B$24,2,FALSE),"")</f>
        <v/>
      </c>
      <c r="X422" s="208">
        <f>SUM(Hoja1[[#This Row],[$ X TIP VEHICUL]:[AGREGADO]])</f>
        <v>0</v>
      </c>
    </row>
    <row r="423" spans="2:24" hidden="1" x14ac:dyDescent="0.25">
      <c r="B423" s="189"/>
      <c r="J423" s="189"/>
      <c r="M423" s="205"/>
      <c r="O423" t="s">
        <v>7711</v>
      </c>
      <c r="S423" t="str">
        <f>IFERROR(VLOOKUP(E423,'VALORES VIAJES'!$A$2:$B$13,2,FALSE),"")</f>
        <v/>
      </c>
      <c r="T423" t="str">
        <f>IFERROR(VLOOKUP(H423,'VALORES VIAJES'!$A$2:$B$24,2,FALSE),"")</f>
        <v/>
      </c>
      <c r="U423" t="str">
        <f>IFERROR(VLOOKUP(I423,'VALORES VIAJES'!$A$2:$B$24,2,FALSE),"")</f>
        <v/>
      </c>
      <c r="V423" t="str">
        <f>IFERROR(VLOOKUP(K423,'VALORES VIAJES'!$A$2:$B$24,2,FALSE),"")</f>
        <v/>
      </c>
      <c r="X423" s="208">
        <f>SUM(Hoja1[[#This Row],[$ X TIP VEHICUL]:[AGREGADO]])</f>
        <v>0</v>
      </c>
    </row>
    <row r="424" spans="2:24" hidden="1" x14ac:dyDescent="0.25">
      <c r="B424" s="189"/>
      <c r="J424" s="189"/>
      <c r="M424" s="205"/>
      <c r="O424" t="s">
        <v>7711</v>
      </c>
      <c r="S424" t="str">
        <f>IFERROR(VLOOKUP(E424,'VALORES VIAJES'!$A$2:$B$13,2,FALSE),"")</f>
        <v/>
      </c>
      <c r="T424" t="str">
        <f>IFERROR(VLOOKUP(H424,'VALORES VIAJES'!$A$2:$B$24,2,FALSE),"")</f>
        <v/>
      </c>
      <c r="U424" t="str">
        <f>IFERROR(VLOOKUP(I424,'VALORES VIAJES'!$A$2:$B$24,2,FALSE),"")</f>
        <v/>
      </c>
      <c r="V424" t="str">
        <f>IFERROR(VLOOKUP(K424,'VALORES VIAJES'!$A$2:$B$24,2,FALSE),"")</f>
        <v/>
      </c>
      <c r="X424" s="208">
        <f>SUM(Hoja1[[#This Row],[$ X TIP VEHICUL]:[AGREGADO]])</f>
        <v>0</v>
      </c>
    </row>
    <row r="425" spans="2:24" hidden="1" x14ac:dyDescent="0.25">
      <c r="B425" s="189"/>
      <c r="J425" s="189"/>
      <c r="M425" s="205"/>
      <c r="O425" t="s">
        <v>7711</v>
      </c>
      <c r="S425" t="str">
        <f>IFERROR(VLOOKUP(E425,'VALORES VIAJES'!$A$2:$B$13,2,FALSE),"")</f>
        <v/>
      </c>
      <c r="T425" t="str">
        <f>IFERROR(VLOOKUP(H425,'VALORES VIAJES'!$A$2:$B$24,2,FALSE),"")</f>
        <v/>
      </c>
      <c r="U425" t="str">
        <f>IFERROR(VLOOKUP(I425,'VALORES VIAJES'!$A$2:$B$24,2,FALSE),"")</f>
        <v/>
      </c>
      <c r="V425" t="str">
        <f>IFERROR(VLOOKUP(K425,'VALORES VIAJES'!$A$2:$B$24,2,FALSE),"")</f>
        <v/>
      </c>
      <c r="X425" s="208">
        <f>SUM(Hoja1[[#This Row],[$ X TIP VEHICUL]:[AGREGADO]])</f>
        <v>0</v>
      </c>
    </row>
    <row r="426" spans="2:24" hidden="1" x14ac:dyDescent="0.25">
      <c r="B426" s="189"/>
      <c r="J426" s="189"/>
      <c r="M426" s="205"/>
      <c r="O426" t="s">
        <v>7711</v>
      </c>
      <c r="S426" t="str">
        <f>IFERROR(VLOOKUP(E426,'VALORES VIAJES'!$A$2:$B$13,2,FALSE),"")</f>
        <v/>
      </c>
      <c r="T426" t="str">
        <f>IFERROR(VLOOKUP(H426,'VALORES VIAJES'!$A$2:$B$24,2,FALSE),"")</f>
        <v/>
      </c>
      <c r="U426" t="str">
        <f>IFERROR(VLOOKUP(I426,'VALORES VIAJES'!$A$2:$B$24,2,FALSE),"")</f>
        <v/>
      </c>
      <c r="V426" t="str">
        <f>IFERROR(VLOOKUP(K426,'VALORES VIAJES'!$A$2:$B$24,2,FALSE),"")</f>
        <v/>
      </c>
      <c r="X426" s="208">
        <f>SUM(Hoja1[[#This Row],[$ X TIP VEHICUL]:[AGREGADO]])</f>
        <v>0</v>
      </c>
    </row>
    <row r="427" spans="2:24" hidden="1" x14ac:dyDescent="0.25">
      <c r="B427" s="189"/>
      <c r="J427" s="189"/>
      <c r="M427" s="205"/>
      <c r="O427" t="s">
        <v>7711</v>
      </c>
      <c r="S427" t="str">
        <f>IFERROR(VLOOKUP(E427,'VALORES VIAJES'!$A$2:$B$13,2,FALSE),"")</f>
        <v/>
      </c>
      <c r="T427" t="str">
        <f>IFERROR(VLOOKUP(H427,'VALORES VIAJES'!$A$2:$B$24,2,FALSE),"")</f>
        <v/>
      </c>
      <c r="U427" t="str">
        <f>IFERROR(VLOOKUP(I427,'VALORES VIAJES'!$A$2:$B$24,2,FALSE),"")</f>
        <v/>
      </c>
      <c r="V427" t="str">
        <f>IFERROR(VLOOKUP(K427,'VALORES VIAJES'!$A$2:$B$24,2,FALSE),"")</f>
        <v/>
      </c>
      <c r="X427" s="208">
        <f>SUM(Hoja1[[#This Row],[$ X TIP VEHICUL]:[AGREGADO]])</f>
        <v>0</v>
      </c>
    </row>
    <row r="428" spans="2:24" hidden="1" x14ac:dyDescent="0.25">
      <c r="B428" s="189"/>
      <c r="J428" s="189"/>
      <c r="M428" s="205"/>
      <c r="O428" t="s">
        <v>7711</v>
      </c>
      <c r="S428" t="str">
        <f>IFERROR(VLOOKUP(E428,'VALORES VIAJES'!$A$2:$B$13,2,FALSE),"")</f>
        <v/>
      </c>
      <c r="T428" t="str">
        <f>IFERROR(VLOOKUP(H428,'VALORES VIAJES'!$A$2:$B$24,2,FALSE),"")</f>
        <v/>
      </c>
      <c r="U428" t="str">
        <f>IFERROR(VLOOKUP(I428,'VALORES VIAJES'!$A$2:$B$24,2,FALSE),"")</f>
        <v/>
      </c>
      <c r="V428" t="str">
        <f>IFERROR(VLOOKUP(K428,'VALORES VIAJES'!$A$2:$B$24,2,FALSE),"")</f>
        <v/>
      </c>
      <c r="X428" s="208">
        <f>SUM(Hoja1[[#This Row],[$ X TIP VEHICUL]:[AGREGADO]])</f>
        <v>0</v>
      </c>
    </row>
    <row r="429" spans="2:24" hidden="1" x14ac:dyDescent="0.25">
      <c r="B429" s="189"/>
      <c r="J429" s="189"/>
      <c r="M429" s="205"/>
      <c r="O429" t="s">
        <v>7711</v>
      </c>
      <c r="S429" t="str">
        <f>IFERROR(VLOOKUP(E429,'VALORES VIAJES'!$A$2:$B$13,2,FALSE),"")</f>
        <v/>
      </c>
      <c r="T429" t="str">
        <f>IFERROR(VLOOKUP(H429,'VALORES VIAJES'!$A$2:$B$24,2,FALSE),"")</f>
        <v/>
      </c>
      <c r="U429" t="str">
        <f>IFERROR(VLOOKUP(I429,'VALORES VIAJES'!$A$2:$B$24,2,FALSE),"")</f>
        <v/>
      </c>
      <c r="V429" t="str">
        <f>IFERROR(VLOOKUP(K429,'VALORES VIAJES'!$A$2:$B$24,2,FALSE),"")</f>
        <v/>
      </c>
      <c r="X429" s="208">
        <f>SUM(Hoja1[[#This Row],[$ X TIP VEHICUL]:[AGREGADO]])</f>
        <v>0</v>
      </c>
    </row>
    <row r="430" spans="2:24" hidden="1" x14ac:dyDescent="0.25">
      <c r="B430" s="189"/>
      <c r="J430" s="189"/>
      <c r="M430" s="205"/>
      <c r="O430" t="s">
        <v>7711</v>
      </c>
      <c r="S430" t="str">
        <f>IFERROR(VLOOKUP(E430,'VALORES VIAJES'!$A$2:$B$13,2,FALSE),"")</f>
        <v/>
      </c>
      <c r="T430" t="str">
        <f>IFERROR(VLOOKUP(H430,'VALORES VIAJES'!$A$2:$B$24,2,FALSE),"")</f>
        <v/>
      </c>
      <c r="U430" t="str">
        <f>IFERROR(VLOOKUP(I430,'VALORES VIAJES'!$A$2:$B$24,2,FALSE),"")</f>
        <v/>
      </c>
      <c r="V430" t="str">
        <f>IFERROR(VLOOKUP(K430,'VALORES VIAJES'!$A$2:$B$24,2,FALSE),"")</f>
        <v/>
      </c>
      <c r="X430" s="208">
        <f>SUM(Hoja1[[#This Row],[$ X TIP VEHICUL]:[AGREGADO]])</f>
        <v>0</v>
      </c>
    </row>
    <row r="431" spans="2:24" hidden="1" x14ac:dyDescent="0.25">
      <c r="B431" s="189"/>
      <c r="J431" s="189"/>
      <c r="M431" s="205"/>
      <c r="O431" t="s">
        <v>7711</v>
      </c>
      <c r="S431" t="str">
        <f>IFERROR(VLOOKUP(E431,'VALORES VIAJES'!$A$2:$B$13,2,FALSE),"")</f>
        <v/>
      </c>
      <c r="T431" t="str">
        <f>IFERROR(VLOOKUP(H431,'VALORES VIAJES'!$A$2:$B$24,2,FALSE),"")</f>
        <v/>
      </c>
      <c r="U431" t="str">
        <f>IFERROR(VLOOKUP(I431,'VALORES VIAJES'!$A$2:$B$24,2,FALSE),"")</f>
        <v/>
      </c>
      <c r="V431" t="str">
        <f>IFERROR(VLOOKUP(K431,'VALORES VIAJES'!$A$2:$B$24,2,FALSE),"")</f>
        <v/>
      </c>
      <c r="X431" s="208">
        <f>SUM(Hoja1[[#This Row],[$ X TIP VEHICUL]:[AGREGADO]])</f>
        <v>0</v>
      </c>
    </row>
    <row r="432" spans="2:24" hidden="1" x14ac:dyDescent="0.25">
      <c r="B432" s="189"/>
      <c r="J432" s="189"/>
      <c r="M432" s="205"/>
      <c r="O432" t="s">
        <v>7711</v>
      </c>
      <c r="S432" t="str">
        <f>IFERROR(VLOOKUP(E432,'VALORES VIAJES'!$A$2:$B$13,2,FALSE),"")</f>
        <v/>
      </c>
      <c r="T432" t="str">
        <f>IFERROR(VLOOKUP(H432,'VALORES VIAJES'!$A$2:$B$24,2,FALSE),"")</f>
        <v/>
      </c>
      <c r="U432" t="str">
        <f>IFERROR(VLOOKUP(I432,'VALORES VIAJES'!$A$2:$B$24,2,FALSE),"")</f>
        <v/>
      </c>
      <c r="V432" t="str">
        <f>IFERROR(VLOOKUP(K432,'VALORES VIAJES'!$A$2:$B$24,2,FALSE),"")</f>
        <v/>
      </c>
      <c r="X432" s="208">
        <f>SUM(Hoja1[[#This Row],[$ X TIP VEHICUL]:[AGREGADO]])</f>
        <v>0</v>
      </c>
    </row>
    <row r="433" spans="2:24" hidden="1" x14ac:dyDescent="0.25">
      <c r="B433" s="189"/>
      <c r="J433" s="189"/>
      <c r="M433" s="205"/>
      <c r="O433" t="s">
        <v>7711</v>
      </c>
      <c r="S433" t="str">
        <f>IFERROR(VLOOKUP(E433,'VALORES VIAJES'!$A$2:$B$13,2,FALSE),"")</f>
        <v/>
      </c>
      <c r="T433" t="str">
        <f>IFERROR(VLOOKUP(H433,'VALORES VIAJES'!$A$2:$B$24,2,FALSE),"")</f>
        <v/>
      </c>
      <c r="U433" t="str">
        <f>IFERROR(VLOOKUP(I433,'VALORES VIAJES'!$A$2:$B$24,2,FALSE),"")</f>
        <v/>
      </c>
      <c r="V433" t="str">
        <f>IFERROR(VLOOKUP(K433,'VALORES VIAJES'!$A$2:$B$24,2,FALSE),"")</f>
        <v/>
      </c>
      <c r="X433" s="208">
        <f>SUM(Hoja1[[#This Row],[$ X TIP VEHICUL]:[AGREGADO]])</f>
        <v>0</v>
      </c>
    </row>
    <row r="434" spans="2:24" hidden="1" x14ac:dyDescent="0.25">
      <c r="B434" s="189"/>
      <c r="J434" s="189"/>
      <c r="M434" s="205"/>
      <c r="O434" t="s">
        <v>7711</v>
      </c>
      <c r="S434" t="str">
        <f>IFERROR(VLOOKUP(E434,'VALORES VIAJES'!$A$2:$B$13,2,FALSE),"")</f>
        <v/>
      </c>
      <c r="T434" t="str">
        <f>IFERROR(VLOOKUP(H434,'VALORES VIAJES'!$A$2:$B$24,2,FALSE),"")</f>
        <v/>
      </c>
      <c r="U434" t="str">
        <f>IFERROR(VLOOKUP(I434,'VALORES VIAJES'!$A$2:$B$24,2,FALSE),"")</f>
        <v/>
      </c>
      <c r="V434" t="str">
        <f>IFERROR(VLOOKUP(K434,'VALORES VIAJES'!$A$2:$B$24,2,FALSE),"")</f>
        <v/>
      </c>
      <c r="X434" s="208">
        <f>SUM(Hoja1[[#This Row],[$ X TIP VEHICUL]:[AGREGADO]])</f>
        <v>0</v>
      </c>
    </row>
    <row r="435" spans="2:24" hidden="1" x14ac:dyDescent="0.25">
      <c r="B435" s="189"/>
      <c r="J435" s="189"/>
      <c r="M435" s="205"/>
      <c r="O435" t="s">
        <v>7711</v>
      </c>
      <c r="S435" t="str">
        <f>IFERROR(VLOOKUP(E435,'VALORES VIAJES'!$A$2:$B$13,2,FALSE),"")</f>
        <v/>
      </c>
      <c r="T435" t="str">
        <f>IFERROR(VLOOKUP(H435,'VALORES VIAJES'!$A$2:$B$24,2,FALSE),"")</f>
        <v/>
      </c>
      <c r="U435" t="str">
        <f>IFERROR(VLOOKUP(I435,'VALORES VIAJES'!$A$2:$B$24,2,FALSE),"")</f>
        <v/>
      </c>
      <c r="V435" t="str">
        <f>IFERROR(VLOOKUP(K435,'VALORES VIAJES'!$A$2:$B$24,2,FALSE),"")</f>
        <v/>
      </c>
      <c r="X435" s="208">
        <f>SUM(Hoja1[[#This Row],[$ X TIP VEHICUL]:[AGREGADO]])</f>
        <v>0</v>
      </c>
    </row>
    <row r="436" spans="2:24" hidden="1" x14ac:dyDescent="0.25">
      <c r="B436" s="189"/>
      <c r="J436" s="189"/>
      <c r="M436" s="205"/>
      <c r="O436" t="s">
        <v>7711</v>
      </c>
      <c r="S436" t="str">
        <f>IFERROR(VLOOKUP(E436,'VALORES VIAJES'!$A$2:$B$13,2,FALSE),"")</f>
        <v/>
      </c>
      <c r="T436" t="str">
        <f>IFERROR(VLOOKUP(H436,'VALORES VIAJES'!$A$2:$B$24,2,FALSE),"")</f>
        <v/>
      </c>
      <c r="U436" t="str">
        <f>IFERROR(VLOOKUP(I436,'VALORES VIAJES'!$A$2:$B$24,2,FALSE),"")</f>
        <v/>
      </c>
      <c r="V436" t="str">
        <f>IFERROR(VLOOKUP(K436,'VALORES VIAJES'!$A$2:$B$24,2,FALSE),"")</f>
        <v/>
      </c>
      <c r="X436" s="208">
        <f>SUM(Hoja1[[#This Row],[$ X TIP VEHICUL]:[AGREGADO]])</f>
        <v>0</v>
      </c>
    </row>
    <row r="437" spans="2:24" hidden="1" x14ac:dyDescent="0.25">
      <c r="B437" s="189"/>
      <c r="J437" s="189"/>
      <c r="M437" s="205"/>
      <c r="O437" t="s">
        <v>7711</v>
      </c>
      <c r="S437" t="str">
        <f>IFERROR(VLOOKUP(E437,'VALORES VIAJES'!$A$2:$B$13,2,FALSE),"")</f>
        <v/>
      </c>
      <c r="T437" t="str">
        <f>IFERROR(VLOOKUP(H437,'VALORES VIAJES'!$A$2:$B$24,2,FALSE),"")</f>
        <v/>
      </c>
      <c r="U437" t="str">
        <f>IFERROR(VLOOKUP(I437,'VALORES VIAJES'!$A$2:$B$24,2,FALSE),"")</f>
        <v/>
      </c>
      <c r="V437" t="str">
        <f>IFERROR(VLOOKUP(K437,'VALORES VIAJES'!$A$2:$B$24,2,FALSE),"")</f>
        <v/>
      </c>
      <c r="X437" s="208">
        <f>SUM(Hoja1[[#This Row],[$ X TIP VEHICUL]:[AGREGADO]])</f>
        <v>0</v>
      </c>
    </row>
    <row r="438" spans="2:24" hidden="1" x14ac:dyDescent="0.25">
      <c r="B438" s="189"/>
      <c r="J438" s="189"/>
      <c r="M438" s="205"/>
      <c r="O438" t="s">
        <v>7711</v>
      </c>
      <c r="S438" t="str">
        <f>IFERROR(VLOOKUP(E438,'VALORES VIAJES'!$A$2:$B$13,2,FALSE),"")</f>
        <v/>
      </c>
      <c r="T438" t="str">
        <f>IFERROR(VLOOKUP(H438,'VALORES VIAJES'!$A$2:$B$24,2,FALSE),"")</f>
        <v/>
      </c>
      <c r="U438" t="str">
        <f>IFERROR(VLOOKUP(I438,'VALORES VIAJES'!$A$2:$B$24,2,FALSE),"")</f>
        <v/>
      </c>
      <c r="V438" t="str">
        <f>IFERROR(VLOOKUP(K438,'VALORES VIAJES'!$A$2:$B$24,2,FALSE),"")</f>
        <v/>
      </c>
      <c r="X438" s="208">
        <f>SUM(Hoja1[[#This Row],[$ X TIP VEHICUL]:[AGREGADO]])</f>
        <v>0</v>
      </c>
    </row>
    <row r="439" spans="2:24" hidden="1" x14ac:dyDescent="0.25">
      <c r="B439" s="189"/>
      <c r="J439" s="189"/>
      <c r="M439" s="205"/>
      <c r="O439" t="s">
        <v>7711</v>
      </c>
      <c r="S439" t="str">
        <f>IFERROR(VLOOKUP(E439,'VALORES VIAJES'!$A$2:$B$13,2,FALSE),"")</f>
        <v/>
      </c>
      <c r="T439" t="str">
        <f>IFERROR(VLOOKUP(H439,'VALORES VIAJES'!$A$2:$B$24,2,FALSE),"")</f>
        <v/>
      </c>
      <c r="U439" t="str">
        <f>IFERROR(VLOOKUP(I439,'VALORES VIAJES'!$A$2:$B$24,2,FALSE),"")</f>
        <v/>
      </c>
      <c r="V439" t="str">
        <f>IFERROR(VLOOKUP(K439,'VALORES VIAJES'!$A$2:$B$24,2,FALSE),"")</f>
        <v/>
      </c>
      <c r="X439" s="208">
        <f>SUM(Hoja1[[#This Row],[$ X TIP VEHICUL]:[AGREGADO]])</f>
        <v>0</v>
      </c>
    </row>
    <row r="440" spans="2:24" hidden="1" x14ac:dyDescent="0.25">
      <c r="B440" s="189"/>
      <c r="J440" s="189"/>
      <c r="M440" s="205"/>
      <c r="O440" t="s">
        <v>7711</v>
      </c>
      <c r="S440" t="str">
        <f>IFERROR(VLOOKUP(E440,'VALORES VIAJES'!$A$2:$B$13,2,FALSE),"")</f>
        <v/>
      </c>
      <c r="T440" t="str">
        <f>IFERROR(VLOOKUP(H440,'VALORES VIAJES'!$A$2:$B$24,2,FALSE),"")</f>
        <v/>
      </c>
      <c r="U440" t="str">
        <f>IFERROR(VLOOKUP(I440,'VALORES VIAJES'!$A$2:$B$24,2,FALSE),"")</f>
        <v/>
      </c>
      <c r="V440" t="str">
        <f>IFERROR(VLOOKUP(K440,'VALORES VIAJES'!$A$2:$B$24,2,FALSE),"")</f>
        <v/>
      </c>
      <c r="X440" s="208">
        <f>SUM(Hoja1[[#This Row],[$ X TIP VEHICUL]:[AGREGADO]])</f>
        <v>0</v>
      </c>
    </row>
    <row r="441" spans="2:24" hidden="1" x14ac:dyDescent="0.25">
      <c r="B441" s="189"/>
      <c r="J441" s="189"/>
      <c r="M441" s="205"/>
      <c r="O441" t="s">
        <v>7711</v>
      </c>
      <c r="S441" t="str">
        <f>IFERROR(VLOOKUP(E441,'VALORES VIAJES'!$A$2:$B$13,2,FALSE),"")</f>
        <v/>
      </c>
      <c r="T441" t="str">
        <f>IFERROR(VLOOKUP(H441,'VALORES VIAJES'!$A$2:$B$24,2,FALSE),"")</f>
        <v/>
      </c>
      <c r="U441" t="str">
        <f>IFERROR(VLOOKUP(I441,'VALORES VIAJES'!$A$2:$B$24,2,FALSE),"")</f>
        <v/>
      </c>
      <c r="V441" t="str">
        <f>IFERROR(VLOOKUP(K441,'VALORES VIAJES'!$A$2:$B$24,2,FALSE),"")</f>
        <v/>
      </c>
      <c r="X441" s="208">
        <f>SUM(Hoja1[[#This Row],[$ X TIP VEHICUL]:[AGREGADO]])</f>
        <v>0</v>
      </c>
    </row>
    <row r="442" spans="2:24" hidden="1" x14ac:dyDescent="0.25">
      <c r="B442" s="189"/>
      <c r="J442" s="189"/>
      <c r="M442" s="205"/>
      <c r="O442" t="s">
        <v>7711</v>
      </c>
      <c r="S442" t="str">
        <f>IFERROR(VLOOKUP(E442,'VALORES VIAJES'!$A$2:$B$13,2,FALSE),"")</f>
        <v/>
      </c>
      <c r="T442" t="str">
        <f>IFERROR(VLOOKUP(H442,'VALORES VIAJES'!$A$2:$B$24,2,FALSE),"")</f>
        <v/>
      </c>
      <c r="U442" t="str">
        <f>IFERROR(VLOOKUP(I442,'VALORES VIAJES'!$A$2:$B$24,2,FALSE),"")</f>
        <v/>
      </c>
      <c r="V442" t="str">
        <f>IFERROR(VLOOKUP(K442,'VALORES VIAJES'!$A$2:$B$24,2,FALSE),"")</f>
        <v/>
      </c>
      <c r="X442" s="208">
        <f>SUM(Hoja1[[#This Row],[$ X TIP VEHICUL]:[AGREGADO]])</f>
        <v>0</v>
      </c>
    </row>
    <row r="443" spans="2:24" hidden="1" x14ac:dyDescent="0.25">
      <c r="B443" s="189"/>
      <c r="J443" s="189"/>
      <c r="M443" s="205"/>
      <c r="O443" t="s">
        <v>7711</v>
      </c>
      <c r="S443" t="str">
        <f>IFERROR(VLOOKUP(E443,'VALORES VIAJES'!$A$2:$B$13,2,FALSE),"")</f>
        <v/>
      </c>
      <c r="T443" t="str">
        <f>IFERROR(VLOOKUP(H443,'VALORES VIAJES'!$A$2:$B$24,2,FALSE),"")</f>
        <v/>
      </c>
      <c r="U443" t="str">
        <f>IFERROR(VLOOKUP(I443,'VALORES VIAJES'!$A$2:$B$24,2,FALSE),"")</f>
        <v/>
      </c>
      <c r="V443" t="str">
        <f>IFERROR(VLOOKUP(K443,'VALORES VIAJES'!$A$2:$B$24,2,FALSE),"")</f>
        <v/>
      </c>
      <c r="X443" s="208">
        <f>SUM(Hoja1[[#This Row],[$ X TIP VEHICUL]:[AGREGADO]])</f>
        <v>0</v>
      </c>
    </row>
    <row r="444" spans="2:24" hidden="1" x14ac:dyDescent="0.25">
      <c r="B444" s="189"/>
      <c r="J444" s="189"/>
      <c r="M444" s="205"/>
      <c r="O444" t="s">
        <v>7711</v>
      </c>
      <c r="S444" t="str">
        <f>IFERROR(VLOOKUP(E444,'VALORES VIAJES'!$A$2:$B$13,2,FALSE),"")</f>
        <v/>
      </c>
      <c r="T444" t="str">
        <f>IFERROR(VLOOKUP(H444,'VALORES VIAJES'!$A$2:$B$24,2,FALSE),"")</f>
        <v/>
      </c>
      <c r="U444" t="str">
        <f>IFERROR(VLOOKUP(I444,'VALORES VIAJES'!$A$2:$B$24,2,FALSE),"")</f>
        <v/>
      </c>
      <c r="V444" t="str">
        <f>IFERROR(VLOOKUP(K444,'VALORES VIAJES'!$A$2:$B$24,2,FALSE),"")</f>
        <v/>
      </c>
      <c r="X444" s="208">
        <f>SUM(Hoja1[[#This Row],[$ X TIP VEHICUL]:[AGREGADO]])</f>
        <v>0</v>
      </c>
    </row>
    <row r="445" spans="2:24" hidden="1" x14ac:dyDescent="0.25">
      <c r="B445" s="189"/>
      <c r="J445" s="189"/>
      <c r="M445" s="205"/>
      <c r="O445" t="s">
        <v>7711</v>
      </c>
      <c r="S445" t="str">
        <f>IFERROR(VLOOKUP(E445,'VALORES VIAJES'!$A$2:$B$13,2,FALSE),"")</f>
        <v/>
      </c>
      <c r="T445" t="str">
        <f>IFERROR(VLOOKUP(H445,'VALORES VIAJES'!$A$2:$B$24,2,FALSE),"")</f>
        <v/>
      </c>
      <c r="U445" t="str">
        <f>IFERROR(VLOOKUP(I445,'VALORES VIAJES'!$A$2:$B$24,2,FALSE),"")</f>
        <v/>
      </c>
      <c r="V445" t="str">
        <f>IFERROR(VLOOKUP(K445,'VALORES VIAJES'!$A$2:$B$24,2,FALSE),"")</f>
        <v/>
      </c>
      <c r="X445" s="208">
        <f>SUM(Hoja1[[#This Row],[$ X TIP VEHICUL]:[AGREGADO]])</f>
        <v>0</v>
      </c>
    </row>
    <row r="446" spans="2:24" hidden="1" x14ac:dyDescent="0.25">
      <c r="B446" s="189"/>
      <c r="J446" s="189"/>
      <c r="M446" s="205"/>
      <c r="O446" t="s">
        <v>7711</v>
      </c>
      <c r="S446" t="str">
        <f>IFERROR(VLOOKUP(E446,'VALORES VIAJES'!$A$2:$B$13,2,FALSE),"")</f>
        <v/>
      </c>
      <c r="T446" t="str">
        <f>IFERROR(VLOOKUP(H446,'VALORES VIAJES'!$A$2:$B$24,2,FALSE),"")</f>
        <v/>
      </c>
      <c r="U446" t="str">
        <f>IFERROR(VLOOKUP(I446,'VALORES VIAJES'!$A$2:$B$24,2,FALSE),"")</f>
        <v/>
      </c>
      <c r="V446" t="str">
        <f>IFERROR(VLOOKUP(K446,'VALORES VIAJES'!$A$2:$B$24,2,FALSE),"")</f>
        <v/>
      </c>
      <c r="X446" s="208">
        <f>SUM(Hoja1[[#This Row],[$ X TIP VEHICUL]:[AGREGADO]])</f>
        <v>0</v>
      </c>
    </row>
    <row r="447" spans="2:24" hidden="1" x14ac:dyDescent="0.25">
      <c r="B447" s="189"/>
      <c r="J447" s="189"/>
      <c r="M447" s="205"/>
      <c r="O447" t="s">
        <v>7711</v>
      </c>
      <c r="S447" t="str">
        <f>IFERROR(VLOOKUP(E447,'VALORES VIAJES'!$A$2:$B$13,2,FALSE),"")</f>
        <v/>
      </c>
      <c r="T447" t="str">
        <f>IFERROR(VLOOKUP(H447,'VALORES VIAJES'!$A$2:$B$24,2,FALSE),"")</f>
        <v/>
      </c>
      <c r="U447" t="str">
        <f>IFERROR(VLOOKUP(I447,'VALORES VIAJES'!$A$2:$B$24,2,FALSE),"")</f>
        <v/>
      </c>
      <c r="V447" t="str">
        <f>IFERROR(VLOOKUP(K447,'VALORES VIAJES'!$A$2:$B$24,2,FALSE),"")</f>
        <v/>
      </c>
      <c r="X447" s="208">
        <f>SUM(Hoja1[[#This Row],[$ X TIP VEHICUL]:[AGREGADO]])</f>
        <v>0</v>
      </c>
    </row>
    <row r="448" spans="2:24" hidden="1" x14ac:dyDescent="0.25">
      <c r="B448" s="189"/>
      <c r="J448" s="189"/>
      <c r="M448" s="205"/>
      <c r="O448" t="s">
        <v>7711</v>
      </c>
      <c r="S448" t="str">
        <f>IFERROR(VLOOKUP(E448,'VALORES VIAJES'!$A$2:$B$13,2,FALSE),"")</f>
        <v/>
      </c>
      <c r="T448" t="str">
        <f>IFERROR(VLOOKUP(H448,'VALORES VIAJES'!$A$2:$B$24,2,FALSE),"")</f>
        <v/>
      </c>
      <c r="U448" t="str">
        <f>IFERROR(VLOOKUP(I448,'VALORES VIAJES'!$A$2:$B$24,2,FALSE),"")</f>
        <v/>
      </c>
      <c r="V448" t="str">
        <f>IFERROR(VLOOKUP(K448,'VALORES VIAJES'!$A$2:$B$24,2,FALSE),"")</f>
        <v/>
      </c>
      <c r="X448" s="208">
        <f>SUM(Hoja1[[#This Row],[$ X TIP VEHICUL]:[AGREGADO]])</f>
        <v>0</v>
      </c>
    </row>
    <row r="449" spans="2:24" hidden="1" x14ac:dyDescent="0.25">
      <c r="B449" s="189"/>
      <c r="J449" s="189"/>
      <c r="M449" s="205"/>
      <c r="O449" t="s">
        <v>7711</v>
      </c>
      <c r="S449" t="str">
        <f>IFERROR(VLOOKUP(E449,'VALORES VIAJES'!$A$2:$B$13,2,FALSE),"")</f>
        <v/>
      </c>
      <c r="T449" t="str">
        <f>IFERROR(VLOOKUP(H449,'VALORES VIAJES'!$A$2:$B$24,2,FALSE),"")</f>
        <v/>
      </c>
      <c r="U449" t="str">
        <f>IFERROR(VLOOKUP(I449,'VALORES VIAJES'!$A$2:$B$24,2,FALSE),"")</f>
        <v/>
      </c>
      <c r="V449" t="str">
        <f>IFERROR(VLOOKUP(K449,'VALORES VIAJES'!$A$2:$B$24,2,FALSE),"")</f>
        <v/>
      </c>
      <c r="X449" s="208">
        <f>SUM(Hoja1[[#This Row],[$ X TIP VEHICUL]:[AGREGADO]])</f>
        <v>0</v>
      </c>
    </row>
    <row r="450" spans="2:24" hidden="1" x14ac:dyDescent="0.25">
      <c r="B450" s="189"/>
      <c r="J450" s="189"/>
      <c r="M450" s="205"/>
      <c r="O450" t="s">
        <v>7711</v>
      </c>
      <c r="S450" t="str">
        <f>IFERROR(VLOOKUP(E450,'VALORES VIAJES'!$A$2:$B$13,2,FALSE),"")</f>
        <v/>
      </c>
      <c r="T450" t="str">
        <f>IFERROR(VLOOKUP(H450,'VALORES VIAJES'!$A$2:$B$24,2,FALSE),"")</f>
        <v/>
      </c>
      <c r="U450" t="str">
        <f>IFERROR(VLOOKUP(I450,'VALORES VIAJES'!$A$2:$B$24,2,FALSE),"")</f>
        <v/>
      </c>
      <c r="V450" t="str">
        <f>IFERROR(VLOOKUP(K450,'VALORES VIAJES'!$A$2:$B$24,2,FALSE),"")</f>
        <v/>
      </c>
      <c r="X450" s="208">
        <f>SUM(Hoja1[[#This Row],[$ X TIP VEHICUL]:[AGREGADO]])</f>
        <v>0</v>
      </c>
    </row>
    <row r="451" spans="2:24" hidden="1" x14ac:dyDescent="0.25">
      <c r="B451" s="189"/>
      <c r="J451" s="189"/>
      <c r="M451" s="205"/>
      <c r="O451" t="s">
        <v>7711</v>
      </c>
      <c r="S451" t="str">
        <f>IFERROR(VLOOKUP(E451,'VALORES VIAJES'!$A$2:$B$13,2,FALSE),"")</f>
        <v/>
      </c>
      <c r="T451" t="str">
        <f>IFERROR(VLOOKUP(H451,'VALORES VIAJES'!$A$2:$B$24,2,FALSE),"")</f>
        <v/>
      </c>
      <c r="U451" t="str">
        <f>IFERROR(VLOOKUP(I451,'VALORES VIAJES'!$A$2:$B$24,2,FALSE),"")</f>
        <v/>
      </c>
      <c r="V451" t="str">
        <f>IFERROR(VLOOKUP(K451,'VALORES VIAJES'!$A$2:$B$24,2,FALSE),"")</f>
        <v/>
      </c>
      <c r="X451" s="208">
        <f>SUM(Hoja1[[#This Row],[$ X TIP VEHICUL]:[AGREGADO]])</f>
        <v>0</v>
      </c>
    </row>
    <row r="452" spans="2:24" hidden="1" x14ac:dyDescent="0.25">
      <c r="B452" s="189"/>
      <c r="J452" s="189"/>
      <c r="M452" s="205"/>
      <c r="O452" t="s">
        <v>7711</v>
      </c>
      <c r="S452" t="str">
        <f>IFERROR(VLOOKUP(E452,'VALORES VIAJES'!$A$2:$B$13,2,FALSE),"")</f>
        <v/>
      </c>
      <c r="T452" t="str">
        <f>IFERROR(VLOOKUP(H452,'VALORES VIAJES'!$A$2:$B$24,2,FALSE),"")</f>
        <v/>
      </c>
      <c r="U452" t="str">
        <f>IFERROR(VLOOKUP(I452,'VALORES VIAJES'!$A$2:$B$24,2,FALSE),"")</f>
        <v/>
      </c>
      <c r="V452" t="str">
        <f>IFERROR(VLOOKUP(K452,'VALORES VIAJES'!$A$2:$B$24,2,FALSE),"")</f>
        <v/>
      </c>
      <c r="X452" s="208">
        <f>SUM(Hoja1[[#This Row],[$ X TIP VEHICUL]:[AGREGADO]])</f>
        <v>0</v>
      </c>
    </row>
    <row r="453" spans="2:24" hidden="1" x14ac:dyDescent="0.25">
      <c r="B453" s="189"/>
      <c r="J453" s="189"/>
      <c r="M453" s="205"/>
      <c r="O453" t="s">
        <v>7711</v>
      </c>
      <c r="S453" t="str">
        <f>IFERROR(VLOOKUP(E453,'VALORES VIAJES'!$A$2:$B$13,2,FALSE),"")</f>
        <v/>
      </c>
      <c r="T453" t="str">
        <f>IFERROR(VLOOKUP(H453,'VALORES VIAJES'!$A$2:$B$24,2,FALSE),"")</f>
        <v/>
      </c>
      <c r="U453" t="str">
        <f>IFERROR(VLOOKUP(I453,'VALORES VIAJES'!$A$2:$B$24,2,FALSE),"")</f>
        <v/>
      </c>
      <c r="V453" t="str">
        <f>IFERROR(VLOOKUP(K453,'VALORES VIAJES'!$A$2:$B$24,2,FALSE),"")</f>
        <v/>
      </c>
      <c r="X453" s="208">
        <f>SUM(Hoja1[[#This Row],[$ X TIP VEHICUL]:[AGREGADO]])</f>
        <v>0</v>
      </c>
    </row>
    <row r="454" spans="2:24" hidden="1" x14ac:dyDescent="0.25">
      <c r="B454" s="189"/>
      <c r="J454" s="189"/>
      <c r="M454" s="205"/>
      <c r="O454" t="s">
        <v>7711</v>
      </c>
      <c r="S454" t="str">
        <f>IFERROR(VLOOKUP(E454,'VALORES VIAJES'!$A$2:$B$13,2,FALSE),"")</f>
        <v/>
      </c>
      <c r="T454" t="str">
        <f>IFERROR(VLOOKUP(H454,'VALORES VIAJES'!$A$2:$B$24,2,FALSE),"")</f>
        <v/>
      </c>
      <c r="U454" t="str">
        <f>IFERROR(VLOOKUP(I454,'VALORES VIAJES'!$A$2:$B$24,2,FALSE),"")</f>
        <v/>
      </c>
      <c r="V454" t="str">
        <f>IFERROR(VLOOKUP(K454,'VALORES VIAJES'!$A$2:$B$24,2,FALSE),"")</f>
        <v/>
      </c>
      <c r="X454" s="208">
        <f>SUM(Hoja1[[#This Row],[$ X TIP VEHICUL]:[AGREGADO]])</f>
        <v>0</v>
      </c>
    </row>
    <row r="455" spans="2:24" hidden="1" x14ac:dyDescent="0.25">
      <c r="B455" s="189"/>
      <c r="J455" s="189"/>
      <c r="M455" s="205"/>
      <c r="O455" t="s">
        <v>7711</v>
      </c>
      <c r="S455" t="str">
        <f>IFERROR(VLOOKUP(E455,'VALORES VIAJES'!$A$2:$B$13,2,FALSE),"")</f>
        <v/>
      </c>
      <c r="T455" t="str">
        <f>IFERROR(VLOOKUP(H455,'VALORES VIAJES'!$A$2:$B$24,2,FALSE),"")</f>
        <v/>
      </c>
      <c r="U455" t="str">
        <f>IFERROR(VLOOKUP(I455,'VALORES VIAJES'!$A$2:$B$24,2,FALSE),"")</f>
        <v/>
      </c>
      <c r="V455" t="str">
        <f>IFERROR(VLOOKUP(K455,'VALORES VIAJES'!$A$2:$B$24,2,FALSE),"")</f>
        <v/>
      </c>
      <c r="X455" s="208">
        <f>SUM(Hoja1[[#This Row],[$ X TIP VEHICUL]:[AGREGADO]])</f>
        <v>0</v>
      </c>
    </row>
    <row r="456" spans="2:24" hidden="1" x14ac:dyDescent="0.25">
      <c r="B456" s="189"/>
      <c r="J456" s="189"/>
      <c r="M456" s="205"/>
      <c r="O456" t="s">
        <v>7711</v>
      </c>
      <c r="S456" t="str">
        <f>IFERROR(VLOOKUP(E456,'VALORES VIAJES'!$A$2:$B$13,2,FALSE),"")</f>
        <v/>
      </c>
      <c r="T456" t="str">
        <f>IFERROR(VLOOKUP(H456,'VALORES VIAJES'!$A$2:$B$24,2,FALSE),"")</f>
        <v/>
      </c>
      <c r="U456" t="str">
        <f>IFERROR(VLOOKUP(I456,'VALORES VIAJES'!$A$2:$B$24,2,FALSE),"")</f>
        <v/>
      </c>
      <c r="V456" t="str">
        <f>IFERROR(VLOOKUP(K456,'VALORES VIAJES'!$A$2:$B$24,2,FALSE),"")</f>
        <v/>
      </c>
      <c r="X456" s="208">
        <f>SUM(Hoja1[[#This Row],[$ X TIP VEHICUL]:[AGREGADO]])</f>
        <v>0</v>
      </c>
    </row>
    <row r="457" spans="2:24" hidden="1" x14ac:dyDescent="0.25">
      <c r="B457" s="189"/>
      <c r="J457" s="189"/>
      <c r="M457" s="205"/>
      <c r="O457" t="s">
        <v>7711</v>
      </c>
      <c r="S457" t="str">
        <f>IFERROR(VLOOKUP(E457,'VALORES VIAJES'!$A$2:$B$13,2,FALSE),"")</f>
        <v/>
      </c>
      <c r="T457" t="str">
        <f>IFERROR(VLOOKUP(H457,'VALORES VIAJES'!$A$2:$B$24,2,FALSE),"")</f>
        <v/>
      </c>
      <c r="U457" t="str">
        <f>IFERROR(VLOOKUP(I457,'VALORES VIAJES'!$A$2:$B$24,2,FALSE),"")</f>
        <v/>
      </c>
      <c r="V457" t="str">
        <f>IFERROR(VLOOKUP(K457,'VALORES VIAJES'!$A$2:$B$24,2,FALSE),"")</f>
        <v/>
      </c>
      <c r="X457" s="208">
        <f>SUM(Hoja1[[#This Row],[$ X TIP VEHICUL]:[AGREGADO]])</f>
        <v>0</v>
      </c>
    </row>
    <row r="458" spans="2:24" hidden="1" x14ac:dyDescent="0.25">
      <c r="B458" s="189"/>
      <c r="J458" s="189"/>
      <c r="M458" s="205"/>
      <c r="O458" t="s">
        <v>7711</v>
      </c>
      <c r="S458" t="str">
        <f>IFERROR(VLOOKUP(E458,'VALORES VIAJES'!$A$2:$B$13,2,FALSE),"")</f>
        <v/>
      </c>
      <c r="T458" t="str">
        <f>IFERROR(VLOOKUP(H458,'VALORES VIAJES'!$A$2:$B$24,2,FALSE),"")</f>
        <v/>
      </c>
      <c r="U458" t="str">
        <f>IFERROR(VLOOKUP(I458,'VALORES VIAJES'!$A$2:$B$24,2,FALSE),"")</f>
        <v/>
      </c>
      <c r="V458" t="str">
        <f>IFERROR(VLOOKUP(K458,'VALORES VIAJES'!$A$2:$B$24,2,FALSE),"")</f>
        <v/>
      </c>
      <c r="X458" s="208">
        <f>SUM(Hoja1[[#This Row],[$ X TIP VEHICUL]:[AGREGADO]])</f>
        <v>0</v>
      </c>
    </row>
    <row r="459" spans="2:24" hidden="1" x14ac:dyDescent="0.25">
      <c r="B459" s="189"/>
      <c r="J459" s="189"/>
      <c r="M459" s="205"/>
      <c r="O459" t="s">
        <v>7711</v>
      </c>
      <c r="S459" t="str">
        <f>IFERROR(VLOOKUP(E459,'VALORES VIAJES'!$A$2:$B$13,2,FALSE),"")</f>
        <v/>
      </c>
      <c r="T459" t="str">
        <f>IFERROR(VLOOKUP(H459,'VALORES VIAJES'!$A$2:$B$24,2,FALSE),"")</f>
        <v/>
      </c>
      <c r="U459" t="str">
        <f>IFERROR(VLOOKUP(I459,'VALORES VIAJES'!$A$2:$B$24,2,FALSE),"")</f>
        <v/>
      </c>
      <c r="V459" t="str">
        <f>IFERROR(VLOOKUP(K459,'VALORES VIAJES'!$A$2:$B$24,2,FALSE),"")</f>
        <v/>
      </c>
      <c r="X459" s="208">
        <f>SUM(Hoja1[[#This Row],[$ X TIP VEHICUL]:[AGREGADO]])</f>
        <v>0</v>
      </c>
    </row>
    <row r="460" spans="2:24" hidden="1" x14ac:dyDescent="0.25">
      <c r="B460" s="189"/>
      <c r="J460" s="189"/>
      <c r="M460" s="205"/>
      <c r="O460" t="s">
        <v>7711</v>
      </c>
      <c r="S460" t="str">
        <f>IFERROR(VLOOKUP(E460,'VALORES VIAJES'!$A$2:$B$13,2,FALSE),"")</f>
        <v/>
      </c>
      <c r="T460" t="str">
        <f>IFERROR(VLOOKUP(H460,'VALORES VIAJES'!$A$2:$B$24,2,FALSE),"")</f>
        <v/>
      </c>
      <c r="U460" t="str">
        <f>IFERROR(VLOOKUP(I460,'VALORES VIAJES'!$A$2:$B$24,2,FALSE),"")</f>
        <v/>
      </c>
      <c r="V460" t="str">
        <f>IFERROR(VLOOKUP(K460,'VALORES VIAJES'!$A$2:$B$24,2,FALSE),"")</f>
        <v/>
      </c>
      <c r="X460" s="208">
        <f>SUM(Hoja1[[#This Row],[$ X TIP VEHICUL]:[AGREGADO]])</f>
        <v>0</v>
      </c>
    </row>
    <row r="461" spans="2:24" hidden="1" x14ac:dyDescent="0.25">
      <c r="B461" s="189"/>
      <c r="J461" s="189"/>
      <c r="M461" s="205"/>
      <c r="O461" t="s">
        <v>7711</v>
      </c>
      <c r="S461" t="str">
        <f>IFERROR(VLOOKUP(E461,'VALORES VIAJES'!$A$2:$B$13,2,FALSE),"")</f>
        <v/>
      </c>
      <c r="T461" t="str">
        <f>IFERROR(VLOOKUP(H461,'VALORES VIAJES'!$A$2:$B$24,2,FALSE),"")</f>
        <v/>
      </c>
      <c r="U461" t="str">
        <f>IFERROR(VLOOKUP(I461,'VALORES VIAJES'!$A$2:$B$24,2,FALSE),"")</f>
        <v/>
      </c>
      <c r="V461" t="str">
        <f>IFERROR(VLOOKUP(K461,'VALORES VIAJES'!$A$2:$B$24,2,FALSE),"")</f>
        <v/>
      </c>
      <c r="X461" s="208">
        <f>SUM(Hoja1[[#This Row],[$ X TIP VEHICUL]:[AGREGADO]])</f>
        <v>0</v>
      </c>
    </row>
    <row r="462" spans="2:24" hidden="1" x14ac:dyDescent="0.25">
      <c r="B462" s="189"/>
      <c r="J462" s="189"/>
      <c r="M462" s="205"/>
      <c r="O462" t="s">
        <v>7711</v>
      </c>
      <c r="S462" t="str">
        <f>IFERROR(VLOOKUP(E462,'VALORES VIAJES'!$A$2:$B$13,2,FALSE),"")</f>
        <v/>
      </c>
      <c r="T462" t="str">
        <f>IFERROR(VLOOKUP(H462,'VALORES VIAJES'!$A$2:$B$24,2,FALSE),"")</f>
        <v/>
      </c>
      <c r="U462" t="str">
        <f>IFERROR(VLOOKUP(I462,'VALORES VIAJES'!$A$2:$B$24,2,FALSE),"")</f>
        <v/>
      </c>
      <c r="V462" t="str">
        <f>IFERROR(VLOOKUP(K462,'VALORES VIAJES'!$A$2:$B$24,2,FALSE),"")</f>
        <v/>
      </c>
      <c r="X462" s="208">
        <f>SUM(Hoja1[[#This Row],[$ X TIP VEHICUL]:[AGREGADO]])</f>
        <v>0</v>
      </c>
    </row>
    <row r="463" spans="2:24" hidden="1" x14ac:dyDescent="0.25">
      <c r="B463" s="189"/>
      <c r="J463" s="189"/>
      <c r="M463" s="205"/>
      <c r="O463" t="s">
        <v>7711</v>
      </c>
      <c r="S463" t="str">
        <f>IFERROR(VLOOKUP(E463,'VALORES VIAJES'!$A$2:$B$13,2,FALSE),"")</f>
        <v/>
      </c>
      <c r="T463" t="str">
        <f>IFERROR(VLOOKUP(H463,'VALORES VIAJES'!$A$2:$B$24,2,FALSE),"")</f>
        <v/>
      </c>
      <c r="U463" t="str">
        <f>IFERROR(VLOOKUP(I463,'VALORES VIAJES'!$A$2:$B$24,2,FALSE),"")</f>
        <v/>
      </c>
      <c r="V463" t="str">
        <f>IFERROR(VLOOKUP(K463,'VALORES VIAJES'!$A$2:$B$24,2,FALSE),"")</f>
        <v/>
      </c>
      <c r="X463" s="208">
        <f>SUM(Hoja1[[#This Row],[$ X TIP VEHICUL]:[AGREGADO]])</f>
        <v>0</v>
      </c>
    </row>
    <row r="464" spans="2:24" hidden="1" x14ac:dyDescent="0.25">
      <c r="B464" s="189"/>
      <c r="J464" s="189"/>
      <c r="M464" s="205"/>
      <c r="O464" t="s">
        <v>7711</v>
      </c>
      <c r="S464" t="str">
        <f>IFERROR(VLOOKUP(E464,'VALORES VIAJES'!$A$2:$B$13,2,FALSE),"")</f>
        <v/>
      </c>
      <c r="T464" t="str">
        <f>IFERROR(VLOOKUP(H464,'VALORES VIAJES'!$A$2:$B$24,2,FALSE),"")</f>
        <v/>
      </c>
      <c r="U464" t="str">
        <f>IFERROR(VLOOKUP(I464,'VALORES VIAJES'!$A$2:$B$24,2,FALSE),"")</f>
        <v/>
      </c>
      <c r="V464" t="str">
        <f>IFERROR(VLOOKUP(K464,'VALORES VIAJES'!$A$2:$B$24,2,FALSE),"")</f>
        <v/>
      </c>
      <c r="X464" s="208">
        <f>SUM(Hoja1[[#This Row],[$ X TIP VEHICUL]:[AGREGADO]])</f>
        <v>0</v>
      </c>
    </row>
    <row r="465" spans="2:24" hidden="1" x14ac:dyDescent="0.25">
      <c r="B465" s="189"/>
      <c r="J465" s="189"/>
      <c r="M465" s="205"/>
      <c r="O465" t="s">
        <v>7711</v>
      </c>
      <c r="S465" t="str">
        <f>IFERROR(VLOOKUP(E465,'VALORES VIAJES'!$A$2:$B$13,2,FALSE),"")</f>
        <v/>
      </c>
      <c r="T465" t="str">
        <f>IFERROR(VLOOKUP(H465,'VALORES VIAJES'!$A$2:$B$24,2,FALSE),"")</f>
        <v/>
      </c>
      <c r="U465" t="str">
        <f>IFERROR(VLOOKUP(I465,'VALORES VIAJES'!$A$2:$B$24,2,FALSE),"")</f>
        <v/>
      </c>
      <c r="V465" t="str">
        <f>IFERROR(VLOOKUP(K465,'VALORES VIAJES'!$A$2:$B$24,2,FALSE),"")</f>
        <v/>
      </c>
      <c r="X465" s="208">
        <f>SUM(Hoja1[[#This Row],[$ X TIP VEHICUL]:[AGREGADO]])</f>
        <v>0</v>
      </c>
    </row>
    <row r="466" spans="2:24" hidden="1" x14ac:dyDescent="0.25">
      <c r="B466" s="189"/>
      <c r="J466" s="189"/>
      <c r="M466" s="205"/>
      <c r="O466" t="s">
        <v>7711</v>
      </c>
      <c r="S466" t="str">
        <f>IFERROR(VLOOKUP(E466,'VALORES VIAJES'!$A$2:$B$13,2,FALSE),"")</f>
        <v/>
      </c>
      <c r="T466" t="str">
        <f>IFERROR(VLOOKUP(H466,'VALORES VIAJES'!$A$2:$B$24,2,FALSE),"")</f>
        <v/>
      </c>
      <c r="U466" t="str">
        <f>IFERROR(VLOOKUP(I466,'VALORES VIAJES'!$A$2:$B$24,2,FALSE),"")</f>
        <v/>
      </c>
      <c r="V466" t="str">
        <f>IFERROR(VLOOKUP(K466,'VALORES VIAJES'!$A$2:$B$24,2,FALSE),"")</f>
        <v/>
      </c>
      <c r="X466" s="208">
        <f>SUM(Hoja1[[#This Row],[$ X TIP VEHICUL]:[AGREGADO]])</f>
        <v>0</v>
      </c>
    </row>
    <row r="467" spans="2:24" hidden="1" x14ac:dyDescent="0.25">
      <c r="B467" s="189"/>
      <c r="J467" s="189"/>
      <c r="M467" s="205"/>
      <c r="O467" t="s">
        <v>7711</v>
      </c>
      <c r="S467" t="str">
        <f>IFERROR(VLOOKUP(E467,'VALORES VIAJES'!$A$2:$B$13,2,FALSE),"")</f>
        <v/>
      </c>
      <c r="T467" t="str">
        <f>IFERROR(VLOOKUP(H467,'VALORES VIAJES'!$A$2:$B$24,2,FALSE),"")</f>
        <v/>
      </c>
      <c r="U467" t="str">
        <f>IFERROR(VLOOKUP(I467,'VALORES VIAJES'!$A$2:$B$24,2,FALSE),"")</f>
        <v/>
      </c>
      <c r="V467" t="str">
        <f>IFERROR(VLOOKUP(K467,'VALORES VIAJES'!$A$2:$B$24,2,FALSE),"")</f>
        <v/>
      </c>
      <c r="X467" s="208">
        <f>SUM(Hoja1[[#This Row],[$ X TIP VEHICUL]:[AGREGADO]])</f>
        <v>0</v>
      </c>
    </row>
    <row r="468" spans="2:24" hidden="1" x14ac:dyDescent="0.25">
      <c r="B468" s="189"/>
      <c r="J468" s="189"/>
      <c r="M468" s="205"/>
      <c r="O468" t="s">
        <v>7711</v>
      </c>
      <c r="S468" t="str">
        <f>IFERROR(VLOOKUP(E468,'VALORES VIAJES'!$A$2:$B$13,2,FALSE),"")</f>
        <v/>
      </c>
      <c r="T468" t="str">
        <f>IFERROR(VLOOKUP(H468,'VALORES VIAJES'!$A$2:$B$24,2,FALSE),"")</f>
        <v/>
      </c>
      <c r="U468" t="str">
        <f>IFERROR(VLOOKUP(I468,'VALORES VIAJES'!$A$2:$B$24,2,FALSE),"")</f>
        <v/>
      </c>
      <c r="V468" t="str">
        <f>IFERROR(VLOOKUP(K468,'VALORES VIAJES'!$A$2:$B$24,2,FALSE),"")</f>
        <v/>
      </c>
      <c r="X468" s="208">
        <f>SUM(Hoja1[[#This Row],[$ X TIP VEHICUL]:[AGREGADO]])</f>
        <v>0</v>
      </c>
    </row>
    <row r="469" spans="2:24" hidden="1" x14ac:dyDescent="0.25">
      <c r="B469" s="189"/>
      <c r="J469" s="189"/>
      <c r="M469" s="205"/>
      <c r="O469" t="s">
        <v>7711</v>
      </c>
      <c r="S469" t="str">
        <f>IFERROR(VLOOKUP(E469,'VALORES VIAJES'!$A$2:$B$13,2,FALSE),"")</f>
        <v/>
      </c>
      <c r="T469" t="str">
        <f>IFERROR(VLOOKUP(H469,'VALORES VIAJES'!$A$2:$B$24,2,FALSE),"")</f>
        <v/>
      </c>
      <c r="U469" t="str">
        <f>IFERROR(VLOOKUP(I469,'VALORES VIAJES'!$A$2:$B$24,2,FALSE),"")</f>
        <v/>
      </c>
      <c r="V469" t="str">
        <f>IFERROR(VLOOKUP(K469,'VALORES VIAJES'!$A$2:$B$24,2,FALSE),"")</f>
        <v/>
      </c>
      <c r="X469" s="208">
        <f>SUM(Hoja1[[#This Row],[$ X TIP VEHICUL]:[AGREGADO]])</f>
        <v>0</v>
      </c>
    </row>
    <row r="470" spans="2:24" hidden="1" x14ac:dyDescent="0.25">
      <c r="B470" s="189"/>
      <c r="J470" s="189"/>
      <c r="M470" s="205"/>
      <c r="O470" t="s">
        <v>7711</v>
      </c>
      <c r="S470" t="str">
        <f>IFERROR(VLOOKUP(E470,'VALORES VIAJES'!$A$2:$B$13,2,FALSE),"")</f>
        <v/>
      </c>
      <c r="T470" t="str">
        <f>IFERROR(VLOOKUP(H470,'VALORES VIAJES'!$A$2:$B$24,2,FALSE),"")</f>
        <v/>
      </c>
      <c r="U470" t="str">
        <f>IFERROR(VLOOKUP(I470,'VALORES VIAJES'!$A$2:$B$24,2,FALSE),"")</f>
        <v/>
      </c>
      <c r="V470" t="str">
        <f>IFERROR(VLOOKUP(K470,'VALORES VIAJES'!$A$2:$B$24,2,FALSE),"")</f>
        <v/>
      </c>
      <c r="X470" s="208">
        <f>SUM(Hoja1[[#This Row],[$ X TIP VEHICUL]:[AGREGADO]])</f>
        <v>0</v>
      </c>
    </row>
    <row r="471" spans="2:24" hidden="1" x14ac:dyDescent="0.25">
      <c r="B471" s="189"/>
      <c r="J471" s="189"/>
      <c r="M471" s="205"/>
      <c r="O471" t="s">
        <v>7711</v>
      </c>
      <c r="S471" t="str">
        <f>IFERROR(VLOOKUP(E471,'VALORES VIAJES'!$A$2:$B$13,2,FALSE),"")</f>
        <v/>
      </c>
      <c r="T471" t="str">
        <f>IFERROR(VLOOKUP(H471,'VALORES VIAJES'!$A$2:$B$24,2,FALSE),"")</f>
        <v/>
      </c>
      <c r="U471" t="str">
        <f>IFERROR(VLOOKUP(I471,'VALORES VIAJES'!$A$2:$B$24,2,FALSE),"")</f>
        <v/>
      </c>
      <c r="V471" t="str">
        <f>IFERROR(VLOOKUP(K471,'VALORES VIAJES'!$A$2:$B$24,2,FALSE),"")</f>
        <v/>
      </c>
      <c r="X471" s="208">
        <f>SUM(Hoja1[[#This Row],[$ X TIP VEHICUL]:[AGREGADO]])</f>
        <v>0</v>
      </c>
    </row>
    <row r="472" spans="2:24" hidden="1" x14ac:dyDescent="0.25">
      <c r="B472" s="189"/>
      <c r="J472" s="189"/>
      <c r="M472" s="205"/>
      <c r="O472" t="s">
        <v>7711</v>
      </c>
      <c r="S472" t="str">
        <f>IFERROR(VLOOKUP(E472,'VALORES VIAJES'!$A$2:$B$13,2,FALSE),"")</f>
        <v/>
      </c>
      <c r="T472" t="str">
        <f>IFERROR(VLOOKUP(H472,'VALORES VIAJES'!$A$2:$B$24,2,FALSE),"")</f>
        <v/>
      </c>
      <c r="U472" t="str">
        <f>IFERROR(VLOOKUP(I472,'VALORES VIAJES'!$A$2:$B$24,2,FALSE),"")</f>
        <v/>
      </c>
      <c r="V472" t="str">
        <f>IFERROR(VLOOKUP(K472,'VALORES VIAJES'!$A$2:$B$24,2,FALSE),"")</f>
        <v/>
      </c>
      <c r="X472" s="208">
        <f>SUM(Hoja1[[#This Row],[$ X TIP VEHICUL]:[AGREGADO]])</f>
        <v>0</v>
      </c>
    </row>
    <row r="473" spans="2:24" hidden="1" x14ac:dyDescent="0.25">
      <c r="B473" s="189"/>
      <c r="J473" s="189"/>
      <c r="M473" s="205"/>
      <c r="O473" t="s">
        <v>7711</v>
      </c>
      <c r="S473" t="str">
        <f>IFERROR(VLOOKUP(E473,'VALORES VIAJES'!$A$2:$B$13,2,FALSE),"")</f>
        <v/>
      </c>
      <c r="T473" t="str">
        <f>IFERROR(VLOOKUP(H473,'VALORES VIAJES'!$A$2:$B$24,2,FALSE),"")</f>
        <v/>
      </c>
      <c r="U473" t="str">
        <f>IFERROR(VLOOKUP(I473,'VALORES VIAJES'!$A$2:$B$24,2,FALSE),"")</f>
        <v/>
      </c>
      <c r="V473" t="str">
        <f>IFERROR(VLOOKUP(K473,'VALORES VIAJES'!$A$2:$B$24,2,FALSE),"")</f>
        <v/>
      </c>
      <c r="X473" s="208">
        <f>SUM(Hoja1[[#This Row],[$ X TIP VEHICUL]:[AGREGADO]])</f>
        <v>0</v>
      </c>
    </row>
    <row r="474" spans="2:24" hidden="1" x14ac:dyDescent="0.25">
      <c r="B474" s="189"/>
      <c r="J474" s="189"/>
      <c r="M474" s="205"/>
      <c r="O474" t="s">
        <v>7711</v>
      </c>
      <c r="S474" t="str">
        <f>IFERROR(VLOOKUP(E474,'VALORES VIAJES'!$A$2:$B$13,2,FALSE),"")</f>
        <v/>
      </c>
      <c r="T474" t="str">
        <f>IFERROR(VLOOKUP(H474,'VALORES VIAJES'!$A$2:$B$24,2,FALSE),"")</f>
        <v/>
      </c>
      <c r="U474" t="str">
        <f>IFERROR(VLOOKUP(I474,'VALORES VIAJES'!$A$2:$B$24,2,FALSE),"")</f>
        <v/>
      </c>
      <c r="V474" t="str">
        <f>IFERROR(VLOOKUP(K474,'VALORES VIAJES'!$A$2:$B$24,2,FALSE),"")</f>
        <v/>
      </c>
      <c r="X474" s="208">
        <f>SUM(Hoja1[[#This Row],[$ X TIP VEHICUL]:[AGREGADO]])</f>
        <v>0</v>
      </c>
    </row>
    <row r="475" spans="2:24" hidden="1" x14ac:dyDescent="0.25">
      <c r="B475" s="189"/>
      <c r="J475" s="189"/>
      <c r="M475" s="205"/>
      <c r="O475" t="s">
        <v>7711</v>
      </c>
      <c r="S475" t="str">
        <f>IFERROR(VLOOKUP(E475,'VALORES VIAJES'!$A$2:$B$13,2,FALSE),"")</f>
        <v/>
      </c>
      <c r="T475" t="str">
        <f>IFERROR(VLOOKUP(H475,'VALORES VIAJES'!$A$2:$B$24,2,FALSE),"")</f>
        <v/>
      </c>
      <c r="U475" t="str">
        <f>IFERROR(VLOOKUP(I475,'VALORES VIAJES'!$A$2:$B$24,2,FALSE),"")</f>
        <v/>
      </c>
      <c r="V475" t="str">
        <f>IFERROR(VLOOKUP(K475,'VALORES VIAJES'!$A$2:$B$24,2,FALSE),"")</f>
        <v/>
      </c>
      <c r="X475" s="208">
        <f>SUM(Hoja1[[#This Row],[$ X TIP VEHICUL]:[AGREGADO]])</f>
        <v>0</v>
      </c>
    </row>
    <row r="476" spans="2:24" hidden="1" x14ac:dyDescent="0.25">
      <c r="B476" s="189"/>
      <c r="J476" s="189"/>
      <c r="M476" s="205"/>
      <c r="O476" t="s">
        <v>7711</v>
      </c>
      <c r="S476" t="str">
        <f>IFERROR(VLOOKUP(E476,'VALORES VIAJES'!$A$2:$B$13,2,FALSE),"")</f>
        <v/>
      </c>
      <c r="T476" t="str">
        <f>IFERROR(VLOOKUP(H476,'VALORES VIAJES'!$A$2:$B$24,2,FALSE),"")</f>
        <v/>
      </c>
      <c r="U476" t="str">
        <f>IFERROR(VLOOKUP(I476,'VALORES VIAJES'!$A$2:$B$24,2,FALSE),"")</f>
        <v/>
      </c>
      <c r="V476" t="str">
        <f>IFERROR(VLOOKUP(K476,'VALORES VIAJES'!$A$2:$B$24,2,FALSE),"")</f>
        <v/>
      </c>
      <c r="X476" s="208">
        <f>SUM(Hoja1[[#This Row],[$ X TIP VEHICUL]:[AGREGADO]])</f>
        <v>0</v>
      </c>
    </row>
    <row r="477" spans="2:24" hidden="1" x14ac:dyDescent="0.25">
      <c r="B477" s="189"/>
      <c r="J477" s="189"/>
      <c r="M477" s="205"/>
      <c r="O477" t="s">
        <v>7711</v>
      </c>
      <c r="S477" t="str">
        <f>IFERROR(VLOOKUP(E477,'VALORES VIAJES'!$A$2:$B$13,2,FALSE),"")</f>
        <v/>
      </c>
      <c r="T477" t="str">
        <f>IFERROR(VLOOKUP(H477,'VALORES VIAJES'!$A$2:$B$24,2,FALSE),"")</f>
        <v/>
      </c>
      <c r="U477" t="str">
        <f>IFERROR(VLOOKUP(I477,'VALORES VIAJES'!$A$2:$B$24,2,FALSE),"")</f>
        <v/>
      </c>
      <c r="V477" t="str">
        <f>IFERROR(VLOOKUP(K477,'VALORES VIAJES'!$A$2:$B$24,2,FALSE),"")</f>
        <v/>
      </c>
      <c r="X477" s="208">
        <f>SUM(Hoja1[[#This Row],[$ X TIP VEHICUL]:[AGREGADO]])</f>
        <v>0</v>
      </c>
    </row>
    <row r="478" spans="2:24" hidden="1" x14ac:dyDescent="0.25">
      <c r="B478" s="189"/>
      <c r="J478" s="189"/>
      <c r="M478" s="205"/>
      <c r="O478" t="s">
        <v>7711</v>
      </c>
      <c r="S478" t="str">
        <f>IFERROR(VLOOKUP(E478,'VALORES VIAJES'!$A$2:$B$13,2,FALSE),"")</f>
        <v/>
      </c>
      <c r="T478" t="str">
        <f>IFERROR(VLOOKUP(H478,'VALORES VIAJES'!$A$2:$B$24,2,FALSE),"")</f>
        <v/>
      </c>
      <c r="U478" t="str">
        <f>IFERROR(VLOOKUP(I478,'VALORES VIAJES'!$A$2:$B$24,2,FALSE),"")</f>
        <v/>
      </c>
      <c r="V478" t="str">
        <f>IFERROR(VLOOKUP(K478,'VALORES VIAJES'!$A$2:$B$24,2,FALSE),"")</f>
        <v/>
      </c>
      <c r="X478" s="208">
        <f>SUM(Hoja1[[#This Row],[$ X TIP VEHICUL]:[AGREGADO]])</f>
        <v>0</v>
      </c>
    </row>
    <row r="479" spans="2:24" hidden="1" x14ac:dyDescent="0.25">
      <c r="B479" s="189"/>
      <c r="J479" s="189"/>
      <c r="M479" s="205"/>
      <c r="O479" t="s">
        <v>7711</v>
      </c>
      <c r="S479" t="str">
        <f>IFERROR(VLOOKUP(E479,'VALORES VIAJES'!$A$2:$B$13,2,FALSE),"")</f>
        <v/>
      </c>
      <c r="T479" t="str">
        <f>IFERROR(VLOOKUP(H479,'VALORES VIAJES'!$A$2:$B$24,2,FALSE),"")</f>
        <v/>
      </c>
      <c r="U479" t="str">
        <f>IFERROR(VLOOKUP(I479,'VALORES VIAJES'!$A$2:$B$24,2,FALSE),"")</f>
        <v/>
      </c>
      <c r="V479" t="str">
        <f>IFERROR(VLOOKUP(K479,'VALORES VIAJES'!$A$2:$B$24,2,FALSE),"")</f>
        <v/>
      </c>
      <c r="X479" s="208">
        <f>SUM(Hoja1[[#This Row],[$ X TIP VEHICUL]:[AGREGADO]])</f>
        <v>0</v>
      </c>
    </row>
    <row r="480" spans="2:24" hidden="1" x14ac:dyDescent="0.25">
      <c r="B480" s="189"/>
      <c r="J480" s="189"/>
      <c r="M480" s="205"/>
      <c r="O480" t="s">
        <v>7711</v>
      </c>
      <c r="S480" t="str">
        <f>IFERROR(VLOOKUP(E480,'VALORES VIAJES'!$A$2:$B$13,2,FALSE),"")</f>
        <v/>
      </c>
      <c r="T480" t="str">
        <f>IFERROR(VLOOKUP(H480,'VALORES VIAJES'!$A$2:$B$24,2,FALSE),"")</f>
        <v/>
      </c>
      <c r="U480" t="str">
        <f>IFERROR(VLOOKUP(I480,'VALORES VIAJES'!$A$2:$B$24,2,FALSE),"")</f>
        <v/>
      </c>
      <c r="V480" t="str">
        <f>IFERROR(VLOOKUP(K480,'VALORES VIAJES'!$A$2:$B$24,2,FALSE),"")</f>
        <v/>
      </c>
      <c r="X480" s="208">
        <f>SUM(Hoja1[[#This Row],[$ X TIP VEHICUL]:[AGREGADO]])</f>
        <v>0</v>
      </c>
    </row>
    <row r="481" spans="2:24" hidden="1" x14ac:dyDescent="0.25">
      <c r="B481" s="189"/>
      <c r="J481" s="189"/>
      <c r="M481" s="205"/>
      <c r="O481" t="s">
        <v>7711</v>
      </c>
      <c r="S481" t="str">
        <f>IFERROR(VLOOKUP(E481,'VALORES VIAJES'!$A$2:$B$13,2,FALSE),"")</f>
        <v/>
      </c>
      <c r="T481" t="str">
        <f>IFERROR(VLOOKUP(H481,'VALORES VIAJES'!$A$2:$B$24,2,FALSE),"")</f>
        <v/>
      </c>
      <c r="U481" t="str">
        <f>IFERROR(VLOOKUP(I481,'VALORES VIAJES'!$A$2:$B$24,2,FALSE),"")</f>
        <v/>
      </c>
      <c r="V481" t="str">
        <f>IFERROR(VLOOKUP(K481,'VALORES VIAJES'!$A$2:$B$24,2,FALSE),"")</f>
        <v/>
      </c>
      <c r="X481" s="208">
        <f>SUM(Hoja1[[#This Row],[$ X TIP VEHICUL]:[AGREGADO]])</f>
        <v>0</v>
      </c>
    </row>
    <row r="482" spans="2:24" hidden="1" x14ac:dyDescent="0.25">
      <c r="B482" s="189"/>
      <c r="J482" s="189"/>
      <c r="M482" s="205"/>
      <c r="O482" t="s">
        <v>7711</v>
      </c>
      <c r="S482" t="str">
        <f>IFERROR(VLOOKUP(E482,'VALORES VIAJES'!$A$2:$B$13,2,FALSE),"")</f>
        <v/>
      </c>
      <c r="T482" t="str">
        <f>IFERROR(VLOOKUP(H482,'VALORES VIAJES'!$A$2:$B$24,2,FALSE),"")</f>
        <v/>
      </c>
      <c r="U482" t="str">
        <f>IFERROR(VLOOKUP(I482,'VALORES VIAJES'!$A$2:$B$24,2,FALSE),"")</f>
        <v/>
      </c>
      <c r="V482" t="str">
        <f>IFERROR(VLOOKUP(K482,'VALORES VIAJES'!$A$2:$B$24,2,FALSE),"")</f>
        <v/>
      </c>
      <c r="X482" s="208">
        <f>SUM(Hoja1[[#This Row],[$ X TIP VEHICUL]:[AGREGADO]])</f>
        <v>0</v>
      </c>
    </row>
    <row r="483" spans="2:24" hidden="1" x14ac:dyDescent="0.25">
      <c r="B483" s="189"/>
      <c r="J483" s="189"/>
      <c r="M483" s="205"/>
      <c r="O483" t="s">
        <v>7711</v>
      </c>
      <c r="S483" t="str">
        <f>IFERROR(VLOOKUP(E483,'VALORES VIAJES'!$A$2:$B$13,2,FALSE),"")</f>
        <v/>
      </c>
      <c r="T483" t="str">
        <f>IFERROR(VLOOKUP(H483,'VALORES VIAJES'!$A$2:$B$24,2,FALSE),"")</f>
        <v/>
      </c>
      <c r="U483" t="str">
        <f>IFERROR(VLOOKUP(I483,'VALORES VIAJES'!$A$2:$B$24,2,FALSE),"")</f>
        <v/>
      </c>
      <c r="V483" t="str">
        <f>IFERROR(VLOOKUP(K483,'VALORES VIAJES'!$A$2:$B$24,2,FALSE),"")</f>
        <v/>
      </c>
      <c r="X483" s="208">
        <f>SUM(Hoja1[[#This Row],[$ X TIP VEHICUL]:[AGREGADO]])</f>
        <v>0</v>
      </c>
    </row>
    <row r="484" spans="2:24" hidden="1" x14ac:dyDescent="0.25">
      <c r="B484" s="189"/>
      <c r="J484" s="189"/>
      <c r="M484" s="205"/>
      <c r="O484" t="s">
        <v>7711</v>
      </c>
      <c r="S484" t="str">
        <f>IFERROR(VLOOKUP(E484,'VALORES VIAJES'!$A$2:$B$13,2,FALSE),"")</f>
        <v/>
      </c>
      <c r="T484" t="str">
        <f>IFERROR(VLOOKUP(H484,'VALORES VIAJES'!$A$2:$B$24,2,FALSE),"")</f>
        <v/>
      </c>
      <c r="U484" t="str">
        <f>IFERROR(VLOOKUP(I484,'VALORES VIAJES'!$A$2:$B$24,2,FALSE),"")</f>
        <v/>
      </c>
      <c r="V484" t="str">
        <f>IFERROR(VLOOKUP(K484,'VALORES VIAJES'!$A$2:$B$24,2,FALSE),"")</f>
        <v/>
      </c>
      <c r="X484" s="208">
        <f>SUM(Hoja1[[#This Row],[$ X TIP VEHICUL]:[AGREGADO]])</f>
        <v>0</v>
      </c>
    </row>
    <row r="485" spans="2:24" hidden="1" x14ac:dyDescent="0.25">
      <c r="B485" s="189"/>
      <c r="J485" s="189"/>
      <c r="M485" s="205"/>
      <c r="O485" t="s">
        <v>7711</v>
      </c>
      <c r="S485" t="str">
        <f>IFERROR(VLOOKUP(E485,'VALORES VIAJES'!$A$2:$B$13,2,FALSE),"")</f>
        <v/>
      </c>
      <c r="T485" t="str">
        <f>IFERROR(VLOOKUP(H485,'VALORES VIAJES'!$A$2:$B$24,2,FALSE),"")</f>
        <v/>
      </c>
      <c r="U485" t="str">
        <f>IFERROR(VLOOKUP(I485,'VALORES VIAJES'!$A$2:$B$24,2,FALSE),"")</f>
        <v/>
      </c>
      <c r="V485" t="str">
        <f>IFERROR(VLOOKUP(K485,'VALORES VIAJES'!$A$2:$B$24,2,FALSE),"")</f>
        <v/>
      </c>
      <c r="X485" s="208">
        <f>SUM(Hoja1[[#This Row],[$ X TIP VEHICUL]:[AGREGADO]])</f>
        <v>0</v>
      </c>
    </row>
    <row r="486" spans="2:24" hidden="1" x14ac:dyDescent="0.25">
      <c r="B486" s="189"/>
      <c r="J486" s="189"/>
      <c r="M486" s="205"/>
      <c r="O486" t="s">
        <v>7711</v>
      </c>
      <c r="S486" t="str">
        <f>IFERROR(VLOOKUP(E486,'VALORES VIAJES'!$A$2:$B$13,2,FALSE),"")</f>
        <v/>
      </c>
      <c r="T486" t="str">
        <f>IFERROR(VLOOKUP(H486,'VALORES VIAJES'!$A$2:$B$24,2,FALSE),"")</f>
        <v/>
      </c>
      <c r="U486" t="str">
        <f>IFERROR(VLOOKUP(I486,'VALORES VIAJES'!$A$2:$B$24,2,FALSE),"")</f>
        <v/>
      </c>
      <c r="V486" t="str">
        <f>IFERROR(VLOOKUP(K486,'VALORES VIAJES'!$A$2:$B$24,2,FALSE),"")</f>
        <v/>
      </c>
      <c r="X486" s="208">
        <f>SUM(Hoja1[[#This Row],[$ X TIP VEHICUL]:[AGREGADO]])</f>
        <v>0</v>
      </c>
    </row>
    <row r="487" spans="2:24" hidden="1" x14ac:dyDescent="0.25">
      <c r="B487" s="189"/>
      <c r="J487" s="189"/>
      <c r="M487" s="205"/>
      <c r="O487" t="s">
        <v>7711</v>
      </c>
      <c r="S487" t="str">
        <f>IFERROR(VLOOKUP(E487,'VALORES VIAJES'!$A$2:$B$13,2,FALSE),"")</f>
        <v/>
      </c>
      <c r="T487" t="str">
        <f>IFERROR(VLOOKUP(H487,'VALORES VIAJES'!$A$2:$B$24,2,FALSE),"")</f>
        <v/>
      </c>
      <c r="U487" t="str">
        <f>IFERROR(VLOOKUP(I487,'VALORES VIAJES'!$A$2:$B$24,2,FALSE),"")</f>
        <v/>
      </c>
      <c r="V487" t="str">
        <f>IFERROR(VLOOKUP(K487,'VALORES VIAJES'!$A$2:$B$24,2,FALSE),"")</f>
        <v/>
      </c>
      <c r="X487" s="208">
        <f>SUM(Hoja1[[#This Row],[$ X TIP VEHICUL]:[AGREGADO]])</f>
        <v>0</v>
      </c>
    </row>
    <row r="488" spans="2:24" hidden="1" x14ac:dyDescent="0.25">
      <c r="B488" s="189"/>
      <c r="J488" s="189"/>
      <c r="M488" s="205"/>
      <c r="O488" t="s">
        <v>7711</v>
      </c>
      <c r="S488" t="str">
        <f>IFERROR(VLOOKUP(E488,'VALORES VIAJES'!$A$2:$B$13,2,FALSE),"")</f>
        <v/>
      </c>
      <c r="T488" t="str">
        <f>IFERROR(VLOOKUP(H488,'VALORES VIAJES'!$A$2:$B$24,2,FALSE),"")</f>
        <v/>
      </c>
      <c r="U488" t="str">
        <f>IFERROR(VLOOKUP(I488,'VALORES VIAJES'!$A$2:$B$24,2,FALSE),"")</f>
        <v/>
      </c>
      <c r="V488" t="str">
        <f>IFERROR(VLOOKUP(K488,'VALORES VIAJES'!$A$2:$B$24,2,FALSE),"")</f>
        <v/>
      </c>
      <c r="X488" s="208">
        <f>SUM(Hoja1[[#This Row],[$ X TIP VEHICUL]:[AGREGADO]])</f>
        <v>0</v>
      </c>
    </row>
    <row r="489" spans="2:24" hidden="1" x14ac:dyDescent="0.25">
      <c r="B489" s="189"/>
      <c r="J489" s="189"/>
      <c r="M489" s="205"/>
      <c r="O489" t="s">
        <v>7711</v>
      </c>
      <c r="S489" t="str">
        <f>IFERROR(VLOOKUP(E489,'VALORES VIAJES'!$A$2:$B$13,2,FALSE),"")</f>
        <v/>
      </c>
      <c r="T489" t="str">
        <f>IFERROR(VLOOKUP(H489,'VALORES VIAJES'!$A$2:$B$24,2,FALSE),"")</f>
        <v/>
      </c>
      <c r="U489" t="str">
        <f>IFERROR(VLOOKUP(I489,'VALORES VIAJES'!$A$2:$B$24,2,FALSE),"")</f>
        <v/>
      </c>
      <c r="V489" t="str">
        <f>IFERROR(VLOOKUP(K489,'VALORES VIAJES'!$A$2:$B$24,2,FALSE),"")</f>
        <v/>
      </c>
      <c r="X489" s="208">
        <f>SUM(Hoja1[[#This Row],[$ X TIP VEHICUL]:[AGREGADO]])</f>
        <v>0</v>
      </c>
    </row>
    <row r="490" spans="2:24" hidden="1" x14ac:dyDescent="0.25">
      <c r="B490" s="189"/>
      <c r="J490" s="189"/>
      <c r="M490" s="205"/>
      <c r="O490" t="s">
        <v>7711</v>
      </c>
      <c r="S490" t="str">
        <f>IFERROR(VLOOKUP(E490,'VALORES VIAJES'!$A$2:$B$13,2,FALSE),"")</f>
        <v/>
      </c>
      <c r="T490" t="str">
        <f>IFERROR(VLOOKUP(H490,'VALORES VIAJES'!$A$2:$B$24,2,FALSE),"")</f>
        <v/>
      </c>
      <c r="U490" t="str">
        <f>IFERROR(VLOOKUP(I490,'VALORES VIAJES'!$A$2:$B$24,2,FALSE),"")</f>
        <v/>
      </c>
      <c r="V490" t="str">
        <f>IFERROR(VLOOKUP(K490,'VALORES VIAJES'!$A$2:$B$24,2,FALSE),"")</f>
        <v/>
      </c>
      <c r="X490" s="208">
        <f>SUM(Hoja1[[#This Row],[$ X TIP VEHICUL]:[AGREGADO]])</f>
        <v>0</v>
      </c>
    </row>
    <row r="491" spans="2:24" hidden="1" x14ac:dyDescent="0.25">
      <c r="B491" s="189"/>
      <c r="J491" s="189"/>
      <c r="M491" s="205"/>
      <c r="O491" t="s">
        <v>7711</v>
      </c>
      <c r="S491" t="str">
        <f>IFERROR(VLOOKUP(E491,'VALORES VIAJES'!$A$2:$B$13,2,FALSE),"")</f>
        <v/>
      </c>
      <c r="T491" t="str">
        <f>IFERROR(VLOOKUP(H491,'VALORES VIAJES'!$A$2:$B$24,2,FALSE),"")</f>
        <v/>
      </c>
      <c r="U491" t="str">
        <f>IFERROR(VLOOKUP(I491,'VALORES VIAJES'!$A$2:$B$24,2,FALSE),"")</f>
        <v/>
      </c>
      <c r="V491" t="str">
        <f>IFERROR(VLOOKUP(K491,'VALORES VIAJES'!$A$2:$B$24,2,FALSE),"")</f>
        <v/>
      </c>
      <c r="X491" s="208">
        <f>SUM(Hoja1[[#This Row],[$ X TIP VEHICUL]:[AGREGADO]])</f>
        <v>0</v>
      </c>
    </row>
    <row r="492" spans="2:24" hidden="1" x14ac:dyDescent="0.25">
      <c r="B492" s="189"/>
      <c r="J492" s="189"/>
      <c r="M492" s="205"/>
      <c r="O492" t="s">
        <v>7711</v>
      </c>
      <c r="S492" t="str">
        <f>IFERROR(VLOOKUP(E492,'VALORES VIAJES'!$A$2:$B$13,2,FALSE),"")</f>
        <v/>
      </c>
      <c r="T492" t="str">
        <f>IFERROR(VLOOKUP(H492,'VALORES VIAJES'!$A$2:$B$24,2,FALSE),"")</f>
        <v/>
      </c>
      <c r="U492" t="str">
        <f>IFERROR(VLOOKUP(I492,'VALORES VIAJES'!$A$2:$B$24,2,FALSE),"")</f>
        <v/>
      </c>
      <c r="V492" t="str">
        <f>IFERROR(VLOOKUP(K492,'VALORES VIAJES'!$A$2:$B$24,2,FALSE),"")</f>
        <v/>
      </c>
      <c r="X492" s="208">
        <f>SUM(Hoja1[[#This Row],[$ X TIP VEHICUL]:[AGREGADO]])</f>
        <v>0</v>
      </c>
    </row>
    <row r="493" spans="2:24" hidden="1" x14ac:dyDescent="0.25">
      <c r="B493" s="189"/>
      <c r="J493" s="189"/>
      <c r="M493" s="205"/>
      <c r="O493" t="s">
        <v>7711</v>
      </c>
      <c r="S493" t="str">
        <f>IFERROR(VLOOKUP(E493,'VALORES VIAJES'!$A$2:$B$13,2,FALSE),"")</f>
        <v/>
      </c>
      <c r="T493" t="str">
        <f>IFERROR(VLOOKUP(H493,'VALORES VIAJES'!$A$2:$B$24,2,FALSE),"")</f>
        <v/>
      </c>
      <c r="U493" t="str">
        <f>IFERROR(VLOOKUP(I493,'VALORES VIAJES'!$A$2:$B$24,2,FALSE),"")</f>
        <v/>
      </c>
      <c r="V493" t="str">
        <f>IFERROR(VLOOKUP(K493,'VALORES VIAJES'!$A$2:$B$24,2,FALSE),"")</f>
        <v/>
      </c>
      <c r="X493" s="208">
        <f>SUM(Hoja1[[#This Row],[$ X TIP VEHICUL]:[AGREGADO]])</f>
        <v>0</v>
      </c>
    </row>
    <row r="494" spans="2:24" hidden="1" x14ac:dyDescent="0.25">
      <c r="B494" s="189"/>
      <c r="J494" s="189"/>
      <c r="M494" s="205"/>
      <c r="O494" t="s">
        <v>7711</v>
      </c>
      <c r="S494" t="str">
        <f>IFERROR(VLOOKUP(E494,'VALORES VIAJES'!$A$2:$B$13,2,FALSE),"")</f>
        <v/>
      </c>
      <c r="T494" t="str">
        <f>IFERROR(VLOOKUP(H494,'VALORES VIAJES'!$A$2:$B$24,2,FALSE),"")</f>
        <v/>
      </c>
      <c r="U494" t="str">
        <f>IFERROR(VLOOKUP(I494,'VALORES VIAJES'!$A$2:$B$24,2,FALSE),"")</f>
        <v/>
      </c>
      <c r="V494" t="str">
        <f>IFERROR(VLOOKUP(K494,'VALORES VIAJES'!$A$2:$B$24,2,FALSE),"")</f>
        <v/>
      </c>
      <c r="X494" s="208">
        <f>SUM(Hoja1[[#This Row],[$ X TIP VEHICUL]:[AGREGADO]])</f>
        <v>0</v>
      </c>
    </row>
    <row r="495" spans="2:24" hidden="1" x14ac:dyDescent="0.25">
      <c r="B495" s="189"/>
      <c r="J495" s="189"/>
      <c r="M495" s="205"/>
      <c r="O495" t="s">
        <v>7711</v>
      </c>
      <c r="S495" t="str">
        <f>IFERROR(VLOOKUP(E495,'VALORES VIAJES'!$A$2:$B$13,2,FALSE),"")</f>
        <v/>
      </c>
      <c r="T495" t="str">
        <f>IFERROR(VLOOKUP(H495,'VALORES VIAJES'!$A$2:$B$24,2,FALSE),"")</f>
        <v/>
      </c>
      <c r="U495" t="str">
        <f>IFERROR(VLOOKUP(I495,'VALORES VIAJES'!$A$2:$B$24,2,FALSE),"")</f>
        <v/>
      </c>
      <c r="V495" t="str">
        <f>IFERROR(VLOOKUP(K495,'VALORES VIAJES'!$A$2:$B$24,2,FALSE),"")</f>
        <v/>
      </c>
      <c r="X495" s="208">
        <f>SUM(Hoja1[[#This Row],[$ X TIP VEHICUL]:[AGREGADO]])</f>
        <v>0</v>
      </c>
    </row>
    <row r="496" spans="2:24" hidden="1" x14ac:dyDescent="0.25">
      <c r="B496" s="189"/>
      <c r="J496" s="189"/>
      <c r="M496" s="205"/>
      <c r="O496" t="s">
        <v>7711</v>
      </c>
      <c r="S496" t="str">
        <f>IFERROR(VLOOKUP(E496,'VALORES VIAJES'!$A$2:$B$13,2,FALSE),"")</f>
        <v/>
      </c>
      <c r="T496" t="str">
        <f>IFERROR(VLOOKUP(H496,'VALORES VIAJES'!$A$2:$B$24,2,FALSE),"")</f>
        <v/>
      </c>
      <c r="U496" t="str">
        <f>IFERROR(VLOOKUP(I496,'VALORES VIAJES'!$A$2:$B$24,2,FALSE),"")</f>
        <v/>
      </c>
      <c r="V496" t="str">
        <f>IFERROR(VLOOKUP(K496,'VALORES VIAJES'!$A$2:$B$24,2,FALSE),"")</f>
        <v/>
      </c>
      <c r="X496" s="208">
        <f>SUM(Hoja1[[#This Row],[$ X TIP VEHICUL]:[AGREGADO]])</f>
        <v>0</v>
      </c>
    </row>
    <row r="497" spans="2:24" hidden="1" x14ac:dyDescent="0.25">
      <c r="B497" s="189"/>
      <c r="J497" s="189"/>
      <c r="M497" s="205"/>
      <c r="O497" t="s">
        <v>7711</v>
      </c>
      <c r="S497" t="str">
        <f>IFERROR(VLOOKUP(E497,'VALORES VIAJES'!$A$2:$B$13,2,FALSE),"")</f>
        <v/>
      </c>
      <c r="T497" t="str">
        <f>IFERROR(VLOOKUP(H497,'VALORES VIAJES'!$A$2:$B$24,2,FALSE),"")</f>
        <v/>
      </c>
      <c r="U497" t="str">
        <f>IFERROR(VLOOKUP(I497,'VALORES VIAJES'!$A$2:$B$24,2,FALSE),"")</f>
        <v/>
      </c>
      <c r="V497" t="str">
        <f>IFERROR(VLOOKUP(K497,'VALORES VIAJES'!$A$2:$B$24,2,FALSE),"")</f>
        <v/>
      </c>
      <c r="X497" s="208">
        <f>SUM(Hoja1[[#This Row],[$ X TIP VEHICUL]:[AGREGADO]])</f>
        <v>0</v>
      </c>
    </row>
    <row r="498" spans="2:24" hidden="1" x14ac:dyDescent="0.25">
      <c r="B498" s="189"/>
      <c r="J498" s="189"/>
      <c r="M498" s="205"/>
      <c r="O498" t="s">
        <v>7711</v>
      </c>
      <c r="S498" t="str">
        <f>IFERROR(VLOOKUP(E498,'VALORES VIAJES'!$A$2:$B$13,2,FALSE),"")</f>
        <v/>
      </c>
      <c r="T498" t="str">
        <f>IFERROR(VLOOKUP(H498,'VALORES VIAJES'!$A$2:$B$24,2,FALSE),"")</f>
        <v/>
      </c>
      <c r="U498" t="str">
        <f>IFERROR(VLOOKUP(I498,'VALORES VIAJES'!$A$2:$B$24,2,FALSE),"")</f>
        <v/>
      </c>
      <c r="V498" t="str">
        <f>IFERROR(VLOOKUP(K498,'VALORES VIAJES'!$A$2:$B$24,2,FALSE),"")</f>
        <v/>
      </c>
      <c r="X498" s="208">
        <f>SUM(Hoja1[[#This Row],[$ X TIP VEHICUL]:[AGREGADO]])</f>
        <v>0</v>
      </c>
    </row>
    <row r="499" spans="2:24" hidden="1" x14ac:dyDescent="0.25">
      <c r="B499" s="189"/>
      <c r="J499" s="189"/>
      <c r="M499" s="205"/>
      <c r="O499" t="s">
        <v>7711</v>
      </c>
      <c r="S499" t="str">
        <f>IFERROR(VLOOKUP(E499,'VALORES VIAJES'!$A$2:$B$13,2,FALSE),"")</f>
        <v/>
      </c>
      <c r="T499" t="str">
        <f>IFERROR(VLOOKUP(H499,'VALORES VIAJES'!$A$2:$B$24,2,FALSE),"")</f>
        <v/>
      </c>
      <c r="U499" t="str">
        <f>IFERROR(VLOOKUP(I499,'VALORES VIAJES'!$A$2:$B$24,2,FALSE),"")</f>
        <v/>
      </c>
      <c r="V499" t="str">
        <f>IFERROR(VLOOKUP(K499,'VALORES VIAJES'!$A$2:$B$24,2,FALSE),"")</f>
        <v/>
      </c>
      <c r="X499" s="208">
        <f>SUM(Hoja1[[#This Row],[$ X TIP VEHICUL]:[AGREGADO]])</f>
        <v>0</v>
      </c>
    </row>
    <row r="500" spans="2:24" hidden="1" x14ac:dyDescent="0.25">
      <c r="B500" s="189"/>
      <c r="J500" s="189"/>
      <c r="M500" s="205"/>
      <c r="O500" t="s">
        <v>7711</v>
      </c>
      <c r="S500" t="str">
        <f>IFERROR(VLOOKUP(E500,'VALORES VIAJES'!$A$2:$B$13,2,FALSE),"")</f>
        <v/>
      </c>
      <c r="T500" t="str">
        <f>IFERROR(VLOOKUP(H500,'VALORES VIAJES'!$A$2:$B$24,2,FALSE),"")</f>
        <v/>
      </c>
      <c r="U500" t="str">
        <f>IFERROR(VLOOKUP(I500,'VALORES VIAJES'!$A$2:$B$24,2,FALSE),"")</f>
        <v/>
      </c>
      <c r="V500" t="str">
        <f>IFERROR(VLOOKUP(K500,'VALORES VIAJES'!$A$2:$B$24,2,FALSE),"")</f>
        <v/>
      </c>
      <c r="X500" s="208">
        <f>SUM(Hoja1[[#This Row],[$ X TIP VEHICUL]:[AGREGADO]])</f>
        <v>0</v>
      </c>
    </row>
    <row r="501" spans="2:24" hidden="1" x14ac:dyDescent="0.25">
      <c r="B501" s="189"/>
      <c r="J501" s="189"/>
      <c r="M501" s="205"/>
      <c r="O501" t="s">
        <v>7711</v>
      </c>
      <c r="S501" t="str">
        <f>IFERROR(VLOOKUP(E501,'VALORES VIAJES'!$A$2:$B$13,2,FALSE),"")</f>
        <v/>
      </c>
      <c r="T501" t="str">
        <f>IFERROR(VLOOKUP(H501,'VALORES VIAJES'!$A$2:$B$24,2,FALSE),"")</f>
        <v/>
      </c>
      <c r="U501" t="str">
        <f>IFERROR(VLOOKUP(I501,'VALORES VIAJES'!$A$2:$B$24,2,FALSE),"")</f>
        <v/>
      </c>
      <c r="V501" t="str">
        <f>IFERROR(VLOOKUP(K501,'VALORES VIAJES'!$A$2:$B$24,2,FALSE),"")</f>
        <v/>
      </c>
      <c r="X501" s="208">
        <f>SUM(Hoja1[[#This Row],[$ X TIP VEHICUL]:[AGREGADO]])</f>
        <v>0</v>
      </c>
    </row>
    <row r="502" spans="2:24" hidden="1" x14ac:dyDescent="0.25">
      <c r="B502" s="189"/>
      <c r="J502" s="189"/>
      <c r="M502" s="205"/>
      <c r="O502" t="s">
        <v>7711</v>
      </c>
      <c r="S502" t="str">
        <f>IFERROR(VLOOKUP(E502,'VALORES VIAJES'!$A$2:$B$13,2,FALSE),"")</f>
        <v/>
      </c>
      <c r="T502" t="str">
        <f>IFERROR(VLOOKUP(H502,'VALORES VIAJES'!$A$2:$B$24,2,FALSE),"")</f>
        <v/>
      </c>
      <c r="U502" t="str">
        <f>IFERROR(VLOOKUP(I502,'VALORES VIAJES'!$A$2:$B$24,2,FALSE),"")</f>
        <v/>
      </c>
      <c r="V502" t="str">
        <f>IFERROR(VLOOKUP(K502,'VALORES VIAJES'!$A$2:$B$24,2,FALSE),"")</f>
        <v/>
      </c>
      <c r="X502" s="208">
        <f>SUM(Hoja1[[#This Row],[$ X TIP VEHICUL]:[AGREGADO]])</f>
        <v>0</v>
      </c>
    </row>
    <row r="503" spans="2:24" hidden="1" x14ac:dyDescent="0.25">
      <c r="B503" s="189"/>
      <c r="J503" s="189"/>
      <c r="M503" s="205"/>
      <c r="O503" t="s">
        <v>7711</v>
      </c>
      <c r="S503" t="str">
        <f>IFERROR(VLOOKUP(E503,'VALORES VIAJES'!$A$2:$B$13,2,FALSE),"")</f>
        <v/>
      </c>
      <c r="T503" t="str">
        <f>IFERROR(VLOOKUP(H503,'VALORES VIAJES'!$A$2:$B$24,2,FALSE),"")</f>
        <v/>
      </c>
      <c r="U503" t="str">
        <f>IFERROR(VLOOKUP(I503,'VALORES VIAJES'!$A$2:$B$24,2,FALSE),"")</f>
        <v/>
      </c>
      <c r="V503" t="str">
        <f>IFERROR(VLOOKUP(K503,'VALORES VIAJES'!$A$2:$B$24,2,FALSE),"")</f>
        <v/>
      </c>
      <c r="X503" s="208">
        <f>SUM(Hoja1[[#This Row],[$ X TIP VEHICUL]:[AGREGADO]])</f>
        <v>0</v>
      </c>
    </row>
    <row r="504" spans="2:24" hidden="1" x14ac:dyDescent="0.25">
      <c r="B504" s="189"/>
      <c r="J504" s="189"/>
      <c r="M504" s="205"/>
      <c r="O504" t="s">
        <v>7711</v>
      </c>
      <c r="S504" t="str">
        <f>IFERROR(VLOOKUP(E504,'VALORES VIAJES'!$A$2:$B$13,2,FALSE),"")</f>
        <v/>
      </c>
      <c r="T504" t="str">
        <f>IFERROR(VLOOKUP(H504,'VALORES VIAJES'!$A$2:$B$24,2,FALSE),"")</f>
        <v/>
      </c>
      <c r="U504" t="str">
        <f>IFERROR(VLOOKUP(I504,'VALORES VIAJES'!$A$2:$B$24,2,FALSE),"")</f>
        <v/>
      </c>
      <c r="V504" t="str">
        <f>IFERROR(VLOOKUP(K504,'VALORES VIAJES'!$A$2:$B$24,2,FALSE),"")</f>
        <v/>
      </c>
      <c r="X504" s="208">
        <f>SUM(Hoja1[[#This Row],[$ X TIP VEHICUL]:[AGREGADO]])</f>
        <v>0</v>
      </c>
    </row>
    <row r="505" spans="2:24" hidden="1" x14ac:dyDescent="0.25">
      <c r="B505" s="189"/>
      <c r="J505" s="189"/>
      <c r="M505" s="205"/>
      <c r="O505" t="s">
        <v>7711</v>
      </c>
      <c r="S505" t="str">
        <f>IFERROR(VLOOKUP(E505,'VALORES VIAJES'!$A$2:$B$13,2,FALSE),"")</f>
        <v/>
      </c>
      <c r="T505" t="str">
        <f>IFERROR(VLOOKUP(H505,'VALORES VIAJES'!$A$2:$B$24,2,FALSE),"")</f>
        <v/>
      </c>
      <c r="U505" t="str">
        <f>IFERROR(VLOOKUP(I505,'VALORES VIAJES'!$A$2:$B$24,2,FALSE),"")</f>
        <v/>
      </c>
      <c r="V505" t="str">
        <f>IFERROR(VLOOKUP(K505,'VALORES VIAJES'!$A$2:$B$24,2,FALSE),"")</f>
        <v/>
      </c>
      <c r="X505" s="208">
        <f>SUM(Hoja1[[#This Row],[$ X TIP VEHICUL]:[AGREGADO]])</f>
        <v>0</v>
      </c>
    </row>
    <row r="506" spans="2:24" hidden="1" x14ac:dyDescent="0.25">
      <c r="B506" s="189"/>
      <c r="J506" s="189"/>
      <c r="M506" s="205"/>
      <c r="O506" t="s">
        <v>7711</v>
      </c>
      <c r="S506" t="str">
        <f>IFERROR(VLOOKUP(E506,'VALORES VIAJES'!$A$2:$B$13,2,FALSE),"")</f>
        <v/>
      </c>
      <c r="T506" t="str">
        <f>IFERROR(VLOOKUP(H506,'VALORES VIAJES'!$A$2:$B$24,2,FALSE),"")</f>
        <v/>
      </c>
      <c r="U506" t="str">
        <f>IFERROR(VLOOKUP(I506,'VALORES VIAJES'!$A$2:$B$24,2,FALSE),"")</f>
        <v/>
      </c>
      <c r="V506" t="str">
        <f>IFERROR(VLOOKUP(K506,'VALORES VIAJES'!$A$2:$B$24,2,FALSE),"")</f>
        <v/>
      </c>
      <c r="X506" s="208">
        <f>SUM(Hoja1[[#This Row],[$ X TIP VEHICUL]:[AGREGADO]])</f>
        <v>0</v>
      </c>
    </row>
    <row r="507" spans="2:24" hidden="1" x14ac:dyDescent="0.25">
      <c r="B507" s="189"/>
      <c r="J507" s="189"/>
      <c r="M507" s="205"/>
      <c r="O507" t="s">
        <v>7711</v>
      </c>
      <c r="S507" t="str">
        <f>IFERROR(VLOOKUP(E507,'VALORES VIAJES'!$A$2:$B$13,2,FALSE),"")</f>
        <v/>
      </c>
      <c r="T507" t="str">
        <f>IFERROR(VLOOKUP(H507,'VALORES VIAJES'!$A$2:$B$24,2,FALSE),"")</f>
        <v/>
      </c>
      <c r="U507" t="str">
        <f>IFERROR(VLOOKUP(I507,'VALORES VIAJES'!$A$2:$B$24,2,FALSE),"")</f>
        <v/>
      </c>
      <c r="V507" t="str">
        <f>IFERROR(VLOOKUP(K507,'VALORES VIAJES'!$A$2:$B$24,2,FALSE),"")</f>
        <v/>
      </c>
      <c r="X507" s="208">
        <f>SUM(Hoja1[[#This Row],[$ X TIP VEHICUL]:[AGREGADO]])</f>
        <v>0</v>
      </c>
    </row>
    <row r="508" spans="2:24" hidden="1" x14ac:dyDescent="0.25">
      <c r="B508" s="189"/>
      <c r="J508" s="189"/>
      <c r="M508" s="205"/>
      <c r="O508" t="s">
        <v>7711</v>
      </c>
      <c r="S508" t="str">
        <f>IFERROR(VLOOKUP(E508,'VALORES VIAJES'!$A$2:$B$13,2,FALSE),"")</f>
        <v/>
      </c>
      <c r="T508" t="str">
        <f>IFERROR(VLOOKUP(H508,'VALORES VIAJES'!$A$2:$B$24,2,FALSE),"")</f>
        <v/>
      </c>
      <c r="U508" t="str">
        <f>IFERROR(VLOOKUP(I508,'VALORES VIAJES'!$A$2:$B$24,2,FALSE),"")</f>
        <v/>
      </c>
      <c r="V508" t="str">
        <f>IFERROR(VLOOKUP(K508,'VALORES VIAJES'!$A$2:$B$24,2,FALSE),"")</f>
        <v/>
      </c>
      <c r="X508" s="208">
        <f>SUM(Hoja1[[#This Row],[$ X TIP VEHICUL]:[AGREGADO]])</f>
        <v>0</v>
      </c>
    </row>
    <row r="509" spans="2:24" hidden="1" x14ac:dyDescent="0.25">
      <c r="B509" s="189"/>
      <c r="J509" s="189"/>
      <c r="M509" s="205"/>
      <c r="O509" t="s">
        <v>7711</v>
      </c>
      <c r="S509" t="str">
        <f>IFERROR(VLOOKUP(E509,'VALORES VIAJES'!$A$2:$B$13,2,FALSE),"")</f>
        <v/>
      </c>
      <c r="T509" t="str">
        <f>IFERROR(VLOOKUP(H509,'VALORES VIAJES'!$A$2:$B$24,2,FALSE),"")</f>
        <v/>
      </c>
      <c r="U509" t="str">
        <f>IFERROR(VLOOKUP(I509,'VALORES VIAJES'!$A$2:$B$24,2,FALSE),"")</f>
        <v/>
      </c>
      <c r="V509" t="str">
        <f>IFERROR(VLOOKUP(K509,'VALORES VIAJES'!$A$2:$B$24,2,FALSE),"")</f>
        <v/>
      </c>
      <c r="X509" s="208">
        <f>SUM(Hoja1[[#This Row],[$ X TIP VEHICUL]:[AGREGADO]])</f>
        <v>0</v>
      </c>
    </row>
    <row r="510" spans="2:24" hidden="1" x14ac:dyDescent="0.25">
      <c r="B510" s="189"/>
      <c r="J510" s="189"/>
      <c r="M510" s="205"/>
      <c r="O510" t="s">
        <v>7711</v>
      </c>
      <c r="S510" t="str">
        <f>IFERROR(VLOOKUP(E510,'VALORES VIAJES'!$A$2:$B$13,2,FALSE),"")</f>
        <v/>
      </c>
      <c r="T510" t="str">
        <f>IFERROR(VLOOKUP(H510,'VALORES VIAJES'!$A$2:$B$24,2,FALSE),"")</f>
        <v/>
      </c>
      <c r="U510" t="str">
        <f>IFERROR(VLOOKUP(I510,'VALORES VIAJES'!$A$2:$B$24,2,FALSE),"")</f>
        <v/>
      </c>
      <c r="V510" t="str">
        <f>IFERROR(VLOOKUP(K510,'VALORES VIAJES'!$A$2:$B$24,2,FALSE),"")</f>
        <v/>
      </c>
      <c r="X510" s="208">
        <f>SUM(Hoja1[[#This Row],[$ X TIP VEHICUL]:[AGREGADO]])</f>
        <v>0</v>
      </c>
    </row>
    <row r="511" spans="2:24" hidden="1" x14ac:dyDescent="0.25">
      <c r="B511" s="189"/>
      <c r="J511" s="189"/>
      <c r="M511" s="205"/>
      <c r="O511" t="s">
        <v>7711</v>
      </c>
      <c r="S511" t="str">
        <f>IFERROR(VLOOKUP(E511,'VALORES VIAJES'!$A$2:$B$13,2,FALSE),"")</f>
        <v/>
      </c>
      <c r="T511" t="str">
        <f>IFERROR(VLOOKUP(H511,'VALORES VIAJES'!$A$2:$B$24,2,FALSE),"")</f>
        <v/>
      </c>
      <c r="U511" t="str">
        <f>IFERROR(VLOOKUP(I511,'VALORES VIAJES'!$A$2:$B$24,2,FALSE),"")</f>
        <v/>
      </c>
      <c r="V511" t="str">
        <f>IFERROR(VLOOKUP(K511,'VALORES VIAJES'!$A$2:$B$24,2,FALSE),"")</f>
        <v/>
      </c>
      <c r="X511" s="208">
        <f>SUM(Hoja1[[#This Row],[$ X TIP VEHICUL]:[AGREGADO]])</f>
        <v>0</v>
      </c>
    </row>
    <row r="512" spans="2:24" hidden="1" x14ac:dyDescent="0.25">
      <c r="B512" s="189"/>
      <c r="J512" s="189"/>
      <c r="M512" s="205"/>
      <c r="O512" t="s">
        <v>7711</v>
      </c>
      <c r="S512" t="str">
        <f>IFERROR(VLOOKUP(E512,'VALORES VIAJES'!$A$2:$B$13,2,FALSE),"")</f>
        <v/>
      </c>
      <c r="T512" t="str">
        <f>IFERROR(VLOOKUP(H512,'VALORES VIAJES'!$A$2:$B$24,2,FALSE),"")</f>
        <v/>
      </c>
      <c r="U512" t="str">
        <f>IFERROR(VLOOKUP(I512,'VALORES VIAJES'!$A$2:$B$24,2,FALSE),"")</f>
        <v/>
      </c>
      <c r="V512" t="str">
        <f>IFERROR(VLOOKUP(K512,'VALORES VIAJES'!$A$2:$B$24,2,FALSE),"")</f>
        <v/>
      </c>
      <c r="X512" s="208">
        <f>SUM(Hoja1[[#This Row],[$ X TIP VEHICUL]:[AGREGADO]])</f>
        <v>0</v>
      </c>
    </row>
    <row r="513" spans="2:24" hidden="1" x14ac:dyDescent="0.25">
      <c r="B513" s="189"/>
      <c r="J513" s="189"/>
      <c r="M513" s="205"/>
      <c r="O513" t="s">
        <v>7711</v>
      </c>
      <c r="S513" t="str">
        <f>IFERROR(VLOOKUP(E513,'VALORES VIAJES'!$A$2:$B$13,2,FALSE),"")</f>
        <v/>
      </c>
      <c r="T513" t="str">
        <f>IFERROR(VLOOKUP(H513,'VALORES VIAJES'!$A$2:$B$24,2,FALSE),"")</f>
        <v/>
      </c>
      <c r="U513" t="str">
        <f>IFERROR(VLOOKUP(I513,'VALORES VIAJES'!$A$2:$B$24,2,FALSE),"")</f>
        <v/>
      </c>
      <c r="V513" t="str">
        <f>IFERROR(VLOOKUP(K513,'VALORES VIAJES'!$A$2:$B$24,2,FALSE),"")</f>
        <v/>
      </c>
      <c r="X513" s="208">
        <f>SUM(Hoja1[[#This Row],[$ X TIP VEHICUL]:[AGREGADO]])</f>
        <v>0</v>
      </c>
    </row>
    <row r="514" spans="2:24" hidden="1" x14ac:dyDescent="0.25">
      <c r="B514" s="189"/>
      <c r="J514" s="189"/>
      <c r="M514" s="205"/>
      <c r="O514" t="s">
        <v>7711</v>
      </c>
      <c r="S514" t="str">
        <f>IFERROR(VLOOKUP(E514,'VALORES VIAJES'!$A$2:$B$13,2,FALSE),"")</f>
        <v/>
      </c>
      <c r="T514" t="str">
        <f>IFERROR(VLOOKUP(H514,'VALORES VIAJES'!$A$2:$B$24,2,FALSE),"")</f>
        <v/>
      </c>
      <c r="U514" t="str">
        <f>IFERROR(VLOOKUP(I514,'VALORES VIAJES'!$A$2:$B$24,2,FALSE),"")</f>
        <v/>
      </c>
      <c r="V514" t="str">
        <f>IFERROR(VLOOKUP(K514,'VALORES VIAJES'!$A$2:$B$24,2,FALSE),"")</f>
        <v/>
      </c>
      <c r="X514" s="208">
        <f>SUM(Hoja1[[#This Row],[$ X TIP VEHICUL]:[AGREGADO]])</f>
        <v>0</v>
      </c>
    </row>
    <row r="515" spans="2:24" hidden="1" x14ac:dyDescent="0.25">
      <c r="B515" s="189"/>
      <c r="J515" s="189"/>
      <c r="M515" s="205"/>
      <c r="O515" t="s">
        <v>7711</v>
      </c>
      <c r="S515" t="str">
        <f>IFERROR(VLOOKUP(E515,'VALORES VIAJES'!$A$2:$B$13,2,FALSE),"")</f>
        <v/>
      </c>
      <c r="T515" t="str">
        <f>IFERROR(VLOOKUP(H515,'VALORES VIAJES'!$A$2:$B$24,2,FALSE),"")</f>
        <v/>
      </c>
      <c r="U515" t="str">
        <f>IFERROR(VLOOKUP(I515,'VALORES VIAJES'!$A$2:$B$24,2,FALSE),"")</f>
        <v/>
      </c>
      <c r="V515" t="str">
        <f>IFERROR(VLOOKUP(K515,'VALORES VIAJES'!$A$2:$B$24,2,FALSE),"")</f>
        <v/>
      </c>
      <c r="X515" s="208">
        <f>SUM(Hoja1[[#This Row],[$ X TIP VEHICUL]:[AGREGADO]])</f>
        <v>0</v>
      </c>
    </row>
    <row r="516" spans="2:24" hidden="1" x14ac:dyDescent="0.25">
      <c r="B516" s="189"/>
      <c r="J516" s="189"/>
      <c r="M516" s="205"/>
      <c r="O516" t="s">
        <v>7711</v>
      </c>
      <c r="S516" t="str">
        <f>IFERROR(VLOOKUP(E516,'VALORES VIAJES'!$A$2:$B$13,2,FALSE),"")</f>
        <v/>
      </c>
      <c r="T516" t="str">
        <f>IFERROR(VLOOKUP(H516,'VALORES VIAJES'!$A$2:$B$24,2,FALSE),"")</f>
        <v/>
      </c>
      <c r="U516" t="str">
        <f>IFERROR(VLOOKUP(I516,'VALORES VIAJES'!$A$2:$B$24,2,FALSE),"")</f>
        <v/>
      </c>
      <c r="V516" t="str">
        <f>IFERROR(VLOOKUP(K516,'VALORES VIAJES'!$A$2:$B$24,2,FALSE),"")</f>
        <v/>
      </c>
      <c r="X516" s="208">
        <f>SUM(Hoja1[[#This Row],[$ X TIP VEHICUL]:[AGREGADO]])</f>
        <v>0</v>
      </c>
    </row>
    <row r="517" spans="2:24" hidden="1" x14ac:dyDescent="0.25">
      <c r="B517" s="189"/>
      <c r="J517" s="189"/>
      <c r="M517" s="205"/>
      <c r="O517" t="s">
        <v>7711</v>
      </c>
      <c r="S517" t="str">
        <f>IFERROR(VLOOKUP(E517,'VALORES VIAJES'!$A$2:$B$13,2,FALSE),"")</f>
        <v/>
      </c>
      <c r="T517" t="str">
        <f>IFERROR(VLOOKUP(H517,'VALORES VIAJES'!$A$2:$B$24,2,FALSE),"")</f>
        <v/>
      </c>
      <c r="U517" t="str">
        <f>IFERROR(VLOOKUP(I517,'VALORES VIAJES'!$A$2:$B$24,2,FALSE),"")</f>
        <v/>
      </c>
      <c r="V517" t="str">
        <f>IFERROR(VLOOKUP(K517,'VALORES VIAJES'!$A$2:$B$24,2,FALSE),"")</f>
        <v/>
      </c>
      <c r="X517" s="208">
        <f>SUM(Hoja1[[#This Row],[$ X TIP VEHICUL]:[AGREGADO]])</f>
        <v>0</v>
      </c>
    </row>
    <row r="518" spans="2:24" hidden="1" x14ac:dyDescent="0.25">
      <c r="B518" s="189"/>
      <c r="J518" s="189"/>
      <c r="M518" s="205"/>
      <c r="O518" t="s">
        <v>7711</v>
      </c>
      <c r="S518" t="str">
        <f>IFERROR(VLOOKUP(E518,'VALORES VIAJES'!$A$2:$B$13,2,FALSE),"")</f>
        <v/>
      </c>
      <c r="T518" t="str">
        <f>IFERROR(VLOOKUP(H518,'VALORES VIAJES'!$A$2:$B$24,2,FALSE),"")</f>
        <v/>
      </c>
      <c r="U518" t="str">
        <f>IFERROR(VLOOKUP(I518,'VALORES VIAJES'!$A$2:$B$24,2,FALSE),"")</f>
        <v/>
      </c>
      <c r="V518" t="str">
        <f>IFERROR(VLOOKUP(K518,'VALORES VIAJES'!$A$2:$B$24,2,FALSE),"")</f>
        <v/>
      </c>
      <c r="X518" s="208">
        <f>SUM(Hoja1[[#This Row],[$ X TIP VEHICUL]:[AGREGADO]])</f>
        <v>0</v>
      </c>
    </row>
    <row r="519" spans="2:24" hidden="1" x14ac:dyDescent="0.25">
      <c r="B519" s="189"/>
      <c r="J519" s="189"/>
      <c r="M519" s="205"/>
      <c r="O519" t="s">
        <v>7711</v>
      </c>
      <c r="S519" t="str">
        <f>IFERROR(VLOOKUP(E519,'VALORES VIAJES'!$A$2:$B$13,2,FALSE),"")</f>
        <v/>
      </c>
      <c r="T519" t="str">
        <f>IFERROR(VLOOKUP(H519,'VALORES VIAJES'!$A$2:$B$24,2,FALSE),"")</f>
        <v/>
      </c>
      <c r="U519" t="str">
        <f>IFERROR(VLOOKUP(I519,'VALORES VIAJES'!$A$2:$B$24,2,FALSE),"")</f>
        <v/>
      </c>
      <c r="V519" t="str">
        <f>IFERROR(VLOOKUP(K519,'VALORES VIAJES'!$A$2:$B$24,2,FALSE),"")</f>
        <v/>
      </c>
      <c r="X519" s="208">
        <f>SUM(Hoja1[[#This Row],[$ X TIP VEHICUL]:[AGREGADO]])</f>
        <v>0</v>
      </c>
    </row>
    <row r="520" spans="2:24" hidden="1" x14ac:dyDescent="0.25">
      <c r="B520" s="189"/>
      <c r="J520" s="189"/>
      <c r="M520" s="205"/>
      <c r="O520" t="s">
        <v>7711</v>
      </c>
      <c r="S520" t="str">
        <f>IFERROR(VLOOKUP(E520,'VALORES VIAJES'!$A$2:$B$13,2,FALSE),"")</f>
        <v/>
      </c>
      <c r="T520" t="str">
        <f>IFERROR(VLOOKUP(H520,'VALORES VIAJES'!$A$2:$B$24,2,FALSE),"")</f>
        <v/>
      </c>
      <c r="U520" t="str">
        <f>IFERROR(VLOOKUP(I520,'VALORES VIAJES'!$A$2:$B$24,2,FALSE),"")</f>
        <v/>
      </c>
      <c r="V520" t="str">
        <f>IFERROR(VLOOKUP(K520,'VALORES VIAJES'!$A$2:$B$24,2,FALSE),"")</f>
        <v/>
      </c>
      <c r="X520" s="208">
        <f>SUM(Hoja1[[#This Row],[$ X TIP VEHICUL]:[AGREGADO]])</f>
        <v>0</v>
      </c>
    </row>
    <row r="521" spans="2:24" hidden="1" x14ac:dyDescent="0.25">
      <c r="B521" s="189"/>
      <c r="J521" s="189"/>
      <c r="M521" s="205"/>
      <c r="O521" t="s">
        <v>7711</v>
      </c>
      <c r="S521" t="str">
        <f>IFERROR(VLOOKUP(E521,'VALORES VIAJES'!$A$2:$B$13,2,FALSE),"")</f>
        <v/>
      </c>
      <c r="T521" t="str">
        <f>IFERROR(VLOOKUP(H521,'VALORES VIAJES'!$A$2:$B$24,2,FALSE),"")</f>
        <v/>
      </c>
      <c r="U521" t="str">
        <f>IFERROR(VLOOKUP(I521,'VALORES VIAJES'!$A$2:$B$24,2,FALSE),"")</f>
        <v/>
      </c>
      <c r="V521" t="str">
        <f>IFERROR(VLOOKUP(K521,'VALORES VIAJES'!$A$2:$B$24,2,FALSE),"")</f>
        <v/>
      </c>
      <c r="X521" s="208">
        <f>SUM(Hoja1[[#This Row],[$ X TIP VEHICUL]:[AGREGADO]])</f>
        <v>0</v>
      </c>
    </row>
    <row r="522" spans="2:24" hidden="1" x14ac:dyDescent="0.25">
      <c r="B522" s="189"/>
      <c r="J522" s="189"/>
      <c r="M522" s="205"/>
      <c r="O522" t="s">
        <v>7711</v>
      </c>
      <c r="S522" t="str">
        <f>IFERROR(VLOOKUP(E522,'VALORES VIAJES'!$A$2:$B$13,2,FALSE),"")</f>
        <v/>
      </c>
      <c r="T522" t="str">
        <f>IFERROR(VLOOKUP(H522,'VALORES VIAJES'!$A$2:$B$24,2,FALSE),"")</f>
        <v/>
      </c>
      <c r="U522" t="str">
        <f>IFERROR(VLOOKUP(I522,'VALORES VIAJES'!$A$2:$B$24,2,FALSE),"")</f>
        <v/>
      </c>
      <c r="V522" t="str">
        <f>IFERROR(VLOOKUP(K522,'VALORES VIAJES'!$A$2:$B$24,2,FALSE),"")</f>
        <v/>
      </c>
      <c r="X522" s="208">
        <f>SUM(Hoja1[[#This Row],[$ X TIP VEHICUL]:[AGREGADO]])</f>
        <v>0</v>
      </c>
    </row>
    <row r="523" spans="2:24" hidden="1" x14ac:dyDescent="0.25">
      <c r="B523" s="189"/>
      <c r="J523" s="189"/>
      <c r="M523" s="205"/>
      <c r="O523" t="s">
        <v>7711</v>
      </c>
      <c r="S523" t="str">
        <f>IFERROR(VLOOKUP(E523,'VALORES VIAJES'!$A$2:$B$13,2,FALSE),"")</f>
        <v/>
      </c>
      <c r="T523" t="str">
        <f>IFERROR(VLOOKUP(H523,'VALORES VIAJES'!$A$2:$B$24,2,FALSE),"")</f>
        <v/>
      </c>
      <c r="U523" t="str">
        <f>IFERROR(VLOOKUP(I523,'VALORES VIAJES'!$A$2:$B$24,2,FALSE),"")</f>
        <v/>
      </c>
      <c r="V523" t="str">
        <f>IFERROR(VLOOKUP(K523,'VALORES VIAJES'!$A$2:$B$24,2,FALSE),"")</f>
        <v/>
      </c>
      <c r="X523" s="208">
        <f>SUM(Hoja1[[#This Row],[$ X TIP VEHICUL]:[AGREGADO]])</f>
        <v>0</v>
      </c>
    </row>
    <row r="524" spans="2:24" hidden="1" x14ac:dyDescent="0.25">
      <c r="B524" s="189"/>
      <c r="J524" s="189"/>
      <c r="M524" s="205"/>
      <c r="O524" t="s">
        <v>7711</v>
      </c>
      <c r="S524" t="str">
        <f>IFERROR(VLOOKUP(E524,'VALORES VIAJES'!$A$2:$B$13,2,FALSE),"")</f>
        <v/>
      </c>
      <c r="T524" t="str">
        <f>IFERROR(VLOOKUP(H524,'VALORES VIAJES'!$A$2:$B$24,2,FALSE),"")</f>
        <v/>
      </c>
      <c r="U524" t="str">
        <f>IFERROR(VLOOKUP(I524,'VALORES VIAJES'!$A$2:$B$24,2,FALSE),"")</f>
        <v/>
      </c>
      <c r="V524" t="str">
        <f>IFERROR(VLOOKUP(K524,'VALORES VIAJES'!$A$2:$B$24,2,FALSE),"")</f>
        <v/>
      </c>
      <c r="X524" s="208">
        <f>SUM(Hoja1[[#This Row],[$ X TIP VEHICUL]:[AGREGADO]])</f>
        <v>0</v>
      </c>
    </row>
    <row r="525" spans="2:24" hidden="1" x14ac:dyDescent="0.25">
      <c r="B525" s="189"/>
      <c r="J525" s="189"/>
      <c r="M525" s="205"/>
      <c r="O525" t="s">
        <v>7711</v>
      </c>
      <c r="S525" t="str">
        <f>IFERROR(VLOOKUP(E525,'VALORES VIAJES'!$A$2:$B$13,2,FALSE),"")</f>
        <v/>
      </c>
      <c r="T525" t="str">
        <f>IFERROR(VLOOKUP(H525,'VALORES VIAJES'!$A$2:$B$24,2,FALSE),"")</f>
        <v/>
      </c>
      <c r="U525" t="str">
        <f>IFERROR(VLOOKUP(I525,'VALORES VIAJES'!$A$2:$B$24,2,FALSE),"")</f>
        <v/>
      </c>
      <c r="V525" t="str">
        <f>IFERROR(VLOOKUP(K525,'VALORES VIAJES'!$A$2:$B$24,2,FALSE),"")</f>
        <v/>
      </c>
      <c r="X525" s="208">
        <f>SUM(Hoja1[[#This Row],[$ X TIP VEHICUL]:[AGREGADO]])</f>
        <v>0</v>
      </c>
    </row>
    <row r="526" spans="2:24" hidden="1" x14ac:dyDescent="0.25">
      <c r="B526" s="189"/>
      <c r="J526" s="189"/>
      <c r="M526" s="205"/>
      <c r="O526" t="s">
        <v>7711</v>
      </c>
      <c r="S526" t="str">
        <f>IFERROR(VLOOKUP(E526,'VALORES VIAJES'!$A$2:$B$13,2,FALSE),"")</f>
        <v/>
      </c>
      <c r="T526" t="str">
        <f>IFERROR(VLOOKUP(H526,'VALORES VIAJES'!$A$2:$B$24,2,FALSE),"")</f>
        <v/>
      </c>
      <c r="U526" t="str">
        <f>IFERROR(VLOOKUP(I526,'VALORES VIAJES'!$A$2:$B$24,2,FALSE),"")</f>
        <v/>
      </c>
      <c r="V526" t="str">
        <f>IFERROR(VLOOKUP(K526,'VALORES VIAJES'!$A$2:$B$24,2,FALSE),"")</f>
        <v/>
      </c>
      <c r="X526" s="208">
        <f>SUM(Hoja1[[#This Row],[$ X TIP VEHICUL]:[AGREGADO]])</f>
        <v>0</v>
      </c>
    </row>
    <row r="527" spans="2:24" hidden="1" x14ac:dyDescent="0.25">
      <c r="B527" s="189"/>
      <c r="J527" s="189"/>
      <c r="M527" s="205"/>
      <c r="O527" t="s">
        <v>7711</v>
      </c>
      <c r="S527" t="str">
        <f>IFERROR(VLOOKUP(E527,'VALORES VIAJES'!$A$2:$B$13,2,FALSE),"")</f>
        <v/>
      </c>
      <c r="T527" t="str">
        <f>IFERROR(VLOOKUP(H527,'VALORES VIAJES'!$A$2:$B$24,2,FALSE),"")</f>
        <v/>
      </c>
      <c r="U527" t="str">
        <f>IFERROR(VLOOKUP(I527,'VALORES VIAJES'!$A$2:$B$24,2,FALSE),"")</f>
        <v/>
      </c>
      <c r="V527" t="str">
        <f>IFERROR(VLOOKUP(K527,'VALORES VIAJES'!$A$2:$B$24,2,FALSE),"")</f>
        <v/>
      </c>
      <c r="X527" s="208">
        <f>SUM(Hoja1[[#This Row],[$ X TIP VEHICUL]:[AGREGADO]])</f>
        <v>0</v>
      </c>
    </row>
    <row r="528" spans="2:24" hidden="1" x14ac:dyDescent="0.25">
      <c r="B528" s="189"/>
      <c r="J528" s="189"/>
      <c r="M528" s="205"/>
      <c r="O528" t="s">
        <v>7711</v>
      </c>
      <c r="S528" t="str">
        <f>IFERROR(VLOOKUP(E528,'VALORES VIAJES'!$A$2:$B$13,2,FALSE),"")</f>
        <v/>
      </c>
      <c r="T528" t="str">
        <f>IFERROR(VLOOKUP(H528,'VALORES VIAJES'!$A$2:$B$24,2,FALSE),"")</f>
        <v/>
      </c>
      <c r="U528" t="str">
        <f>IFERROR(VLOOKUP(I528,'VALORES VIAJES'!$A$2:$B$24,2,FALSE),"")</f>
        <v/>
      </c>
      <c r="V528" t="str">
        <f>IFERROR(VLOOKUP(K528,'VALORES VIAJES'!$A$2:$B$24,2,FALSE),"")</f>
        <v/>
      </c>
      <c r="X528" s="208">
        <f>SUM(Hoja1[[#This Row],[$ X TIP VEHICUL]:[AGREGADO]])</f>
        <v>0</v>
      </c>
    </row>
    <row r="529" spans="2:24" hidden="1" x14ac:dyDescent="0.25">
      <c r="B529" s="189"/>
      <c r="J529" s="189"/>
      <c r="M529" s="205"/>
      <c r="O529" t="s">
        <v>7711</v>
      </c>
      <c r="S529" t="str">
        <f>IFERROR(VLOOKUP(E529,'VALORES VIAJES'!$A$2:$B$13,2,FALSE),"")</f>
        <v/>
      </c>
      <c r="T529" t="str">
        <f>IFERROR(VLOOKUP(H529,'VALORES VIAJES'!$A$2:$B$24,2,FALSE),"")</f>
        <v/>
      </c>
      <c r="U529" t="str">
        <f>IFERROR(VLOOKUP(I529,'VALORES VIAJES'!$A$2:$B$24,2,FALSE),"")</f>
        <v/>
      </c>
      <c r="V529" t="str">
        <f>IFERROR(VLOOKUP(K529,'VALORES VIAJES'!$A$2:$B$24,2,FALSE),"")</f>
        <v/>
      </c>
      <c r="X529" s="208">
        <f>SUM(Hoja1[[#This Row],[$ X TIP VEHICUL]:[AGREGADO]])</f>
        <v>0</v>
      </c>
    </row>
    <row r="530" spans="2:24" hidden="1" x14ac:dyDescent="0.25">
      <c r="B530" s="189"/>
      <c r="J530" s="189"/>
      <c r="M530" s="205"/>
      <c r="O530" t="s">
        <v>7711</v>
      </c>
      <c r="S530" t="str">
        <f>IFERROR(VLOOKUP(E530,'VALORES VIAJES'!$A$2:$B$13,2,FALSE),"")</f>
        <v/>
      </c>
      <c r="T530" t="str">
        <f>IFERROR(VLOOKUP(H530,'VALORES VIAJES'!$A$2:$B$24,2,FALSE),"")</f>
        <v/>
      </c>
      <c r="U530" t="str">
        <f>IFERROR(VLOOKUP(I530,'VALORES VIAJES'!$A$2:$B$24,2,FALSE),"")</f>
        <v/>
      </c>
      <c r="V530" t="str">
        <f>IFERROR(VLOOKUP(K530,'VALORES VIAJES'!$A$2:$B$24,2,FALSE),"")</f>
        <v/>
      </c>
      <c r="X530" s="208">
        <f>SUM(Hoja1[[#This Row],[$ X TIP VEHICUL]:[AGREGADO]])</f>
        <v>0</v>
      </c>
    </row>
    <row r="531" spans="2:24" hidden="1" x14ac:dyDescent="0.25">
      <c r="B531" s="189"/>
      <c r="J531" s="189"/>
      <c r="M531" s="205"/>
      <c r="O531" t="s">
        <v>7711</v>
      </c>
      <c r="S531" t="str">
        <f>IFERROR(VLOOKUP(E531,'VALORES VIAJES'!$A$2:$B$13,2,FALSE),"")</f>
        <v/>
      </c>
      <c r="T531" t="str">
        <f>IFERROR(VLOOKUP(H531,'VALORES VIAJES'!$A$2:$B$24,2,FALSE),"")</f>
        <v/>
      </c>
      <c r="U531" t="str">
        <f>IFERROR(VLOOKUP(I531,'VALORES VIAJES'!$A$2:$B$24,2,FALSE),"")</f>
        <v/>
      </c>
      <c r="V531" t="str">
        <f>IFERROR(VLOOKUP(K531,'VALORES VIAJES'!$A$2:$B$24,2,FALSE),"")</f>
        <v/>
      </c>
      <c r="X531" s="208">
        <f>SUM(Hoja1[[#This Row],[$ X TIP VEHICUL]:[AGREGADO]])</f>
        <v>0</v>
      </c>
    </row>
    <row r="532" spans="2:24" hidden="1" x14ac:dyDescent="0.25">
      <c r="B532" s="189"/>
      <c r="J532" s="189"/>
      <c r="M532" s="205"/>
      <c r="O532" t="s">
        <v>7711</v>
      </c>
      <c r="S532" t="str">
        <f>IFERROR(VLOOKUP(E532,'VALORES VIAJES'!$A$2:$B$13,2,FALSE),"")</f>
        <v/>
      </c>
      <c r="T532" t="str">
        <f>IFERROR(VLOOKUP(H532,'VALORES VIAJES'!$A$2:$B$24,2,FALSE),"")</f>
        <v/>
      </c>
      <c r="U532" t="str">
        <f>IFERROR(VLOOKUP(I532,'VALORES VIAJES'!$A$2:$B$24,2,FALSE),"")</f>
        <v/>
      </c>
      <c r="V532" t="str">
        <f>IFERROR(VLOOKUP(K532,'VALORES VIAJES'!$A$2:$B$24,2,FALSE),"")</f>
        <v/>
      </c>
      <c r="X532" s="208">
        <f>SUM(Hoja1[[#This Row],[$ X TIP VEHICUL]:[AGREGADO]])</f>
        <v>0</v>
      </c>
    </row>
    <row r="533" spans="2:24" hidden="1" x14ac:dyDescent="0.25">
      <c r="B533" s="189"/>
      <c r="J533" s="189"/>
      <c r="M533" s="205"/>
      <c r="O533" t="s">
        <v>7711</v>
      </c>
      <c r="S533" t="str">
        <f>IFERROR(VLOOKUP(E533,'VALORES VIAJES'!$A$2:$B$13,2,FALSE),"")</f>
        <v/>
      </c>
      <c r="T533" t="str">
        <f>IFERROR(VLOOKUP(H533,'VALORES VIAJES'!$A$2:$B$24,2,FALSE),"")</f>
        <v/>
      </c>
      <c r="U533" t="str">
        <f>IFERROR(VLOOKUP(I533,'VALORES VIAJES'!$A$2:$B$24,2,FALSE),"")</f>
        <v/>
      </c>
      <c r="V533" t="str">
        <f>IFERROR(VLOOKUP(K533,'VALORES VIAJES'!$A$2:$B$24,2,FALSE),"")</f>
        <v/>
      </c>
      <c r="X533" s="208">
        <f>SUM(Hoja1[[#This Row],[$ X TIP VEHICUL]:[AGREGADO]])</f>
        <v>0</v>
      </c>
    </row>
    <row r="534" spans="2:24" hidden="1" x14ac:dyDescent="0.25">
      <c r="B534" s="189"/>
      <c r="J534" s="189"/>
      <c r="M534" s="205"/>
      <c r="O534" t="s">
        <v>7711</v>
      </c>
      <c r="S534" t="str">
        <f>IFERROR(VLOOKUP(E534,'VALORES VIAJES'!$A$2:$B$13,2,FALSE),"")</f>
        <v/>
      </c>
      <c r="T534" t="str">
        <f>IFERROR(VLOOKUP(H534,'VALORES VIAJES'!$A$2:$B$24,2,FALSE),"")</f>
        <v/>
      </c>
      <c r="U534" t="str">
        <f>IFERROR(VLOOKUP(I534,'VALORES VIAJES'!$A$2:$B$24,2,FALSE),"")</f>
        <v/>
      </c>
      <c r="V534" t="str">
        <f>IFERROR(VLOOKUP(K534,'VALORES VIAJES'!$A$2:$B$24,2,FALSE),"")</f>
        <v/>
      </c>
      <c r="X534" s="208">
        <f>SUM(Hoja1[[#This Row],[$ X TIP VEHICUL]:[AGREGADO]])</f>
        <v>0</v>
      </c>
    </row>
    <row r="535" spans="2:24" hidden="1" x14ac:dyDescent="0.25">
      <c r="B535" s="189"/>
      <c r="J535" s="189"/>
      <c r="M535" s="205"/>
      <c r="O535" t="s">
        <v>7711</v>
      </c>
      <c r="S535" t="str">
        <f>IFERROR(VLOOKUP(E535,'VALORES VIAJES'!$A$2:$B$13,2,FALSE),"")</f>
        <v/>
      </c>
      <c r="T535" t="str">
        <f>IFERROR(VLOOKUP(H535,'VALORES VIAJES'!$A$2:$B$24,2,FALSE),"")</f>
        <v/>
      </c>
      <c r="U535" t="str">
        <f>IFERROR(VLOOKUP(I535,'VALORES VIAJES'!$A$2:$B$24,2,FALSE),"")</f>
        <v/>
      </c>
      <c r="V535" t="str">
        <f>IFERROR(VLOOKUP(K535,'VALORES VIAJES'!$A$2:$B$24,2,FALSE),"")</f>
        <v/>
      </c>
      <c r="X535" s="208">
        <f>SUM(Hoja1[[#This Row],[$ X TIP VEHICUL]:[AGREGADO]])</f>
        <v>0</v>
      </c>
    </row>
    <row r="536" spans="2:24" hidden="1" x14ac:dyDescent="0.25">
      <c r="B536" s="189"/>
      <c r="J536" s="189"/>
      <c r="M536" s="205"/>
      <c r="O536" t="s">
        <v>7711</v>
      </c>
      <c r="S536" t="str">
        <f>IFERROR(VLOOKUP(E536,'VALORES VIAJES'!$A$2:$B$13,2,FALSE),"")</f>
        <v/>
      </c>
      <c r="T536" t="str">
        <f>IFERROR(VLOOKUP(H536,'VALORES VIAJES'!$A$2:$B$24,2,FALSE),"")</f>
        <v/>
      </c>
      <c r="U536" t="str">
        <f>IFERROR(VLOOKUP(I536,'VALORES VIAJES'!$A$2:$B$24,2,FALSE),"")</f>
        <v/>
      </c>
      <c r="V536" t="str">
        <f>IFERROR(VLOOKUP(K536,'VALORES VIAJES'!$A$2:$B$24,2,FALSE),"")</f>
        <v/>
      </c>
      <c r="X536" s="208">
        <f>SUM(Hoja1[[#This Row],[$ X TIP VEHICUL]:[AGREGADO]])</f>
        <v>0</v>
      </c>
    </row>
    <row r="537" spans="2:24" hidden="1" x14ac:dyDescent="0.25">
      <c r="B537" s="189"/>
      <c r="J537" s="189"/>
      <c r="M537" s="205"/>
      <c r="O537" t="s">
        <v>7711</v>
      </c>
      <c r="S537" t="str">
        <f>IFERROR(VLOOKUP(E537,'VALORES VIAJES'!$A$2:$B$13,2,FALSE),"")</f>
        <v/>
      </c>
      <c r="T537" t="str">
        <f>IFERROR(VLOOKUP(H537,'VALORES VIAJES'!$A$2:$B$24,2,FALSE),"")</f>
        <v/>
      </c>
      <c r="U537" t="str">
        <f>IFERROR(VLOOKUP(I537,'VALORES VIAJES'!$A$2:$B$24,2,FALSE),"")</f>
        <v/>
      </c>
      <c r="V537" t="str">
        <f>IFERROR(VLOOKUP(K537,'VALORES VIAJES'!$A$2:$B$24,2,FALSE),"")</f>
        <v/>
      </c>
      <c r="X537" s="208">
        <f>SUM(Hoja1[[#This Row],[$ X TIP VEHICUL]:[AGREGADO]])</f>
        <v>0</v>
      </c>
    </row>
    <row r="538" spans="2:24" hidden="1" x14ac:dyDescent="0.25">
      <c r="B538" s="189"/>
      <c r="J538" s="189"/>
      <c r="M538" s="205"/>
      <c r="O538" t="s">
        <v>7711</v>
      </c>
      <c r="S538" t="str">
        <f>IFERROR(VLOOKUP(E538,'VALORES VIAJES'!$A$2:$B$13,2,FALSE),"")</f>
        <v/>
      </c>
      <c r="T538" t="str">
        <f>IFERROR(VLOOKUP(H538,'VALORES VIAJES'!$A$2:$B$24,2,FALSE),"")</f>
        <v/>
      </c>
      <c r="U538" t="str">
        <f>IFERROR(VLOOKUP(I538,'VALORES VIAJES'!$A$2:$B$24,2,FALSE),"")</f>
        <v/>
      </c>
      <c r="V538" t="str">
        <f>IFERROR(VLOOKUP(K538,'VALORES VIAJES'!$A$2:$B$24,2,FALSE),"")</f>
        <v/>
      </c>
      <c r="X538" s="208">
        <f>SUM(Hoja1[[#This Row],[$ X TIP VEHICUL]:[AGREGADO]])</f>
        <v>0</v>
      </c>
    </row>
    <row r="539" spans="2:24" hidden="1" x14ac:dyDescent="0.25">
      <c r="B539" s="189"/>
      <c r="J539" s="189"/>
      <c r="M539" s="205"/>
      <c r="O539" t="s">
        <v>7711</v>
      </c>
      <c r="S539" t="str">
        <f>IFERROR(VLOOKUP(E539,'VALORES VIAJES'!$A$2:$B$13,2,FALSE),"")</f>
        <v/>
      </c>
      <c r="T539" t="str">
        <f>IFERROR(VLOOKUP(H539,'VALORES VIAJES'!$A$2:$B$24,2,FALSE),"")</f>
        <v/>
      </c>
      <c r="U539" t="str">
        <f>IFERROR(VLOOKUP(I539,'VALORES VIAJES'!$A$2:$B$24,2,FALSE),"")</f>
        <v/>
      </c>
      <c r="V539" t="str">
        <f>IFERROR(VLOOKUP(K539,'VALORES VIAJES'!$A$2:$B$24,2,FALSE),"")</f>
        <v/>
      </c>
      <c r="X539" s="208">
        <f>SUM(Hoja1[[#This Row],[$ X TIP VEHICUL]:[AGREGADO]])</f>
        <v>0</v>
      </c>
    </row>
    <row r="540" spans="2:24" hidden="1" x14ac:dyDescent="0.25">
      <c r="B540" s="189"/>
      <c r="J540" s="189"/>
      <c r="M540" s="205"/>
      <c r="O540" t="s">
        <v>7711</v>
      </c>
      <c r="S540" t="str">
        <f>IFERROR(VLOOKUP(E540,'VALORES VIAJES'!$A$2:$B$13,2,FALSE),"")</f>
        <v/>
      </c>
      <c r="T540" t="str">
        <f>IFERROR(VLOOKUP(H540,'VALORES VIAJES'!$A$2:$B$24,2,FALSE),"")</f>
        <v/>
      </c>
      <c r="U540" t="str">
        <f>IFERROR(VLOOKUP(I540,'VALORES VIAJES'!$A$2:$B$24,2,FALSE),"")</f>
        <v/>
      </c>
      <c r="V540" t="str">
        <f>IFERROR(VLOOKUP(K540,'VALORES VIAJES'!$A$2:$B$24,2,FALSE),"")</f>
        <v/>
      </c>
      <c r="X540" s="208">
        <f>SUM(Hoja1[[#This Row],[$ X TIP VEHICUL]:[AGREGADO]])</f>
        <v>0</v>
      </c>
    </row>
    <row r="541" spans="2:24" hidden="1" x14ac:dyDescent="0.25">
      <c r="B541" s="189"/>
      <c r="J541" s="189"/>
      <c r="M541" s="205"/>
      <c r="O541" t="s">
        <v>7711</v>
      </c>
      <c r="S541" t="str">
        <f>IFERROR(VLOOKUP(E541,'VALORES VIAJES'!$A$2:$B$13,2,FALSE),"")</f>
        <v/>
      </c>
      <c r="T541" t="str">
        <f>IFERROR(VLOOKUP(H541,'VALORES VIAJES'!$A$2:$B$24,2,FALSE),"")</f>
        <v/>
      </c>
      <c r="U541" t="str">
        <f>IFERROR(VLOOKUP(I541,'VALORES VIAJES'!$A$2:$B$24,2,FALSE),"")</f>
        <v/>
      </c>
      <c r="V541" t="str">
        <f>IFERROR(VLOOKUP(K541,'VALORES VIAJES'!$A$2:$B$24,2,FALSE),"")</f>
        <v/>
      </c>
      <c r="X541" s="208">
        <f>SUM(Hoja1[[#This Row],[$ X TIP VEHICUL]:[AGREGADO]])</f>
        <v>0</v>
      </c>
    </row>
    <row r="542" spans="2:24" hidden="1" x14ac:dyDescent="0.25">
      <c r="B542" s="189"/>
      <c r="J542" s="189"/>
      <c r="M542" s="205"/>
      <c r="O542" t="s">
        <v>7711</v>
      </c>
      <c r="S542" t="str">
        <f>IFERROR(VLOOKUP(E542,'VALORES VIAJES'!$A$2:$B$13,2,FALSE),"")</f>
        <v/>
      </c>
      <c r="T542" t="str">
        <f>IFERROR(VLOOKUP(H542,'VALORES VIAJES'!$A$2:$B$24,2,FALSE),"")</f>
        <v/>
      </c>
      <c r="U542" t="str">
        <f>IFERROR(VLOOKUP(I542,'VALORES VIAJES'!$A$2:$B$24,2,FALSE),"")</f>
        <v/>
      </c>
      <c r="V542" t="str">
        <f>IFERROR(VLOOKUP(K542,'VALORES VIAJES'!$A$2:$B$24,2,FALSE),"")</f>
        <v/>
      </c>
      <c r="X542" s="208">
        <f>SUM(Hoja1[[#This Row],[$ X TIP VEHICUL]:[AGREGADO]])</f>
        <v>0</v>
      </c>
    </row>
    <row r="543" spans="2:24" hidden="1" x14ac:dyDescent="0.25">
      <c r="B543" s="189"/>
      <c r="J543" s="189"/>
      <c r="M543" s="205"/>
      <c r="O543" t="s">
        <v>7711</v>
      </c>
      <c r="S543" t="str">
        <f>IFERROR(VLOOKUP(E543,'VALORES VIAJES'!$A$2:$B$13,2,FALSE),"")</f>
        <v/>
      </c>
      <c r="T543" t="str">
        <f>IFERROR(VLOOKUP(H543,'VALORES VIAJES'!$A$2:$B$24,2,FALSE),"")</f>
        <v/>
      </c>
      <c r="U543" t="str">
        <f>IFERROR(VLOOKUP(I543,'VALORES VIAJES'!$A$2:$B$24,2,FALSE),"")</f>
        <v/>
      </c>
      <c r="V543" t="str">
        <f>IFERROR(VLOOKUP(K543,'VALORES VIAJES'!$A$2:$B$24,2,FALSE),"")</f>
        <v/>
      </c>
      <c r="X543" s="208">
        <f>SUM(Hoja1[[#This Row],[$ X TIP VEHICUL]:[AGREGADO]])</f>
        <v>0</v>
      </c>
    </row>
    <row r="544" spans="2:24" hidden="1" x14ac:dyDescent="0.25">
      <c r="B544" s="189"/>
      <c r="J544" s="189"/>
      <c r="M544" s="205"/>
      <c r="O544" t="s">
        <v>7711</v>
      </c>
      <c r="S544" t="str">
        <f>IFERROR(VLOOKUP(E544,'VALORES VIAJES'!$A$2:$B$13,2,FALSE),"")</f>
        <v/>
      </c>
      <c r="T544" t="str">
        <f>IFERROR(VLOOKUP(H544,'VALORES VIAJES'!$A$2:$B$24,2,FALSE),"")</f>
        <v/>
      </c>
      <c r="U544" t="str">
        <f>IFERROR(VLOOKUP(I544,'VALORES VIAJES'!$A$2:$B$24,2,FALSE),"")</f>
        <v/>
      </c>
      <c r="V544" t="str">
        <f>IFERROR(VLOOKUP(K544,'VALORES VIAJES'!$A$2:$B$24,2,FALSE),"")</f>
        <v/>
      </c>
      <c r="X544" s="208">
        <f>SUM(Hoja1[[#This Row],[$ X TIP VEHICUL]:[AGREGADO]])</f>
        <v>0</v>
      </c>
    </row>
    <row r="545" spans="2:24" hidden="1" x14ac:dyDescent="0.25">
      <c r="B545" s="189"/>
      <c r="J545" s="189"/>
      <c r="M545" s="205"/>
      <c r="O545" t="s">
        <v>7711</v>
      </c>
      <c r="S545" t="str">
        <f>IFERROR(VLOOKUP(E545,'VALORES VIAJES'!$A$2:$B$13,2,FALSE),"")</f>
        <v/>
      </c>
      <c r="T545" t="str">
        <f>IFERROR(VLOOKUP(H545,'VALORES VIAJES'!$A$2:$B$24,2,FALSE),"")</f>
        <v/>
      </c>
      <c r="U545" t="str">
        <f>IFERROR(VLOOKUP(I545,'VALORES VIAJES'!$A$2:$B$24,2,FALSE),"")</f>
        <v/>
      </c>
      <c r="V545" t="str">
        <f>IFERROR(VLOOKUP(K545,'VALORES VIAJES'!$A$2:$B$24,2,FALSE),"")</f>
        <v/>
      </c>
      <c r="X545" s="208">
        <f>SUM(Hoja1[[#This Row],[$ X TIP VEHICUL]:[AGREGADO]])</f>
        <v>0</v>
      </c>
    </row>
    <row r="546" spans="2:24" hidden="1" x14ac:dyDescent="0.25">
      <c r="B546" s="189"/>
      <c r="J546" s="189"/>
      <c r="M546" s="205"/>
      <c r="O546" t="s">
        <v>7711</v>
      </c>
      <c r="S546" t="str">
        <f>IFERROR(VLOOKUP(E546,'VALORES VIAJES'!$A$2:$B$13,2,FALSE),"")</f>
        <v/>
      </c>
      <c r="T546" t="str">
        <f>IFERROR(VLOOKUP(H546,'VALORES VIAJES'!$A$2:$B$24,2,FALSE),"")</f>
        <v/>
      </c>
      <c r="U546" t="str">
        <f>IFERROR(VLOOKUP(I546,'VALORES VIAJES'!$A$2:$B$24,2,FALSE),"")</f>
        <v/>
      </c>
      <c r="V546" t="str">
        <f>IFERROR(VLOOKUP(K546,'VALORES VIAJES'!$A$2:$B$24,2,FALSE),"")</f>
        <v/>
      </c>
      <c r="X546" s="208">
        <f>SUM(Hoja1[[#This Row],[$ X TIP VEHICUL]:[AGREGADO]])</f>
        <v>0</v>
      </c>
    </row>
    <row r="547" spans="2:24" hidden="1" x14ac:dyDescent="0.25">
      <c r="B547" s="189"/>
      <c r="J547" s="189"/>
      <c r="M547" s="205"/>
      <c r="O547" t="s">
        <v>7711</v>
      </c>
      <c r="S547" t="str">
        <f>IFERROR(VLOOKUP(E547,'VALORES VIAJES'!$A$2:$B$13,2,FALSE),"")</f>
        <v/>
      </c>
      <c r="T547" t="str">
        <f>IFERROR(VLOOKUP(H547,'VALORES VIAJES'!$A$2:$B$24,2,FALSE),"")</f>
        <v/>
      </c>
      <c r="U547" t="str">
        <f>IFERROR(VLOOKUP(I547,'VALORES VIAJES'!$A$2:$B$24,2,FALSE),"")</f>
        <v/>
      </c>
      <c r="V547" t="str">
        <f>IFERROR(VLOOKUP(K547,'VALORES VIAJES'!$A$2:$B$24,2,FALSE),"")</f>
        <v/>
      </c>
      <c r="X547" s="208">
        <f>SUM(Hoja1[[#This Row],[$ X TIP VEHICUL]:[AGREGADO]])</f>
        <v>0</v>
      </c>
    </row>
    <row r="548" spans="2:24" hidden="1" x14ac:dyDescent="0.25">
      <c r="B548" s="189"/>
      <c r="J548" s="189"/>
      <c r="M548" s="205"/>
      <c r="O548" t="s">
        <v>7711</v>
      </c>
      <c r="S548" t="str">
        <f>IFERROR(VLOOKUP(E548,'VALORES VIAJES'!$A$2:$B$13,2,FALSE),"")</f>
        <v/>
      </c>
      <c r="T548" t="str">
        <f>IFERROR(VLOOKUP(H548,'VALORES VIAJES'!$A$2:$B$24,2,FALSE),"")</f>
        <v/>
      </c>
      <c r="U548" t="str">
        <f>IFERROR(VLOOKUP(I548,'VALORES VIAJES'!$A$2:$B$24,2,FALSE),"")</f>
        <v/>
      </c>
      <c r="V548" t="str">
        <f>IFERROR(VLOOKUP(K548,'VALORES VIAJES'!$A$2:$B$24,2,FALSE),"")</f>
        <v/>
      </c>
      <c r="X548" s="208">
        <f>SUM(Hoja1[[#This Row],[$ X TIP VEHICUL]:[AGREGADO]])</f>
        <v>0</v>
      </c>
    </row>
    <row r="549" spans="2:24" hidden="1" x14ac:dyDescent="0.25">
      <c r="B549" s="189"/>
      <c r="J549" s="189"/>
      <c r="M549" s="205"/>
      <c r="O549" t="s">
        <v>7711</v>
      </c>
      <c r="S549" t="str">
        <f>IFERROR(VLOOKUP(E549,'VALORES VIAJES'!$A$2:$B$13,2,FALSE),"")</f>
        <v/>
      </c>
      <c r="T549" t="str">
        <f>IFERROR(VLOOKUP(H549,'VALORES VIAJES'!$A$2:$B$24,2,FALSE),"")</f>
        <v/>
      </c>
      <c r="U549" t="str">
        <f>IFERROR(VLOOKUP(I549,'VALORES VIAJES'!$A$2:$B$24,2,FALSE),"")</f>
        <v/>
      </c>
      <c r="V549" t="str">
        <f>IFERROR(VLOOKUP(K549,'VALORES VIAJES'!$A$2:$B$24,2,FALSE),"")</f>
        <v/>
      </c>
      <c r="X549" s="208">
        <f>SUM(Hoja1[[#This Row],[$ X TIP VEHICUL]:[AGREGADO]])</f>
        <v>0</v>
      </c>
    </row>
    <row r="550" spans="2:24" hidden="1" x14ac:dyDescent="0.25">
      <c r="B550" s="189"/>
      <c r="J550" s="189"/>
      <c r="M550" s="205"/>
      <c r="O550" t="s">
        <v>7711</v>
      </c>
      <c r="S550" t="str">
        <f>IFERROR(VLOOKUP(E550,'VALORES VIAJES'!$A$2:$B$13,2,FALSE),"")</f>
        <v/>
      </c>
      <c r="T550" t="str">
        <f>IFERROR(VLOOKUP(H550,'VALORES VIAJES'!$A$2:$B$24,2,FALSE),"")</f>
        <v/>
      </c>
      <c r="U550" t="str">
        <f>IFERROR(VLOOKUP(I550,'VALORES VIAJES'!$A$2:$B$24,2,FALSE),"")</f>
        <v/>
      </c>
      <c r="V550" t="str">
        <f>IFERROR(VLOOKUP(K550,'VALORES VIAJES'!$A$2:$B$24,2,FALSE),"")</f>
        <v/>
      </c>
      <c r="X550" s="208">
        <f>SUM(Hoja1[[#This Row],[$ X TIP VEHICUL]:[AGREGADO]])</f>
        <v>0</v>
      </c>
    </row>
    <row r="551" spans="2:24" hidden="1" x14ac:dyDescent="0.25">
      <c r="B551" s="189"/>
      <c r="J551" s="189"/>
      <c r="M551" s="205"/>
      <c r="O551" t="s">
        <v>7711</v>
      </c>
      <c r="S551" t="str">
        <f>IFERROR(VLOOKUP(E551,'VALORES VIAJES'!$A$2:$B$13,2,FALSE),"")</f>
        <v/>
      </c>
      <c r="T551" t="str">
        <f>IFERROR(VLOOKUP(H551,'VALORES VIAJES'!$A$2:$B$24,2,FALSE),"")</f>
        <v/>
      </c>
      <c r="U551" t="str">
        <f>IFERROR(VLOOKUP(I551,'VALORES VIAJES'!$A$2:$B$24,2,FALSE),"")</f>
        <v/>
      </c>
      <c r="V551" t="str">
        <f>IFERROR(VLOOKUP(K551,'VALORES VIAJES'!$A$2:$B$24,2,FALSE),"")</f>
        <v/>
      </c>
      <c r="X551" s="208">
        <f>SUM(Hoja1[[#This Row],[$ X TIP VEHICUL]:[AGREGADO]])</f>
        <v>0</v>
      </c>
    </row>
    <row r="552" spans="2:24" hidden="1" x14ac:dyDescent="0.25">
      <c r="B552" s="189"/>
      <c r="J552" s="189"/>
      <c r="M552" s="205"/>
      <c r="O552" t="s">
        <v>7711</v>
      </c>
      <c r="S552" t="str">
        <f>IFERROR(VLOOKUP(E552,'VALORES VIAJES'!$A$2:$B$13,2,FALSE),"")</f>
        <v/>
      </c>
      <c r="T552" t="str">
        <f>IFERROR(VLOOKUP(H552,'VALORES VIAJES'!$A$2:$B$24,2,FALSE),"")</f>
        <v/>
      </c>
      <c r="U552" t="str">
        <f>IFERROR(VLOOKUP(I552,'VALORES VIAJES'!$A$2:$B$24,2,FALSE),"")</f>
        <v/>
      </c>
      <c r="V552" t="str">
        <f>IFERROR(VLOOKUP(K552,'VALORES VIAJES'!$A$2:$B$24,2,FALSE),"")</f>
        <v/>
      </c>
      <c r="X552" s="208">
        <f>SUM(Hoja1[[#This Row],[$ X TIP VEHICUL]:[AGREGADO]])</f>
        <v>0</v>
      </c>
    </row>
    <row r="553" spans="2:24" hidden="1" x14ac:dyDescent="0.25">
      <c r="B553" s="189"/>
      <c r="J553" s="189"/>
      <c r="M553" s="205"/>
      <c r="O553" t="s">
        <v>7711</v>
      </c>
      <c r="S553" t="str">
        <f>IFERROR(VLOOKUP(E553,'VALORES VIAJES'!$A$2:$B$13,2,FALSE),"")</f>
        <v/>
      </c>
      <c r="T553" t="str">
        <f>IFERROR(VLOOKUP(H553,'VALORES VIAJES'!$A$2:$B$24,2,FALSE),"")</f>
        <v/>
      </c>
      <c r="U553" t="str">
        <f>IFERROR(VLOOKUP(I553,'VALORES VIAJES'!$A$2:$B$24,2,FALSE),"")</f>
        <v/>
      </c>
      <c r="V553" t="str">
        <f>IFERROR(VLOOKUP(K553,'VALORES VIAJES'!$A$2:$B$24,2,FALSE),"")</f>
        <v/>
      </c>
      <c r="X553" s="208">
        <f>SUM(Hoja1[[#This Row],[$ X TIP VEHICUL]:[AGREGADO]])</f>
        <v>0</v>
      </c>
    </row>
    <row r="554" spans="2:24" hidden="1" x14ac:dyDescent="0.25">
      <c r="B554" s="189"/>
      <c r="J554" s="189"/>
      <c r="M554" s="205"/>
      <c r="O554" t="s">
        <v>7711</v>
      </c>
      <c r="S554" t="str">
        <f>IFERROR(VLOOKUP(E554,'VALORES VIAJES'!$A$2:$B$13,2,FALSE),"")</f>
        <v/>
      </c>
      <c r="T554" t="str">
        <f>IFERROR(VLOOKUP(H554,'VALORES VIAJES'!$A$2:$B$24,2,FALSE),"")</f>
        <v/>
      </c>
      <c r="U554" t="str">
        <f>IFERROR(VLOOKUP(I554,'VALORES VIAJES'!$A$2:$B$24,2,FALSE),"")</f>
        <v/>
      </c>
      <c r="V554" t="str">
        <f>IFERROR(VLOOKUP(K554,'VALORES VIAJES'!$A$2:$B$24,2,FALSE),"")</f>
        <v/>
      </c>
      <c r="X554" s="208">
        <f>SUM(Hoja1[[#This Row],[$ X TIP VEHICUL]:[AGREGADO]])</f>
        <v>0</v>
      </c>
    </row>
    <row r="555" spans="2:24" hidden="1" x14ac:dyDescent="0.25">
      <c r="B555" s="189"/>
      <c r="J555" s="189"/>
      <c r="M555" s="205"/>
      <c r="O555" t="s">
        <v>7711</v>
      </c>
      <c r="S555" t="str">
        <f>IFERROR(VLOOKUP(E555,'VALORES VIAJES'!$A$2:$B$13,2,FALSE),"")</f>
        <v/>
      </c>
      <c r="T555" t="str">
        <f>IFERROR(VLOOKUP(H555,'VALORES VIAJES'!$A$2:$B$24,2,FALSE),"")</f>
        <v/>
      </c>
      <c r="U555" t="str">
        <f>IFERROR(VLOOKUP(I555,'VALORES VIAJES'!$A$2:$B$24,2,FALSE),"")</f>
        <v/>
      </c>
      <c r="V555" t="str">
        <f>IFERROR(VLOOKUP(K555,'VALORES VIAJES'!$A$2:$B$24,2,FALSE),"")</f>
        <v/>
      </c>
      <c r="X555" s="208">
        <f>SUM(Hoja1[[#This Row],[$ X TIP VEHICUL]:[AGREGADO]])</f>
        <v>0</v>
      </c>
    </row>
    <row r="556" spans="2:24" hidden="1" x14ac:dyDescent="0.25">
      <c r="B556" s="189"/>
      <c r="J556" s="189"/>
      <c r="M556" s="205"/>
      <c r="O556" t="s">
        <v>7711</v>
      </c>
      <c r="S556" t="str">
        <f>IFERROR(VLOOKUP(E556,'VALORES VIAJES'!$A$2:$B$13,2,FALSE),"")</f>
        <v/>
      </c>
      <c r="T556" t="str">
        <f>IFERROR(VLOOKUP(H556,'VALORES VIAJES'!$A$2:$B$24,2,FALSE),"")</f>
        <v/>
      </c>
      <c r="U556" t="str">
        <f>IFERROR(VLOOKUP(I556,'VALORES VIAJES'!$A$2:$B$24,2,FALSE),"")</f>
        <v/>
      </c>
      <c r="V556" t="str">
        <f>IFERROR(VLOOKUP(K556,'VALORES VIAJES'!$A$2:$B$24,2,FALSE),"")</f>
        <v/>
      </c>
      <c r="X556" s="208">
        <f>SUM(Hoja1[[#This Row],[$ X TIP VEHICUL]:[AGREGADO]])</f>
        <v>0</v>
      </c>
    </row>
    <row r="557" spans="2:24" hidden="1" x14ac:dyDescent="0.25">
      <c r="B557" s="189"/>
      <c r="J557" s="189"/>
      <c r="M557" s="205"/>
      <c r="O557" t="s">
        <v>7711</v>
      </c>
      <c r="S557" t="str">
        <f>IFERROR(VLOOKUP(E557,'VALORES VIAJES'!$A$2:$B$13,2,FALSE),"")</f>
        <v/>
      </c>
      <c r="T557" t="str">
        <f>IFERROR(VLOOKUP(H557,'VALORES VIAJES'!$A$2:$B$24,2,FALSE),"")</f>
        <v/>
      </c>
      <c r="U557" t="str">
        <f>IFERROR(VLOOKUP(I557,'VALORES VIAJES'!$A$2:$B$24,2,FALSE),"")</f>
        <v/>
      </c>
      <c r="V557" t="str">
        <f>IFERROR(VLOOKUP(K557,'VALORES VIAJES'!$A$2:$B$24,2,FALSE),"")</f>
        <v/>
      </c>
      <c r="X557" s="208">
        <f>SUM(Hoja1[[#This Row],[$ X TIP VEHICUL]:[AGREGADO]])</f>
        <v>0</v>
      </c>
    </row>
    <row r="558" spans="2:24" hidden="1" x14ac:dyDescent="0.25">
      <c r="B558" s="189"/>
      <c r="J558" s="189"/>
      <c r="M558" s="205"/>
      <c r="O558" t="s">
        <v>7711</v>
      </c>
      <c r="S558" t="str">
        <f>IFERROR(VLOOKUP(E558,'VALORES VIAJES'!$A$2:$B$13,2,FALSE),"")</f>
        <v/>
      </c>
      <c r="T558" t="str">
        <f>IFERROR(VLOOKUP(H558,'VALORES VIAJES'!$A$2:$B$24,2,FALSE),"")</f>
        <v/>
      </c>
      <c r="U558" t="str">
        <f>IFERROR(VLOOKUP(I558,'VALORES VIAJES'!$A$2:$B$24,2,FALSE),"")</f>
        <v/>
      </c>
      <c r="V558" t="str">
        <f>IFERROR(VLOOKUP(K558,'VALORES VIAJES'!$A$2:$B$24,2,FALSE),"")</f>
        <v/>
      </c>
      <c r="X558" s="208">
        <f>SUM(Hoja1[[#This Row],[$ X TIP VEHICUL]:[AGREGADO]])</f>
        <v>0</v>
      </c>
    </row>
    <row r="559" spans="2:24" hidden="1" x14ac:dyDescent="0.25">
      <c r="B559" s="189"/>
      <c r="J559" s="189"/>
      <c r="M559" s="205"/>
      <c r="O559" t="s">
        <v>7711</v>
      </c>
      <c r="S559" t="str">
        <f>IFERROR(VLOOKUP(E559,'VALORES VIAJES'!$A$2:$B$13,2,FALSE),"")</f>
        <v/>
      </c>
      <c r="T559" t="str">
        <f>IFERROR(VLOOKUP(H559,'VALORES VIAJES'!$A$2:$B$24,2,FALSE),"")</f>
        <v/>
      </c>
      <c r="U559" t="str">
        <f>IFERROR(VLOOKUP(I559,'VALORES VIAJES'!$A$2:$B$24,2,FALSE),"")</f>
        <v/>
      </c>
      <c r="V559" t="str">
        <f>IFERROR(VLOOKUP(K559,'VALORES VIAJES'!$A$2:$B$24,2,FALSE),"")</f>
        <v/>
      </c>
      <c r="X559" s="208">
        <f>SUM(Hoja1[[#This Row],[$ X TIP VEHICUL]:[AGREGADO]])</f>
        <v>0</v>
      </c>
    </row>
    <row r="560" spans="2:24" hidden="1" x14ac:dyDescent="0.25">
      <c r="B560" s="189"/>
      <c r="J560" s="189"/>
      <c r="M560" s="205"/>
      <c r="O560" t="s">
        <v>7711</v>
      </c>
      <c r="S560" t="str">
        <f>IFERROR(VLOOKUP(E560,'VALORES VIAJES'!$A$2:$B$13,2,FALSE),"")</f>
        <v/>
      </c>
      <c r="T560" t="str">
        <f>IFERROR(VLOOKUP(H560,'VALORES VIAJES'!$A$2:$B$24,2,FALSE),"")</f>
        <v/>
      </c>
      <c r="U560" t="str">
        <f>IFERROR(VLOOKUP(I560,'VALORES VIAJES'!$A$2:$B$24,2,FALSE),"")</f>
        <v/>
      </c>
      <c r="V560" t="str">
        <f>IFERROR(VLOOKUP(K560,'VALORES VIAJES'!$A$2:$B$24,2,FALSE),"")</f>
        <v/>
      </c>
      <c r="X560" s="208">
        <f>SUM(Hoja1[[#This Row],[$ X TIP VEHICUL]:[AGREGADO]])</f>
        <v>0</v>
      </c>
    </row>
    <row r="561" spans="2:24" hidden="1" x14ac:dyDescent="0.25">
      <c r="B561" s="189"/>
      <c r="J561" s="189"/>
      <c r="M561" s="205"/>
      <c r="O561" t="s">
        <v>7711</v>
      </c>
      <c r="S561" t="str">
        <f>IFERROR(VLOOKUP(E561,'VALORES VIAJES'!$A$2:$B$13,2,FALSE),"")</f>
        <v/>
      </c>
      <c r="T561" t="str">
        <f>IFERROR(VLOOKUP(H561,'VALORES VIAJES'!$A$2:$B$24,2,FALSE),"")</f>
        <v/>
      </c>
      <c r="U561" t="str">
        <f>IFERROR(VLOOKUP(I561,'VALORES VIAJES'!$A$2:$B$24,2,FALSE),"")</f>
        <v/>
      </c>
      <c r="V561" t="str">
        <f>IFERROR(VLOOKUP(K561,'VALORES VIAJES'!$A$2:$B$24,2,FALSE),"")</f>
        <v/>
      </c>
      <c r="X561" s="208">
        <f>SUM(Hoja1[[#This Row],[$ X TIP VEHICUL]:[AGREGADO]])</f>
        <v>0</v>
      </c>
    </row>
    <row r="562" spans="2:24" hidden="1" x14ac:dyDescent="0.25">
      <c r="B562" s="189"/>
      <c r="J562" s="189"/>
      <c r="M562" s="205"/>
      <c r="O562" t="s">
        <v>7711</v>
      </c>
      <c r="S562" t="str">
        <f>IFERROR(VLOOKUP(E562,'VALORES VIAJES'!$A$2:$B$13,2,FALSE),"")</f>
        <v/>
      </c>
      <c r="T562" t="str">
        <f>IFERROR(VLOOKUP(H562,'VALORES VIAJES'!$A$2:$B$24,2,FALSE),"")</f>
        <v/>
      </c>
      <c r="U562" t="str">
        <f>IFERROR(VLOOKUP(I562,'VALORES VIAJES'!$A$2:$B$24,2,FALSE),"")</f>
        <v/>
      </c>
      <c r="V562" t="str">
        <f>IFERROR(VLOOKUP(K562,'VALORES VIAJES'!$A$2:$B$24,2,FALSE),"")</f>
        <v/>
      </c>
      <c r="X562" s="208">
        <f>SUM(Hoja1[[#This Row],[$ X TIP VEHICUL]:[AGREGADO]])</f>
        <v>0</v>
      </c>
    </row>
    <row r="563" spans="2:24" hidden="1" x14ac:dyDescent="0.25">
      <c r="B563" s="189"/>
      <c r="J563" s="189"/>
      <c r="M563" s="205"/>
      <c r="O563" t="s">
        <v>7711</v>
      </c>
      <c r="S563" t="str">
        <f>IFERROR(VLOOKUP(E563,'VALORES VIAJES'!$A$2:$B$13,2,FALSE),"")</f>
        <v/>
      </c>
      <c r="T563" t="str">
        <f>IFERROR(VLOOKUP(H563,'VALORES VIAJES'!$A$2:$B$24,2,FALSE),"")</f>
        <v/>
      </c>
      <c r="U563" t="str">
        <f>IFERROR(VLOOKUP(I563,'VALORES VIAJES'!$A$2:$B$24,2,FALSE),"")</f>
        <v/>
      </c>
      <c r="V563" t="str">
        <f>IFERROR(VLOOKUP(K563,'VALORES VIAJES'!$A$2:$B$24,2,FALSE),"")</f>
        <v/>
      </c>
      <c r="X563" s="208">
        <f>SUM(Hoja1[[#This Row],[$ X TIP VEHICUL]:[AGREGADO]])</f>
        <v>0</v>
      </c>
    </row>
    <row r="564" spans="2:24" hidden="1" x14ac:dyDescent="0.25">
      <c r="B564" s="189"/>
      <c r="J564" s="189"/>
      <c r="M564" s="205"/>
      <c r="O564" t="s">
        <v>7711</v>
      </c>
      <c r="S564" t="str">
        <f>IFERROR(VLOOKUP(E564,'VALORES VIAJES'!$A$2:$B$13,2,FALSE),"")</f>
        <v/>
      </c>
      <c r="T564" t="str">
        <f>IFERROR(VLOOKUP(H564,'VALORES VIAJES'!$A$2:$B$24,2,FALSE),"")</f>
        <v/>
      </c>
      <c r="U564" t="str">
        <f>IFERROR(VLOOKUP(I564,'VALORES VIAJES'!$A$2:$B$24,2,FALSE),"")</f>
        <v/>
      </c>
      <c r="V564" t="str">
        <f>IFERROR(VLOOKUP(K564,'VALORES VIAJES'!$A$2:$B$24,2,FALSE),"")</f>
        <v/>
      </c>
      <c r="X564" s="208">
        <f>SUM(Hoja1[[#This Row],[$ X TIP VEHICUL]:[AGREGADO]])</f>
        <v>0</v>
      </c>
    </row>
    <row r="565" spans="2:24" hidden="1" x14ac:dyDescent="0.25">
      <c r="B565" s="189"/>
      <c r="J565" s="189"/>
      <c r="M565" s="205"/>
      <c r="O565" t="s">
        <v>7711</v>
      </c>
      <c r="S565" t="str">
        <f>IFERROR(VLOOKUP(E565,'VALORES VIAJES'!$A$2:$B$13,2,FALSE),"")</f>
        <v/>
      </c>
      <c r="T565" t="str">
        <f>IFERROR(VLOOKUP(H565,'VALORES VIAJES'!$A$2:$B$24,2,FALSE),"")</f>
        <v/>
      </c>
      <c r="U565" t="str">
        <f>IFERROR(VLOOKUP(I565,'VALORES VIAJES'!$A$2:$B$24,2,FALSE),"")</f>
        <v/>
      </c>
      <c r="V565" t="str">
        <f>IFERROR(VLOOKUP(K565,'VALORES VIAJES'!$A$2:$B$24,2,FALSE),"")</f>
        <v/>
      </c>
      <c r="X565" s="208">
        <f>SUM(Hoja1[[#This Row],[$ X TIP VEHICUL]:[AGREGADO]])</f>
        <v>0</v>
      </c>
    </row>
    <row r="566" spans="2:24" hidden="1" x14ac:dyDescent="0.25">
      <c r="B566" s="189"/>
      <c r="J566" s="189"/>
      <c r="M566" s="205"/>
      <c r="O566" t="s">
        <v>7711</v>
      </c>
      <c r="S566" t="str">
        <f>IFERROR(VLOOKUP(E566,'VALORES VIAJES'!$A$2:$B$13,2,FALSE),"")</f>
        <v/>
      </c>
      <c r="T566" t="str">
        <f>IFERROR(VLOOKUP(H566,'VALORES VIAJES'!$A$2:$B$24,2,FALSE),"")</f>
        <v/>
      </c>
      <c r="U566" t="str">
        <f>IFERROR(VLOOKUP(I566,'VALORES VIAJES'!$A$2:$B$24,2,FALSE),"")</f>
        <v/>
      </c>
      <c r="V566" t="str">
        <f>IFERROR(VLOOKUP(K566,'VALORES VIAJES'!$A$2:$B$24,2,FALSE),"")</f>
        <v/>
      </c>
      <c r="X566" s="208">
        <f>SUM(Hoja1[[#This Row],[$ X TIP VEHICUL]:[AGREGADO]])</f>
        <v>0</v>
      </c>
    </row>
    <row r="567" spans="2:24" hidden="1" x14ac:dyDescent="0.25">
      <c r="B567" s="189"/>
      <c r="J567" s="189"/>
      <c r="M567" s="205"/>
      <c r="O567" t="s">
        <v>7711</v>
      </c>
      <c r="S567" t="str">
        <f>IFERROR(VLOOKUP(E567,'VALORES VIAJES'!$A$2:$B$13,2,FALSE),"")</f>
        <v/>
      </c>
      <c r="T567" t="str">
        <f>IFERROR(VLOOKUP(H567,'VALORES VIAJES'!$A$2:$B$24,2,FALSE),"")</f>
        <v/>
      </c>
      <c r="U567" t="str">
        <f>IFERROR(VLOOKUP(I567,'VALORES VIAJES'!$A$2:$B$24,2,FALSE),"")</f>
        <v/>
      </c>
      <c r="V567" t="str">
        <f>IFERROR(VLOOKUP(K567,'VALORES VIAJES'!$A$2:$B$24,2,FALSE),"")</f>
        <v/>
      </c>
      <c r="X567" s="208">
        <f>SUM(Hoja1[[#This Row],[$ X TIP VEHICUL]:[AGREGADO]])</f>
        <v>0</v>
      </c>
    </row>
    <row r="568" spans="2:24" hidden="1" x14ac:dyDescent="0.25">
      <c r="B568" s="189"/>
      <c r="J568" s="189"/>
      <c r="M568" s="205"/>
      <c r="O568" t="s">
        <v>7711</v>
      </c>
      <c r="S568" t="str">
        <f>IFERROR(VLOOKUP(E568,'VALORES VIAJES'!$A$2:$B$13,2,FALSE),"")</f>
        <v/>
      </c>
      <c r="T568" t="str">
        <f>IFERROR(VLOOKUP(H568,'VALORES VIAJES'!$A$2:$B$24,2,FALSE),"")</f>
        <v/>
      </c>
      <c r="U568" t="str">
        <f>IFERROR(VLOOKUP(I568,'VALORES VIAJES'!$A$2:$B$24,2,FALSE),"")</f>
        <v/>
      </c>
      <c r="V568" t="str">
        <f>IFERROR(VLOOKUP(K568,'VALORES VIAJES'!$A$2:$B$24,2,FALSE),"")</f>
        <v/>
      </c>
      <c r="X568" s="208">
        <f>SUM(Hoja1[[#This Row],[$ X TIP VEHICUL]:[AGREGADO]])</f>
        <v>0</v>
      </c>
    </row>
    <row r="569" spans="2:24" hidden="1" x14ac:dyDescent="0.25">
      <c r="B569" s="189"/>
      <c r="J569" s="189"/>
      <c r="M569" s="205"/>
      <c r="O569" t="s">
        <v>7711</v>
      </c>
      <c r="S569" t="str">
        <f>IFERROR(VLOOKUP(E569,'VALORES VIAJES'!$A$2:$B$13,2,FALSE),"")</f>
        <v/>
      </c>
      <c r="T569" t="str">
        <f>IFERROR(VLOOKUP(H569,'VALORES VIAJES'!$A$2:$B$24,2,FALSE),"")</f>
        <v/>
      </c>
      <c r="U569" t="str">
        <f>IFERROR(VLOOKUP(I569,'VALORES VIAJES'!$A$2:$B$24,2,FALSE),"")</f>
        <v/>
      </c>
      <c r="V569" t="str">
        <f>IFERROR(VLOOKUP(K569,'VALORES VIAJES'!$A$2:$B$24,2,FALSE),"")</f>
        <v/>
      </c>
      <c r="X569" s="208">
        <f>SUM(Hoja1[[#This Row],[$ X TIP VEHICUL]:[AGREGADO]])</f>
        <v>0</v>
      </c>
    </row>
    <row r="570" spans="2:24" hidden="1" x14ac:dyDescent="0.25">
      <c r="B570" s="189"/>
      <c r="J570" s="189"/>
      <c r="M570" s="205"/>
      <c r="O570" t="s">
        <v>7711</v>
      </c>
      <c r="S570" t="str">
        <f>IFERROR(VLOOKUP(E570,'VALORES VIAJES'!$A$2:$B$13,2,FALSE),"")</f>
        <v/>
      </c>
      <c r="T570" t="str">
        <f>IFERROR(VLOOKUP(H570,'VALORES VIAJES'!$A$2:$B$24,2,FALSE),"")</f>
        <v/>
      </c>
      <c r="U570" t="str">
        <f>IFERROR(VLOOKUP(I570,'VALORES VIAJES'!$A$2:$B$24,2,FALSE),"")</f>
        <v/>
      </c>
      <c r="V570" t="str">
        <f>IFERROR(VLOOKUP(K570,'VALORES VIAJES'!$A$2:$B$24,2,FALSE),"")</f>
        <v/>
      </c>
      <c r="X570" s="208">
        <f>SUM(Hoja1[[#This Row],[$ X TIP VEHICUL]:[AGREGADO]])</f>
        <v>0</v>
      </c>
    </row>
    <row r="571" spans="2:24" hidden="1" x14ac:dyDescent="0.25">
      <c r="B571" s="189"/>
      <c r="J571" s="189"/>
      <c r="M571" s="205"/>
      <c r="O571" t="s">
        <v>7711</v>
      </c>
      <c r="S571" t="str">
        <f>IFERROR(VLOOKUP(E571,'VALORES VIAJES'!$A$2:$B$13,2,FALSE),"")</f>
        <v/>
      </c>
      <c r="T571" t="str">
        <f>IFERROR(VLOOKUP(H571,'VALORES VIAJES'!$A$2:$B$24,2,FALSE),"")</f>
        <v/>
      </c>
      <c r="U571" t="str">
        <f>IFERROR(VLOOKUP(I571,'VALORES VIAJES'!$A$2:$B$24,2,FALSE),"")</f>
        <v/>
      </c>
      <c r="V571" t="str">
        <f>IFERROR(VLOOKUP(K571,'VALORES VIAJES'!$A$2:$B$24,2,FALSE),"")</f>
        <v/>
      </c>
      <c r="X571" s="208">
        <f>SUM(Hoja1[[#This Row],[$ X TIP VEHICUL]:[AGREGADO]])</f>
        <v>0</v>
      </c>
    </row>
    <row r="572" spans="2:24" hidden="1" x14ac:dyDescent="0.25">
      <c r="B572" s="189"/>
      <c r="J572" s="189"/>
      <c r="M572" s="205"/>
      <c r="O572" t="s">
        <v>7711</v>
      </c>
      <c r="S572" t="str">
        <f>IFERROR(VLOOKUP(E572,'VALORES VIAJES'!$A$2:$B$13,2,FALSE),"")</f>
        <v/>
      </c>
      <c r="T572" t="str">
        <f>IFERROR(VLOOKUP(H572,'VALORES VIAJES'!$A$2:$B$24,2,FALSE),"")</f>
        <v/>
      </c>
      <c r="U572" t="str">
        <f>IFERROR(VLOOKUP(I572,'VALORES VIAJES'!$A$2:$B$24,2,FALSE),"")</f>
        <v/>
      </c>
      <c r="V572" t="str">
        <f>IFERROR(VLOOKUP(K572,'VALORES VIAJES'!$A$2:$B$24,2,FALSE),"")</f>
        <v/>
      </c>
      <c r="X572" s="208">
        <f>SUM(Hoja1[[#This Row],[$ X TIP VEHICUL]:[AGREGADO]])</f>
        <v>0</v>
      </c>
    </row>
    <row r="573" spans="2:24" hidden="1" x14ac:dyDescent="0.25">
      <c r="B573" s="189"/>
      <c r="J573" s="189"/>
      <c r="M573" s="205"/>
      <c r="O573" t="s">
        <v>7711</v>
      </c>
      <c r="S573" t="str">
        <f>IFERROR(VLOOKUP(E573,'VALORES VIAJES'!$A$2:$B$13,2,FALSE),"")</f>
        <v/>
      </c>
      <c r="T573" t="str">
        <f>IFERROR(VLOOKUP(H573,'VALORES VIAJES'!$A$2:$B$24,2,FALSE),"")</f>
        <v/>
      </c>
      <c r="U573" t="str">
        <f>IFERROR(VLOOKUP(I573,'VALORES VIAJES'!$A$2:$B$24,2,FALSE),"")</f>
        <v/>
      </c>
      <c r="V573" t="str">
        <f>IFERROR(VLOOKUP(K573,'VALORES VIAJES'!$A$2:$B$24,2,FALSE),"")</f>
        <v/>
      </c>
      <c r="X573" s="208">
        <f>SUM(Hoja1[[#This Row],[$ X TIP VEHICUL]:[AGREGADO]])</f>
        <v>0</v>
      </c>
    </row>
    <row r="574" spans="2:24" hidden="1" x14ac:dyDescent="0.25">
      <c r="B574" s="189"/>
      <c r="J574" s="189"/>
      <c r="M574" s="205"/>
      <c r="O574" t="s">
        <v>7711</v>
      </c>
      <c r="S574" t="str">
        <f>IFERROR(VLOOKUP(E574,'VALORES VIAJES'!$A$2:$B$13,2,FALSE),"")</f>
        <v/>
      </c>
      <c r="T574" t="str">
        <f>IFERROR(VLOOKUP(H574,'VALORES VIAJES'!$A$2:$B$24,2,FALSE),"")</f>
        <v/>
      </c>
      <c r="U574" t="str">
        <f>IFERROR(VLOOKUP(I574,'VALORES VIAJES'!$A$2:$B$24,2,FALSE),"")</f>
        <v/>
      </c>
      <c r="V574" t="str">
        <f>IFERROR(VLOOKUP(K574,'VALORES VIAJES'!$A$2:$B$24,2,FALSE),"")</f>
        <v/>
      </c>
      <c r="X574" s="208">
        <f>SUM(Hoja1[[#This Row],[$ X TIP VEHICUL]:[AGREGADO]])</f>
        <v>0</v>
      </c>
    </row>
    <row r="575" spans="2:24" hidden="1" x14ac:dyDescent="0.25">
      <c r="B575" s="189"/>
      <c r="J575" s="189"/>
      <c r="M575" s="205"/>
      <c r="O575" t="s">
        <v>7711</v>
      </c>
      <c r="S575" t="str">
        <f>IFERROR(VLOOKUP(E575,'VALORES VIAJES'!$A$2:$B$13,2,FALSE),"")</f>
        <v/>
      </c>
      <c r="T575" t="str">
        <f>IFERROR(VLOOKUP(H575,'VALORES VIAJES'!$A$2:$B$24,2,FALSE),"")</f>
        <v/>
      </c>
      <c r="U575" t="str">
        <f>IFERROR(VLOOKUP(I575,'VALORES VIAJES'!$A$2:$B$24,2,FALSE),"")</f>
        <v/>
      </c>
      <c r="V575" t="str">
        <f>IFERROR(VLOOKUP(K575,'VALORES VIAJES'!$A$2:$B$24,2,FALSE),"")</f>
        <v/>
      </c>
      <c r="X575" s="208">
        <f>SUM(Hoja1[[#This Row],[$ X TIP VEHICUL]:[AGREGADO]])</f>
        <v>0</v>
      </c>
    </row>
    <row r="576" spans="2:24" hidden="1" x14ac:dyDescent="0.25">
      <c r="B576" s="189"/>
      <c r="J576" s="189"/>
      <c r="M576" s="205"/>
      <c r="O576" t="s">
        <v>7711</v>
      </c>
      <c r="S576" t="str">
        <f>IFERROR(VLOOKUP(E576,'VALORES VIAJES'!$A$2:$B$13,2,FALSE),"")</f>
        <v/>
      </c>
      <c r="T576" t="str">
        <f>IFERROR(VLOOKUP(H576,'VALORES VIAJES'!$A$2:$B$24,2,FALSE),"")</f>
        <v/>
      </c>
      <c r="U576" t="str">
        <f>IFERROR(VLOOKUP(I576,'VALORES VIAJES'!$A$2:$B$24,2,FALSE),"")</f>
        <v/>
      </c>
      <c r="V576" t="str">
        <f>IFERROR(VLOOKUP(K576,'VALORES VIAJES'!$A$2:$B$24,2,FALSE),"")</f>
        <v/>
      </c>
      <c r="X576" s="208">
        <f>SUM(Hoja1[[#This Row],[$ X TIP VEHICUL]:[AGREGADO]])</f>
        <v>0</v>
      </c>
    </row>
    <row r="577" spans="2:24" hidden="1" x14ac:dyDescent="0.25">
      <c r="B577" s="189"/>
      <c r="J577" s="189"/>
      <c r="M577" s="205"/>
      <c r="O577" t="s">
        <v>7711</v>
      </c>
      <c r="S577" t="str">
        <f>IFERROR(VLOOKUP(E577,'VALORES VIAJES'!$A$2:$B$13,2,FALSE),"")</f>
        <v/>
      </c>
      <c r="T577" t="str">
        <f>IFERROR(VLOOKUP(H577,'VALORES VIAJES'!$A$2:$B$24,2,FALSE),"")</f>
        <v/>
      </c>
      <c r="U577" t="str">
        <f>IFERROR(VLOOKUP(I577,'VALORES VIAJES'!$A$2:$B$24,2,FALSE),"")</f>
        <v/>
      </c>
      <c r="V577" t="str">
        <f>IFERROR(VLOOKUP(K577,'VALORES VIAJES'!$A$2:$B$24,2,FALSE),"")</f>
        <v/>
      </c>
      <c r="X577" s="208">
        <f>SUM(Hoja1[[#This Row],[$ X TIP VEHICUL]:[AGREGADO]])</f>
        <v>0</v>
      </c>
    </row>
    <row r="578" spans="2:24" hidden="1" x14ac:dyDescent="0.25">
      <c r="B578" s="189"/>
      <c r="J578" s="189"/>
      <c r="M578" s="205"/>
      <c r="O578" t="s">
        <v>7711</v>
      </c>
      <c r="S578" t="str">
        <f>IFERROR(VLOOKUP(E578,'VALORES VIAJES'!$A$2:$B$13,2,FALSE),"")</f>
        <v/>
      </c>
      <c r="T578" t="str">
        <f>IFERROR(VLOOKUP(H578,'VALORES VIAJES'!$A$2:$B$24,2,FALSE),"")</f>
        <v/>
      </c>
      <c r="U578" t="str">
        <f>IFERROR(VLOOKUP(I578,'VALORES VIAJES'!$A$2:$B$24,2,FALSE),"")</f>
        <v/>
      </c>
      <c r="V578" t="str">
        <f>IFERROR(VLOOKUP(K578,'VALORES VIAJES'!$A$2:$B$24,2,FALSE),"")</f>
        <v/>
      </c>
      <c r="X578" s="208">
        <f>SUM(Hoja1[[#This Row],[$ X TIP VEHICUL]:[AGREGADO]])</f>
        <v>0</v>
      </c>
    </row>
    <row r="579" spans="2:24" hidden="1" x14ac:dyDescent="0.25">
      <c r="B579" s="189"/>
      <c r="J579" s="189"/>
      <c r="M579" s="205"/>
      <c r="O579" t="s">
        <v>7711</v>
      </c>
      <c r="S579" t="str">
        <f>IFERROR(VLOOKUP(E579,'VALORES VIAJES'!$A$2:$B$13,2,FALSE),"")</f>
        <v/>
      </c>
      <c r="T579" t="str">
        <f>IFERROR(VLOOKUP(H579,'VALORES VIAJES'!$A$2:$B$24,2,FALSE),"")</f>
        <v/>
      </c>
      <c r="U579" t="str">
        <f>IFERROR(VLOOKUP(I579,'VALORES VIAJES'!$A$2:$B$24,2,FALSE),"")</f>
        <v/>
      </c>
      <c r="V579" t="str">
        <f>IFERROR(VLOOKUP(K579,'VALORES VIAJES'!$A$2:$B$24,2,FALSE),"")</f>
        <v/>
      </c>
      <c r="X579" s="208">
        <f>SUM(Hoja1[[#This Row],[$ X TIP VEHICUL]:[AGREGADO]])</f>
        <v>0</v>
      </c>
    </row>
    <row r="580" spans="2:24" hidden="1" x14ac:dyDescent="0.25">
      <c r="B580" s="189"/>
      <c r="J580" s="189"/>
      <c r="M580" s="205"/>
      <c r="O580" t="s">
        <v>7711</v>
      </c>
      <c r="S580" t="str">
        <f>IFERROR(VLOOKUP(E580,'VALORES VIAJES'!$A$2:$B$13,2,FALSE),"")</f>
        <v/>
      </c>
      <c r="T580" t="str">
        <f>IFERROR(VLOOKUP(H580,'VALORES VIAJES'!$A$2:$B$24,2,FALSE),"")</f>
        <v/>
      </c>
      <c r="U580" t="str">
        <f>IFERROR(VLOOKUP(I580,'VALORES VIAJES'!$A$2:$B$24,2,FALSE),"")</f>
        <v/>
      </c>
      <c r="V580" t="str">
        <f>IFERROR(VLOOKUP(K580,'VALORES VIAJES'!$A$2:$B$24,2,FALSE),"")</f>
        <v/>
      </c>
      <c r="X580" s="208">
        <f>SUM(Hoja1[[#This Row],[$ X TIP VEHICUL]:[AGREGADO]])</f>
        <v>0</v>
      </c>
    </row>
    <row r="581" spans="2:24" hidden="1" x14ac:dyDescent="0.25">
      <c r="B581" s="189"/>
      <c r="J581" s="189"/>
      <c r="M581" s="205"/>
      <c r="O581" t="s">
        <v>7711</v>
      </c>
      <c r="S581" t="str">
        <f>IFERROR(VLOOKUP(E581,'VALORES VIAJES'!$A$2:$B$13,2,FALSE),"")</f>
        <v/>
      </c>
      <c r="T581" t="str">
        <f>IFERROR(VLOOKUP(H581,'VALORES VIAJES'!$A$2:$B$24,2,FALSE),"")</f>
        <v/>
      </c>
      <c r="U581" t="str">
        <f>IFERROR(VLOOKUP(I581,'VALORES VIAJES'!$A$2:$B$24,2,FALSE),"")</f>
        <v/>
      </c>
      <c r="V581" t="str">
        <f>IFERROR(VLOOKUP(K581,'VALORES VIAJES'!$A$2:$B$24,2,FALSE),"")</f>
        <v/>
      </c>
      <c r="X581" s="208">
        <f>SUM(Hoja1[[#This Row],[$ X TIP VEHICUL]:[AGREGADO]])</f>
        <v>0</v>
      </c>
    </row>
    <row r="582" spans="2:24" hidden="1" x14ac:dyDescent="0.25">
      <c r="B582" s="189"/>
      <c r="J582" s="189"/>
      <c r="M582" s="205"/>
      <c r="O582" t="s">
        <v>7711</v>
      </c>
      <c r="S582" t="str">
        <f>IFERROR(VLOOKUP(E582,'VALORES VIAJES'!$A$2:$B$13,2,FALSE),"")</f>
        <v/>
      </c>
      <c r="T582" t="str">
        <f>IFERROR(VLOOKUP(H582,'VALORES VIAJES'!$A$2:$B$24,2,FALSE),"")</f>
        <v/>
      </c>
      <c r="U582" t="str">
        <f>IFERROR(VLOOKUP(I582,'VALORES VIAJES'!$A$2:$B$24,2,FALSE),"")</f>
        <v/>
      </c>
      <c r="V582" t="str">
        <f>IFERROR(VLOOKUP(K582,'VALORES VIAJES'!$A$2:$B$24,2,FALSE),"")</f>
        <v/>
      </c>
      <c r="X582" s="208">
        <f>SUM(Hoja1[[#This Row],[$ X TIP VEHICUL]:[AGREGADO]])</f>
        <v>0</v>
      </c>
    </row>
    <row r="583" spans="2:24" hidden="1" x14ac:dyDescent="0.25">
      <c r="B583" s="189"/>
      <c r="J583" s="189"/>
      <c r="M583" s="205"/>
      <c r="O583" t="s">
        <v>7711</v>
      </c>
      <c r="S583" t="str">
        <f>IFERROR(VLOOKUP(E583,'VALORES VIAJES'!$A$2:$B$13,2,FALSE),"")</f>
        <v/>
      </c>
      <c r="T583" t="str">
        <f>IFERROR(VLOOKUP(H583,'VALORES VIAJES'!$A$2:$B$24,2,FALSE),"")</f>
        <v/>
      </c>
      <c r="U583" t="str">
        <f>IFERROR(VLOOKUP(I583,'VALORES VIAJES'!$A$2:$B$24,2,FALSE),"")</f>
        <v/>
      </c>
      <c r="V583" t="str">
        <f>IFERROR(VLOOKUP(K583,'VALORES VIAJES'!$A$2:$B$24,2,FALSE),"")</f>
        <v/>
      </c>
      <c r="X583" s="208">
        <f>SUM(Hoja1[[#This Row],[$ X TIP VEHICUL]:[AGREGADO]])</f>
        <v>0</v>
      </c>
    </row>
    <row r="584" spans="2:24" hidden="1" x14ac:dyDescent="0.25">
      <c r="B584" s="189"/>
      <c r="J584" s="189"/>
      <c r="M584" s="205"/>
      <c r="O584" t="s">
        <v>7711</v>
      </c>
      <c r="S584" t="str">
        <f>IFERROR(VLOOKUP(E584,'VALORES VIAJES'!$A$2:$B$13,2,FALSE),"")</f>
        <v/>
      </c>
      <c r="T584" t="str">
        <f>IFERROR(VLOOKUP(H584,'VALORES VIAJES'!$A$2:$B$24,2,FALSE),"")</f>
        <v/>
      </c>
      <c r="U584" t="str">
        <f>IFERROR(VLOOKUP(I584,'VALORES VIAJES'!$A$2:$B$24,2,FALSE),"")</f>
        <v/>
      </c>
      <c r="V584" t="str">
        <f>IFERROR(VLOOKUP(K584,'VALORES VIAJES'!$A$2:$B$24,2,FALSE),"")</f>
        <v/>
      </c>
      <c r="X584" s="208">
        <f>SUM(Hoja1[[#This Row],[$ X TIP VEHICUL]:[AGREGADO]])</f>
        <v>0</v>
      </c>
    </row>
    <row r="585" spans="2:24" hidden="1" x14ac:dyDescent="0.25">
      <c r="B585" s="189"/>
      <c r="J585" s="189"/>
      <c r="M585" s="205"/>
      <c r="O585" t="s">
        <v>7711</v>
      </c>
      <c r="S585" t="str">
        <f>IFERROR(VLOOKUP(E585,'VALORES VIAJES'!$A$2:$B$13,2,FALSE),"")</f>
        <v/>
      </c>
      <c r="T585" t="str">
        <f>IFERROR(VLOOKUP(H585,'VALORES VIAJES'!$A$2:$B$24,2,FALSE),"")</f>
        <v/>
      </c>
      <c r="U585" t="str">
        <f>IFERROR(VLOOKUP(I585,'VALORES VIAJES'!$A$2:$B$24,2,FALSE),"")</f>
        <v/>
      </c>
      <c r="V585" t="str">
        <f>IFERROR(VLOOKUP(K585,'VALORES VIAJES'!$A$2:$B$24,2,FALSE),"")</f>
        <v/>
      </c>
      <c r="X585" s="208">
        <f>SUM(Hoja1[[#This Row],[$ X TIP VEHICUL]:[AGREGADO]])</f>
        <v>0</v>
      </c>
    </row>
    <row r="586" spans="2:24" hidden="1" x14ac:dyDescent="0.25">
      <c r="B586" s="189"/>
      <c r="J586" s="189"/>
      <c r="M586" s="205"/>
      <c r="O586" t="s">
        <v>7711</v>
      </c>
      <c r="S586" t="str">
        <f>IFERROR(VLOOKUP(E586,'VALORES VIAJES'!$A$2:$B$13,2,FALSE),"")</f>
        <v/>
      </c>
      <c r="T586" t="str">
        <f>IFERROR(VLOOKUP(H586,'VALORES VIAJES'!$A$2:$B$24,2,FALSE),"")</f>
        <v/>
      </c>
      <c r="U586" t="str">
        <f>IFERROR(VLOOKUP(I586,'VALORES VIAJES'!$A$2:$B$24,2,FALSE),"")</f>
        <v/>
      </c>
      <c r="V586" t="str">
        <f>IFERROR(VLOOKUP(K586,'VALORES VIAJES'!$A$2:$B$24,2,FALSE),"")</f>
        <v/>
      </c>
      <c r="X586" s="208">
        <f>SUM(Hoja1[[#This Row],[$ X TIP VEHICUL]:[AGREGADO]])</f>
        <v>0</v>
      </c>
    </row>
    <row r="587" spans="2:24" hidden="1" x14ac:dyDescent="0.25">
      <c r="B587" s="189"/>
      <c r="J587" s="189"/>
      <c r="M587" s="205"/>
      <c r="O587" t="s">
        <v>7711</v>
      </c>
      <c r="S587" t="str">
        <f>IFERROR(VLOOKUP(E587,'VALORES VIAJES'!$A$2:$B$13,2,FALSE),"")</f>
        <v/>
      </c>
      <c r="T587" t="str">
        <f>IFERROR(VLOOKUP(H587,'VALORES VIAJES'!$A$2:$B$24,2,FALSE),"")</f>
        <v/>
      </c>
      <c r="U587" t="str">
        <f>IFERROR(VLOOKUP(I587,'VALORES VIAJES'!$A$2:$B$24,2,FALSE),"")</f>
        <v/>
      </c>
      <c r="V587" t="str">
        <f>IFERROR(VLOOKUP(K587,'VALORES VIAJES'!$A$2:$B$24,2,FALSE),"")</f>
        <v/>
      </c>
      <c r="X587" s="208">
        <f>SUM(Hoja1[[#This Row],[$ X TIP VEHICUL]:[AGREGADO]])</f>
        <v>0</v>
      </c>
    </row>
    <row r="588" spans="2:24" hidden="1" x14ac:dyDescent="0.25">
      <c r="B588" s="189"/>
      <c r="J588" s="189"/>
      <c r="M588" s="205"/>
      <c r="O588" t="s">
        <v>7711</v>
      </c>
      <c r="S588" t="str">
        <f>IFERROR(VLOOKUP(E588,'VALORES VIAJES'!$A$2:$B$13,2,FALSE),"")</f>
        <v/>
      </c>
      <c r="T588" t="str">
        <f>IFERROR(VLOOKUP(H588,'VALORES VIAJES'!$A$2:$B$24,2,FALSE),"")</f>
        <v/>
      </c>
      <c r="U588" t="str">
        <f>IFERROR(VLOOKUP(I588,'VALORES VIAJES'!$A$2:$B$24,2,FALSE),"")</f>
        <v/>
      </c>
      <c r="V588" t="str">
        <f>IFERROR(VLOOKUP(K588,'VALORES VIAJES'!$A$2:$B$24,2,FALSE),"")</f>
        <v/>
      </c>
      <c r="X588" s="208">
        <f>SUM(Hoja1[[#This Row],[$ X TIP VEHICUL]:[AGREGADO]])</f>
        <v>0</v>
      </c>
    </row>
    <row r="589" spans="2:24" hidden="1" x14ac:dyDescent="0.25">
      <c r="B589" s="189"/>
      <c r="J589" s="189"/>
      <c r="M589" s="205"/>
      <c r="O589" t="s">
        <v>7711</v>
      </c>
      <c r="S589" t="str">
        <f>IFERROR(VLOOKUP(E589,'VALORES VIAJES'!$A$2:$B$13,2,FALSE),"")</f>
        <v/>
      </c>
      <c r="T589" t="str">
        <f>IFERROR(VLOOKUP(H589,'VALORES VIAJES'!$A$2:$B$24,2,FALSE),"")</f>
        <v/>
      </c>
      <c r="U589" t="str">
        <f>IFERROR(VLOOKUP(I589,'VALORES VIAJES'!$A$2:$B$24,2,FALSE),"")</f>
        <v/>
      </c>
      <c r="V589" t="str">
        <f>IFERROR(VLOOKUP(K589,'VALORES VIAJES'!$A$2:$B$24,2,FALSE),"")</f>
        <v/>
      </c>
      <c r="X589" s="208">
        <f>SUM(Hoja1[[#This Row],[$ X TIP VEHICUL]:[AGREGADO]])</f>
        <v>0</v>
      </c>
    </row>
    <row r="590" spans="2:24" hidden="1" x14ac:dyDescent="0.25">
      <c r="B590" s="189"/>
      <c r="J590" s="189"/>
      <c r="M590" s="205"/>
      <c r="O590" t="s">
        <v>7711</v>
      </c>
      <c r="S590" t="str">
        <f>IFERROR(VLOOKUP(E590,'VALORES VIAJES'!$A$2:$B$13,2,FALSE),"")</f>
        <v/>
      </c>
      <c r="T590" t="str">
        <f>IFERROR(VLOOKUP(H590,'VALORES VIAJES'!$A$2:$B$24,2,FALSE),"")</f>
        <v/>
      </c>
      <c r="U590" t="str">
        <f>IFERROR(VLOOKUP(I590,'VALORES VIAJES'!$A$2:$B$24,2,FALSE),"")</f>
        <v/>
      </c>
      <c r="V590" t="str">
        <f>IFERROR(VLOOKUP(K590,'VALORES VIAJES'!$A$2:$B$24,2,FALSE),"")</f>
        <v/>
      </c>
      <c r="X590" s="208">
        <f>SUM(Hoja1[[#This Row],[$ X TIP VEHICUL]:[AGREGADO]])</f>
        <v>0</v>
      </c>
    </row>
    <row r="591" spans="2:24" hidden="1" x14ac:dyDescent="0.25">
      <c r="B591" s="189"/>
      <c r="J591" s="189"/>
      <c r="M591" s="205"/>
      <c r="O591" t="s">
        <v>7711</v>
      </c>
      <c r="S591" t="str">
        <f>IFERROR(VLOOKUP(E591,'VALORES VIAJES'!$A$2:$B$13,2,FALSE),"")</f>
        <v/>
      </c>
      <c r="T591" t="str">
        <f>IFERROR(VLOOKUP(H591,'VALORES VIAJES'!$A$2:$B$24,2,FALSE),"")</f>
        <v/>
      </c>
      <c r="U591" t="str">
        <f>IFERROR(VLOOKUP(I591,'VALORES VIAJES'!$A$2:$B$24,2,FALSE),"")</f>
        <v/>
      </c>
      <c r="V591" t="str">
        <f>IFERROR(VLOOKUP(K591,'VALORES VIAJES'!$A$2:$B$24,2,FALSE),"")</f>
        <v/>
      </c>
      <c r="X591" s="208">
        <f>SUM(Hoja1[[#This Row],[$ X TIP VEHICUL]:[AGREGADO]])</f>
        <v>0</v>
      </c>
    </row>
    <row r="592" spans="2:24" hidden="1" x14ac:dyDescent="0.25">
      <c r="B592" s="189"/>
      <c r="J592" s="189"/>
      <c r="M592" s="205"/>
      <c r="O592" t="s">
        <v>7711</v>
      </c>
      <c r="S592" t="str">
        <f>IFERROR(VLOOKUP(E592,'VALORES VIAJES'!$A$2:$B$13,2,FALSE),"")</f>
        <v/>
      </c>
      <c r="T592" t="str">
        <f>IFERROR(VLOOKUP(H592,'VALORES VIAJES'!$A$2:$B$24,2,FALSE),"")</f>
        <v/>
      </c>
      <c r="U592" t="str">
        <f>IFERROR(VLOOKUP(I592,'VALORES VIAJES'!$A$2:$B$24,2,FALSE),"")</f>
        <v/>
      </c>
      <c r="V592" t="str">
        <f>IFERROR(VLOOKUP(K592,'VALORES VIAJES'!$A$2:$B$24,2,FALSE),"")</f>
        <v/>
      </c>
      <c r="X592" s="208">
        <f>SUM(Hoja1[[#This Row],[$ X TIP VEHICUL]:[AGREGADO]])</f>
        <v>0</v>
      </c>
    </row>
    <row r="593" spans="2:24" hidden="1" x14ac:dyDescent="0.25">
      <c r="B593" s="189"/>
      <c r="J593" s="189"/>
      <c r="M593" s="205"/>
      <c r="O593" t="s">
        <v>7711</v>
      </c>
      <c r="S593" t="str">
        <f>IFERROR(VLOOKUP(E593,'VALORES VIAJES'!$A$2:$B$13,2,FALSE),"")</f>
        <v/>
      </c>
      <c r="T593" t="str">
        <f>IFERROR(VLOOKUP(H593,'VALORES VIAJES'!$A$2:$B$24,2,FALSE),"")</f>
        <v/>
      </c>
      <c r="U593" t="str">
        <f>IFERROR(VLOOKUP(I593,'VALORES VIAJES'!$A$2:$B$24,2,FALSE),"")</f>
        <v/>
      </c>
      <c r="V593" t="str">
        <f>IFERROR(VLOOKUP(K593,'VALORES VIAJES'!$A$2:$B$24,2,FALSE),"")</f>
        <v/>
      </c>
      <c r="X593" s="208">
        <f>SUM(Hoja1[[#This Row],[$ X TIP VEHICUL]:[AGREGADO]])</f>
        <v>0</v>
      </c>
    </row>
    <row r="594" spans="2:24" hidden="1" x14ac:dyDescent="0.25">
      <c r="B594" s="189"/>
      <c r="J594" s="189"/>
      <c r="M594" s="205"/>
      <c r="O594" t="s">
        <v>7711</v>
      </c>
      <c r="S594" t="str">
        <f>IFERROR(VLOOKUP(E594,'VALORES VIAJES'!$A$2:$B$13,2,FALSE),"")</f>
        <v/>
      </c>
      <c r="T594" t="str">
        <f>IFERROR(VLOOKUP(H594,'VALORES VIAJES'!$A$2:$B$24,2,FALSE),"")</f>
        <v/>
      </c>
      <c r="U594" t="str">
        <f>IFERROR(VLOOKUP(I594,'VALORES VIAJES'!$A$2:$B$24,2,FALSE),"")</f>
        <v/>
      </c>
      <c r="V594" t="str">
        <f>IFERROR(VLOOKUP(K594,'VALORES VIAJES'!$A$2:$B$24,2,FALSE),"")</f>
        <v/>
      </c>
      <c r="X594" s="208">
        <f>SUM(Hoja1[[#This Row],[$ X TIP VEHICUL]:[AGREGADO]])</f>
        <v>0</v>
      </c>
    </row>
    <row r="595" spans="2:24" hidden="1" x14ac:dyDescent="0.25">
      <c r="B595" s="189"/>
      <c r="J595" s="189"/>
      <c r="M595" s="205"/>
      <c r="O595" t="s">
        <v>7711</v>
      </c>
      <c r="S595" t="str">
        <f>IFERROR(VLOOKUP(E595,'VALORES VIAJES'!$A$2:$B$13,2,FALSE),"")</f>
        <v/>
      </c>
      <c r="T595" t="str">
        <f>IFERROR(VLOOKUP(H595,'VALORES VIAJES'!$A$2:$B$24,2,FALSE),"")</f>
        <v/>
      </c>
      <c r="U595" t="str">
        <f>IFERROR(VLOOKUP(I595,'VALORES VIAJES'!$A$2:$B$24,2,FALSE),"")</f>
        <v/>
      </c>
      <c r="V595" t="str">
        <f>IFERROR(VLOOKUP(K595,'VALORES VIAJES'!$A$2:$B$24,2,FALSE),"")</f>
        <v/>
      </c>
      <c r="X595" s="208">
        <f>SUM(Hoja1[[#This Row],[$ X TIP VEHICUL]:[AGREGADO]])</f>
        <v>0</v>
      </c>
    </row>
    <row r="596" spans="2:24" hidden="1" x14ac:dyDescent="0.25">
      <c r="B596" s="189"/>
      <c r="J596" s="189"/>
      <c r="M596" s="205"/>
      <c r="O596" t="s">
        <v>7711</v>
      </c>
      <c r="S596" t="str">
        <f>IFERROR(VLOOKUP(E596,'VALORES VIAJES'!$A$2:$B$13,2,FALSE),"")</f>
        <v/>
      </c>
      <c r="T596" t="str">
        <f>IFERROR(VLOOKUP(H596,'VALORES VIAJES'!$A$2:$B$24,2,FALSE),"")</f>
        <v/>
      </c>
      <c r="U596" t="str">
        <f>IFERROR(VLOOKUP(I596,'VALORES VIAJES'!$A$2:$B$24,2,FALSE),"")</f>
        <v/>
      </c>
      <c r="V596" t="str">
        <f>IFERROR(VLOOKUP(K596,'VALORES VIAJES'!$A$2:$B$24,2,FALSE),"")</f>
        <v/>
      </c>
      <c r="X596" s="208">
        <f>SUM(Hoja1[[#This Row],[$ X TIP VEHICUL]:[AGREGADO]])</f>
        <v>0</v>
      </c>
    </row>
    <row r="597" spans="2:24" hidden="1" x14ac:dyDescent="0.25">
      <c r="B597" s="189"/>
      <c r="J597" s="189"/>
      <c r="M597" s="205"/>
      <c r="O597" t="s">
        <v>7711</v>
      </c>
      <c r="S597" t="str">
        <f>IFERROR(VLOOKUP(E597,'VALORES VIAJES'!$A$2:$B$13,2,FALSE),"")</f>
        <v/>
      </c>
      <c r="T597" t="str">
        <f>IFERROR(VLOOKUP(H597,'VALORES VIAJES'!$A$2:$B$24,2,FALSE),"")</f>
        <v/>
      </c>
      <c r="U597" t="str">
        <f>IFERROR(VLOOKUP(I597,'VALORES VIAJES'!$A$2:$B$24,2,FALSE),"")</f>
        <v/>
      </c>
      <c r="V597" t="str">
        <f>IFERROR(VLOOKUP(K597,'VALORES VIAJES'!$A$2:$B$24,2,FALSE),"")</f>
        <v/>
      </c>
      <c r="X597" s="208">
        <f>SUM(Hoja1[[#This Row],[$ X TIP VEHICUL]:[AGREGADO]])</f>
        <v>0</v>
      </c>
    </row>
    <row r="598" spans="2:24" hidden="1" x14ac:dyDescent="0.25">
      <c r="B598" s="189"/>
      <c r="J598" s="189"/>
      <c r="M598" s="205"/>
      <c r="O598" t="s">
        <v>7711</v>
      </c>
      <c r="S598" t="str">
        <f>IFERROR(VLOOKUP(E598,'VALORES VIAJES'!$A$2:$B$13,2,FALSE),"")</f>
        <v/>
      </c>
      <c r="T598" t="str">
        <f>IFERROR(VLOOKUP(H598,'VALORES VIAJES'!$A$2:$B$24,2,FALSE),"")</f>
        <v/>
      </c>
      <c r="U598" t="str">
        <f>IFERROR(VLOOKUP(I598,'VALORES VIAJES'!$A$2:$B$24,2,FALSE),"")</f>
        <v/>
      </c>
      <c r="V598" t="str">
        <f>IFERROR(VLOOKUP(K598,'VALORES VIAJES'!$A$2:$B$24,2,FALSE),"")</f>
        <v/>
      </c>
      <c r="X598" s="208">
        <f>SUM(Hoja1[[#This Row],[$ X TIP VEHICUL]:[AGREGADO]])</f>
        <v>0</v>
      </c>
    </row>
    <row r="599" spans="2:24" hidden="1" x14ac:dyDescent="0.25">
      <c r="B599" s="189"/>
      <c r="J599" s="189"/>
      <c r="M599" s="205"/>
      <c r="O599" t="s">
        <v>7711</v>
      </c>
      <c r="S599" t="str">
        <f>IFERROR(VLOOKUP(E599,'VALORES VIAJES'!$A$2:$B$13,2,FALSE),"")</f>
        <v/>
      </c>
      <c r="T599" t="str">
        <f>IFERROR(VLOOKUP(H599,'VALORES VIAJES'!$A$2:$B$24,2,FALSE),"")</f>
        <v/>
      </c>
      <c r="U599" t="str">
        <f>IFERROR(VLOOKUP(I599,'VALORES VIAJES'!$A$2:$B$24,2,FALSE),"")</f>
        <v/>
      </c>
      <c r="V599" t="str">
        <f>IFERROR(VLOOKUP(K599,'VALORES VIAJES'!$A$2:$B$24,2,FALSE),"")</f>
        <v/>
      </c>
      <c r="X599" s="208">
        <f>SUM(Hoja1[[#This Row],[$ X TIP VEHICUL]:[AGREGADO]])</f>
        <v>0</v>
      </c>
    </row>
    <row r="600" spans="2:24" hidden="1" x14ac:dyDescent="0.25">
      <c r="B600" s="189"/>
      <c r="J600" s="189"/>
      <c r="M600" s="205"/>
      <c r="O600" t="s">
        <v>7711</v>
      </c>
      <c r="S600" t="str">
        <f>IFERROR(VLOOKUP(E600,'VALORES VIAJES'!$A$2:$B$13,2,FALSE),"")</f>
        <v/>
      </c>
      <c r="T600" t="str">
        <f>IFERROR(VLOOKUP(H600,'VALORES VIAJES'!$A$2:$B$24,2,FALSE),"")</f>
        <v/>
      </c>
      <c r="U600" t="str">
        <f>IFERROR(VLOOKUP(I600,'VALORES VIAJES'!$A$2:$B$24,2,FALSE),"")</f>
        <v/>
      </c>
      <c r="V600" t="str">
        <f>IFERROR(VLOOKUP(K600,'VALORES VIAJES'!$A$2:$B$24,2,FALSE),"")</f>
        <v/>
      </c>
      <c r="X600" s="208">
        <f>SUM(Hoja1[[#This Row],[$ X TIP VEHICUL]:[AGREGADO]])</f>
        <v>0</v>
      </c>
    </row>
    <row r="601" spans="2:24" hidden="1" x14ac:dyDescent="0.25">
      <c r="B601" s="189"/>
      <c r="J601" s="189"/>
      <c r="M601" s="205"/>
      <c r="O601" t="s">
        <v>7711</v>
      </c>
      <c r="S601" t="str">
        <f>IFERROR(VLOOKUP(E601,'VALORES VIAJES'!$A$2:$B$13,2,FALSE),"")</f>
        <v/>
      </c>
      <c r="T601" t="str">
        <f>IFERROR(VLOOKUP(H601,'VALORES VIAJES'!$A$2:$B$24,2,FALSE),"")</f>
        <v/>
      </c>
      <c r="U601" t="str">
        <f>IFERROR(VLOOKUP(I601,'VALORES VIAJES'!$A$2:$B$24,2,FALSE),"")</f>
        <v/>
      </c>
      <c r="V601" t="str">
        <f>IFERROR(VLOOKUP(K601,'VALORES VIAJES'!$A$2:$B$24,2,FALSE),"")</f>
        <v/>
      </c>
      <c r="X601" s="208">
        <f>SUM(Hoja1[[#This Row],[$ X TIP VEHICUL]:[AGREGADO]])</f>
        <v>0</v>
      </c>
    </row>
    <row r="602" spans="2:24" hidden="1" x14ac:dyDescent="0.25">
      <c r="B602" s="189"/>
      <c r="J602" s="189"/>
      <c r="M602" s="205"/>
      <c r="O602" t="s">
        <v>7711</v>
      </c>
      <c r="S602" t="str">
        <f>IFERROR(VLOOKUP(E602,'VALORES VIAJES'!$A$2:$B$13,2,FALSE),"")</f>
        <v/>
      </c>
      <c r="T602" t="str">
        <f>IFERROR(VLOOKUP(H602,'VALORES VIAJES'!$A$2:$B$24,2,FALSE),"")</f>
        <v/>
      </c>
      <c r="U602" t="str">
        <f>IFERROR(VLOOKUP(I602,'VALORES VIAJES'!$A$2:$B$24,2,FALSE),"")</f>
        <v/>
      </c>
      <c r="V602" t="str">
        <f>IFERROR(VLOOKUP(K602,'VALORES VIAJES'!$A$2:$B$24,2,FALSE),"")</f>
        <v/>
      </c>
      <c r="X602" s="208">
        <f>SUM(Hoja1[[#This Row],[$ X TIP VEHICUL]:[AGREGADO]])</f>
        <v>0</v>
      </c>
    </row>
    <row r="603" spans="2:24" hidden="1" x14ac:dyDescent="0.25">
      <c r="B603" s="189"/>
      <c r="J603" s="189"/>
      <c r="M603" s="205"/>
      <c r="O603" t="s">
        <v>7711</v>
      </c>
      <c r="S603" t="str">
        <f>IFERROR(VLOOKUP(E603,'VALORES VIAJES'!$A$2:$B$13,2,FALSE),"")</f>
        <v/>
      </c>
      <c r="T603" t="str">
        <f>IFERROR(VLOOKUP(H603,'VALORES VIAJES'!$A$2:$B$24,2,FALSE),"")</f>
        <v/>
      </c>
      <c r="U603" t="str">
        <f>IFERROR(VLOOKUP(I603,'VALORES VIAJES'!$A$2:$B$24,2,FALSE),"")</f>
        <v/>
      </c>
      <c r="V603" t="str">
        <f>IFERROR(VLOOKUP(K603,'VALORES VIAJES'!$A$2:$B$24,2,FALSE),"")</f>
        <v/>
      </c>
      <c r="X603" s="208">
        <f>SUM(Hoja1[[#This Row],[$ X TIP VEHICUL]:[AGREGADO]])</f>
        <v>0</v>
      </c>
    </row>
    <row r="604" spans="2:24" hidden="1" x14ac:dyDescent="0.25">
      <c r="B604" s="189"/>
      <c r="J604" s="189"/>
      <c r="M604" s="205"/>
      <c r="O604" t="s">
        <v>7711</v>
      </c>
      <c r="S604" t="str">
        <f>IFERROR(VLOOKUP(E604,'VALORES VIAJES'!$A$2:$B$13,2,FALSE),"")</f>
        <v/>
      </c>
      <c r="T604" t="str">
        <f>IFERROR(VLOOKUP(H604,'VALORES VIAJES'!$A$2:$B$24,2,FALSE),"")</f>
        <v/>
      </c>
      <c r="U604" t="str">
        <f>IFERROR(VLOOKUP(I604,'VALORES VIAJES'!$A$2:$B$24,2,FALSE),"")</f>
        <v/>
      </c>
      <c r="V604" t="str">
        <f>IFERROR(VLOOKUP(K604,'VALORES VIAJES'!$A$2:$B$24,2,FALSE),"")</f>
        <v/>
      </c>
      <c r="X604" s="208">
        <f>SUM(Hoja1[[#This Row],[$ X TIP VEHICUL]:[AGREGADO]])</f>
        <v>0</v>
      </c>
    </row>
    <row r="605" spans="2:24" hidden="1" x14ac:dyDescent="0.25">
      <c r="B605" s="189"/>
      <c r="J605" s="189"/>
      <c r="M605" s="205"/>
      <c r="O605" t="s">
        <v>7711</v>
      </c>
      <c r="S605" t="str">
        <f>IFERROR(VLOOKUP(E605,'VALORES VIAJES'!$A$2:$B$13,2,FALSE),"")</f>
        <v/>
      </c>
      <c r="T605" t="str">
        <f>IFERROR(VLOOKUP(H605,'VALORES VIAJES'!$A$2:$B$24,2,FALSE),"")</f>
        <v/>
      </c>
      <c r="U605" t="str">
        <f>IFERROR(VLOOKUP(I605,'VALORES VIAJES'!$A$2:$B$24,2,FALSE),"")</f>
        <v/>
      </c>
      <c r="V605" t="str">
        <f>IFERROR(VLOOKUP(K605,'VALORES VIAJES'!$A$2:$B$24,2,FALSE),"")</f>
        <v/>
      </c>
      <c r="X605" s="208">
        <f>SUM(Hoja1[[#This Row],[$ X TIP VEHICUL]:[AGREGADO]])</f>
        <v>0</v>
      </c>
    </row>
    <row r="606" spans="2:24" hidden="1" x14ac:dyDescent="0.25">
      <c r="B606" s="189"/>
      <c r="J606" s="189"/>
      <c r="M606" s="205"/>
      <c r="O606" t="s">
        <v>7711</v>
      </c>
      <c r="S606" t="str">
        <f>IFERROR(VLOOKUP(E606,'VALORES VIAJES'!$A$2:$B$13,2,FALSE),"")</f>
        <v/>
      </c>
      <c r="T606" t="str">
        <f>IFERROR(VLOOKUP(H606,'VALORES VIAJES'!$A$2:$B$24,2,FALSE),"")</f>
        <v/>
      </c>
      <c r="U606" t="str">
        <f>IFERROR(VLOOKUP(I606,'VALORES VIAJES'!$A$2:$B$24,2,FALSE),"")</f>
        <v/>
      </c>
      <c r="V606" t="str">
        <f>IFERROR(VLOOKUP(K606,'VALORES VIAJES'!$A$2:$B$24,2,FALSE),"")</f>
        <v/>
      </c>
      <c r="X606" s="208">
        <f>SUM(Hoja1[[#This Row],[$ X TIP VEHICUL]:[AGREGADO]])</f>
        <v>0</v>
      </c>
    </row>
    <row r="607" spans="2:24" hidden="1" x14ac:dyDescent="0.25">
      <c r="B607" s="189"/>
      <c r="J607" s="189"/>
      <c r="M607" s="205"/>
      <c r="O607" t="s">
        <v>7711</v>
      </c>
      <c r="S607" t="str">
        <f>IFERROR(VLOOKUP(E607,'VALORES VIAJES'!$A$2:$B$13,2,FALSE),"")</f>
        <v/>
      </c>
      <c r="T607" t="str">
        <f>IFERROR(VLOOKUP(H607,'VALORES VIAJES'!$A$2:$B$24,2,FALSE),"")</f>
        <v/>
      </c>
      <c r="U607" t="str">
        <f>IFERROR(VLOOKUP(I607,'VALORES VIAJES'!$A$2:$B$24,2,FALSE),"")</f>
        <v/>
      </c>
      <c r="V607" t="str">
        <f>IFERROR(VLOOKUP(K607,'VALORES VIAJES'!$A$2:$B$24,2,FALSE),"")</f>
        <v/>
      </c>
      <c r="X607" s="208">
        <f>SUM(Hoja1[[#This Row],[$ X TIP VEHICUL]:[AGREGADO]])</f>
        <v>0</v>
      </c>
    </row>
    <row r="608" spans="2:24" hidden="1" x14ac:dyDescent="0.25">
      <c r="B608" s="189"/>
      <c r="J608" s="189"/>
      <c r="M608" s="205"/>
      <c r="O608" t="s">
        <v>7711</v>
      </c>
      <c r="S608" t="str">
        <f>IFERROR(VLOOKUP(E608,'VALORES VIAJES'!$A$2:$B$13,2,FALSE),"")</f>
        <v/>
      </c>
      <c r="T608" t="str">
        <f>IFERROR(VLOOKUP(H608,'VALORES VIAJES'!$A$2:$B$24,2,FALSE),"")</f>
        <v/>
      </c>
      <c r="U608" t="str">
        <f>IFERROR(VLOOKUP(I608,'VALORES VIAJES'!$A$2:$B$24,2,FALSE),"")</f>
        <v/>
      </c>
      <c r="V608" t="str">
        <f>IFERROR(VLOOKUP(K608,'VALORES VIAJES'!$A$2:$B$24,2,FALSE),"")</f>
        <v/>
      </c>
      <c r="X608" s="208">
        <f>SUM(Hoja1[[#This Row],[$ X TIP VEHICUL]:[AGREGADO]])</f>
        <v>0</v>
      </c>
    </row>
    <row r="609" spans="2:24" hidden="1" x14ac:dyDescent="0.25">
      <c r="B609" s="189"/>
      <c r="J609" s="189"/>
      <c r="M609" s="205"/>
      <c r="O609" t="s">
        <v>7711</v>
      </c>
      <c r="S609" t="str">
        <f>IFERROR(VLOOKUP(E609,'VALORES VIAJES'!$A$2:$B$13,2,FALSE),"")</f>
        <v/>
      </c>
      <c r="T609" t="str">
        <f>IFERROR(VLOOKUP(H609,'VALORES VIAJES'!$A$2:$B$24,2,FALSE),"")</f>
        <v/>
      </c>
      <c r="U609" t="str">
        <f>IFERROR(VLOOKUP(I609,'VALORES VIAJES'!$A$2:$B$24,2,FALSE),"")</f>
        <v/>
      </c>
      <c r="V609" t="str">
        <f>IFERROR(VLOOKUP(K609,'VALORES VIAJES'!$A$2:$B$24,2,FALSE),"")</f>
        <v/>
      </c>
      <c r="X609" s="208">
        <f>SUM(Hoja1[[#This Row],[$ X TIP VEHICUL]:[AGREGADO]])</f>
        <v>0</v>
      </c>
    </row>
    <row r="610" spans="2:24" hidden="1" x14ac:dyDescent="0.25">
      <c r="B610" s="189"/>
      <c r="J610" s="189"/>
      <c r="M610" s="205"/>
      <c r="O610" t="s">
        <v>7711</v>
      </c>
      <c r="S610" t="str">
        <f>IFERROR(VLOOKUP(E610,'VALORES VIAJES'!$A$2:$B$13,2,FALSE),"")</f>
        <v/>
      </c>
      <c r="T610" t="str">
        <f>IFERROR(VLOOKUP(H610,'VALORES VIAJES'!$A$2:$B$24,2,FALSE),"")</f>
        <v/>
      </c>
      <c r="U610" t="str">
        <f>IFERROR(VLOOKUP(I610,'VALORES VIAJES'!$A$2:$B$24,2,FALSE),"")</f>
        <v/>
      </c>
      <c r="V610" t="str">
        <f>IFERROR(VLOOKUP(K610,'VALORES VIAJES'!$A$2:$B$24,2,FALSE),"")</f>
        <v/>
      </c>
      <c r="X610" s="208">
        <f>SUM(Hoja1[[#This Row],[$ X TIP VEHICUL]:[AGREGADO]])</f>
        <v>0</v>
      </c>
    </row>
    <row r="611" spans="2:24" hidden="1" x14ac:dyDescent="0.25">
      <c r="B611" s="189"/>
      <c r="J611" s="189"/>
      <c r="M611" s="205"/>
      <c r="O611" t="s">
        <v>7711</v>
      </c>
      <c r="S611" t="str">
        <f>IFERROR(VLOOKUP(E611,'VALORES VIAJES'!$A$2:$B$13,2,FALSE),"")</f>
        <v/>
      </c>
      <c r="T611" t="str">
        <f>IFERROR(VLOOKUP(H611,'VALORES VIAJES'!$A$2:$B$24,2,FALSE),"")</f>
        <v/>
      </c>
      <c r="U611" t="str">
        <f>IFERROR(VLOOKUP(I611,'VALORES VIAJES'!$A$2:$B$24,2,FALSE),"")</f>
        <v/>
      </c>
      <c r="V611" t="str">
        <f>IFERROR(VLOOKUP(K611,'VALORES VIAJES'!$A$2:$B$24,2,FALSE),"")</f>
        <v/>
      </c>
      <c r="X611" s="208">
        <f>SUM(Hoja1[[#This Row],[$ X TIP VEHICUL]:[AGREGADO]])</f>
        <v>0</v>
      </c>
    </row>
    <row r="612" spans="2:24" hidden="1" x14ac:dyDescent="0.25">
      <c r="B612" s="189"/>
      <c r="J612" s="189"/>
      <c r="M612" s="205"/>
      <c r="O612" t="s">
        <v>7711</v>
      </c>
      <c r="S612" t="str">
        <f>IFERROR(VLOOKUP(E612,'VALORES VIAJES'!$A$2:$B$13,2,FALSE),"")</f>
        <v/>
      </c>
      <c r="T612" t="str">
        <f>IFERROR(VLOOKUP(H612,'VALORES VIAJES'!$A$2:$B$24,2,FALSE),"")</f>
        <v/>
      </c>
      <c r="U612" t="str">
        <f>IFERROR(VLOOKUP(I612,'VALORES VIAJES'!$A$2:$B$24,2,FALSE),"")</f>
        <v/>
      </c>
      <c r="V612" t="str">
        <f>IFERROR(VLOOKUP(K612,'VALORES VIAJES'!$A$2:$B$24,2,FALSE),"")</f>
        <v/>
      </c>
      <c r="X612" s="208">
        <f>SUM(Hoja1[[#This Row],[$ X TIP VEHICUL]:[AGREGADO]])</f>
        <v>0</v>
      </c>
    </row>
    <row r="613" spans="2:24" hidden="1" x14ac:dyDescent="0.25">
      <c r="B613" s="189"/>
      <c r="J613" s="189"/>
      <c r="M613" s="205"/>
      <c r="O613" t="s">
        <v>7711</v>
      </c>
      <c r="S613" t="str">
        <f>IFERROR(VLOOKUP(E613,'VALORES VIAJES'!$A$2:$B$13,2,FALSE),"")</f>
        <v/>
      </c>
      <c r="T613" t="str">
        <f>IFERROR(VLOOKUP(H613,'VALORES VIAJES'!$A$2:$B$24,2,FALSE),"")</f>
        <v/>
      </c>
      <c r="U613" t="str">
        <f>IFERROR(VLOOKUP(I613,'VALORES VIAJES'!$A$2:$B$24,2,FALSE),"")</f>
        <v/>
      </c>
      <c r="V613" t="str">
        <f>IFERROR(VLOOKUP(K613,'VALORES VIAJES'!$A$2:$B$24,2,FALSE),"")</f>
        <v/>
      </c>
      <c r="X613" s="208">
        <f>SUM(Hoja1[[#This Row],[$ X TIP VEHICUL]:[AGREGADO]])</f>
        <v>0</v>
      </c>
    </row>
    <row r="614" spans="2:24" hidden="1" x14ac:dyDescent="0.25">
      <c r="B614" s="189"/>
      <c r="J614" s="189"/>
      <c r="M614" s="205"/>
      <c r="O614" t="s">
        <v>7711</v>
      </c>
      <c r="S614" t="str">
        <f>IFERROR(VLOOKUP(E614,'VALORES VIAJES'!$A$2:$B$13,2,FALSE),"")</f>
        <v/>
      </c>
      <c r="T614" t="str">
        <f>IFERROR(VLOOKUP(H614,'VALORES VIAJES'!$A$2:$B$24,2,FALSE),"")</f>
        <v/>
      </c>
      <c r="U614" t="str">
        <f>IFERROR(VLOOKUP(I614,'VALORES VIAJES'!$A$2:$B$24,2,FALSE),"")</f>
        <v/>
      </c>
      <c r="V614" t="str">
        <f>IFERROR(VLOOKUP(K614,'VALORES VIAJES'!$A$2:$B$24,2,FALSE),"")</f>
        <v/>
      </c>
      <c r="X614" s="208">
        <f>SUM(Hoja1[[#This Row],[$ X TIP VEHICUL]:[AGREGADO]])</f>
        <v>0</v>
      </c>
    </row>
    <row r="615" spans="2:24" hidden="1" x14ac:dyDescent="0.25">
      <c r="B615" s="189"/>
      <c r="J615" s="189"/>
      <c r="M615" s="205"/>
      <c r="O615" t="s">
        <v>7711</v>
      </c>
      <c r="S615" t="str">
        <f>IFERROR(VLOOKUP(E615,'VALORES VIAJES'!$A$2:$B$13,2,FALSE),"")</f>
        <v/>
      </c>
      <c r="T615" t="str">
        <f>IFERROR(VLOOKUP(H615,'VALORES VIAJES'!$A$2:$B$24,2,FALSE),"")</f>
        <v/>
      </c>
      <c r="U615" t="str">
        <f>IFERROR(VLOOKUP(I615,'VALORES VIAJES'!$A$2:$B$24,2,FALSE),"")</f>
        <v/>
      </c>
      <c r="V615" t="str">
        <f>IFERROR(VLOOKUP(K615,'VALORES VIAJES'!$A$2:$B$24,2,FALSE),"")</f>
        <v/>
      </c>
      <c r="X615" s="208">
        <f>SUM(Hoja1[[#This Row],[$ X TIP VEHICUL]:[AGREGADO]])</f>
        <v>0</v>
      </c>
    </row>
    <row r="616" spans="2:24" hidden="1" x14ac:dyDescent="0.25">
      <c r="B616" s="189"/>
      <c r="J616" s="189"/>
      <c r="M616" s="205"/>
      <c r="O616" t="s">
        <v>7711</v>
      </c>
      <c r="S616" t="str">
        <f>IFERROR(VLOOKUP(E616,'VALORES VIAJES'!$A$2:$B$13,2,FALSE),"")</f>
        <v/>
      </c>
      <c r="T616" t="str">
        <f>IFERROR(VLOOKUP(H616,'VALORES VIAJES'!$A$2:$B$24,2,FALSE),"")</f>
        <v/>
      </c>
      <c r="U616" t="str">
        <f>IFERROR(VLOOKUP(I616,'VALORES VIAJES'!$A$2:$B$24,2,FALSE),"")</f>
        <v/>
      </c>
      <c r="V616" t="str">
        <f>IFERROR(VLOOKUP(K616,'VALORES VIAJES'!$A$2:$B$24,2,FALSE),"")</f>
        <v/>
      </c>
      <c r="X616" s="208">
        <f>SUM(Hoja1[[#This Row],[$ X TIP VEHICUL]:[AGREGADO]])</f>
        <v>0</v>
      </c>
    </row>
    <row r="617" spans="2:24" hidden="1" x14ac:dyDescent="0.25">
      <c r="B617" s="189"/>
      <c r="J617" s="189"/>
      <c r="M617" s="205"/>
      <c r="O617" t="s">
        <v>7711</v>
      </c>
      <c r="S617" t="str">
        <f>IFERROR(VLOOKUP(E617,'VALORES VIAJES'!$A$2:$B$13,2,FALSE),"")</f>
        <v/>
      </c>
      <c r="T617" t="str">
        <f>IFERROR(VLOOKUP(H617,'VALORES VIAJES'!$A$2:$B$24,2,FALSE),"")</f>
        <v/>
      </c>
      <c r="U617" t="str">
        <f>IFERROR(VLOOKUP(I617,'VALORES VIAJES'!$A$2:$B$24,2,FALSE),"")</f>
        <v/>
      </c>
      <c r="V617" t="str">
        <f>IFERROR(VLOOKUP(K617,'VALORES VIAJES'!$A$2:$B$24,2,FALSE),"")</f>
        <v/>
      </c>
      <c r="X617" s="208">
        <f>SUM(Hoja1[[#This Row],[$ X TIP VEHICUL]:[AGREGADO]])</f>
        <v>0</v>
      </c>
    </row>
    <row r="618" spans="2:24" hidden="1" x14ac:dyDescent="0.25">
      <c r="B618" s="189"/>
      <c r="J618" s="189"/>
      <c r="M618" s="205"/>
      <c r="O618" t="s">
        <v>7711</v>
      </c>
      <c r="S618" t="str">
        <f>IFERROR(VLOOKUP(E618,'VALORES VIAJES'!$A$2:$B$13,2,FALSE),"")</f>
        <v/>
      </c>
      <c r="T618" t="str">
        <f>IFERROR(VLOOKUP(H618,'VALORES VIAJES'!$A$2:$B$24,2,FALSE),"")</f>
        <v/>
      </c>
      <c r="U618" t="str">
        <f>IFERROR(VLOOKUP(I618,'VALORES VIAJES'!$A$2:$B$24,2,FALSE),"")</f>
        <v/>
      </c>
      <c r="V618" t="str">
        <f>IFERROR(VLOOKUP(K618,'VALORES VIAJES'!$A$2:$B$24,2,FALSE),"")</f>
        <v/>
      </c>
      <c r="X618" s="208">
        <f>SUM(Hoja1[[#This Row],[$ X TIP VEHICUL]:[AGREGADO]])</f>
        <v>0</v>
      </c>
    </row>
    <row r="619" spans="2:24" hidden="1" x14ac:dyDescent="0.25">
      <c r="B619" s="189"/>
      <c r="J619" s="189"/>
      <c r="M619" s="205"/>
      <c r="O619" t="s">
        <v>7711</v>
      </c>
      <c r="S619" t="str">
        <f>IFERROR(VLOOKUP(E619,'VALORES VIAJES'!$A$2:$B$13,2,FALSE),"")</f>
        <v/>
      </c>
      <c r="T619" t="str">
        <f>IFERROR(VLOOKUP(H619,'VALORES VIAJES'!$A$2:$B$24,2,FALSE),"")</f>
        <v/>
      </c>
      <c r="U619" t="str">
        <f>IFERROR(VLOOKUP(I619,'VALORES VIAJES'!$A$2:$B$24,2,FALSE),"")</f>
        <v/>
      </c>
      <c r="V619" t="str">
        <f>IFERROR(VLOOKUP(K619,'VALORES VIAJES'!$A$2:$B$24,2,FALSE),"")</f>
        <v/>
      </c>
      <c r="X619" s="208">
        <f>SUM(Hoja1[[#This Row],[$ X TIP VEHICUL]:[AGREGADO]])</f>
        <v>0</v>
      </c>
    </row>
    <row r="620" spans="2:24" hidden="1" x14ac:dyDescent="0.25">
      <c r="B620" s="189"/>
      <c r="J620" s="189"/>
      <c r="M620" s="205"/>
      <c r="O620" t="s">
        <v>7711</v>
      </c>
      <c r="S620" t="str">
        <f>IFERROR(VLOOKUP(E620,'VALORES VIAJES'!$A$2:$B$13,2,FALSE),"")</f>
        <v/>
      </c>
      <c r="T620" t="str">
        <f>IFERROR(VLOOKUP(H620,'VALORES VIAJES'!$A$2:$B$24,2,FALSE),"")</f>
        <v/>
      </c>
      <c r="U620" t="str">
        <f>IFERROR(VLOOKUP(I620,'VALORES VIAJES'!$A$2:$B$24,2,FALSE),"")</f>
        <v/>
      </c>
      <c r="V620" t="str">
        <f>IFERROR(VLOOKUP(K620,'VALORES VIAJES'!$A$2:$B$24,2,FALSE),"")</f>
        <v/>
      </c>
      <c r="X620" s="208">
        <f>SUM(Hoja1[[#This Row],[$ X TIP VEHICUL]:[AGREGADO]])</f>
        <v>0</v>
      </c>
    </row>
    <row r="621" spans="2:24" hidden="1" x14ac:dyDescent="0.25">
      <c r="B621" s="189"/>
      <c r="J621" s="189"/>
      <c r="M621" s="205"/>
      <c r="O621" t="s">
        <v>7711</v>
      </c>
      <c r="S621" t="str">
        <f>IFERROR(VLOOKUP(E621,'VALORES VIAJES'!$A$2:$B$13,2,FALSE),"")</f>
        <v/>
      </c>
      <c r="T621" t="str">
        <f>IFERROR(VLOOKUP(H621,'VALORES VIAJES'!$A$2:$B$24,2,FALSE),"")</f>
        <v/>
      </c>
      <c r="U621" t="str">
        <f>IFERROR(VLOOKUP(I621,'VALORES VIAJES'!$A$2:$B$24,2,FALSE),"")</f>
        <v/>
      </c>
      <c r="V621" t="str">
        <f>IFERROR(VLOOKUP(K621,'VALORES VIAJES'!$A$2:$B$24,2,FALSE),"")</f>
        <v/>
      </c>
      <c r="X621" s="208">
        <f>SUM(Hoja1[[#This Row],[$ X TIP VEHICUL]:[AGREGADO]])</f>
        <v>0</v>
      </c>
    </row>
    <row r="622" spans="2:24" hidden="1" x14ac:dyDescent="0.25">
      <c r="B622" s="189"/>
      <c r="J622" s="189"/>
      <c r="M622" s="205"/>
      <c r="O622" t="s">
        <v>7711</v>
      </c>
      <c r="S622" t="str">
        <f>IFERROR(VLOOKUP(E622,'VALORES VIAJES'!$A$2:$B$13,2,FALSE),"")</f>
        <v/>
      </c>
      <c r="T622" t="str">
        <f>IFERROR(VLOOKUP(H622,'VALORES VIAJES'!$A$2:$B$24,2,FALSE),"")</f>
        <v/>
      </c>
      <c r="U622" t="str">
        <f>IFERROR(VLOOKUP(I622,'VALORES VIAJES'!$A$2:$B$24,2,FALSE),"")</f>
        <v/>
      </c>
      <c r="V622" t="str">
        <f>IFERROR(VLOOKUP(K622,'VALORES VIAJES'!$A$2:$B$24,2,FALSE),"")</f>
        <v/>
      </c>
      <c r="X622" s="208">
        <f>SUM(Hoja1[[#This Row],[$ X TIP VEHICUL]:[AGREGADO]])</f>
        <v>0</v>
      </c>
    </row>
    <row r="623" spans="2:24" hidden="1" x14ac:dyDescent="0.25">
      <c r="B623" s="189"/>
      <c r="J623" s="189"/>
      <c r="M623" s="205"/>
      <c r="O623" t="s">
        <v>7711</v>
      </c>
      <c r="S623" t="str">
        <f>IFERROR(VLOOKUP(E623,'VALORES VIAJES'!$A$2:$B$13,2,FALSE),"")</f>
        <v/>
      </c>
      <c r="T623" t="str">
        <f>IFERROR(VLOOKUP(H623,'VALORES VIAJES'!$A$2:$B$24,2,FALSE),"")</f>
        <v/>
      </c>
      <c r="U623" t="str">
        <f>IFERROR(VLOOKUP(I623,'VALORES VIAJES'!$A$2:$B$24,2,FALSE),"")</f>
        <v/>
      </c>
      <c r="V623" t="str">
        <f>IFERROR(VLOOKUP(K623,'VALORES VIAJES'!$A$2:$B$24,2,FALSE),"")</f>
        <v/>
      </c>
      <c r="X623" s="208">
        <f>SUM(Hoja1[[#This Row],[$ X TIP VEHICUL]:[AGREGADO]])</f>
        <v>0</v>
      </c>
    </row>
    <row r="624" spans="2:24" hidden="1" x14ac:dyDescent="0.25">
      <c r="B624" s="189"/>
      <c r="J624" s="189"/>
      <c r="M624" s="205"/>
      <c r="O624" t="s">
        <v>7711</v>
      </c>
      <c r="S624" t="str">
        <f>IFERROR(VLOOKUP(E624,'VALORES VIAJES'!$A$2:$B$13,2,FALSE),"")</f>
        <v/>
      </c>
      <c r="T624" t="str">
        <f>IFERROR(VLOOKUP(H624,'VALORES VIAJES'!$A$2:$B$24,2,FALSE),"")</f>
        <v/>
      </c>
      <c r="U624" t="str">
        <f>IFERROR(VLOOKUP(I624,'VALORES VIAJES'!$A$2:$B$24,2,FALSE),"")</f>
        <v/>
      </c>
      <c r="V624" t="str">
        <f>IFERROR(VLOOKUP(K624,'VALORES VIAJES'!$A$2:$B$24,2,FALSE),"")</f>
        <v/>
      </c>
      <c r="X624" s="208">
        <f>SUM(Hoja1[[#This Row],[$ X TIP VEHICUL]:[AGREGADO]])</f>
        <v>0</v>
      </c>
    </row>
    <row r="625" spans="2:24" hidden="1" x14ac:dyDescent="0.25">
      <c r="B625" s="189"/>
      <c r="J625" s="189"/>
      <c r="M625" s="205"/>
      <c r="O625" t="s">
        <v>7711</v>
      </c>
      <c r="S625" t="str">
        <f>IFERROR(VLOOKUP(E625,'VALORES VIAJES'!$A$2:$B$13,2,FALSE),"")</f>
        <v/>
      </c>
      <c r="T625" t="str">
        <f>IFERROR(VLOOKUP(H625,'VALORES VIAJES'!$A$2:$B$24,2,FALSE),"")</f>
        <v/>
      </c>
      <c r="U625" t="str">
        <f>IFERROR(VLOOKUP(I625,'VALORES VIAJES'!$A$2:$B$24,2,FALSE),"")</f>
        <v/>
      </c>
      <c r="V625" t="str">
        <f>IFERROR(VLOOKUP(K625,'VALORES VIAJES'!$A$2:$B$24,2,FALSE),"")</f>
        <v/>
      </c>
      <c r="X625" s="208">
        <f>SUM(Hoja1[[#This Row],[$ X TIP VEHICUL]:[AGREGADO]])</f>
        <v>0</v>
      </c>
    </row>
    <row r="626" spans="2:24" hidden="1" x14ac:dyDescent="0.25">
      <c r="B626" s="189"/>
      <c r="J626" s="189"/>
      <c r="M626" s="205"/>
      <c r="O626" t="s">
        <v>7711</v>
      </c>
      <c r="S626" t="str">
        <f>IFERROR(VLOOKUP(E626,'VALORES VIAJES'!$A$2:$B$13,2,FALSE),"")</f>
        <v/>
      </c>
      <c r="T626" t="str">
        <f>IFERROR(VLOOKUP(H626,'VALORES VIAJES'!$A$2:$B$24,2,FALSE),"")</f>
        <v/>
      </c>
      <c r="U626" t="str">
        <f>IFERROR(VLOOKUP(I626,'VALORES VIAJES'!$A$2:$B$24,2,FALSE),"")</f>
        <v/>
      </c>
      <c r="V626" t="str">
        <f>IFERROR(VLOOKUP(K626,'VALORES VIAJES'!$A$2:$B$24,2,FALSE),"")</f>
        <v/>
      </c>
      <c r="X626" s="208">
        <f>SUM(Hoja1[[#This Row],[$ X TIP VEHICUL]:[AGREGADO]])</f>
        <v>0</v>
      </c>
    </row>
    <row r="627" spans="2:24" hidden="1" x14ac:dyDescent="0.25">
      <c r="B627" s="189"/>
      <c r="J627" s="189"/>
      <c r="M627" s="205"/>
      <c r="O627" t="s">
        <v>7711</v>
      </c>
      <c r="S627" t="str">
        <f>IFERROR(VLOOKUP(E627,'VALORES VIAJES'!$A$2:$B$13,2,FALSE),"")</f>
        <v/>
      </c>
      <c r="T627" t="str">
        <f>IFERROR(VLOOKUP(H627,'VALORES VIAJES'!$A$2:$B$24,2,FALSE),"")</f>
        <v/>
      </c>
      <c r="U627" t="str">
        <f>IFERROR(VLOOKUP(I627,'VALORES VIAJES'!$A$2:$B$24,2,FALSE),"")</f>
        <v/>
      </c>
      <c r="V627" t="str">
        <f>IFERROR(VLOOKUP(K627,'VALORES VIAJES'!$A$2:$B$24,2,FALSE),"")</f>
        <v/>
      </c>
      <c r="X627" s="208">
        <f>SUM(Hoja1[[#This Row],[$ X TIP VEHICUL]:[AGREGADO]])</f>
        <v>0</v>
      </c>
    </row>
    <row r="628" spans="2:24" hidden="1" x14ac:dyDescent="0.25">
      <c r="B628" s="189"/>
      <c r="J628" s="189"/>
      <c r="M628" s="205"/>
      <c r="O628" t="s">
        <v>7711</v>
      </c>
      <c r="S628" t="str">
        <f>IFERROR(VLOOKUP(E628,'VALORES VIAJES'!$A$2:$B$13,2,FALSE),"")</f>
        <v/>
      </c>
      <c r="T628" t="str">
        <f>IFERROR(VLOOKUP(H628,'VALORES VIAJES'!$A$2:$B$24,2,FALSE),"")</f>
        <v/>
      </c>
      <c r="U628" t="str">
        <f>IFERROR(VLOOKUP(I628,'VALORES VIAJES'!$A$2:$B$24,2,FALSE),"")</f>
        <v/>
      </c>
      <c r="V628" t="str">
        <f>IFERROR(VLOOKUP(K628,'VALORES VIAJES'!$A$2:$B$24,2,FALSE),"")</f>
        <v/>
      </c>
      <c r="X628" s="208">
        <f>SUM(Hoja1[[#This Row],[$ X TIP VEHICUL]:[AGREGADO]])</f>
        <v>0</v>
      </c>
    </row>
    <row r="629" spans="2:24" hidden="1" x14ac:dyDescent="0.25">
      <c r="B629" s="189"/>
      <c r="J629" s="189"/>
      <c r="M629" s="205"/>
      <c r="O629" t="s">
        <v>7711</v>
      </c>
      <c r="S629" t="str">
        <f>IFERROR(VLOOKUP(E629,'VALORES VIAJES'!$A$2:$B$13,2,FALSE),"")</f>
        <v/>
      </c>
      <c r="T629" t="str">
        <f>IFERROR(VLOOKUP(H629,'VALORES VIAJES'!$A$2:$B$24,2,FALSE),"")</f>
        <v/>
      </c>
      <c r="U629" t="str">
        <f>IFERROR(VLOOKUP(I629,'VALORES VIAJES'!$A$2:$B$24,2,FALSE),"")</f>
        <v/>
      </c>
      <c r="V629" t="str">
        <f>IFERROR(VLOOKUP(K629,'VALORES VIAJES'!$A$2:$B$24,2,FALSE),"")</f>
        <v/>
      </c>
      <c r="X629" s="208">
        <f>SUM(Hoja1[[#This Row],[$ X TIP VEHICUL]:[AGREGADO]])</f>
        <v>0</v>
      </c>
    </row>
    <row r="630" spans="2:24" hidden="1" x14ac:dyDescent="0.25">
      <c r="B630" s="189"/>
      <c r="J630" s="189"/>
      <c r="M630" s="205"/>
      <c r="O630" t="s">
        <v>7711</v>
      </c>
      <c r="S630" t="str">
        <f>IFERROR(VLOOKUP(E630,'VALORES VIAJES'!$A$2:$B$13,2,FALSE),"")</f>
        <v/>
      </c>
      <c r="T630" t="str">
        <f>IFERROR(VLOOKUP(H630,'VALORES VIAJES'!$A$2:$B$24,2,FALSE),"")</f>
        <v/>
      </c>
      <c r="U630" t="str">
        <f>IFERROR(VLOOKUP(I630,'VALORES VIAJES'!$A$2:$B$24,2,FALSE),"")</f>
        <v/>
      </c>
      <c r="V630" t="str">
        <f>IFERROR(VLOOKUP(K630,'VALORES VIAJES'!$A$2:$B$24,2,FALSE),"")</f>
        <v/>
      </c>
      <c r="X630" s="208">
        <f>SUM(Hoja1[[#This Row],[$ X TIP VEHICUL]:[AGREGADO]])</f>
        <v>0</v>
      </c>
    </row>
    <row r="631" spans="2:24" hidden="1" x14ac:dyDescent="0.25">
      <c r="B631" s="189"/>
      <c r="J631" s="189"/>
      <c r="M631" s="205"/>
      <c r="O631" t="s">
        <v>7711</v>
      </c>
      <c r="S631" t="str">
        <f>IFERROR(VLOOKUP(E631,'VALORES VIAJES'!$A$2:$B$13,2,FALSE),"")</f>
        <v/>
      </c>
      <c r="T631" t="str">
        <f>IFERROR(VLOOKUP(H631,'VALORES VIAJES'!$A$2:$B$24,2,FALSE),"")</f>
        <v/>
      </c>
      <c r="U631" t="str">
        <f>IFERROR(VLOOKUP(I631,'VALORES VIAJES'!$A$2:$B$24,2,FALSE),"")</f>
        <v/>
      </c>
      <c r="V631" t="str">
        <f>IFERROR(VLOOKUP(K631,'VALORES VIAJES'!$A$2:$B$24,2,FALSE),"")</f>
        <v/>
      </c>
      <c r="X631" s="208">
        <f>SUM(Hoja1[[#This Row],[$ X TIP VEHICUL]:[AGREGADO]])</f>
        <v>0</v>
      </c>
    </row>
    <row r="632" spans="2:24" hidden="1" x14ac:dyDescent="0.25">
      <c r="B632" s="189"/>
      <c r="J632" s="189"/>
      <c r="M632" s="205"/>
      <c r="O632" t="s">
        <v>7711</v>
      </c>
      <c r="S632" t="str">
        <f>IFERROR(VLOOKUP(E632,'VALORES VIAJES'!$A$2:$B$13,2,FALSE),"")</f>
        <v/>
      </c>
      <c r="T632" t="str">
        <f>IFERROR(VLOOKUP(H632,'VALORES VIAJES'!$A$2:$B$24,2,FALSE),"")</f>
        <v/>
      </c>
      <c r="U632" t="str">
        <f>IFERROR(VLOOKUP(I632,'VALORES VIAJES'!$A$2:$B$24,2,FALSE),"")</f>
        <v/>
      </c>
      <c r="V632" t="str">
        <f>IFERROR(VLOOKUP(K632,'VALORES VIAJES'!$A$2:$B$24,2,FALSE),"")</f>
        <v/>
      </c>
      <c r="X632" s="208">
        <f>SUM(Hoja1[[#This Row],[$ X TIP VEHICUL]:[AGREGADO]])</f>
        <v>0</v>
      </c>
    </row>
    <row r="633" spans="2:24" hidden="1" x14ac:dyDescent="0.25">
      <c r="B633" s="189"/>
      <c r="J633" s="189"/>
      <c r="M633" s="205"/>
      <c r="O633" t="s">
        <v>7711</v>
      </c>
      <c r="S633" t="str">
        <f>IFERROR(VLOOKUP(E633,'VALORES VIAJES'!$A$2:$B$13,2,FALSE),"")</f>
        <v/>
      </c>
      <c r="T633" t="str">
        <f>IFERROR(VLOOKUP(H633,'VALORES VIAJES'!$A$2:$B$24,2,FALSE),"")</f>
        <v/>
      </c>
      <c r="U633" t="str">
        <f>IFERROR(VLOOKUP(I633,'VALORES VIAJES'!$A$2:$B$24,2,FALSE),"")</f>
        <v/>
      </c>
      <c r="V633" t="str">
        <f>IFERROR(VLOOKUP(K633,'VALORES VIAJES'!$A$2:$B$24,2,FALSE),"")</f>
        <v/>
      </c>
      <c r="X633" s="208">
        <f>SUM(Hoja1[[#This Row],[$ X TIP VEHICUL]:[AGREGADO]])</f>
        <v>0</v>
      </c>
    </row>
    <row r="634" spans="2:24" hidden="1" x14ac:dyDescent="0.25">
      <c r="B634" s="189"/>
      <c r="J634" s="189"/>
      <c r="M634" s="205"/>
      <c r="O634" t="s">
        <v>7711</v>
      </c>
      <c r="S634" t="str">
        <f>IFERROR(VLOOKUP(E634,'VALORES VIAJES'!$A$2:$B$13,2,FALSE),"")</f>
        <v/>
      </c>
      <c r="T634" t="str">
        <f>IFERROR(VLOOKUP(H634,'VALORES VIAJES'!$A$2:$B$24,2,FALSE),"")</f>
        <v/>
      </c>
      <c r="U634" t="str">
        <f>IFERROR(VLOOKUP(I634,'VALORES VIAJES'!$A$2:$B$24,2,FALSE),"")</f>
        <v/>
      </c>
      <c r="V634" t="str">
        <f>IFERROR(VLOOKUP(K634,'VALORES VIAJES'!$A$2:$B$24,2,FALSE),"")</f>
        <v/>
      </c>
      <c r="X634" s="208">
        <f>SUM(Hoja1[[#This Row],[$ X TIP VEHICUL]:[AGREGADO]])</f>
        <v>0</v>
      </c>
    </row>
    <row r="635" spans="2:24" hidden="1" x14ac:dyDescent="0.25">
      <c r="B635" s="189"/>
      <c r="J635" s="189"/>
      <c r="M635" s="205"/>
      <c r="O635" t="s">
        <v>7711</v>
      </c>
      <c r="S635" t="str">
        <f>IFERROR(VLOOKUP(E635,'VALORES VIAJES'!$A$2:$B$13,2,FALSE),"")</f>
        <v/>
      </c>
      <c r="T635" t="str">
        <f>IFERROR(VLOOKUP(H635,'VALORES VIAJES'!$A$2:$B$24,2,FALSE),"")</f>
        <v/>
      </c>
      <c r="U635" t="str">
        <f>IFERROR(VLOOKUP(I635,'VALORES VIAJES'!$A$2:$B$24,2,FALSE),"")</f>
        <v/>
      </c>
      <c r="V635" t="str">
        <f>IFERROR(VLOOKUP(K635,'VALORES VIAJES'!$A$2:$B$24,2,FALSE),"")</f>
        <v/>
      </c>
      <c r="X635" s="208">
        <f>SUM(Hoja1[[#This Row],[$ X TIP VEHICUL]:[AGREGADO]])</f>
        <v>0</v>
      </c>
    </row>
    <row r="636" spans="2:24" hidden="1" x14ac:dyDescent="0.25">
      <c r="B636" s="189"/>
      <c r="J636" s="189"/>
      <c r="M636" s="205"/>
      <c r="O636" t="s">
        <v>7711</v>
      </c>
      <c r="S636" t="str">
        <f>IFERROR(VLOOKUP(E636,'VALORES VIAJES'!$A$2:$B$13,2,FALSE),"")</f>
        <v/>
      </c>
      <c r="T636" t="str">
        <f>IFERROR(VLOOKUP(H636,'VALORES VIAJES'!$A$2:$B$24,2,FALSE),"")</f>
        <v/>
      </c>
      <c r="U636" t="str">
        <f>IFERROR(VLOOKUP(I636,'VALORES VIAJES'!$A$2:$B$24,2,FALSE),"")</f>
        <v/>
      </c>
      <c r="V636" t="str">
        <f>IFERROR(VLOOKUP(K636,'VALORES VIAJES'!$A$2:$B$24,2,FALSE),"")</f>
        <v/>
      </c>
      <c r="X636" s="208">
        <f>SUM(Hoja1[[#This Row],[$ X TIP VEHICUL]:[AGREGADO]])</f>
        <v>0</v>
      </c>
    </row>
    <row r="637" spans="2:24" hidden="1" x14ac:dyDescent="0.25">
      <c r="B637" s="189"/>
      <c r="J637" s="189"/>
      <c r="M637" s="205"/>
      <c r="O637" t="s">
        <v>7711</v>
      </c>
      <c r="S637" t="str">
        <f>IFERROR(VLOOKUP(E637,'VALORES VIAJES'!$A$2:$B$13,2,FALSE),"")</f>
        <v/>
      </c>
      <c r="T637" t="str">
        <f>IFERROR(VLOOKUP(H637,'VALORES VIAJES'!$A$2:$B$24,2,FALSE),"")</f>
        <v/>
      </c>
      <c r="U637" t="str">
        <f>IFERROR(VLOOKUP(I637,'VALORES VIAJES'!$A$2:$B$24,2,FALSE),"")</f>
        <v/>
      </c>
      <c r="V637" t="str">
        <f>IFERROR(VLOOKUP(K637,'VALORES VIAJES'!$A$2:$B$24,2,FALSE),"")</f>
        <v/>
      </c>
      <c r="X637" s="208">
        <f>SUM(Hoja1[[#This Row],[$ X TIP VEHICUL]:[AGREGADO]])</f>
        <v>0</v>
      </c>
    </row>
    <row r="638" spans="2:24" hidden="1" x14ac:dyDescent="0.25">
      <c r="B638" s="189"/>
      <c r="J638" s="189"/>
      <c r="M638" s="205"/>
      <c r="O638" t="s">
        <v>7711</v>
      </c>
      <c r="S638" t="str">
        <f>IFERROR(VLOOKUP(E638,'VALORES VIAJES'!$A$2:$B$13,2,FALSE),"")</f>
        <v/>
      </c>
      <c r="T638" t="str">
        <f>IFERROR(VLOOKUP(H638,'VALORES VIAJES'!$A$2:$B$24,2,FALSE),"")</f>
        <v/>
      </c>
      <c r="U638" t="str">
        <f>IFERROR(VLOOKUP(I638,'VALORES VIAJES'!$A$2:$B$24,2,FALSE),"")</f>
        <v/>
      </c>
      <c r="V638" t="str">
        <f>IFERROR(VLOOKUP(K638,'VALORES VIAJES'!$A$2:$B$24,2,FALSE),"")</f>
        <v/>
      </c>
      <c r="X638" s="208">
        <f>SUM(Hoja1[[#This Row],[$ X TIP VEHICUL]:[AGREGADO]])</f>
        <v>0</v>
      </c>
    </row>
    <row r="639" spans="2:24" hidden="1" x14ac:dyDescent="0.25">
      <c r="B639" s="189"/>
      <c r="J639" s="189"/>
      <c r="M639" s="205"/>
      <c r="O639" t="s">
        <v>7711</v>
      </c>
      <c r="S639" t="str">
        <f>IFERROR(VLOOKUP(E639,'VALORES VIAJES'!$A$2:$B$13,2,FALSE),"")</f>
        <v/>
      </c>
      <c r="T639" t="str">
        <f>IFERROR(VLOOKUP(H639,'VALORES VIAJES'!$A$2:$B$24,2,FALSE),"")</f>
        <v/>
      </c>
      <c r="U639" t="str">
        <f>IFERROR(VLOOKUP(I639,'VALORES VIAJES'!$A$2:$B$24,2,FALSE),"")</f>
        <v/>
      </c>
      <c r="V639" t="str">
        <f>IFERROR(VLOOKUP(K639,'VALORES VIAJES'!$A$2:$B$24,2,FALSE),"")</f>
        <v/>
      </c>
      <c r="X639" s="208">
        <f>SUM(Hoja1[[#This Row],[$ X TIP VEHICUL]:[AGREGADO]])</f>
        <v>0</v>
      </c>
    </row>
    <row r="640" spans="2:24" hidden="1" x14ac:dyDescent="0.25">
      <c r="B640" s="189"/>
      <c r="J640" s="189"/>
      <c r="M640" s="205"/>
      <c r="O640" t="s">
        <v>7711</v>
      </c>
      <c r="S640" t="str">
        <f>IFERROR(VLOOKUP(E640,'VALORES VIAJES'!$A$2:$B$13,2,FALSE),"")</f>
        <v/>
      </c>
      <c r="T640" t="str">
        <f>IFERROR(VLOOKUP(H640,'VALORES VIAJES'!$A$2:$B$24,2,FALSE),"")</f>
        <v/>
      </c>
      <c r="U640" t="str">
        <f>IFERROR(VLOOKUP(I640,'VALORES VIAJES'!$A$2:$B$24,2,FALSE),"")</f>
        <v/>
      </c>
      <c r="V640" t="str">
        <f>IFERROR(VLOOKUP(K640,'VALORES VIAJES'!$A$2:$B$24,2,FALSE),"")</f>
        <v/>
      </c>
      <c r="X640" s="208">
        <f>SUM(Hoja1[[#This Row],[$ X TIP VEHICUL]:[AGREGADO]])</f>
        <v>0</v>
      </c>
    </row>
    <row r="641" spans="2:24" hidden="1" x14ac:dyDescent="0.25">
      <c r="B641" s="189"/>
      <c r="J641" s="189"/>
      <c r="M641" s="205"/>
      <c r="O641" t="s">
        <v>7711</v>
      </c>
      <c r="S641" t="str">
        <f>IFERROR(VLOOKUP(E641,'VALORES VIAJES'!$A$2:$B$13,2,FALSE),"")</f>
        <v/>
      </c>
      <c r="T641" t="str">
        <f>IFERROR(VLOOKUP(H641,'VALORES VIAJES'!$A$2:$B$24,2,FALSE),"")</f>
        <v/>
      </c>
      <c r="U641" t="str">
        <f>IFERROR(VLOOKUP(I641,'VALORES VIAJES'!$A$2:$B$24,2,FALSE),"")</f>
        <v/>
      </c>
      <c r="V641" t="str">
        <f>IFERROR(VLOOKUP(K641,'VALORES VIAJES'!$A$2:$B$24,2,FALSE),"")</f>
        <v/>
      </c>
      <c r="X641" s="208">
        <f>SUM(Hoja1[[#This Row],[$ X TIP VEHICUL]:[AGREGADO]])</f>
        <v>0</v>
      </c>
    </row>
    <row r="642" spans="2:24" hidden="1" x14ac:dyDescent="0.25">
      <c r="B642" s="189"/>
      <c r="J642" s="189"/>
      <c r="M642" s="205"/>
      <c r="O642" t="s">
        <v>7711</v>
      </c>
      <c r="S642" t="str">
        <f>IFERROR(VLOOKUP(E642,'VALORES VIAJES'!$A$2:$B$13,2,FALSE),"")</f>
        <v/>
      </c>
      <c r="T642" t="str">
        <f>IFERROR(VLOOKUP(H642,'VALORES VIAJES'!$A$2:$B$24,2,FALSE),"")</f>
        <v/>
      </c>
      <c r="U642" t="str">
        <f>IFERROR(VLOOKUP(I642,'VALORES VIAJES'!$A$2:$B$24,2,FALSE),"")</f>
        <v/>
      </c>
      <c r="V642" t="str">
        <f>IFERROR(VLOOKUP(K642,'VALORES VIAJES'!$A$2:$B$24,2,FALSE),"")</f>
        <v/>
      </c>
      <c r="X642" s="208">
        <f>SUM(Hoja1[[#This Row],[$ X TIP VEHICUL]:[AGREGADO]])</f>
        <v>0</v>
      </c>
    </row>
    <row r="643" spans="2:24" hidden="1" x14ac:dyDescent="0.25">
      <c r="B643" s="189"/>
      <c r="J643" s="189"/>
      <c r="M643" s="205"/>
      <c r="O643" t="s">
        <v>7711</v>
      </c>
      <c r="S643" t="str">
        <f>IFERROR(VLOOKUP(E643,'VALORES VIAJES'!$A$2:$B$13,2,FALSE),"")</f>
        <v/>
      </c>
      <c r="T643" t="str">
        <f>IFERROR(VLOOKUP(H643,'VALORES VIAJES'!$A$2:$B$24,2,FALSE),"")</f>
        <v/>
      </c>
      <c r="U643" t="str">
        <f>IFERROR(VLOOKUP(I643,'VALORES VIAJES'!$A$2:$B$24,2,FALSE),"")</f>
        <v/>
      </c>
      <c r="V643" t="str">
        <f>IFERROR(VLOOKUP(K643,'VALORES VIAJES'!$A$2:$B$24,2,FALSE),"")</f>
        <v/>
      </c>
      <c r="X643" s="208">
        <f>SUM(Hoja1[[#This Row],[$ X TIP VEHICUL]:[AGREGADO]])</f>
        <v>0</v>
      </c>
    </row>
    <row r="644" spans="2:24" hidden="1" x14ac:dyDescent="0.25">
      <c r="B644" s="189"/>
      <c r="J644" s="189"/>
      <c r="M644" s="205"/>
      <c r="O644" t="s">
        <v>7711</v>
      </c>
      <c r="S644" t="str">
        <f>IFERROR(VLOOKUP(E644,'VALORES VIAJES'!$A$2:$B$13,2,FALSE),"")</f>
        <v/>
      </c>
      <c r="T644" t="str">
        <f>IFERROR(VLOOKUP(H644,'VALORES VIAJES'!$A$2:$B$24,2,FALSE),"")</f>
        <v/>
      </c>
      <c r="U644" t="str">
        <f>IFERROR(VLOOKUP(I644,'VALORES VIAJES'!$A$2:$B$24,2,FALSE),"")</f>
        <v/>
      </c>
      <c r="V644" t="str">
        <f>IFERROR(VLOOKUP(K644,'VALORES VIAJES'!$A$2:$B$24,2,FALSE),"")</f>
        <v/>
      </c>
      <c r="X644" s="208">
        <f>SUM(Hoja1[[#This Row],[$ X TIP VEHICUL]:[AGREGADO]])</f>
        <v>0</v>
      </c>
    </row>
    <row r="645" spans="2:24" hidden="1" x14ac:dyDescent="0.25">
      <c r="B645" s="189"/>
      <c r="J645" s="189"/>
      <c r="M645" s="205"/>
      <c r="O645" t="s">
        <v>7711</v>
      </c>
      <c r="S645" t="str">
        <f>IFERROR(VLOOKUP(E645,'VALORES VIAJES'!$A$2:$B$13,2,FALSE),"")</f>
        <v/>
      </c>
      <c r="T645" t="str">
        <f>IFERROR(VLOOKUP(H645,'VALORES VIAJES'!$A$2:$B$24,2,FALSE),"")</f>
        <v/>
      </c>
      <c r="U645" t="str">
        <f>IFERROR(VLOOKUP(I645,'VALORES VIAJES'!$A$2:$B$24,2,FALSE),"")</f>
        <v/>
      </c>
      <c r="V645" t="str">
        <f>IFERROR(VLOOKUP(K645,'VALORES VIAJES'!$A$2:$B$24,2,FALSE),"")</f>
        <v/>
      </c>
      <c r="X645" s="208">
        <f>SUM(Hoja1[[#This Row],[$ X TIP VEHICUL]:[AGREGADO]])</f>
        <v>0</v>
      </c>
    </row>
    <row r="646" spans="2:24" hidden="1" x14ac:dyDescent="0.25">
      <c r="B646" s="189"/>
      <c r="J646" s="189"/>
      <c r="M646" s="205"/>
      <c r="O646" t="s">
        <v>7711</v>
      </c>
      <c r="S646" t="str">
        <f>IFERROR(VLOOKUP(E646,'VALORES VIAJES'!$A$2:$B$13,2,FALSE),"")</f>
        <v/>
      </c>
      <c r="T646" t="str">
        <f>IFERROR(VLOOKUP(H646,'VALORES VIAJES'!$A$2:$B$24,2,FALSE),"")</f>
        <v/>
      </c>
      <c r="U646" t="str">
        <f>IFERROR(VLOOKUP(I646,'VALORES VIAJES'!$A$2:$B$24,2,FALSE),"")</f>
        <v/>
      </c>
      <c r="V646" t="str">
        <f>IFERROR(VLOOKUP(K646,'VALORES VIAJES'!$A$2:$B$24,2,FALSE),"")</f>
        <v/>
      </c>
      <c r="X646" s="208">
        <f>SUM(Hoja1[[#This Row],[$ X TIP VEHICUL]:[AGREGADO]])</f>
        <v>0</v>
      </c>
    </row>
    <row r="647" spans="2:24" hidden="1" x14ac:dyDescent="0.25">
      <c r="B647" s="189"/>
      <c r="J647" s="189"/>
      <c r="M647" s="205"/>
      <c r="O647" t="s">
        <v>7711</v>
      </c>
      <c r="S647" t="str">
        <f>IFERROR(VLOOKUP(E647,'VALORES VIAJES'!$A$2:$B$13,2,FALSE),"")</f>
        <v/>
      </c>
      <c r="T647" t="str">
        <f>IFERROR(VLOOKUP(H647,'VALORES VIAJES'!$A$2:$B$24,2,FALSE),"")</f>
        <v/>
      </c>
      <c r="U647" t="str">
        <f>IFERROR(VLOOKUP(I647,'VALORES VIAJES'!$A$2:$B$24,2,FALSE),"")</f>
        <v/>
      </c>
      <c r="V647" t="str">
        <f>IFERROR(VLOOKUP(K647,'VALORES VIAJES'!$A$2:$B$24,2,FALSE),"")</f>
        <v/>
      </c>
      <c r="X647" s="208">
        <f>SUM(Hoja1[[#This Row],[$ X TIP VEHICUL]:[AGREGADO]])</f>
        <v>0</v>
      </c>
    </row>
    <row r="648" spans="2:24" hidden="1" x14ac:dyDescent="0.25">
      <c r="B648" s="189"/>
      <c r="J648" s="189"/>
      <c r="M648" s="205"/>
      <c r="O648" t="s">
        <v>7711</v>
      </c>
      <c r="S648" t="str">
        <f>IFERROR(VLOOKUP(E648,'VALORES VIAJES'!$A$2:$B$13,2,FALSE),"")</f>
        <v/>
      </c>
      <c r="T648" t="str">
        <f>IFERROR(VLOOKUP(H648,'VALORES VIAJES'!$A$2:$B$24,2,FALSE),"")</f>
        <v/>
      </c>
      <c r="U648" t="str">
        <f>IFERROR(VLOOKUP(I648,'VALORES VIAJES'!$A$2:$B$24,2,FALSE),"")</f>
        <v/>
      </c>
      <c r="V648" t="str">
        <f>IFERROR(VLOOKUP(K648,'VALORES VIAJES'!$A$2:$B$24,2,FALSE),"")</f>
        <v/>
      </c>
      <c r="X648" s="208">
        <f>SUM(Hoja1[[#This Row],[$ X TIP VEHICUL]:[AGREGADO]])</f>
        <v>0</v>
      </c>
    </row>
    <row r="649" spans="2:24" hidden="1" x14ac:dyDescent="0.25">
      <c r="B649" s="189"/>
      <c r="J649" s="189"/>
      <c r="M649" s="205"/>
      <c r="O649" t="s">
        <v>7711</v>
      </c>
      <c r="S649" t="str">
        <f>IFERROR(VLOOKUP(E649,'VALORES VIAJES'!$A$2:$B$13,2,FALSE),"")</f>
        <v/>
      </c>
      <c r="T649" t="str">
        <f>IFERROR(VLOOKUP(H649,'VALORES VIAJES'!$A$2:$B$24,2,FALSE),"")</f>
        <v/>
      </c>
      <c r="U649" t="str">
        <f>IFERROR(VLOOKUP(I649,'VALORES VIAJES'!$A$2:$B$24,2,FALSE),"")</f>
        <v/>
      </c>
      <c r="V649" t="str">
        <f>IFERROR(VLOOKUP(K649,'VALORES VIAJES'!$A$2:$B$24,2,FALSE),"")</f>
        <v/>
      </c>
      <c r="X649" s="208">
        <f>SUM(Hoja1[[#This Row],[$ X TIP VEHICUL]:[AGREGADO]])</f>
        <v>0</v>
      </c>
    </row>
    <row r="650" spans="2:24" hidden="1" x14ac:dyDescent="0.25">
      <c r="B650" s="189"/>
      <c r="J650" s="189"/>
      <c r="M650" s="205"/>
      <c r="O650" t="s">
        <v>7711</v>
      </c>
      <c r="S650" t="str">
        <f>IFERROR(VLOOKUP(E650,'VALORES VIAJES'!$A$2:$B$13,2,FALSE),"")</f>
        <v/>
      </c>
      <c r="T650" t="str">
        <f>IFERROR(VLOOKUP(H650,'VALORES VIAJES'!$A$2:$B$24,2,FALSE),"")</f>
        <v/>
      </c>
      <c r="U650" t="str">
        <f>IFERROR(VLOOKUP(I650,'VALORES VIAJES'!$A$2:$B$24,2,FALSE),"")</f>
        <v/>
      </c>
      <c r="V650" t="str">
        <f>IFERROR(VLOOKUP(K650,'VALORES VIAJES'!$A$2:$B$24,2,FALSE),"")</f>
        <v/>
      </c>
      <c r="X650" s="208">
        <f>SUM(Hoja1[[#This Row],[$ X TIP VEHICUL]:[AGREGADO]])</f>
        <v>0</v>
      </c>
    </row>
    <row r="651" spans="2:24" hidden="1" x14ac:dyDescent="0.25">
      <c r="B651" s="189"/>
      <c r="J651" s="189"/>
      <c r="M651" s="205"/>
      <c r="O651" t="s">
        <v>7711</v>
      </c>
      <c r="S651" t="str">
        <f>IFERROR(VLOOKUP(E651,'VALORES VIAJES'!$A$2:$B$13,2,FALSE),"")</f>
        <v/>
      </c>
      <c r="T651" t="str">
        <f>IFERROR(VLOOKUP(H651,'VALORES VIAJES'!$A$2:$B$24,2,FALSE),"")</f>
        <v/>
      </c>
      <c r="U651" t="str">
        <f>IFERROR(VLOOKUP(I651,'VALORES VIAJES'!$A$2:$B$24,2,FALSE),"")</f>
        <v/>
      </c>
      <c r="V651" t="str">
        <f>IFERROR(VLOOKUP(K651,'VALORES VIAJES'!$A$2:$B$24,2,FALSE),"")</f>
        <v/>
      </c>
      <c r="X651" s="208">
        <f>SUM(Hoja1[[#This Row],[$ X TIP VEHICUL]:[AGREGADO]])</f>
        <v>0</v>
      </c>
    </row>
    <row r="652" spans="2:24" hidden="1" x14ac:dyDescent="0.25">
      <c r="B652" s="189"/>
      <c r="J652" s="189"/>
      <c r="M652" s="205"/>
      <c r="O652" t="s">
        <v>7711</v>
      </c>
      <c r="S652" t="str">
        <f>IFERROR(VLOOKUP(E652,'VALORES VIAJES'!$A$2:$B$13,2,FALSE),"")</f>
        <v/>
      </c>
      <c r="T652" t="str">
        <f>IFERROR(VLOOKUP(H652,'VALORES VIAJES'!$A$2:$B$24,2,FALSE),"")</f>
        <v/>
      </c>
      <c r="U652" t="str">
        <f>IFERROR(VLOOKUP(I652,'VALORES VIAJES'!$A$2:$B$24,2,FALSE),"")</f>
        <v/>
      </c>
      <c r="V652" t="str">
        <f>IFERROR(VLOOKUP(K652,'VALORES VIAJES'!$A$2:$B$24,2,FALSE),"")</f>
        <v/>
      </c>
      <c r="X652" s="208">
        <f>SUM(Hoja1[[#This Row],[$ X TIP VEHICUL]:[AGREGADO]])</f>
        <v>0</v>
      </c>
    </row>
    <row r="653" spans="2:24" hidden="1" x14ac:dyDescent="0.25">
      <c r="B653" s="189"/>
      <c r="J653" s="189"/>
      <c r="M653" s="205"/>
      <c r="O653" t="s">
        <v>7711</v>
      </c>
      <c r="S653" t="str">
        <f>IFERROR(VLOOKUP(E653,'VALORES VIAJES'!$A$2:$B$13,2,FALSE),"")</f>
        <v/>
      </c>
      <c r="T653" t="str">
        <f>IFERROR(VLOOKUP(H653,'VALORES VIAJES'!$A$2:$B$24,2,FALSE),"")</f>
        <v/>
      </c>
      <c r="U653" t="str">
        <f>IFERROR(VLOOKUP(I653,'VALORES VIAJES'!$A$2:$B$24,2,FALSE),"")</f>
        <v/>
      </c>
      <c r="V653" t="str">
        <f>IFERROR(VLOOKUP(K653,'VALORES VIAJES'!$A$2:$B$24,2,FALSE),"")</f>
        <v/>
      </c>
      <c r="X653" s="208">
        <f>SUM(Hoja1[[#This Row],[$ X TIP VEHICUL]:[AGREGADO]])</f>
        <v>0</v>
      </c>
    </row>
    <row r="654" spans="2:24" hidden="1" x14ac:dyDescent="0.25">
      <c r="B654" s="189"/>
      <c r="J654" s="189"/>
      <c r="M654" s="205"/>
      <c r="O654" t="s">
        <v>7711</v>
      </c>
      <c r="S654" t="str">
        <f>IFERROR(VLOOKUP(E654,'VALORES VIAJES'!$A$2:$B$13,2,FALSE),"")</f>
        <v/>
      </c>
      <c r="T654" t="str">
        <f>IFERROR(VLOOKUP(H654,'VALORES VIAJES'!$A$2:$B$24,2,FALSE),"")</f>
        <v/>
      </c>
      <c r="U654" t="str">
        <f>IFERROR(VLOOKUP(I654,'VALORES VIAJES'!$A$2:$B$24,2,FALSE),"")</f>
        <v/>
      </c>
      <c r="V654" t="str">
        <f>IFERROR(VLOOKUP(K654,'VALORES VIAJES'!$A$2:$B$24,2,FALSE),"")</f>
        <v/>
      </c>
      <c r="X654" s="208">
        <f>SUM(Hoja1[[#This Row],[$ X TIP VEHICUL]:[AGREGADO]])</f>
        <v>0</v>
      </c>
    </row>
    <row r="655" spans="2:24" hidden="1" x14ac:dyDescent="0.25">
      <c r="B655" s="189"/>
      <c r="J655" s="189"/>
      <c r="M655" s="205"/>
      <c r="O655" t="s">
        <v>7711</v>
      </c>
      <c r="S655" t="str">
        <f>IFERROR(VLOOKUP(E655,'VALORES VIAJES'!$A$2:$B$13,2,FALSE),"")</f>
        <v/>
      </c>
      <c r="T655" t="str">
        <f>IFERROR(VLOOKUP(H655,'VALORES VIAJES'!$A$2:$B$24,2,FALSE),"")</f>
        <v/>
      </c>
      <c r="U655" t="str">
        <f>IFERROR(VLOOKUP(I655,'VALORES VIAJES'!$A$2:$B$24,2,FALSE),"")</f>
        <v/>
      </c>
      <c r="V655" t="str">
        <f>IFERROR(VLOOKUP(K655,'VALORES VIAJES'!$A$2:$B$24,2,FALSE),"")</f>
        <v/>
      </c>
      <c r="X655" s="208">
        <f>SUM(Hoja1[[#This Row],[$ X TIP VEHICUL]:[AGREGADO]])</f>
        <v>0</v>
      </c>
    </row>
    <row r="656" spans="2:24" hidden="1" x14ac:dyDescent="0.25">
      <c r="B656" s="189"/>
      <c r="J656" s="189"/>
      <c r="M656" s="205"/>
      <c r="O656" t="s">
        <v>7711</v>
      </c>
      <c r="S656" t="str">
        <f>IFERROR(VLOOKUP(E656,'VALORES VIAJES'!$A$2:$B$13,2,FALSE),"")</f>
        <v/>
      </c>
      <c r="T656" t="str">
        <f>IFERROR(VLOOKUP(H656,'VALORES VIAJES'!$A$2:$B$24,2,FALSE),"")</f>
        <v/>
      </c>
      <c r="U656" t="str">
        <f>IFERROR(VLOOKUP(I656,'VALORES VIAJES'!$A$2:$B$24,2,FALSE),"")</f>
        <v/>
      </c>
      <c r="V656" t="str">
        <f>IFERROR(VLOOKUP(K656,'VALORES VIAJES'!$A$2:$B$24,2,FALSE),"")</f>
        <v/>
      </c>
      <c r="X656" s="208">
        <f>SUM(Hoja1[[#This Row],[$ X TIP VEHICUL]:[AGREGADO]])</f>
        <v>0</v>
      </c>
    </row>
    <row r="657" spans="2:24" hidden="1" x14ac:dyDescent="0.25">
      <c r="B657" s="189"/>
      <c r="J657" s="189"/>
      <c r="M657" s="205"/>
      <c r="O657" t="s">
        <v>7711</v>
      </c>
      <c r="S657" t="str">
        <f>IFERROR(VLOOKUP(E657,'VALORES VIAJES'!$A$2:$B$13,2,FALSE),"")</f>
        <v/>
      </c>
      <c r="T657" t="str">
        <f>IFERROR(VLOOKUP(H657,'VALORES VIAJES'!$A$2:$B$24,2,FALSE),"")</f>
        <v/>
      </c>
      <c r="U657" t="str">
        <f>IFERROR(VLOOKUP(I657,'VALORES VIAJES'!$A$2:$B$24,2,FALSE),"")</f>
        <v/>
      </c>
      <c r="V657" t="str">
        <f>IFERROR(VLOOKUP(K657,'VALORES VIAJES'!$A$2:$B$24,2,FALSE),"")</f>
        <v/>
      </c>
      <c r="X657" s="208">
        <f>SUM(Hoja1[[#This Row],[$ X TIP VEHICUL]:[AGREGADO]])</f>
        <v>0</v>
      </c>
    </row>
    <row r="658" spans="2:24" hidden="1" x14ac:dyDescent="0.25">
      <c r="B658" s="189"/>
      <c r="J658" s="189"/>
      <c r="M658" s="205"/>
      <c r="O658" t="s">
        <v>7711</v>
      </c>
      <c r="S658" t="str">
        <f>IFERROR(VLOOKUP(E658,'VALORES VIAJES'!$A$2:$B$13,2,FALSE),"")</f>
        <v/>
      </c>
      <c r="T658" t="str">
        <f>IFERROR(VLOOKUP(H658,'VALORES VIAJES'!$A$2:$B$24,2,FALSE),"")</f>
        <v/>
      </c>
      <c r="U658" t="str">
        <f>IFERROR(VLOOKUP(I658,'VALORES VIAJES'!$A$2:$B$24,2,FALSE),"")</f>
        <v/>
      </c>
      <c r="V658" t="str">
        <f>IFERROR(VLOOKUP(K658,'VALORES VIAJES'!$A$2:$B$24,2,FALSE),"")</f>
        <v/>
      </c>
      <c r="X658" s="208">
        <f>SUM(Hoja1[[#This Row],[$ X TIP VEHICUL]:[AGREGADO]])</f>
        <v>0</v>
      </c>
    </row>
    <row r="659" spans="2:24" hidden="1" x14ac:dyDescent="0.25">
      <c r="B659" s="189"/>
      <c r="J659" s="189"/>
      <c r="M659" s="205"/>
      <c r="O659" t="s">
        <v>7711</v>
      </c>
      <c r="S659" t="str">
        <f>IFERROR(VLOOKUP(E659,'VALORES VIAJES'!$A$2:$B$13,2,FALSE),"")</f>
        <v/>
      </c>
      <c r="T659" t="str">
        <f>IFERROR(VLOOKUP(H659,'VALORES VIAJES'!$A$2:$B$24,2,FALSE),"")</f>
        <v/>
      </c>
      <c r="U659" t="str">
        <f>IFERROR(VLOOKUP(I659,'VALORES VIAJES'!$A$2:$B$24,2,FALSE),"")</f>
        <v/>
      </c>
      <c r="V659" t="str">
        <f>IFERROR(VLOOKUP(K659,'VALORES VIAJES'!$A$2:$B$24,2,FALSE),"")</f>
        <v/>
      </c>
      <c r="X659" s="208">
        <f>SUM(Hoja1[[#This Row],[$ X TIP VEHICUL]:[AGREGADO]])</f>
        <v>0</v>
      </c>
    </row>
    <row r="660" spans="2:24" hidden="1" x14ac:dyDescent="0.25">
      <c r="B660" s="189"/>
      <c r="J660" s="189"/>
      <c r="M660" s="205"/>
      <c r="O660" t="s">
        <v>7711</v>
      </c>
      <c r="S660" t="str">
        <f>IFERROR(VLOOKUP(E660,'VALORES VIAJES'!$A$2:$B$13,2,FALSE),"")</f>
        <v/>
      </c>
      <c r="T660" t="str">
        <f>IFERROR(VLOOKUP(H660,'VALORES VIAJES'!$A$2:$B$24,2,FALSE),"")</f>
        <v/>
      </c>
      <c r="U660" t="str">
        <f>IFERROR(VLOOKUP(I660,'VALORES VIAJES'!$A$2:$B$24,2,FALSE),"")</f>
        <v/>
      </c>
      <c r="V660" t="str">
        <f>IFERROR(VLOOKUP(K660,'VALORES VIAJES'!$A$2:$B$24,2,FALSE),"")</f>
        <v/>
      </c>
      <c r="X660" s="208">
        <f>SUM(Hoja1[[#This Row],[$ X TIP VEHICUL]:[AGREGADO]])</f>
        <v>0</v>
      </c>
    </row>
    <row r="661" spans="2:24" hidden="1" x14ac:dyDescent="0.25">
      <c r="B661" s="189"/>
      <c r="J661" s="189"/>
      <c r="M661" s="205"/>
      <c r="O661" t="s">
        <v>7711</v>
      </c>
      <c r="S661" t="str">
        <f>IFERROR(VLOOKUP(E661,'VALORES VIAJES'!$A$2:$B$13,2,FALSE),"")</f>
        <v/>
      </c>
      <c r="T661" t="str">
        <f>IFERROR(VLOOKUP(H661,'VALORES VIAJES'!$A$2:$B$24,2,FALSE),"")</f>
        <v/>
      </c>
      <c r="U661" t="str">
        <f>IFERROR(VLOOKUP(I661,'VALORES VIAJES'!$A$2:$B$24,2,FALSE),"")</f>
        <v/>
      </c>
      <c r="V661" t="str">
        <f>IFERROR(VLOOKUP(K661,'VALORES VIAJES'!$A$2:$B$24,2,FALSE),"")</f>
        <v/>
      </c>
      <c r="X661" s="208">
        <f>SUM(Hoja1[[#This Row],[$ X TIP VEHICUL]:[AGREGADO]])</f>
        <v>0</v>
      </c>
    </row>
    <row r="662" spans="2:24" hidden="1" x14ac:dyDescent="0.25">
      <c r="B662" s="189"/>
      <c r="J662" s="189"/>
      <c r="M662" s="205"/>
      <c r="O662" t="s">
        <v>7711</v>
      </c>
      <c r="S662" t="str">
        <f>IFERROR(VLOOKUP(E662,'VALORES VIAJES'!$A$2:$B$13,2,FALSE),"")</f>
        <v/>
      </c>
      <c r="T662" t="str">
        <f>IFERROR(VLOOKUP(H662,'VALORES VIAJES'!$A$2:$B$24,2,FALSE),"")</f>
        <v/>
      </c>
      <c r="U662" t="str">
        <f>IFERROR(VLOOKUP(I662,'VALORES VIAJES'!$A$2:$B$24,2,FALSE),"")</f>
        <v/>
      </c>
      <c r="V662" t="str">
        <f>IFERROR(VLOOKUP(K662,'VALORES VIAJES'!$A$2:$B$24,2,FALSE),"")</f>
        <v/>
      </c>
      <c r="X662" s="208">
        <f>SUM(Hoja1[[#This Row],[$ X TIP VEHICUL]:[AGREGADO]])</f>
        <v>0</v>
      </c>
    </row>
    <row r="663" spans="2:24" hidden="1" x14ac:dyDescent="0.25">
      <c r="B663" s="189"/>
      <c r="J663" s="189"/>
      <c r="M663" s="205"/>
      <c r="O663" t="s">
        <v>7711</v>
      </c>
      <c r="S663" t="str">
        <f>IFERROR(VLOOKUP(E663,'VALORES VIAJES'!$A$2:$B$13,2,FALSE),"")</f>
        <v/>
      </c>
      <c r="T663" t="str">
        <f>IFERROR(VLOOKUP(H663,'VALORES VIAJES'!$A$2:$B$24,2,FALSE),"")</f>
        <v/>
      </c>
      <c r="U663" t="str">
        <f>IFERROR(VLOOKUP(I663,'VALORES VIAJES'!$A$2:$B$24,2,FALSE),"")</f>
        <v/>
      </c>
      <c r="V663" t="str">
        <f>IFERROR(VLOOKUP(K663,'VALORES VIAJES'!$A$2:$B$24,2,FALSE),"")</f>
        <v/>
      </c>
      <c r="X663" s="208">
        <f>SUM(Hoja1[[#This Row],[$ X TIP VEHICUL]:[AGREGADO]])</f>
        <v>0</v>
      </c>
    </row>
    <row r="664" spans="2:24" hidden="1" x14ac:dyDescent="0.25">
      <c r="B664" s="189"/>
      <c r="J664" s="189"/>
      <c r="M664" s="205"/>
      <c r="O664" t="s">
        <v>7711</v>
      </c>
      <c r="S664" t="str">
        <f>IFERROR(VLOOKUP(E664,'VALORES VIAJES'!$A$2:$B$13,2,FALSE),"")</f>
        <v/>
      </c>
      <c r="T664" t="str">
        <f>IFERROR(VLOOKUP(H664,'VALORES VIAJES'!$A$2:$B$24,2,FALSE),"")</f>
        <v/>
      </c>
      <c r="U664" t="str">
        <f>IFERROR(VLOOKUP(I664,'VALORES VIAJES'!$A$2:$B$24,2,FALSE),"")</f>
        <v/>
      </c>
      <c r="V664" t="str">
        <f>IFERROR(VLOOKUP(K664,'VALORES VIAJES'!$A$2:$B$24,2,FALSE),"")</f>
        <v/>
      </c>
      <c r="X664" s="208">
        <f>SUM(Hoja1[[#This Row],[$ X TIP VEHICUL]:[AGREGADO]])</f>
        <v>0</v>
      </c>
    </row>
    <row r="665" spans="2:24" hidden="1" x14ac:dyDescent="0.25">
      <c r="B665" s="189"/>
      <c r="J665" s="189"/>
      <c r="M665" s="205"/>
      <c r="O665" t="s">
        <v>7711</v>
      </c>
      <c r="S665" t="str">
        <f>IFERROR(VLOOKUP(E665,'VALORES VIAJES'!$A$2:$B$13,2,FALSE),"")</f>
        <v/>
      </c>
      <c r="T665" t="str">
        <f>IFERROR(VLOOKUP(H665,'VALORES VIAJES'!$A$2:$B$24,2,FALSE),"")</f>
        <v/>
      </c>
      <c r="U665" t="str">
        <f>IFERROR(VLOOKUP(I665,'VALORES VIAJES'!$A$2:$B$24,2,FALSE),"")</f>
        <v/>
      </c>
      <c r="V665" t="str">
        <f>IFERROR(VLOOKUP(K665,'VALORES VIAJES'!$A$2:$B$24,2,FALSE),"")</f>
        <v/>
      </c>
      <c r="X665" s="208">
        <f>SUM(Hoja1[[#This Row],[$ X TIP VEHICUL]:[AGREGADO]])</f>
        <v>0</v>
      </c>
    </row>
    <row r="666" spans="2:24" hidden="1" x14ac:dyDescent="0.25">
      <c r="B666" s="189"/>
      <c r="J666" s="189"/>
      <c r="M666" s="205"/>
      <c r="O666" t="s">
        <v>7711</v>
      </c>
      <c r="S666" t="str">
        <f>IFERROR(VLOOKUP(E666,'VALORES VIAJES'!$A$2:$B$13,2,FALSE),"")</f>
        <v/>
      </c>
      <c r="T666" t="str">
        <f>IFERROR(VLOOKUP(H666,'VALORES VIAJES'!$A$2:$B$24,2,FALSE),"")</f>
        <v/>
      </c>
      <c r="U666" t="str">
        <f>IFERROR(VLOOKUP(I666,'VALORES VIAJES'!$A$2:$B$24,2,FALSE),"")</f>
        <v/>
      </c>
      <c r="V666" t="str">
        <f>IFERROR(VLOOKUP(K666,'VALORES VIAJES'!$A$2:$B$24,2,FALSE),"")</f>
        <v/>
      </c>
      <c r="X666" s="208">
        <f>SUM(Hoja1[[#This Row],[$ X TIP VEHICUL]:[AGREGADO]])</f>
        <v>0</v>
      </c>
    </row>
    <row r="667" spans="2:24" hidden="1" x14ac:dyDescent="0.25">
      <c r="B667" s="189"/>
      <c r="J667" s="189"/>
      <c r="M667" s="205"/>
      <c r="O667" t="s">
        <v>7711</v>
      </c>
      <c r="S667" t="str">
        <f>IFERROR(VLOOKUP(E667,'VALORES VIAJES'!$A$2:$B$13,2,FALSE),"")</f>
        <v/>
      </c>
      <c r="T667" t="str">
        <f>IFERROR(VLOOKUP(H667,'VALORES VIAJES'!$A$2:$B$24,2,FALSE),"")</f>
        <v/>
      </c>
      <c r="U667" t="str">
        <f>IFERROR(VLOOKUP(I667,'VALORES VIAJES'!$A$2:$B$24,2,FALSE),"")</f>
        <v/>
      </c>
      <c r="V667" t="str">
        <f>IFERROR(VLOOKUP(K667,'VALORES VIAJES'!$A$2:$B$24,2,FALSE),"")</f>
        <v/>
      </c>
      <c r="X667" s="208">
        <f>SUM(Hoja1[[#This Row],[$ X TIP VEHICUL]:[AGREGADO]])</f>
        <v>0</v>
      </c>
    </row>
    <row r="668" spans="2:24" hidden="1" x14ac:dyDescent="0.25">
      <c r="B668" s="189"/>
      <c r="J668" s="189"/>
      <c r="M668" s="205"/>
      <c r="O668" t="s">
        <v>7711</v>
      </c>
      <c r="S668" t="str">
        <f>IFERROR(VLOOKUP(E668,'VALORES VIAJES'!$A$2:$B$13,2,FALSE),"")</f>
        <v/>
      </c>
      <c r="T668" t="str">
        <f>IFERROR(VLOOKUP(H668,'VALORES VIAJES'!$A$2:$B$24,2,FALSE),"")</f>
        <v/>
      </c>
      <c r="U668" t="str">
        <f>IFERROR(VLOOKUP(I668,'VALORES VIAJES'!$A$2:$B$24,2,FALSE),"")</f>
        <v/>
      </c>
      <c r="V668" t="str">
        <f>IFERROR(VLOOKUP(K668,'VALORES VIAJES'!$A$2:$B$24,2,FALSE),"")</f>
        <v/>
      </c>
      <c r="X668" s="208">
        <f>SUM(Hoja1[[#This Row],[$ X TIP VEHICUL]:[AGREGADO]])</f>
        <v>0</v>
      </c>
    </row>
    <row r="669" spans="2:24" hidden="1" x14ac:dyDescent="0.25">
      <c r="B669" s="189"/>
      <c r="J669" s="189"/>
      <c r="M669" s="205"/>
      <c r="O669" t="s">
        <v>7711</v>
      </c>
      <c r="S669" t="str">
        <f>IFERROR(VLOOKUP(E669,'VALORES VIAJES'!$A$2:$B$13,2,FALSE),"")</f>
        <v/>
      </c>
      <c r="T669" t="str">
        <f>IFERROR(VLOOKUP(H669,'VALORES VIAJES'!$A$2:$B$24,2,FALSE),"")</f>
        <v/>
      </c>
      <c r="U669" t="str">
        <f>IFERROR(VLOOKUP(I669,'VALORES VIAJES'!$A$2:$B$24,2,FALSE),"")</f>
        <v/>
      </c>
      <c r="V669" t="str">
        <f>IFERROR(VLOOKUP(K669,'VALORES VIAJES'!$A$2:$B$24,2,FALSE),"")</f>
        <v/>
      </c>
      <c r="X669" s="208">
        <f>SUM(Hoja1[[#This Row],[$ X TIP VEHICUL]:[AGREGADO]])</f>
        <v>0</v>
      </c>
    </row>
    <row r="670" spans="2:24" hidden="1" x14ac:dyDescent="0.25">
      <c r="B670" s="189"/>
      <c r="J670" s="189"/>
      <c r="M670" s="205"/>
      <c r="O670" t="s">
        <v>7711</v>
      </c>
      <c r="S670" t="str">
        <f>IFERROR(VLOOKUP(E670,'VALORES VIAJES'!$A$2:$B$13,2,FALSE),"")</f>
        <v/>
      </c>
      <c r="T670" t="str">
        <f>IFERROR(VLOOKUP(H670,'VALORES VIAJES'!$A$2:$B$24,2,FALSE),"")</f>
        <v/>
      </c>
      <c r="U670" t="str">
        <f>IFERROR(VLOOKUP(I670,'VALORES VIAJES'!$A$2:$B$24,2,FALSE),"")</f>
        <v/>
      </c>
      <c r="V670" t="str">
        <f>IFERROR(VLOOKUP(K670,'VALORES VIAJES'!$A$2:$B$24,2,FALSE),"")</f>
        <v/>
      </c>
      <c r="X670" s="208">
        <f>SUM(Hoja1[[#This Row],[$ X TIP VEHICUL]:[AGREGADO]])</f>
        <v>0</v>
      </c>
    </row>
    <row r="671" spans="2:24" hidden="1" x14ac:dyDescent="0.25">
      <c r="B671" s="189"/>
      <c r="J671" s="189"/>
      <c r="M671" s="205"/>
      <c r="O671" t="s">
        <v>7711</v>
      </c>
      <c r="S671" t="str">
        <f>IFERROR(VLOOKUP(E671,'VALORES VIAJES'!$A$2:$B$13,2,FALSE),"")</f>
        <v/>
      </c>
      <c r="T671" t="str">
        <f>IFERROR(VLOOKUP(H671,'VALORES VIAJES'!$A$2:$B$24,2,FALSE),"")</f>
        <v/>
      </c>
      <c r="U671" t="str">
        <f>IFERROR(VLOOKUP(I671,'VALORES VIAJES'!$A$2:$B$24,2,FALSE),"")</f>
        <v/>
      </c>
      <c r="V671" t="str">
        <f>IFERROR(VLOOKUP(K671,'VALORES VIAJES'!$A$2:$B$24,2,FALSE),"")</f>
        <v/>
      </c>
      <c r="X671" s="208">
        <f>SUM(Hoja1[[#This Row],[$ X TIP VEHICUL]:[AGREGADO]])</f>
        <v>0</v>
      </c>
    </row>
    <row r="672" spans="2:24" hidden="1" x14ac:dyDescent="0.25">
      <c r="B672" s="189"/>
      <c r="J672" s="189"/>
      <c r="M672" s="205"/>
      <c r="O672" t="s">
        <v>7711</v>
      </c>
      <c r="S672" t="str">
        <f>IFERROR(VLOOKUP(E672,'VALORES VIAJES'!$A$2:$B$13,2,FALSE),"")</f>
        <v/>
      </c>
      <c r="T672" t="str">
        <f>IFERROR(VLOOKUP(H672,'VALORES VIAJES'!$A$2:$B$24,2,FALSE),"")</f>
        <v/>
      </c>
      <c r="U672" t="str">
        <f>IFERROR(VLOOKUP(I672,'VALORES VIAJES'!$A$2:$B$24,2,FALSE),"")</f>
        <v/>
      </c>
      <c r="V672" t="str">
        <f>IFERROR(VLOOKUP(K672,'VALORES VIAJES'!$A$2:$B$24,2,FALSE),"")</f>
        <v/>
      </c>
      <c r="X672" s="208">
        <f>SUM(Hoja1[[#This Row],[$ X TIP VEHICUL]:[AGREGADO]])</f>
        <v>0</v>
      </c>
    </row>
    <row r="673" spans="2:24" hidden="1" x14ac:dyDescent="0.25">
      <c r="B673" s="189"/>
      <c r="J673" s="189"/>
      <c r="M673" s="205"/>
      <c r="O673" t="s">
        <v>7711</v>
      </c>
      <c r="S673" t="str">
        <f>IFERROR(VLOOKUP(E673,'VALORES VIAJES'!$A$2:$B$13,2,FALSE),"")</f>
        <v/>
      </c>
      <c r="T673" t="str">
        <f>IFERROR(VLOOKUP(H673,'VALORES VIAJES'!$A$2:$B$24,2,FALSE),"")</f>
        <v/>
      </c>
      <c r="U673" t="str">
        <f>IFERROR(VLOOKUP(I673,'VALORES VIAJES'!$A$2:$B$24,2,FALSE),"")</f>
        <v/>
      </c>
      <c r="V673" t="str">
        <f>IFERROR(VLOOKUP(K673,'VALORES VIAJES'!$A$2:$B$24,2,FALSE),"")</f>
        <v/>
      </c>
      <c r="X673" s="208">
        <f>SUM(Hoja1[[#This Row],[$ X TIP VEHICUL]:[AGREGADO]])</f>
        <v>0</v>
      </c>
    </row>
    <row r="674" spans="2:24" hidden="1" x14ac:dyDescent="0.25">
      <c r="B674" s="189"/>
      <c r="J674" s="189"/>
      <c r="M674" s="205"/>
      <c r="O674" t="s">
        <v>7711</v>
      </c>
      <c r="S674" t="str">
        <f>IFERROR(VLOOKUP(E674,'VALORES VIAJES'!$A$2:$B$13,2,FALSE),"")</f>
        <v/>
      </c>
      <c r="T674" t="str">
        <f>IFERROR(VLOOKUP(H674,'VALORES VIAJES'!$A$2:$B$24,2,FALSE),"")</f>
        <v/>
      </c>
      <c r="U674" t="str">
        <f>IFERROR(VLOOKUP(I674,'VALORES VIAJES'!$A$2:$B$24,2,FALSE),"")</f>
        <v/>
      </c>
      <c r="V674" t="str">
        <f>IFERROR(VLOOKUP(K674,'VALORES VIAJES'!$A$2:$B$24,2,FALSE),"")</f>
        <v/>
      </c>
      <c r="X674" s="208">
        <f>SUM(Hoja1[[#This Row],[$ X TIP VEHICUL]:[AGREGADO]])</f>
        <v>0</v>
      </c>
    </row>
    <row r="675" spans="2:24" hidden="1" x14ac:dyDescent="0.25">
      <c r="B675" s="189"/>
      <c r="J675" s="189"/>
      <c r="M675" s="205"/>
      <c r="O675" t="s">
        <v>7711</v>
      </c>
      <c r="S675" t="str">
        <f>IFERROR(VLOOKUP(E675,'VALORES VIAJES'!$A$2:$B$13,2,FALSE),"")</f>
        <v/>
      </c>
      <c r="T675" t="str">
        <f>IFERROR(VLOOKUP(H675,'VALORES VIAJES'!$A$2:$B$24,2,FALSE),"")</f>
        <v/>
      </c>
      <c r="U675" t="str">
        <f>IFERROR(VLOOKUP(I675,'VALORES VIAJES'!$A$2:$B$24,2,FALSE),"")</f>
        <v/>
      </c>
      <c r="V675" t="str">
        <f>IFERROR(VLOOKUP(K675,'VALORES VIAJES'!$A$2:$B$24,2,FALSE),"")</f>
        <v/>
      </c>
      <c r="X675" s="208">
        <f>SUM(Hoja1[[#This Row],[$ X TIP VEHICUL]:[AGREGADO]])</f>
        <v>0</v>
      </c>
    </row>
    <row r="676" spans="2:24" hidden="1" x14ac:dyDescent="0.25">
      <c r="B676" s="189"/>
      <c r="J676" s="189"/>
      <c r="M676" s="205"/>
      <c r="O676" t="s">
        <v>7711</v>
      </c>
      <c r="S676" t="str">
        <f>IFERROR(VLOOKUP(E676,'VALORES VIAJES'!$A$2:$B$13,2,FALSE),"")</f>
        <v/>
      </c>
      <c r="T676" t="str">
        <f>IFERROR(VLOOKUP(H676,'VALORES VIAJES'!$A$2:$B$24,2,FALSE),"")</f>
        <v/>
      </c>
      <c r="U676" t="str">
        <f>IFERROR(VLOOKUP(I676,'VALORES VIAJES'!$A$2:$B$24,2,FALSE),"")</f>
        <v/>
      </c>
      <c r="V676" t="str">
        <f>IFERROR(VLOOKUP(K676,'VALORES VIAJES'!$A$2:$B$24,2,FALSE),"")</f>
        <v/>
      </c>
      <c r="X676" s="208">
        <f>SUM(Hoja1[[#This Row],[$ X TIP VEHICUL]:[AGREGADO]])</f>
        <v>0</v>
      </c>
    </row>
    <row r="677" spans="2:24" hidden="1" x14ac:dyDescent="0.25">
      <c r="B677" s="189"/>
      <c r="J677" s="189"/>
      <c r="M677" s="205"/>
      <c r="O677" t="s">
        <v>7711</v>
      </c>
      <c r="S677" t="str">
        <f>IFERROR(VLOOKUP(E677,'VALORES VIAJES'!$A$2:$B$13,2,FALSE),"")</f>
        <v/>
      </c>
      <c r="T677" t="str">
        <f>IFERROR(VLOOKUP(H677,'VALORES VIAJES'!$A$2:$B$24,2,FALSE),"")</f>
        <v/>
      </c>
      <c r="U677" t="str">
        <f>IFERROR(VLOOKUP(I677,'VALORES VIAJES'!$A$2:$B$24,2,FALSE),"")</f>
        <v/>
      </c>
      <c r="V677" t="str">
        <f>IFERROR(VLOOKUP(K677,'VALORES VIAJES'!$A$2:$B$24,2,FALSE),"")</f>
        <v/>
      </c>
      <c r="X677" s="208">
        <f>SUM(Hoja1[[#This Row],[$ X TIP VEHICUL]:[AGREGADO]])</f>
        <v>0</v>
      </c>
    </row>
    <row r="678" spans="2:24" hidden="1" x14ac:dyDescent="0.25">
      <c r="B678" s="189"/>
      <c r="J678" s="189"/>
      <c r="M678" s="205"/>
      <c r="O678" t="s">
        <v>7711</v>
      </c>
      <c r="S678" t="str">
        <f>IFERROR(VLOOKUP(E678,'VALORES VIAJES'!$A$2:$B$13,2,FALSE),"")</f>
        <v/>
      </c>
      <c r="T678" t="str">
        <f>IFERROR(VLOOKUP(H678,'VALORES VIAJES'!$A$2:$B$24,2,FALSE),"")</f>
        <v/>
      </c>
      <c r="U678" t="str">
        <f>IFERROR(VLOOKUP(I678,'VALORES VIAJES'!$A$2:$B$24,2,FALSE),"")</f>
        <v/>
      </c>
      <c r="V678" t="str">
        <f>IFERROR(VLOOKUP(K678,'VALORES VIAJES'!$A$2:$B$24,2,FALSE),"")</f>
        <v/>
      </c>
      <c r="X678" s="208">
        <f>SUM(Hoja1[[#This Row],[$ X TIP VEHICUL]:[AGREGADO]])</f>
        <v>0</v>
      </c>
    </row>
    <row r="679" spans="2:24" hidden="1" x14ac:dyDescent="0.25">
      <c r="B679" s="189"/>
      <c r="J679" s="189"/>
      <c r="M679" s="205"/>
      <c r="O679" t="s">
        <v>7711</v>
      </c>
      <c r="S679" t="str">
        <f>IFERROR(VLOOKUP(E679,'VALORES VIAJES'!$A$2:$B$13,2,FALSE),"")</f>
        <v/>
      </c>
      <c r="T679" t="str">
        <f>IFERROR(VLOOKUP(H679,'VALORES VIAJES'!$A$2:$B$24,2,FALSE),"")</f>
        <v/>
      </c>
      <c r="U679" t="str">
        <f>IFERROR(VLOOKUP(I679,'VALORES VIAJES'!$A$2:$B$24,2,FALSE),"")</f>
        <v/>
      </c>
      <c r="V679" t="str">
        <f>IFERROR(VLOOKUP(K679,'VALORES VIAJES'!$A$2:$B$24,2,FALSE),"")</f>
        <v/>
      </c>
      <c r="X679" s="208">
        <f>SUM(Hoja1[[#This Row],[$ X TIP VEHICUL]:[AGREGADO]])</f>
        <v>0</v>
      </c>
    </row>
    <row r="680" spans="2:24" hidden="1" x14ac:dyDescent="0.25">
      <c r="B680" s="189"/>
      <c r="J680" s="189"/>
      <c r="M680" s="205"/>
      <c r="O680" t="s">
        <v>7711</v>
      </c>
      <c r="S680" t="str">
        <f>IFERROR(VLOOKUP(E680,'VALORES VIAJES'!$A$2:$B$13,2,FALSE),"")</f>
        <v/>
      </c>
      <c r="T680" t="str">
        <f>IFERROR(VLOOKUP(H680,'VALORES VIAJES'!$A$2:$B$24,2,FALSE),"")</f>
        <v/>
      </c>
      <c r="U680" t="str">
        <f>IFERROR(VLOOKUP(I680,'VALORES VIAJES'!$A$2:$B$24,2,FALSE),"")</f>
        <v/>
      </c>
      <c r="V680" t="str">
        <f>IFERROR(VLOOKUP(K680,'VALORES VIAJES'!$A$2:$B$24,2,FALSE),"")</f>
        <v/>
      </c>
      <c r="X680" s="208">
        <f>SUM(Hoja1[[#This Row],[$ X TIP VEHICUL]:[AGREGADO]])</f>
        <v>0</v>
      </c>
    </row>
    <row r="681" spans="2:24" hidden="1" x14ac:dyDescent="0.25">
      <c r="B681" s="189"/>
      <c r="J681" s="189"/>
      <c r="M681" s="205"/>
      <c r="O681" t="s">
        <v>7711</v>
      </c>
      <c r="S681" t="str">
        <f>IFERROR(VLOOKUP(E681,'VALORES VIAJES'!$A$2:$B$13,2,FALSE),"")</f>
        <v/>
      </c>
      <c r="T681" t="str">
        <f>IFERROR(VLOOKUP(H681,'VALORES VIAJES'!$A$2:$B$24,2,FALSE),"")</f>
        <v/>
      </c>
      <c r="U681" t="str">
        <f>IFERROR(VLOOKUP(I681,'VALORES VIAJES'!$A$2:$B$24,2,FALSE),"")</f>
        <v/>
      </c>
      <c r="V681" t="str">
        <f>IFERROR(VLOOKUP(K681,'VALORES VIAJES'!$A$2:$B$24,2,FALSE),"")</f>
        <v/>
      </c>
      <c r="X681" s="208">
        <f>SUM(Hoja1[[#This Row],[$ X TIP VEHICUL]:[AGREGADO]])</f>
        <v>0</v>
      </c>
    </row>
    <row r="682" spans="2:24" hidden="1" x14ac:dyDescent="0.25">
      <c r="B682" s="189"/>
      <c r="J682" s="189"/>
      <c r="M682" s="205"/>
      <c r="O682" t="s">
        <v>7711</v>
      </c>
      <c r="S682" t="str">
        <f>IFERROR(VLOOKUP(E682,'VALORES VIAJES'!$A$2:$B$13,2,FALSE),"")</f>
        <v/>
      </c>
      <c r="T682" t="str">
        <f>IFERROR(VLOOKUP(H682,'VALORES VIAJES'!$A$2:$B$24,2,FALSE),"")</f>
        <v/>
      </c>
      <c r="U682" t="str">
        <f>IFERROR(VLOOKUP(I682,'VALORES VIAJES'!$A$2:$B$24,2,FALSE),"")</f>
        <v/>
      </c>
      <c r="V682" t="str">
        <f>IFERROR(VLOOKUP(K682,'VALORES VIAJES'!$A$2:$B$24,2,FALSE),"")</f>
        <v/>
      </c>
      <c r="X682" s="208">
        <f>SUM(Hoja1[[#This Row],[$ X TIP VEHICUL]:[AGREGADO]])</f>
        <v>0</v>
      </c>
    </row>
    <row r="683" spans="2:24" hidden="1" x14ac:dyDescent="0.25">
      <c r="B683" s="189"/>
      <c r="J683" s="189"/>
      <c r="M683" s="205"/>
      <c r="O683" t="s">
        <v>7711</v>
      </c>
      <c r="S683" t="str">
        <f>IFERROR(VLOOKUP(E683,'VALORES VIAJES'!$A$2:$B$13,2,FALSE),"")</f>
        <v/>
      </c>
      <c r="T683" t="str">
        <f>IFERROR(VLOOKUP(H683,'VALORES VIAJES'!$A$2:$B$24,2,FALSE),"")</f>
        <v/>
      </c>
      <c r="U683" t="str">
        <f>IFERROR(VLOOKUP(I683,'VALORES VIAJES'!$A$2:$B$24,2,FALSE),"")</f>
        <v/>
      </c>
      <c r="V683" t="str">
        <f>IFERROR(VLOOKUP(K683,'VALORES VIAJES'!$A$2:$B$24,2,FALSE),"")</f>
        <v/>
      </c>
      <c r="X683" s="208">
        <f>SUM(Hoja1[[#This Row],[$ X TIP VEHICUL]:[AGREGADO]])</f>
        <v>0</v>
      </c>
    </row>
    <row r="684" spans="2:24" hidden="1" x14ac:dyDescent="0.25">
      <c r="B684" s="189"/>
      <c r="J684" s="189"/>
      <c r="M684" s="205"/>
      <c r="O684" t="s">
        <v>7711</v>
      </c>
      <c r="S684" t="str">
        <f>IFERROR(VLOOKUP(E684,'VALORES VIAJES'!$A$2:$B$13,2,FALSE),"")</f>
        <v/>
      </c>
      <c r="T684" t="str">
        <f>IFERROR(VLOOKUP(H684,'VALORES VIAJES'!$A$2:$B$24,2,FALSE),"")</f>
        <v/>
      </c>
      <c r="U684" t="str">
        <f>IFERROR(VLOOKUP(I684,'VALORES VIAJES'!$A$2:$B$24,2,FALSE),"")</f>
        <v/>
      </c>
      <c r="V684" t="str">
        <f>IFERROR(VLOOKUP(K684,'VALORES VIAJES'!$A$2:$B$24,2,FALSE),"")</f>
        <v/>
      </c>
      <c r="X684" s="208">
        <f>SUM(Hoja1[[#This Row],[$ X TIP VEHICUL]:[AGREGADO]])</f>
        <v>0</v>
      </c>
    </row>
    <row r="685" spans="2:24" hidden="1" x14ac:dyDescent="0.25">
      <c r="B685" s="189"/>
      <c r="J685" s="189"/>
      <c r="M685" s="205"/>
      <c r="O685" t="s">
        <v>7711</v>
      </c>
      <c r="S685" t="str">
        <f>IFERROR(VLOOKUP(E685,'VALORES VIAJES'!$A$2:$B$13,2,FALSE),"")</f>
        <v/>
      </c>
      <c r="T685" t="str">
        <f>IFERROR(VLOOKUP(H685,'VALORES VIAJES'!$A$2:$B$24,2,FALSE),"")</f>
        <v/>
      </c>
      <c r="U685" t="str">
        <f>IFERROR(VLOOKUP(I685,'VALORES VIAJES'!$A$2:$B$24,2,FALSE),"")</f>
        <v/>
      </c>
      <c r="V685" t="str">
        <f>IFERROR(VLOOKUP(K685,'VALORES VIAJES'!$A$2:$B$24,2,FALSE),"")</f>
        <v/>
      </c>
      <c r="X685" s="208">
        <f>SUM(Hoja1[[#This Row],[$ X TIP VEHICUL]:[AGREGADO]])</f>
        <v>0</v>
      </c>
    </row>
    <row r="686" spans="2:24" hidden="1" x14ac:dyDescent="0.25">
      <c r="B686" s="189"/>
      <c r="J686" s="189"/>
      <c r="M686" s="205"/>
      <c r="O686" t="s">
        <v>7711</v>
      </c>
      <c r="S686" t="str">
        <f>IFERROR(VLOOKUP(E686,'VALORES VIAJES'!$A$2:$B$13,2,FALSE),"")</f>
        <v/>
      </c>
      <c r="T686" t="str">
        <f>IFERROR(VLOOKUP(H686,'VALORES VIAJES'!$A$2:$B$24,2,FALSE),"")</f>
        <v/>
      </c>
      <c r="U686" t="str">
        <f>IFERROR(VLOOKUP(I686,'VALORES VIAJES'!$A$2:$B$24,2,FALSE),"")</f>
        <v/>
      </c>
      <c r="V686" t="str">
        <f>IFERROR(VLOOKUP(K686,'VALORES VIAJES'!$A$2:$B$24,2,FALSE),"")</f>
        <v/>
      </c>
      <c r="X686" s="208">
        <f>SUM(Hoja1[[#This Row],[$ X TIP VEHICUL]:[AGREGADO]])</f>
        <v>0</v>
      </c>
    </row>
    <row r="687" spans="2:24" hidden="1" x14ac:dyDescent="0.25">
      <c r="B687" s="189"/>
      <c r="J687" s="189"/>
      <c r="M687" s="205"/>
      <c r="O687" t="s">
        <v>7711</v>
      </c>
      <c r="S687" t="str">
        <f>IFERROR(VLOOKUP(E687,'VALORES VIAJES'!$A$2:$B$13,2,FALSE),"")</f>
        <v/>
      </c>
      <c r="T687" t="str">
        <f>IFERROR(VLOOKUP(H687,'VALORES VIAJES'!$A$2:$B$24,2,FALSE),"")</f>
        <v/>
      </c>
      <c r="U687" t="str">
        <f>IFERROR(VLOOKUP(I687,'VALORES VIAJES'!$A$2:$B$24,2,FALSE),"")</f>
        <v/>
      </c>
      <c r="V687" t="str">
        <f>IFERROR(VLOOKUP(K687,'VALORES VIAJES'!$A$2:$B$24,2,FALSE),"")</f>
        <v/>
      </c>
      <c r="X687" s="208">
        <f>SUM(Hoja1[[#This Row],[$ X TIP VEHICUL]:[AGREGADO]])</f>
        <v>0</v>
      </c>
    </row>
    <row r="688" spans="2:24" hidden="1" x14ac:dyDescent="0.25">
      <c r="B688" s="189"/>
      <c r="J688" s="189"/>
      <c r="M688" s="205"/>
      <c r="O688" t="s">
        <v>7711</v>
      </c>
      <c r="S688" t="str">
        <f>IFERROR(VLOOKUP(E688,'VALORES VIAJES'!$A$2:$B$13,2,FALSE),"")</f>
        <v/>
      </c>
      <c r="T688" t="str">
        <f>IFERROR(VLOOKUP(H688,'VALORES VIAJES'!$A$2:$B$24,2,FALSE),"")</f>
        <v/>
      </c>
      <c r="U688" t="str">
        <f>IFERROR(VLOOKUP(I688,'VALORES VIAJES'!$A$2:$B$24,2,FALSE),"")</f>
        <v/>
      </c>
      <c r="V688" t="str">
        <f>IFERROR(VLOOKUP(K688,'VALORES VIAJES'!$A$2:$B$24,2,FALSE),"")</f>
        <v/>
      </c>
      <c r="X688" s="208">
        <f>SUM(Hoja1[[#This Row],[$ X TIP VEHICUL]:[AGREGADO]])</f>
        <v>0</v>
      </c>
    </row>
    <row r="689" spans="2:24" hidden="1" x14ac:dyDescent="0.25">
      <c r="B689" s="189"/>
      <c r="J689" s="189"/>
      <c r="M689" s="205"/>
      <c r="O689" t="s">
        <v>7711</v>
      </c>
      <c r="S689" t="str">
        <f>IFERROR(VLOOKUP(E689,'VALORES VIAJES'!$A$2:$B$13,2,FALSE),"")</f>
        <v/>
      </c>
      <c r="T689" t="str">
        <f>IFERROR(VLOOKUP(H689,'VALORES VIAJES'!$A$2:$B$24,2,FALSE),"")</f>
        <v/>
      </c>
      <c r="U689" t="str">
        <f>IFERROR(VLOOKUP(I689,'VALORES VIAJES'!$A$2:$B$24,2,FALSE),"")</f>
        <v/>
      </c>
      <c r="V689" t="str">
        <f>IFERROR(VLOOKUP(K689,'VALORES VIAJES'!$A$2:$B$24,2,FALSE),"")</f>
        <v/>
      </c>
      <c r="X689" s="208">
        <f>SUM(Hoja1[[#This Row],[$ X TIP VEHICUL]:[AGREGADO]])</f>
        <v>0</v>
      </c>
    </row>
    <row r="690" spans="2:24" hidden="1" x14ac:dyDescent="0.25">
      <c r="B690" s="189"/>
      <c r="J690" s="189"/>
      <c r="M690" s="205"/>
      <c r="O690" t="s">
        <v>7711</v>
      </c>
      <c r="S690" t="str">
        <f>IFERROR(VLOOKUP(E690,'VALORES VIAJES'!$A$2:$B$13,2,FALSE),"")</f>
        <v/>
      </c>
      <c r="T690" t="str">
        <f>IFERROR(VLOOKUP(H690,'VALORES VIAJES'!$A$2:$B$24,2,FALSE),"")</f>
        <v/>
      </c>
      <c r="U690" t="str">
        <f>IFERROR(VLOOKUP(I690,'VALORES VIAJES'!$A$2:$B$24,2,FALSE),"")</f>
        <v/>
      </c>
      <c r="V690" t="str">
        <f>IFERROR(VLOOKUP(K690,'VALORES VIAJES'!$A$2:$B$24,2,FALSE),"")</f>
        <v/>
      </c>
      <c r="X690" s="208">
        <f>SUM(Hoja1[[#This Row],[$ X TIP VEHICUL]:[AGREGADO]])</f>
        <v>0</v>
      </c>
    </row>
    <row r="691" spans="2:24" hidden="1" x14ac:dyDescent="0.25">
      <c r="B691" s="189"/>
      <c r="J691" s="189"/>
      <c r="M691" s="205"/>
      <c r="O691" t="s">
        <v>7711</v>
      </c>
      <c r="S691" t="str">
        <f>IFERROR(VLOOKUP(E691,'VALORES VIAJES'!$A$2:$B$13,2,FALSE),"")</f>
        <v/>
      </c>
      <c r="T691" t="str">
        <f>IFERROR(VLOOKUP(H691,'VALORES VIAJES'!$A$2:$B$24,2,FALSE),"")</f>
        <v/>
      </c>
      <c r="U691" t="str">
        <f>IFERROR(VLOOKUP(I691,'VALORES VIAJES'!$A$2:$B$24,2,FALSE),"")</f>
        <v/>
      </c>
      <c r="V691" t="str">
        <f>IFERROR(VLOOKUP(K691,'VALORES VIAJES'!$A$2:$B$24,2,FALSE),"")</f>
        <v/>
      </c>
      <c r="X691" s="208">
        <f>SUM(Hoja1[[#This Row],[$ X TIP VEHICUL]:[AGREGADO]])</f>
        <v>0</v>
      </c>
    </row>
    <row r="692" spans="2:24" hidden="1" x14ac:dyDescent="0.25">
      <c r="B692" s="189"/>
      <c r="J692" s="189"/>
      <c r="M692" s="205"/>
      <c r="O692" t="s">
        <v>7711</v>
      </c>
      <c r="S692" t="str">
        <f>IFERROR(VLOOKUP(E692,'VALORES VIAJES'!$A$2:$B$13,2,FALSE),"")</f>
        <v/>
      </c>
      <c r="T692" t="str">
        <f>IFERROR(VLOOKUP(H692,'VALORES VIAJES'!$A$2:$B$24,2,FALSE),"")</f>
        <v/>
      </c>
      <c r="U692" t="str">
        <f>IFERROR(VLOOKUP(I692,'VALORES VIAJES'!$A$2:$B$24,2,FALSE),"")</f>
        <v/>
      </c>
      <c r="V692" t="str">
        <f>IFERROR(VLOOKUP(K692,'VALORES VIAJES'!$A$2:$B$24,2,FALSE),"")</f>
        <v/>
      </c>
      <c r="X692" s="208">
        <f>SUM(Hoja1[[#This Row],[$ X TIP VEHICUL]:[AGREGADO]])</f>
        <v>0</v>
      </c>
    </row>
    <row r="693" spans="2:24" hidden="1" x14ac:dyDescent="0.25">
      <c r="B693" s="189"/>
      <c r="J693" s="189"/>
      <c r="M693" s="205"/>
      <c r="O693" t="s">
        <v>7711</v>
      </c>
      <c r="S693" t="str">
        <f>IFERROR(VLOOKUP(E693,'VALORES VIAJES'!$A$2:$B$13,2,FALSE),"")</f>
        <v/>
      </c>
      <c r="T693" t="str">
        <f>IFERROR(VLOOKUP(H693,'VALORES VIAJES'!$A$2:$B$24,2,FALSE),"")</f>
        <v/>
      </c>
      <c r="U693" t="str">
        <f>IFERROR(VLOOKUP(I693,'VALORES VIAJES'!$A$2:$B$24,2,FALSE),"")</f>
        <v/>
      </c>
      <c r="V693" t="str">
        <f>IFERROR(VLOOKUP(K693,'VALORES VIAJES'!$A$2:$B$24,2,FALSE),"")</f>
        <v/>
      </c>
      <c r="X693" s="208">
        <f>SUM(Hoja1[[#This Row],[$ X TIP VEHICUL]:[AGREGADO]])</f>
        <v>0</v>
      </c>
    </row>
    <row r="694" spans="2:24" hidden="1" x14ac:dyDescent="0.25">
      <c r="B694" s="189"/>
      <c r="J694" s="189"/>
      <c r="M694" s="205"/>
      <c r="O694" t="s">
        <v>7711</v>
      </c>
      <c r="S694" t="str">
        <f>IFERROR(VLOOKUP(E694,'VALORES VIAJES'!$A$2:$B$13,2,FALSE),"")</f>
        <v/>
      </c>
      <c r="T694" t="str">
        <f>IFERROR(VLOOKUP(H694,'VALORES VIAJES'!$A$2:$B$24,2,FALSE),"")</f>
        <v/>
      </c>
      <c r="U694" t="str">
        <f>IFERROR(VLOOKUP(I694,'VALORES VIAJES'!$A$2:$B$24,2,FALSE),"")</f>
        <v/>
      </c>
      <c r="V694" t="str">
        <f>IFERROR(VLOOKUP(K694,'VALORES VIAJES'!$A$2:$B$24,2,FALSE),"")</f>
        <v/>
      </c>
      <c r="X694" s="208">
        <f>SUM(Hoja1[[#This Row],[$ X TIP VEHICUL]:[AGREGADO]])</f>
        <v>0</v>
      </c>
    </row>
    <row r="695" spans="2:24" hidden="1" x14ac:dyDescent="0.25">
      <c r="B695" s="189"/>
      <c r="J695" s="189"/>
      <c r="M695" s="205"/>
      <c r="O695" t="s">
        <v>7711</v>
      </c>
      <c r="S695" t="str">
        <f>IFERROR(VLOOKUP(E695,'VALORES VIAJES'!$A$2:$B$13,2,FALSE),"")</f>
        <v/>
      </c>
      <c r="T695" t="str">
        <f>IFERROR(VLOOKUP(H695,'VALORES VIAJES'!$A$2:$B$24,2,FALSE),"")</f>
        <v/>
      </c>
      <c r="U695" t="str">
        <f>IFERROR(VLOOKUP(I695,'VALORES VIAJES'!$A$2:$B$24,2,FALSE),"")</f>
        <v/>
      </c>
      <c r="V695" t="str">
        <f>IFERROR(VLOOKUP(K695,'VALORES VIAJES'!$A$2:$B$24,2,FALSE),"")</f>
        <v/>
      </c>
      <c r="X695" s="208">
        <f>SUM(Hoja1[[#This Row],[$ X TIP VEHICUL]:[AGREGADO]])</f>
        <v>0</v>
      </c>
    </row>
    <row r="696" spans="2:24" hidden="1" x14ac:dyDescent="0.25">
      <c r="B696" s="189"/>
      <c r="J696" s="189"/>
      <c r="M696" s="205"/>
      <c r="O696" t="s">
        <v>7711</v>
      </c>
      <c r="S696" t="str">
        <f>IFERROR(VLOOKUP(E696,'VALORES VIAJES'!$A$2:$B$13,2,FALSE),"")</f>
        <v/>
      </c>
      <c r="T696" t="str">
        <f>IFERROR(VLOOKUP(H696,'VALORES VIAJES'!$A$2:$B$24,2,FALSE),"")</f>
        <v/>
      </c>
      <c r="U696" t="str">
        <f>IFERROR(VLOOKUP(I696,'VALORES VIAJES'!$A$2:$B$24,2,FALSE),"")</f>
        <v/>
      </c>
      <c r="V696" t="str">
        <f>IFERROR(VLOOKUP(K696,'VALORES VIAJES'!$A$2:$B$24,2,FALSE),"")</f>
        <v/>
      </c>
      <c r="X696" s="208">
        <f>SUM(Hoja1[[#This Row],[$ X TIP VEHICUL]:[AGREGADO]])</f>
        <v>0</v>
      </c>
    </row>
    <row r="697" spans="2:24" hidden="1" x14ac:dyDescent="0.25">
      <c r="B697" s="189"/>
      <c r="J697" s="189"/>
      <c r="M697" s="205"/>
      <c r="O697" t="s">
        <v>7711</v>
      </c>
      <c r="S697" t="str">
        <f>IFERROR(VLOOKUP(E697,'VALORES VIAJES'!$A$2:$B$13,2,FALSE),"")</f>
        <v/>
      </c>
      <c r="T697" t="str">
        <f>IFERROR(VLOOKUP(H697,'VALORES VIAJES'!$A$2:$B$24,2,FALSE),"")</f>
        <v/>
      </c>
      <c r="U697" t="str">
        <f>IFERROR(VLOOKUP(I697,'VALORES VIAJES'!$A$2:$B$24,2,FALSE),"")</f>
        <v/>
      </c>
      <c r="V697" t="str">
        <f>IFERROR(VLOOKUP(K697,'VALORES VIAJES'!$A$2:$B$24,2,FALSE),"")</f>
        <v/>
      </c>
      <c r="X697" s="208">
        <f>SUM(Hoja1[[#This Row],[$ X TIP VEHICUL]:[AGREGADO]])</f>
        <v>0</v>
      </c>
    </row>
    <row r="698" spans="2:24" hidden="1" x14ac:dyDescent="0.25">
      <c r="B698" s="189"/>
      <c r="J698" s="189"/>
      <c r="M698" s="205"/>
      <c r="O698" t="s">
        <v>7711</v>
      </c>
      <c r="S698" t="str">
        <f>IFERROR(VLOOKUP(E698,'VALORES VIAJES'!$A$2:$B$13,2,FALSE),"")</f>
        <v/>
      </c>
      <c r="T698" t="str">
        <f>IFERROR(VLOOKUP(H698,'VALORES VIAJES'!$A$2:$B$24,2,FALSE),"")</f>
        <v/>
      </c>
      <c r="U698" t="str">
        <f>IFERROR(VLOOKUP(I698,'VALORES VIAJES'!$A$2:$B$24,2,FALSE),"")</f>
        <v/>
      </c>
      <c r="V698" t="str">
        <f>IFERROR(VLOOKUP(K698,'VALORES VIAJES'!$A$2:$B$24,2,FALSE),"")</f>
        <v/>
      </c>
      <c r="X698" s="208">
        <f>SUM(Hoja1[[#This Row],[$ X TIP VEHICUL]:[AGREGADO]])</f>
        <v>0</v>
      </c>
    </row>
    <row r="699" spans="2:24" hidden="1" x14ac:dyDescent="0.25">
      <c r="B699" s="189"/>
      <c r="J699" s="189"/>
      <c r="M699" s="205"/>
      <c r="O699" t="s">
        <v>7711</v>
      </c>
      <c r="S699" t="str">
        <f>IFERROR(VLOOKUP(E699,'VALORES VIAJES'!$A$2:$B$13,2,FALSE),"")</f>
        <v/>
      </c>
      <c r="T699" t="str">
        <f>IFERROR(VLOOKUP(H699,'VALORES VIAJES'!$A$2:$B$24,2,FALSE),"")</f>
        <v/>
      </c>
      <c r="U699" t="str">
        <f>IFERROR(VLOOKUP(I699,'VALORES VIAJES'!$A$2:$B$24,2,FALSE),"")</f>
        <v/>
      </c>
      <c r="V699" t="str">
        <f>IFERROR(VLOOKUP(K699,'VALORES VIAJES'!$A$2:$B$24,2,FALSE),"")</f>
        <v/>
      </c>
      <c r="X699" s="208">
        <f>SUM(Hoja1[[#This Row],[$ X TIP VEHICUL]:[AGREGADO]])</f>
        <v>0</v>
      </c>
    </row>
    <row r="700" spans="2:24" hidden="1" x14ac:dyDescent="0.25">
      <c r="B700" s="189"/>
      <c r="J700" s="189"/>
      <c r="M700" s="205"/>
      <c r="O700" t="s">
        <v>7711</v>
      </c>
      <c r="S700" t="str">
        <f>IFERROR(VLOOKUP(E700,'VALORES VIAJES'!$A$2:$B$13,2,FALSE),"")</f>
        <v/>
      </c>
      <c r="T700" t="str">
        <f>IFERROR(VLOOKUP(H700,'VALORES VIAJES'!$A$2:$B$24,2,FALSE),"")</f>
        <v/>
      </c>
      <c r="U700" t="str">
        <f>IFERROR(VLOOKUP(I700,'VALORES VIAJES'!$A$2:$B$24,2,FALSE),"")</f>
        <v/>
      </c>
      <c r="V700" t="str">
        <f>IFERROR(VLOOKUP(K700,'VALORES VIAJES'!$A$2:$B$24,2,FALSE),"")</f>
        <v/>
      </c>
      <c r="X700" s="208">
        <f>SUM(Hoja1[[#This Row],[$ X TIP VEHICUL]:[AGREGADO]])</f>
        <v>0</v>
      </c>
    </row>
    <row r="701" spans="2:24" hidden="1" x14ac:dyDescent="0.25">
      <c r="B701" s="189"/>
      <c r="J701" s="189"/>
      <c r="M701" s="205"/>
      <c r="O701" t="s">
        <v>7711</v>
      </c>
      <c r="S701" t="str">
        <f>IFERROR(VLOOKUP(E701,'VALORES VIAJES'!$A$2:$B$13,2,FALSE),"")</f>
        <v/>
      </c>
      <c r="T701" t="str">
        <f>IFERROR(VLOOKUP(H701,'VALORES VIAJES'!$A$2:$B$24,2,FALSE),"")</f>
        <v/>
      </c>
      <c r="U701" t="str">
        <f>IFERROR(VLOOKUP(I701,'VALORES VIAJES'!$A$2:$B$24,2,FALSE),"")</f>
        <v/>
      </c>
      <c r="V701" t="str">
        <f>IFERROR(VLOOKUP(K701,'VALORES VIAJES'!$A$2:$B$24,2,FALSE),"")</f>
        <v/>
      </c>
      <c r="X701" s="208">
        <f>SUM(Hoja1[[#This Row],[$ X TIP VEHICUL]:[AGREGADO]])</f>
        <v>0</v>
      </c>
    </row>
    <row r="702" spans="2:24" hidden="1" x14ac:dyDescent="0.25">
      <c r="B702" s="189"/>
      <c r="J702" s="189"/>
      <c r="M702" s="205"/>
      <c r="O702" t="s">
        <v>7711</v>
      </c>
      <c r="S702" t="str">
        <f>IFERROR(VLOOKUP(E702,'VALORES VIAJES'!$A$2:$B$13,2,FALSE),"")</f>
        <v/>
      </c>
      <c r="T702" t="str">
        <f>IFERROR(VLOOKUP(H702,'VALORES VIAJES'!$A$2:$B$24,2,FALSE),"")</f>
        <v/>
      </c>
      <c r="U702" t="str">
        <f>IFERROR(VLOOKUP(I702,'VALORES VIAJES'!$A$2:$B$24,2,FALSE),"")</f>
        <v/>
      </c>
      <c r="V702" t="str">
        <f>IFERROR(VLOOKUP(K702,'VALORES VIAJES'!$A$2:$B$24,2,FALSE),"")</f>
        <v/>
      </c>
      <c r="X702" s="208">
        <f>SUM(Hoja1[[#This Row],[$ X TIP VEHICUL]:[AGREGADO]])</f>
        <v>0</v>
      </c>
    </row>
    <row r="703" spans="2:24" hidden="1" x14ac:dyDescent="0.25">
      <c r="B703" s="189"/>
      <c r="J703" s="189"/>
      <c r="M703" s="205"/>
      <c r="O703" t="s">
        <v>7711</v>
      </c>
      <c r="S703" t="str">
        <f>IFERROR(VLOOKUP(E703,'VALORES VIAJES'!$A$2:$B$13,2,FALSE),"")</f>
        <v/>
      </c>
      <c r="T703" t="str">
        <f>IFERROR(VLOOKUP(H703,'VALORES VIAJES'!$A$2:$B$24,2,FALSE),"")</f>
        <v/>
      </c>
      <c r="U703" t="str">
        <f>IFERROR(VLOOKUP(I703,'VALORES VIAJES'!$A$2:$B$24,2,FALSE),"")</f>
        <v/>
      </c>
      <c r="V703" t="str">
        <f>IFERROR(VLOOKUP(K703,'VALORES VIAJES'!$A$2:$B$24,2,FALSE),"")</f>
        <v/>
      </c>
      <c r="X703" s="208">
        <f>SUM(Hoja1[[#This Row],[$ X TIP VEHICUL]:[AGREGADO]])</f>
        <v>0</v>
      </c>
    </row>
    <row r="704" spans="2:24" hidden="1" x14ac:dyDescent="0.25">
      <c r="B704" s="189"/>
      <c r="J704" s="189"/>
      <c r="M704" s="205"/>
      <c r="O704" t="s">
        <v>7711</v>
      </c>
      <c r="S704" t="str">
        <f>IFERROR(VLOOKUP(E704,'VALORES VIAJES'!$A$2:$B$13,2,FALSE),"")</f>
        <v/>
      </c>
      <c r="T704" t="str">
        <f>IFERROR(VLOOKUP(H704,'VALORES VIAJES'!$A$2:$B$24,2,FALSE),"")</f>
        <v/>
      </c>
      <c r="U704" t="str">
        <f>IFERROR(VLOOKUP(I704,'VALORES VIAJES'!$A$2:$B$24,2,FALSE),"")</f>
        <v/>
      </c>
      <c r="V704" t="str">
        <f>IFERROR(VLOOKUP(K704,'VALORES VIAJES'!$A$2:$B$24,2,FALSE),"")</f>
        <v/>
      </c>
      <c r="X704" s="208">
        <f>SUM(Hoja1[[#This Row],[$ X TIP VEHICUL]:[AGREGADO]])</f>
        <v>0</v>
      </c>
    </row>
    <row r="705" spans="2:24" hidden="1" x14ac:dyDescent="0.25">
      <c r="B705" s="189"/>
      <c r="J705" s="189"/>
      <c r="M705" s="205"/>
      <c r="O705" t="s">
        <v>7711</v>
      </c>
      <c r="S705" t="str">
        <f>IFERROR(VLOOKUP(E705,'VALORES VIAJES'!$A$2:$B$13,2,FALSE),"")</f>
        <v/>
      </c>
      <c r="T705" t="str">
        <f>IFERROR(VLOOKUP(H705,'VALORES VIAJES'!$A$2:$B$24,2,FALSE),"")</f>
        <v/>
      </c>
      <c r="U705" t="str">
        <f>IFERROR(VLOOKUP(I705,'VALORES VIAJES'!$A$2:$B$24,2,FALSE),"")</f>
        <v/>
      </c>
      <c r="V705" t="str">
        <f>IFERROR(VLOOKUP(K705,'VALORES VIAJES'!$A$2:$B$24,2,FALSE),"")</f>
        <v/>
      </c>
      <c r="X705" s="208">
        <f>SUM(Hoja1[[#This Row],[$ X TIP VEHICUL]:[AGREGADO]])</f>
        <v>0</v>
      </c>
    </row>
    <row r="706" spans="2:24" hidden="1" x14ac:dyDescent="0.25">
      <c r="B706" s="189"/>
      <c r="J706" s="189"/>
      <c r="M706" s="205"/>
      <c r="O706" t="s">
        <v>7711</v>
      </c>
      <c r="S706" t="str">
        <f>IFERROR(VLOOKUP(E706,'VALORES VIAJES'!$A$2:$B$13,2,FALSE),"")</f>
        <v/>
      </c>
      <c r="T706" t="str">
        <f>IFERROR(VLOOKUP(H706,'VALORES VIAJES'!$A$2:$B$24,2,FALSE),"")</f>
        <v/>
      </c>
      <c r="U706" t="str">
        <f>IFERROR(VLOOKUP(I706,'VALORES VIAJES'!$A$2:$B$24,2,FALSE),"")</f>
        <v/>
      </c>
      <c r="V706" t="str">
        <f>IFERROR(VLOOKUP(K706,'VALORES VIAJES'!$A$2:$B$24,2,FALSE),"")</f>
        <v/>
      </c>
      <c r="X706" s="208">
        <f>SUM(Hoja1[[#This Row],[$ X TIP VEHICUL]:[AGREGADO]])</f>
        <v>0</v>
      </c>
    </row>
    <row r="707" spans="2:24" hidden="1" x14ac:dyDescent="0.25">
      <c r="B707" s="189"/>
      <c r="J707" s="189"/>
      <c r="M707" s="205"/>
      <c r="O707" t="s">
        <v>7711</v>
      </c>
      <c r="S707" t="str">
        <f>IFERROR(VLOOKUP(E707,'VALORES VIAJES'!$A$2:$B$13,2,FALSE),"")</f>
        <v/>
      </c>
      <c r="T707" t="str">
        <f>IFERROR(VLOOKUP(H707,'VALORES VIAJES'!$A$2:$B$24,2,FALSE),"")</f>
        <v/>
      </c>
      <c r="U707" t="str">
        <f>IFERROR(VLOOKUP(I707,'VALORES VIAJES'!$A$2:$B$24,2,FALSE),"")</f>
        <v/>
      </c>
      <c r="V707" t="str">
        <f>IFERROR(VLOOKUP(K707,'VALORES VIAJES'!$A$2:$B$24,2,FALSE),"")</f>
        <v/>
      </c>
      <c r="X707" s="208">
        <f>SUM(Hoja1[[#This Row],[$ X TIP VEHICUL]:[AGREGADO]])</f>
        <v>0</v>
      </c>
    </row>
    <row r="708" spans="2:24" hidden="1" x14ac:dyDescent="0.25">
      <c r="B708" s="189"/>
      <c r="J708" s="189"/>
      <c r="M708" s="205"/>
      <c r="O708" t="s">
        <v>7711</v>
      </c>
      <c r="S708" t="str">
        <f>IFERROR(VLOOKUP(E708,'VALORES VIAJES'!$A$2:$B$13,2,FALSE),"")</f>
        <v/>
      </c>
      <c r="T708" t="str">
        <f>IFERROR(VLOOKUP(H708,'VALORES VIAJES'!$A$2:$B$24,2,FALSE),"")</f>
        <v/>
      </c>
      <c r="U708" t="str">
        <f>IFERROR(VLOOKUP(I708,'VALORES VIAJES'!$A$2:$B$24,2,FALSE),"")</f>
        <v/>
      </c>
      <c r="V708" t="str">
        <f>IFERROR(VLOOKUP(K708,'VALORES VIAJES'!$A$2:$B$24,2,FALSE),"")</f>
        <v/>
      </c>
      <c r="X708" s="208">
        <f>SUM(Hoja1[[#This Row],[$ X TIP VEHICUL]:[AGREGADO]])</f>
        <v>0</v>
      </c>
    </row>
    <row r="709" spans="2:24" hidden="1" x14ac:dyDescent="0.25">
      <c r="B709" s="189"/>
      <c r="J709" s="189"/>
      <c r="M709" s="205"/>
      <c r="O709" t="s">
        <v>7711</v>
      </c>
      <c r="S709" t="str">
        <f>IFERROR(VLOOKUP(E709,'VALORES VIAJES'!$A$2:$B$13,2,FALSE),"")</f>
        <v/>
      </c>
      <c r="T709" t="str">
        <f>IFERROR(VLOOKUP(H709,'VALORES VIAJES'!$A$2:$B$24,2,FALSE),"")</f>
        <v/>
      </c>
      <c r="U709" t="str">
        <f>IFERROR(VLOOKUP(I709,'VALORES VIAJES'!$A$2:$B$24,2,FALSE),"")</f>
        <v/>
      </c>
      <c r="V709" t="str">
        <f>IFERROR(VLOOKUP(K709,'VALORES VIAJES'!$A$2:$B$24,2,FALSE),"")</f>
        <v/>
      </c>
      <c r="X709" s="208">
        <f>SUM(Hoja1[[#This Row],[$ X TIP VEHICUL]:[AGREGADO]])</f>
        <v>0</v>
      </c>
    </row>
    <row r="710" spans="2:24" hidden="1" x14ac:dyDescent="0.25">
      <c r="B710" s="189"/>
      <c r="J710" s="189"/>
      <c r="M710" s="205"/>
      <c r="O710" t="s">
        <v>7711</v>
      </c>
      <c r="S710" t="str">
        <f>IFERROR(VLOOKUP(E710,'VALORES VIAJES'!$A$2:$B$13,2,FALSE),"")</f>
        <v/>
      </c>
      <c r="T710" t="str">
        <f>IFERROR(VLOOKUP(H710,'VALORES VIAJES'!$A$2:$B$24,2,FALSE),"")</f>
        <v/>
      </c>
      <c r="U710" t="str">
        <f>IFERROR(VLOOKUP(I710,'VALORES VIAJES'!$A$2:$B$24,2,FALSE),"")</f>
        <v/>
      </c>
      <c r="V710" t="str">
        <f>IFERROR(VLOOKUP(K710,'VALORES VIAJES'!$A$2:$B$24,2,FALSE),"")</f>
        <v/>
      </c>
      <c r="X710" s="208">
        <f>SUM(Hoja1[[#This Row],[$ X TIP VEHICUL]:[AGREGADO]])</f>
        <v>0</v>
      </c>
    </row>
    <row r="711" spans="2:24" hidden="1" x14ac:dyDescent="0.25">
      <c r="B711" s="189"/>
      <c r="J711" s="189"/>
      <c r="M711" s="205"/>
      <c r="O711" t="s">
        <v>7711</v>
      </c>
      <c r="S711" t="str">
        <f>IFERROR(VLOOKUP(E711,'VALORES VIAJES'!$A$2:$B$13,2,FALSE),"")</f>
        <v/>
      </c>
      <c r="T711" t="str">
        <f>IFERROR(VLOOKUP(H711,'VALORES VIAJES'!$A$2:$B$24,2,FALSE),"")</f>
        <v/>
      </c>
      <c r="U711" t="str">
        <f>IFERROR(VLOOKUP(I711,'VALORES VIAJES'!$A$2:$B$24,2,FALSE),"")</f>
        <v/>
      </c>
      <c r="V711" t="str">
        <f>IFERROR(VLOOKUP(K711,'VALORES VIAJES'!$A$2:$B$24,2,FALSE),"")</f>
        <v/>
      </c>
      <c r="X711" s="208">
        <f>SUM(Hoja1[[#This Row],[$ X TIP VEHICUL]:[AGREGADO]])</f>
        <v>0</v>
      </c>
    </row>
    <row r="712" spans="2:24" hidden="1" x14ac:dyDescent="0.25">
      <c r="B712" s="189"/>
      <c r="J712" s="189"/>
      <c r="M712" s="205"/>
      <c r="O712" t="s">
        <v>7711</v>
      </c>
      <c r="S712" t="str">
        <f>IFERROR(VLOOKUP(E712,'VALORES VIAJES'!$A$2:$B$13,2,FALSE),"")</f>
        <v/>
      </c>
      <c r="T712" t="str">
        <f>IFERROR(VLOOKUP(H712,'VALORES VIAJES'!$A$2:$B$24,2,FALSE),"")</f>
        <v/>
      </c>
      <c r="U712" t="str">
        <f>IFERROR(VLOOKUP(I712,'VALORES VIAJES'!$A$2:$B$24,2,FALSE),"")</f>
        <v/>
      </c>
      <c r="V712" t="str">
        <f>IFERROR(VLOOKUP(K712,'VALORES VIAJES'!$A$2:$B$24,2,FALSE),"")</f>
        <v/>
      </c>
      <c r="X712" s="208">
        <f>SUM(Hoja1[[#This Row],[$ X TIP VEHICUL]:[AGREGADO]])</f>
        <v>0</v>
      </c>
    </row>
    <row r="713" spans="2:24" hidden="1" x14ac:dyDescent="0.25">
      <c r="B713" s="189"/>
      <c r="J713" s="189"/>
      <c r="M713" s="205"/>
      <c r="O713" t="s">
        <v>7711</v>
      </c>
      <c r="S713" t="str">
        <f>IFERROR(VLOOKUP(E713,'VALORES VIAJES'!$A$2:$B$13,2,FALSE),"")</f>
        <v/>
      </c>
      <c r="T713" t="str">
        <f>IFERROR(VLOOKUP(H713,'VALORES VIAJES'!$A$2:$B$24,2,FALSE),"")</f>
        <v/>
      </c>
      <c r="U713" t="str">
        <f>IFERROR(VLOOKUP(I713,'VALORES VIAJES'!$A$2:$B$24,2,FALSE),"")</f>
        <v/>
      </c>
      <c r="V713" t="str">
        <f>IFERROR(VLOOKUP(K713,'VALORES VIAJES'!$A$2:$B$24,2,FALSE),"")</f>
        <v/>
      </c>
      <c r="X713" s="208">
        <f>SUM(Hoja1[[#This Row],[$ X TIP VEHICUL]:[AGREGADO]])</f>
        <v>0</v>
      </c>
    </row>
    <row r="714" spans="2:24" hidden="1" x14ac:dyDescent="0.25">
      <c r="B714" s="189"/>
      <c r="J714" s="189"/>
      <c r="M714" s="205"/>
      <c r="O714" t="s">
        <v>7711</v>
      </c>
      <c r="S714" t="str">
        <f>IFERROR(VLOOKUP(E714,'VALORES VIAJES'!$A$2:$B$13,2,FALSE),"")</f>
        <v/>
      </c>
      <c r="T714" t="str">
        <f>IFERROR(VLOOKUP(H714,'VALORES VIAJES'!$A$2:$B$24,2,FALSE),"")</f>
        <v/>
      </c>
      <c r="U714" t="str">
        <f>IFERROR(VLOOKUP(I714,'VALORES VIAJES'!$A$2:$B$24,2,FALSE),"")</f>
        <v/>
      </c>
      <c r="V714" t="str">
        <f>IFERROR(VLOOKUP(K714,'VALORES VIAJES'!$A$2:$B$24,2,FALSE),"")</f>
        <v/>
      </c>
      <c r="X714" s="208">
        <f>SUM(Hoja1[[#This Row],[$ X TIP VEHICUL]:[AGREGADO]])</f>
        <v>0</v>
      </c>
    </row>
    <row r="715" spans="2:24" hidden="1" x14ac:dyDescent="0.25">
      <c r="B715" s="189"/>
      <c r="J715" s="189"/>
      <c r="M715" s="205"/>
      <c r="O715" t="s">
        <v>7711</v>
      </c>
      <c r="S715" t="str">
        <f>IFERROR(VLOOKUP(E715,'VALORES VIAJES'!$A$2:$B$13,2,FALSE),"")</f>
        <v/>
      </c>
      <c r="T715" t="str">
        <f>IFERROR(VLOOKUP(H715,'VALORES VIAJES'!$A$2:$B$24,2,FALSE),"")</f>
        <v/>
      </c>
      <c r="U715" t="str">
        <f>IFERROR(VLOOKUP(I715,'VALORES VIAJES'!$A$2:$B$24,2,FALSE),"")</f>
        <v/>
      </c>
      <c r="V715" t="str">
        <f>IFERROR(VLOOKUP(K715,'VALORES VIAJES'!$A$2:$B$24,2,FALSE),"")</f>
        <v/>
      </c>
      <c r="X715" s="208">
        <f>SUM(Hoja1[[#This Row],[$ X TIP VEHICUL]:[AGREGADO]])</f>
        <v>0</v>
      </c>
    </row>
    <row r="716" spans="2:24" hidden="1" x14ac:dyDescent="0.25">
      <c r="B716" s="189"/>
      <c r="J716" s="189"/>
      <c r="M716" s="205"/>
      <c r="O716" t="s">
        <v>7711</v>
      </c>
      <c r="S716" t="str">
        <f>IFERROR(VLOOKUP(E716,'VALORES VIAJES'!$A$2:$B$13,2,FALSE),"")</f>
        <v/>
      </c>
      <c r="T716" t="str">
        <f>IFERROR(VLOOKUP(H716,'VALORES VIAJES'!$A$2:$B$24,2,FALSE),"")</f>
        <v/>
      </c>
      <c r="U716" t="str">
        <f>IFERROR(VLOOKUP(I716,'VALORES VIAJES'!$A$2:$B$24,2,FALSE),"")</f>
        <v/>
      </c>
      <c r="V716" t="str">
        <f>IFERROR(VLOOKUP(K716,'VALORES VIAJES'!$A$2:$B$24,2,FALSE),"")</f>
        <v/>
      </c>
      <c r="X716" s="208">
        <f>SUM(Hoja1[[#This Row],[$ X TIP VEHICUL]:[AGREGADO]])</f>
        <v>0</v>
      </c>
    </row>
    <row r="717" spans="2:24" hidden="1" x14ac:dyDescent="0.25">
      <c r="B717" s="189"/>
      <c r="J717" s="189"/>
      <c r="M717" s="205"/>
      <c r="O717" t="s">
        <v>7711</v>
      </c>
      <c r="S717" t="str">
        <f>IFERROR(VLOOKUP(E717,'VALORES VIAJES'!$A$2:$B$13,2,FALSE),"")</f>
        <v/>
      </c>
      <c r="T717" t="str">
        <f>IFERROR(VLOOKUP(H717,'VALORES VIAJES'!$A$2:$B$24,2,FALSE),"")</f>
        <v/>
      </c>
      <c r="U717" t="str">
        <f>IFERROR(VLOOKUP(I717,'VALORES VIAJES'!$A$2:$B$24,2,FALSE),"")</f>
        <v/>
      </c>
      <c r="V717" t="str">
        <f>IFERROR(VLOOKUP(K717,'VALORES VIAJES'!$A$2:$B$24,2,FALSE),"")</f>
        <v/>
      </c>
      <c r="X717" s="208">
        <f>SUM(Hoja1[[#This Row],[$ X TIP VEHICUL]:[AGREGADO]])</f>
        <v>0</v>
      </c>
    </row>
    <row r="718" spans="2:24" hidden="1" x14ac:dyDescent="0.25">
      <c r="B718" s="189"/>
      <c r="J718" s="189"/>
      <c r="M718" s="205"/>
      <c r="O718" t="s">
        <v>7711</v>
      </c>
      <c r="S718" t="str">
        <f>IFERROR(VLOOKUP(E718,'VALORES VIAJES'!$A$2:$B$13,2,FALSE),"")</f>
        <v/>
      </c>
      <c r="T718" t="str">
        <f>IFERROR(VLOOKUP(H718,'VALORES VIAJES'!$A$2:$B$24,2,FALSE),"")</f>
        <v/>
      </c>
      <c r="U718" t="str">
        <f>IFERROR(VLOOKUP(I718,'VALORES VIAJES'!$A$2:$B$24,2,FALSE),"")</f>
        <v/>
      </c>
      <c r="V718" t="str">
        <f>IFERROR(VLOOKUP(K718,'VALORES VIAJES'!$A$2:$B$24,2,FALSE),"")</f>
        <v/>
      </c>
      <c r="X718" s="208">
        <f>SUM(Hoja1[[#This Row],[$ X TIP VEHICUL]:[AGREGADO]])</f>
        <v>0</v>
      </c>
    </row>
    <row r="719" spans="2:24" hidden="1" x14ac:dyDescent="0.25">
      <c r="B719" s="189"/>
      <c r="J719" s="189"/>
      <c r="M719" s="205"/>
      <c r="O719" t="s">
        <v>7711</v>
      </c>
      <c r="S719" t="str">
        <f>IFERROR(VLOOKUP(E719,'VALORES VIAJES'!$A$2:$B$13,2,FALSE),"")</f>
        <v/>
      </c>
      <c r="T719" t="str">
        <f>IFERROR(VLOOKUP(H719,'VALORES VIAJES'!$A$2:$B$24,2,FALSE),"")</f>
        <v/>
      </c>
      <c r="U719" t="str">
        <f>IFERROR(VLOOKUP(I719,'VALORES VIAJES'!$A$2:$B$24,2,FALSE),"")</f>
        <v/>
      </c>
      <c r="V719" t="str">
        <f>IFERROR(VLOOKUP(K719,'VALORES VIAJES'!$A$2:$B$24,2,FALSE),"")</f>
        <v/>
      </c>
      <c r="X719" s="208">
        <f>SUM(Hoja1[[#This Row],[$ X TIP VEHICUL]:[AGREGADO]])</f>
        <v>0</v>
      </c>
    </row>
    <row r="720" spans="2:24" hidden="1" x14ac:dyDescent="0.25">
      <c r="B720" s="189"/>
      <c r="J720" s="189"/>
      <c r="M720" s="205"/>
      <c r="O720" t="s">
        <v>7711</v>
      </c>
      <c r="S720" t="str">
        <f>IFERROR(VLOOKUP(E720,'VALORES VIAJES'!$A$2:$B$13,2,FALSE),"")</f>
        <v/>
      </c>
      <c r="T720" t="str">
        <f>IFERROR(VLOOKUP(H720,'VALORES VIAJES'!$A$2:$B$24,2,FALSE),"")</f>
        <v/>
      </c>
      <c r="U720" t="str">
        <f>IFERROR(VLOOKUP(I720,'VALORES VIAJES'!$A$2:$B$24,2,FALSE),"")</f>
        <v/>
      </c>
      <c r="V720" t="str">
        <f>IFERROR(VLOOKUP(K720,'VALORES VIAJES'!$A$2:$B$24,2,FALSE),"")</f>
        <v/>
      </c>
      <c r="X720" s="208">
        <f>SUM(Hoja1[[#This Row],[$ X TIP VEHICUL]:[AGREGADO]])</f>
        <v>0</v>
      </c>
    </row>
    <row r="721" spans="2:24" hidden="1" x14ac:dyDescent="0.25">
      <c r="B721" s="189"/>
      <c r="J721" s="189"/>
      <c r="M721" s="205"/>
      <c r="O721" t="s">
        <v>7711</v>
      </c>
      <c r="S721" t="str">
        <f>IFERROR(VLOOKUP(E721,'VALORES VIAJES'!$A$2:$B$13,2,FALSE),"")</f>
        <v/>
      </c>
      <c r="T721" t="str">
        <f>IFERROR(VLOOKUP(H721,'VALORES VIAJES'!$A$2:$B$24,2,FALSE),"")</f>
        <v/>
      </c>
      <c r="U721" t="str">
        <f>IFERROR(VLOOKUP(I721,'VALORES VIAJES'!$A$2:$B$24,2,FALSE),"")</f>
        <v/>
      </c>
      <c r="V721" t="str">
        <f>IFERROR(VLOOKUP(K721,'VALORES VIAJES'!$A$2:$B$24,2,FALSE),"")</f>
        <v/>
      </c>
      <c r="X721" s="208">
        <f>SUM(Hoja1[[#This Row],[$ X TIP VEHICUL]:[AGREGADO]])</f>
        <v>0</v>
      </c>
    </row>
    <row r="722" spans="2:24" hidden="1" x14ac:dyDescent="0.25">
      <c r="B722" s="189"/>
      <c r="J722" s="189"/>
      <c r="M722" s="205"/>
      <c r="O722" t="s">
        <v>7711</v>
      </c>
      <c r="S722" t="str">
        <f>IFERROR(VLOOKUP(E722,'VALORES VIAJES'!$A$2:$B$13,2,FALSE),"")</f>
        <v/>
      </c>
      <c r="T722" t="str">
        <f>IFERROR(VLOOKUP(H722,'VALORES VIAJES'!$A$2:$B$24,2,FALSE),"")</f>
        <v/>
      </c>
      <c r="U722" t="str">
        <f>IFERROR(VLOOKUP(I722,'VALORES VIAJES'!$A$2:$B$24,2,FALSE),"")</f>
        <v/>
      </c>
      <c r="V722" t="str">
        <f>IFERROR(VLOOKUP(K722,'VALORES VIAJES'!$A$2:$B$24,2,FALSE),"")</f>
        <v/>
      </c>
      <c r="X722" s="208">
        <f>SUM(Hoja1[[#This Row],[$ X TIP VEHICUL]:[AGREGADO]])</f>
        <v>0</v>
      </c>
    </row>
    <row r="723" spans="2:24" hidden="1" x14ac:dyDescent="0.25">
      <c r="B723" s="189"/>
      <c r="J723" s="189"/>
      <c r="M723" s="205"/>
      <c r="O723" t="s">
        <v>7711</v>
      </c>
      <c r="S723" t="str">
        <f>IFERROR(VLOOKUP(E723,'VALORES VIAJES'!$A$2:$B$13,2,FALSE),"")</f>
        <v/>
      </c>
      <c r="T723" t="str">
        <f>IFERROR(VLOOKUP(H723,'VALORES VIAJES'!$A$2:$B$24,2,FALSE),"")</f>
        <v/>
      </c>
      <c r="U723" t="str">
        <f>IFERROR(VLOOKUP(I723,'VALORES VIAJES'!$A$2:$B$24,2,FALSE),"")</f>
        <v/>
      </c>
      <c r="V723" t="str">
        <f>IFERROR(VLOOKUP(K723,'VALORES VIAJES'!$A$2:$B$24,2,FALSE),"")</f>
        <v/>
      </c>
      <c r="X723" s="208">
        <f>SUM(Hoja1[[#This Row],[$ X TIP VEHICUL]:[AGREGADO]])</f>
        <v>0</v>
      </c>
    </row>
    <row r="724" spans="2:24" hidden="1" x14ac:dyDescent="0.25">
      <c r="B724" s="189"/>
      <c r="J724" s="189"/>
      <c r="M724" s="205"/>
      <c r="O724" t="s">
        <v>7711</v>
      </c>
      <c r="S724" t="str">
        <f>IFERROR(VLOOKUP(E724,'VALORES VIAJES'!$A$2:$B$13,2,FALSE),"")</f>
        <v/>
      </c>
      <c r="T724" t="str">
        <f>IFERROR(VLOOKUP(H724,'VALORES VIAJES'!$A$2:$B$24,2,FALSE),"")</f>
        <v/>
      </c>
      <c r="U724" t="str">
        <f>IFERROR(VLOOKUP(I724,'VALORES VIAJES'!$A$2:$B$24,2,FALSE),"")</f>
        <v/>
      </c>
      <c r="V724" t="str">
        <f>IFERROR(VLOOKUP(K724,'VALORES VIAJES'!$A$2:$B$24,2,FALSE),"")</f>
        <v/>
      </c>
      <c r="X724" s="208">
        <f>SUM(Hoja1[[#This Row],[$ X TIP VEHICUL]:[AGREGADO]])</f>
        <v>0</v>
      </c>
    </row>
    <row r="725" spans="2:24" hidden="1" x14ac:dyDescent="0.25">
      <c r="B725" s="189"/>
      <c r="J725" s="189"/>
      <c r="M725" s="205"/>
      <c r="O725" t="s">
        <v>7711</v>
      </c>
      <c r="S725" t="str">
        <f>IFERROR(VLOOKUP(E725,'VALORES VIAJES'!$A$2:$B$13,2,FALSE),"")</f>
        <v/>
      </c>
      <c r="T725" t="str">
        <f>IFERROR(VLOOKUP(H725,'VALORES VIAJES'!$A$2:$B$24,2,FALSE),"")</f>
        <v/>
      </c>
      <c r="U725" t="str">
        <f>IFERROR(VLOOKUP(I725,'VALORES VIAJES'!$A$2:$B$24,2,FALSE),"")</f>
        <v/>
      </c>
      <c r="V725" t="str">
        <f>IFERROR(VLOOKUP(K725,'VALORES VIAJES'!$A$2:$B$24,2,FALSE),"")</f>
        <v/>
      </c>
      <c r="X725" s="208">
        <f>SUM(Hoja1[[#This Row],[$ X TIP VEHICUL]:[AGREGADO]])</f>
        <v>0</v>
      </c>
    </row>
    <row r="726" spans="2:24" hidden="1" x14ac:dyDescent="0.25">
      <c r="B726" s="189"/>
      <c r="J726" s="189"/>
      <c r="M726" s="205"/>
      <c r="O726" t="s">
        <v>7711</v>
      </c>
      <c r="S726" t="str">
        <f>IFERROR(VLOOKUP(E726,'VALORES VIAJES'!$A$2:$B$13,2,FALSE),"")</f>
        <v/>
      </c>
      <c r="T726" t="str">
        <f>IFERROR(VLOOKUP(H726,'VALORES VIAJES'!$A$2:$B$24,2,FALSE),"")</f>
        <v/>
      </c>
      <c r="U726" t="str">
        <f>IFERROR(VLOOKUP(I726,'VALORES VIAJES'!$A$2:$B$24,2,FALSE),"")</f>
        <v/>
      </c>
      <c r="V726" t="str">
        <f>IFERROR(VLOOKUP(K726,'VALORES VIAJES'!$A$2:$B$24,2,FALSE),"")</f>
        <v/>
      </c>
      <c r="X726" s="208">
        <f>SUM(Hoja1[[#This Row],[$ X TIP VEHICUL]:[AGREGADO]])</f>
        <v>0</v>
      </c>
    </row>
    <row r="727" spans="2:24" hidden="1" x14ac:dyDescent="0.25">
      <c r="B727" s="189"/>
      <c r="J727" s="189"/>
      <c r="M727" s="205"/>
      <c r="O727" t="s">
        <v>7711</v>
      </c>
      <c r="S727" t="str">
        <f>IFERROR(VLOOKUP(E727,'VALORES VIAJES'!$A$2:$B$13,2,FALSE),"")</f>
        <v/>
      </c>
      <c r="T727" t="str">
        <f>IFERROR(VLOOKUP(H727,'VALORES VIAJES'!$A$2:$B$24,2,FALSE),"")</f>
        <v/>
      </c>
      <c r="U727" t="str">
        <f>IFERROR(VLOOKUP(I727,'VALORES VIAJES'!$A$2:$B$24,2,FALSE),"")</f>
        <v/>
      </c>
      <c r="V727" t="str">
        <f>IFERROR(VLOOKUP(K727,'VALORES VIAJES'!$A$2:$B$24,2,FALSE),"")</f>
        <v/>
      </c>
      <c r="X727" s="208">
        <f>SUM(Hoja1[[#This Row],[$ X TIP VEHICUL]:[AGREGADO]])</f>
        <v>0</v>
      </c>
    </row>
    <row r="728" spans="2:24" hidden="1" x14ac:dyDescent="0.25">
      <c r="B728" s="189"/>
      <c r="J728" s="189"/>
      <c r="M728" s="205"/>
      <c r="O728" t="s">
        <v>7711</v>
      </c>
      <c r="S728" t="str">
        <f>IFERROR(VLOOKUP(E728,'VALORES VIAJES'!$A$2:$B$13,2,FALSE),"")</f>
        <v/>
      </c>
      <c r="T728" t="str">
        <f>IFERROR(VLOOKUP(H728,'VALORES VIAJES'!$A$2:$B$24,2,FALSE),"")</f>
        <v/>
      </c>
      <c r="U728" t="str">
        <f>IFERROR(VLOOKUP(I728,'VALORES VIAJES'!$A$2:$B$24,2,FALSE),"")</f>
        <v/>
      </c>
      <c r="V728" t="str">
        <f>IFERROR(VLOOKUP(K728,'VALORES VIAJES'!$A$2:$B$24,2,FALSE),"")</f>
        <v/>
      </c>
      <c r="X728" s="208">
        <f>SUM(Hoja1[[#This Row],[$ X TIP VEHICUL]:[AGREGADO]])</f>
        <v>0</v>
      </c>
    </row>
    <row r="729" spans="2:24" hidden="1" x14ac:dyDescent="0.25">
      <c r="B729" s="189"/>
      <c r="J729" s="189"/>
      <c r="M729" s="205"/>
      <c r="O729" t="s">
        <v>7711</v>
      </c>
      <c r="S729" t="str">
        <f>IFERROR(VLOOKUP(E729,'VALORES VIAJES'!$A$2:$B$13,2,FALSE),"")</f>
        <v/>
      </c>
      <c r="T729" t="str">
        <f>IFERROR(VLOOKUP(H729,'VALORES VIAJES'!$A$2:$B$24,2,FALSE),"")</f>
        <v/>
      </c>
      <c r="U729" t="str">
        <f>IFERROR(VLOOKUP(I729,'VALORES VIAJES'!$A$2:$B$24,2,FALSE),"")</f>
        <v/>
      </c>
      <c r="V729" t="str">
        <f>IFERROR(VLOOKUP(K729,'VALORES VIAJES'!$A$2:$B$24,2,FALSE),"")</f>
        <v/>
      </c>
      <c r="X729" s="208">
        <f>SUM(Hoja1[[#This Row],[$ X TIP VEHICUL]:[AGREGADO]])</f>
        <v>0</v>
      </c>
    </row>
    <row r="730" spans="2:24" hidden="1" x14ac:dyDescent="0.25">
      <c r="B730" s="189"/>
      <c r="J730" s="189"/>
      <c r="M730" s="205"/>
      <c r="O730" t="s">
        <v>7711</v>
      </c>
      <c r="S730" t="str">
        <f>IFERROR(VLOOKUP(E730,'VALORES VIAJES'!$A$2:$B$13,2,FALSE),"")</f>
        <v/>
      </c>
      <c r="T730" t="str">
        <f>IFERROR(VLOOKUP(H730,'VALORES VIAJES'!$A$2:$B$24,2,FALSE),"")</f>
        <v/>
      </c>
      <c r="U730" t="str">
        <f>IFERROR(VLOOKUP(I730,'VALORES VIAJES'!$A$2:$B$24,2,FALSE),"")</f>
        <v/>
      </c>
      <c r="V730" t="str">
        <f>IFERROR(VLOOKUP(K730,'VALORES VIAJES'!$A$2:$B$24,2,FALSE),"")</f>
        <v/>
      </c>
      <c r="X730" s="208">
        <f>SUM(Hoja1[[#This Row],[$ X TIP VEHICUL]:[AGREGADO]])</f>
        <v>0</v>
      </c>
    </row>
    <row r="731" spans="2:24" hidden="1" x14ac:dyDescent="0.25">
      <c r="B731" s="189"/>
      <c r="J731" s="189"/>
      <c r="M731" s="205"/>
      <c r="O731" t="s">
        <v>7711</v>
      </c>
      <c r="S731" t="str">
        <f>IFERROR(VLOOKUP(E731,'VALORES VIAJES'!$A$2:$B$13,2,FALSE),"")</f>
        <v/>
      </c>
      <c r="T731" t="str">
        <f>IFERROR(VLOOKUP(H731,'VALORES VIAJES'!$A$2:$B$24,2,FALSE),"")</f>
        <v/>
      </c>
      <c r="U731" t="str">
        <f>IFERROR(VLOOKUP(I731,'VALORES VIAJES'!$A$2:$B$24,2,FALSE),"")</f>
        <v/>
      </c>
      <c r="V731" t="str">
        <f>IFERROR(VLOOKUP(K731,'VALORES VIAJES'!$A$2:$B$24,2,FALSE),"")</f>
        <v/>
      </c>
      <c r="X731" s="208">
        <f>SUM(Hoja1[[#This Row],[$ X TIP VEHICUL]:[AGREGADO]])</f>
        <v>0</v>
      </c>
    </row>
    <row r="732" spans="2:24" hidden="1" x14ac:dyDescent="0.25">
      <c r="B732" s="189"/>
      <c r="J732" s="189"/>
      <c r="M732" s="205"/>
      <c r="O732" t="s">
        <v>7711</v>
      </c>
      <c r="S732" t="str">
        <f>IFERROR(VLOOKUP(E732,'VALORES VIAJES'!$A$2:$B$13,2,FALSE),"")</f>
        <v/>
      </c>
      <c r="T732" t="str">
        <f>IFERROR(VLOOKUP(H732,'VALORES VIAJES'!$A$2:$B$24,2,FALSE),"")</f>
        <v/>
      </c>
      <c r="U732" t="str">
        <f>IFERROR(VLOOKUP(I732,'VALORES VIAJES'!$A$2:$B$24,2,FALSE),"")</f>
        <v/>
      </c>
      <c r="V732" t="str">
        <f>IFERROR(VLOOKUP(K732,'VALORES VIAJES'!$A$2:$B$24,2,FALSE),"")</f>
        <v/>
      </c>
      <c r="X732" s="208">
        <f>SUM(Hoja1[[#This Row],[$ X TIP VEHICUL]:[AGREGADO]])</f>
        <v>0</v>
      </c>
    </row>
    <row r="733" spans="2:24" hidden="1" x14ac:dyDescent="0.25">
      <c r="B733" s="189"/>
      <c r="J733" s="189"/>
      <c r="M733" s="205"/>
      <c r="O733" t="s">
        <v>7711</v>
      </c>
      <c r="S733" t="str">
        <f>IFERROR(VLOOKUP(E733,'VALORES VIAJES'!$A$2:$B$13,2,FALSE),"")</f>
        <v/>
      </c>
      <c r="T733" t="str">
        <f>IFERROR(VLOOKUP(H733,'VALORES VIAJES'!$A$2:$B$24,2,FALSE),"")</f>
        <v/>
      </c>
      <c r="U733" t="str">
        <f>IFERROR(VLOOKUP(I733,'VALORES VIAJES'!$A$2:$B$24,2,FALSE),"")</f>
        <v/>
      </c>
      <c r="V733" t="str">
        <f>IFERROR(VLOOKUP(K733,'VALORES VIAJES'!$A$2:$B$24,2,FALSE),"")</f>
        <v/>
      </c>
      <c r="X733" s="208">
        <f>SUM(Hoja1[[#This Row],[$ X TIP VEHICUL]:[AGREGADO]])</f>
        <v>0</v>
      </c>
    </row>
    <row r="734" spans="2:24" hidden="1" x14ac:dyDescent="0.25">
      <c r="B734" s="189"/>
      <c r="J734" s="189"/>
      <c r="M734" s="205"/>
      <c r="O734" t="s">
        <v>7711</v>
      </c>
      <c r="S734" t="str">
        <f>IFERROR(VLOOKUP(E734,'VALORES VIAJES'!$A$2:$B$13,2,FALSE),"")</f>
        <v/>
      </c>
      <c r="T734" t="str">
        <f>IFERROR(VLOOKUP(H734,'VALORES VIAJES'!$A$2:$B$24,2,FALSE),"")</f>
        <v/>
      </c>
      <c r="U734" t="str">
        <f>IFERROR(VLOOKUP(I734,'VALORES VIAJES'!$A$2:$B$24,2,FALSE),"")</f>
        <v/>
      </c>
      <c r="V734" t="str">
        <f>IFERROR(VLOOKUP(K734,'VALORES VIAJES'!$A$2:$B$24,2,FALSE),"")</f>
        <v/>
      </c>
      <c r="X734" s="208">
        <f>SUM(Hoja1[[#This Row],[$ X TIP VEHICUL]:[AGREGADO]])</f>
        <v>0</v>
      </c>
    </row>
    <row r="735" spans="2:24" hidden="1" x14ac:dyDescent="0.25">
      <c r="B735" s="189"/>
      <c r="J735" s="189"/>
      <c r="M735" s="205"/>
      <c r="O735" t="s">
        <v>7711</v>
      </c>
      <c r="S735" t="str">
        <f>IFERROR(VLOOKUP(E735,'VALORES VIAJES'!$A$2:$B$13,2,FALSE),"")</f>
        <v/>
      </c>
      <c r="T735" t="str">
        <f>IFERROR(VLOOKUP(H735,'VALORES VIAJES'!$A$2:$B$24,2,FALSE),"")</f>
        <v/>
      </c>
      <c r="U735" t="str">
        <f>IFERROR(VLOOKUP(I735,'VALORES VIAJES'!$A$2:$B$24,2,FALSE),"")</f>
        <v/>
      </c>
      <c r="V735" t="str">
        <f>IFERROR(VLOOKUP(K735,'VALORES VIAJES'!$A$2:$B$24,2,FALSE),"")</f>
        <v/>
      </c>
      <c r="X735" s="208">
        <f>SUM(Hoja1[[#This Row],[$ X TIP VEHICUL]:[AGREGADO]])</f>
        <v>0</v>
      </c>
    </row>
    <row r="736" spans="2:24" hidden="1" x14ac:dyDescent="0.25">
      <c r="B736" s="189"/>
      <c r="J736" s="189"/>
      <c r="M736" s="205"/>
      <c r="O736" t="s">
        <v>7711</v>
      </c>
      <c r="S736" t="str">
        <f>IFERROR(VLOOKUP(E736,'VALORES VIAJES'!$A$2:$B$13,2,FALSE),"")</f>
        <v/>
      </c>
      <c r="T736" t="str">
        <f>IFERROR(VLOOKUP(H736,'VALORES VIAJES'!$A$2:$B$24,2,FALSE),"")</f>
        <v/>
      </c>
      <c r="U736" t="str">
        <f>IFERROR(VLOOKUP(I736,'VALORES VIAJES'!$A$2:$B$24,2,FALSE),"")</f>
        <v/>
      </c>
      <c r="V736" t="str">
        <f>IFERROR(VLOOKUP(K736,'VALORES VIAJES'!$A$2:$B$24,2,FALSE),"")</f>
        <v/>
      </c>
      <c r="X736" s="208">
        <f>SUM(Hoja1[[#This Row],[$ X TIP VEHICUL]:[AGREGADO]])</f>
        <v>0</v>
      </c>
    </row>
    <row r="737" spans="2:24" hidden="1" x14ac:dyDescent="0.25">
      <c r="B737" s="189"/>
      <c r="J737" s="189"/>
      <c r="M737" s="205"/>
      <c r="O737" t="s">
        <v>7711</v>
      </c>
      <c r="S737" t="str">
        <f>IFERROR(VLOOKUP(E737,'VALORES VIAJES'!$A$2:$B$13,2,FALSE),"")</f>
        <v/>
      </c>
      <c r="T737" t="str">
        <f>IFERROR(VLOOKUP(H737,'VALORES VIAJES'!$A$2:$B$24,2,FALSE),"")</f>
        <v/>
      </c>
      <c r="U737" t="str">
        <f>IFERROR(VLOOKUP(I737,'VALORES VIAJES'!$A$2:$B$24,2,FALSE),"")</f>
        <v/>
      </c>
      <c r="V737" t="str">
        <f>IFERROR(VLOOKUP(K737,'VALORES VIAJES'!$A$2:$B$24,2,FALSE),"")</f>
        <v/>
      </c>
      <c r="X737" s="208">
        <f>SUM(Hoja1[[#This Row],[$ X TIP VEHICUL]:[AGREGADO]])</f>
        <v>0</v>
      </c>
    </row>
    <row r="738" spans="2:24" hidden="1" x14ac:dyDescent="0.25">
      <c r="B738" s="189"/>
      <c r="J738" s="189"/>
      <c r="M738" s="205"/>
      <c r="O738" t="s">
        <v>7711</v>
      </c>
      <c r="S738" t="str">
        <f>IFERROR(VLOOKUP(E738,'VALORES VIAJES'!$A$2:$B$13,2,FALSE),"")</f>
        <v/>
      </c>
      <c r="T738" t="str">
        <f>IFERROR(VLOOKUP(H738,'VALORES VIAJES'!$A$2:$B$24,2,FALSE),"")</f>
        <v/>
      </c>
      <c r="U738" t="str">
        <f>IFERROR(VLOOKUP(I738,'VALORES VIAJES'!$A$2:$B$24,2,FALSE),"")</f>
        <v/>
      </c>
      <c r="V738" t="str">
        <f>IFERROR(VLOOKUP(K738,'VALORES VIAJES'!$A$2:$B$24,2,FALSE),"")</f>
        <v/>
      </c>
      <c r="X738" s="208">
        <f>SUM(Hoja1[[#This Row],[$ X TIP VEHICUL]:[AGREGADO]])</f>
        <v>0</v>
      </c>
    </row>
    <row r="739" spans="2:24" hidden="1" x14ac:dyDescent="0.25">
      <c r="B739" s="189"/>
      <c r="J739" s="189"/>
      <c r="M739" s="205"/>
      <c r="O739" t="s">
        <v>7711</v>
      </c>
      <c r="S739" t="str">
        <f>IFERROR(VLOOKUP(E739,'VALORES VIAJES'!$A$2:$B$13,2,FALSE),"")</f>
        <v/>
      </c>
      <c r="T739" t="str">
        <f>IFERROR(VLOOKUP(H739,'VALORES VIAJES'!$A$2:$B$24,2,FALSE),"")</f>
        <v/>
      </c>
      <c r="U739" t="str">
        <f>IFERROR(VLOOKUP(I739,'VALORES VIAJES'!$A$2:$B$24,2,FALSE),"")</f>
        <v/>
      </c>
      <c r="V739" t="str">
        <f>IFERROR(VLOOKUP(K739,'VALORES VIAJES'!$A$2:$B$24,2,FALSE),"")</f>
        <v/>
      </c>
      <c r="X739" s="208">
        <f>SUM(Hoja1[[#This Row],[$ X TIP VEHICUL]:[AGREGADO]])</f>
        <v>0</v>
      </c>
    </row>
    <row r="740" spans="2:24" hidden="1" x14ac:dyDescent="0.25">
      <c r="B740" s="189"/>
      <c r="J740" s="189"/>
      <c r="M740" s="205"/>
      <c r="O740" t="s">
        <v>7711</v>
      </c>
      <c r="S740" t="str">
        <f>IFERROR(VLOOKUP(E740,'VALORES VIAJES'!$A$2:$B$13,2,FALSE),"")</f>
        <v/>
      </c>
      <c r="T740" t="str">
        <f>IFERROR(VLOOKUP(H740,'VALORES VIAJES'!$A$2:$B$24,2,FALSE),"")</f>
        <v/>
      </c>
      <c r="U740" t="str">
        <f>IFERROR(VLOOKUP(I740,'VALORES VIAJES'!$A$2:$B$24,2,FALSE),"")</f>
        <v/>
      </c>
      <c r="V740" t="str">
        <f>IFERROR(VLOOKUP(K740,'VALORES VIAJES'!$A$2:$B$24,2,FALSE),"")</f>
        <v/>
      </c>
      <c r="X740" s="208">
        <f>SUM(Hoja1[[#This Row],[$ X TIP VEHICUL]:[AGREGADO]])</f>
        <v>0</v>
      </c>
    </row>
    <row r="741" spans="2:24" hidden="1" x14ac:dyDescent="0.25">
      <c r="B741" s="189"/>
      <c r="J741" s="189"/>
      <c r="M741" s="205"/>
      <c r="O741" t="s">
        <v>7711</v>
      </c>
      <c r="S741" t="str">
        <f>IFERROR(VLOOKUP(E741,'VALORES VIAJES'!$A$2:$B$13,2,FALSE),"")</f>
        <v/>
      </c>
      <c r="T741" t="str">
        <f>IFERROR(VLOOKUP(H741,'VALORES VIAJES'!$A$2:$B$24,2,FALSE),"")</f>
        <v/>
      </c>
      <c r="U741" t="str">
        <f>IFERROR(VLOOKUP(I741,'VALORES VIAJES'!$A$2:$B$24,2,FALSE),"")</f>
        <v/>
      </c>
      <c r="V741" t="str">
        <f>IFERROR(VLOOKUP(K741,'VALORES VIAJES'!$A$2:$B$24,2,FALSE),"")</f>
        <v/>
      </c>
      <c r="X741" s="208">
        <f>SUM(Hoja1[[#This Row],[$ X TIP VEHICUL]:[AGREGADO]])</f>
        <v>0</v>
      </c>
    </row>
    <row r="742" spans="2:24" hidden="1" x14ac:dyDescent="0.25">
      <c r="B742" s="189"/>
      <c r="J742" s="189"/>
      <c r="M742" s="205"/>
      <c r="O742" t="s">
        <v>7711</v>
      </c>
      <c r="S742" t="str">
        <f>IFERROR(VLOOKUP(E742,'VALORES VIAJES'!$A$2:$B$13,2,FALSE),"")</f>
        <v/>
      </c>
      <c r="T742" t="str">
        <f>IFERROR(VLOOKUP(H742,'VALORES VIAJES'!$A$2:$B$24,2,FALSE),"")</f>
        <v/>
      </c>
      <c r="U742" t="str">
        <f>IFERROR(VLOOKUP(I742,'VALORES VIAJES'!$A$2:$B$24,2,FALSE),"")</f>
        <v/>
      </c>
      <c r="V742" t="str">
        <f>IFERROR(VLOOKUP(K742,'VALORES VIAJES'!$A$2:$B$24,2,FALSE),"")</f>
        <v/>
      </c>
      <c r="X742" s="208">
        <f>SUM(Hoja1[[#This Row],[$ X TIP VEHICUL]:[AGREGADO]])</f>
        <v>0</v>
      </c>
    </row>
    <row r="743" spans="2:24" hidden="1" x14ac:dyDescent="0.25">
      <c r="B743" s="189"/>
      <c r="J743" s="189"/>
      <c r="M743" s="205"/>
      <c r="O743" t="s">
        <v>7711</v>
      </c>
      <c r="S743" t="str">
        <f>IFERROR(VLOOKUP(E743,'VALORES VIAJES'!$A$2:$B$13,2,FALSE),"")</f>
        <v/>
      </c>
      <c r="T743" t="str">
        <f>IFERROR(VLOOKUP(H743,'VALORES VIAJES'!$A$2:$B$24,2,FALSE),"")</f>
        <v/>
      </c>
      <c r="U743" t="str">
        <f>IFERROR(VLOOKUP(I743,'VALORES VIAJES'!$A$2:$B$24,2,FALSE),"")</f>
        <v/>
      </c>
      <c r="V743" t="str">
        <f>IFERROR(VLOOKUP(K743,'VALORES VIAJES'!$A$2:$B$24,2,FALSE),"")</f>
        <v/>
      </c>
      <c r="X743" s="208">
        <f>SUM(Hoja1[[#This Row],[$ X TIP VEHICUL]:[AGREGADO]])</f>
        <v>0</v>
      </c>
    </row>
    <row r="744" spans="2:24" hidden="1" x14ac:dyDescent="0.25">
      <c r="B744" s="189"/>
      <c r="J744" s="189"/>
      <c r="M744" s="205"/>
      <c r="O744" t="s">
        <v>7711</v>
      </c>
      <c r="S744" t="str">
        <f>IFERROR(VLOOKUP(E744,'VALORES VIAJES'!$A$2:$B$13,2,FALSE),"")</f>
        <v/>
      </c>
      <c r="T744" t="str">
        <f>IFERROR(VLOOKUP(H744,'VALORES VIAJES'!$A$2:$B$24,2,FALSE),"")</f>
        <v/>
      </c>
      <c r="U744" t="str">
        <f>IFERROR(VLOOKUP(I744,'VALORES VIAJES'!$A$2:$B$24,2,FALSE),"")</f>
        <v/>
      </c>
      <c r="V744" t="str">
        <f>IFERROR(VLOOKUP(K744,'VALORES VIAJES'!$A$2:$B$24,2,FALSE),"")</f>
        <v/>
      </c>
      <c r="X744" s="208">
        <f>SUM(Hoja1[[#This Row],[$ X TIP VEHICUL]:[AGREGADO]])</f>
        <v>0</v>
      </c>
    </row>
    <row r="745" spans="2:24" hidden="1" x14ac:dyDescent="0.25">
      <c r="B745" s="189"/>
      <c r="J745" s="189"/>
      <c r="M745" s="205"/>
      <c r="O745" t="s">
        <v>7711</v>
      </c>
      <c r="S745" t="str">
        <f>IFERROR(VLOOKUP(E745,'VALORES VIAJES'!$A$2:$B$13,2,FALSE),"")</f>
        <v/>
      </c>
      <c r="T745" t="str">
        <f>IFERROR(VLOOKUP(H745,'VALORES VIAJES'!$A$2:$B$24,2,FALSE),"")</f>
        <v/>
      </c>
      <c r="U745" t="str">
        <f>IFERROR(VLOOKUP(I745,'VALORES VIAJES'!$A$2:$B$24,2,FALSE),"")</f>
        <v/>
      </c>
      <c r="V745" t="str">
        <f>IFERROR(VLOOKUP(K745,'VALORES VIAJES'!$A$2:$B$24,2,FALSE),"")</f>
        <v/>
      </c>
      <c r="X745" s="208">
        <f>SUM(Hoja1[[#This Row],[$ X TIP VEHICUL]:[AGREGADO]])</f>
        <v>0</v>
      </c>
    </row>
    <row r="746" spans="2:24" hidden="1" x14ac:dyDescent="0.25">
      <c r="B746" s="189"/>
      <c r="J746" s="189"/>
      <c r="M746" s="205"/>
      <c r="O746" t="s">
        <v>7711</v>
      </c>
      <c r="S746" t="str">
        <f>IFERROR(VLOOKUP(E746,'VALORES VIAJES'!$A$2:$B$13,2,FALSE),"")</f>
        <v/>
      </c>
      <c r="T746" t="str">
        <f>IFERROR(VLOOKUP(H746,'VALORES VIAJES'!$A$2:$B$24,2,FALSE),"")</f>
        <v/>
      </c>
      <c r="U746" t="str">
        <f>IFERROR(VLOOKUP(I746,'VALORES VIAJES'!$A$2:$B$24,2,FALSE),"")</f>
        <v/>
      </c>
      <c r="V746" t="str">
        <f>IFERROR(VLOOKUP(K746,'VALORES VIAJES'!$A$2:$B$24,2,FALSE),"")</f>
        <v/>
      </c>
      <c r="X746" s="208">
        <f>SUM(Hoja1[[#This Row],[$ X TIP VEHICUL]:[AGREGADO]])</f>
        <v>0</v>
      </c>
    </row>
    <row r="747" spans="2:24" hidden="1" x14ac:dyDescent="0.25">
      <c r="B747" s="189"/>
      <c r="J747" s="189"/>
      <c r="M747" s="205"/>
      <c r="O747" t="s">
        <v>7711</v>
      </c>
      <c r="S747" t="str">
        <f>IFERROR(VLOOKUP(E747,'VALORES VIAJES'!$A$2:$B$13,2,FALSE),"")</f>
        <v/>
      </c>
      <c r="T747" t="str">
        <f>IFERROR(VLOOKUP(H747,'VALORES VIAJES'!$A$2:$B$24,2,FALSE),"")</f>
        <v/>
      </c>
      <c r="U747" t="str">
        <f>IFERROR(VLOOKUP(I747,'VALORES VIAJES'!$A$2:$B$24,2,FALSE),"")</f>
        <v/>
      </c>
      <c r="V747" t="str">
        <f>IFERROR(VLOOKUP(K747,'VALORES VIAJES'!$A$2:$B$24,2,FALSE),"")</f>
        <v/>
      </c>
      <c r="X747" s="208">
        <f>SUM(Hoja1[[#This Row],[$ X TIP VEHICUL]:[AGREGADO]])</f>
        <v>0</v>
      </c>
    </row>
    <row r="748" spans="2:24" hidden="1" x14ac:dyDescent="0.25">
      <c r="B748" s="189"/>
      <c r="J748" s="189"/>
      <c r="M748" s="205"/>
      <c r="O748" t="s">
        <v>7711</v>
      </c>
      <c r="S748" t="str">
        <f>IFERROR(VLOOKUP(E748,'VALORES VIAJES'!$A$2:$B$13,2,FALSE),"")</f>
        <v/>
      </c>
      <c r="T748" t="str">
        <f>IFERROR(VLOOKUP(H748,'VALORES VIAJES'!$A$2:$B$24,2,FALSE),"")</f>
        <v/>
      </c>
      <c r="U748" t="str">
        <f>IFERROR(VLOOKUP(I748,'VALORES VIAJES'!$A$2:$B$24,2,FALSE),"")</f>
        <v/>
      </c>
      <c r="V748" t="str">
        <f>IFERROR(VLOOKUP(K748,'VALORES VIAJES'!$A$2:$B$24,2,FALSE),"")</f>
        <v/>
      </c>
      <c r="X748" s="208">
        <f>SUM(Hoja1[[#This Row],[$ X TIP VEHICUL]:[AGREGADO]])</f>
        <v>0</v>
      </c>
    </row>
    <row r="749" spans="2:24" hidden="1" x14ac:dyDescent="0.25">
      <c r="B749" s="189"/>
      <c r="J749" s="189"/>
      <c r="M749" s="205"/>
      <c r="O749" t="s">
        <v>7711</v>
      </c>
      <c r="S749" t="str">
        <f>IFERROR(VLOOKUP(E749,'VALORES VIAJES'!$A$2:$B$13,2,FALSE),"")</f>
        <v/>
      </c>
      <c r="T749" t="str">
        <f>IFERROR(VLOOKUP(H749,'VALORES VIAJES'!$A$2:$B$24,2,FALSE),"")</f>
        <v/>
      </c>
      <c r="U749" t="str">
        <f>IFERROR(VLOOKUP(I749,'VALORES VIAJES'!$A$2:$B$24,2,FALSE),"")</f>
        <v/>
      </c>
      <c r="V749" t="str">
        <f>IFERROR(VLOOKUP(K749,'VALORES VIAJES'!$A$2:$B$24,2,FALSE),"")</f>
        <v/>
      </c>
      <c r="X749" s="208">
        <f>SUM(Hoja1[[#This Row],[$ X TIP VEHICUL]:[AGREGADO]])</f>
        <v>0</v>
      </c>
    </row>
    <row r="750" spans="2:24" hidden="1" x14ac:dyDescent="0.25">
      <c r="B750" s="189"/>
      <c r="J750" s="189"/>
      <c r="M750" s="205"/>
      <c r="O750" t="s">
        <v>7711</v>
      </c>
      <c r="S750" t="str">
        <f>IFERROR(VLOOKUP(E750,'VALORES VIAJES'!$A$2:$B$13,2,FALSE),"")</f>
        <v/>
      </c>
      <c r="T750" t="str">
        <f>IFERROR(VLOOKUP(H750,'VALORES VIAJES'!$A$2:$B$24,2,FALSE),"")</f>
        <v/>
      </c>
      <c r="U750" t="str">
        <f>IFERROR(VLOOKUP(I750,'VALORES VIAJES'!$A$2:$B$24,2,FALSE),"")</f>
        <v/>
      </c>
      <c r="V750" t="str">
        <f>IFERROR(VLOOKUP(K750,'VALORES VIAJES'!$A$2:$B$24,2,FALSE),"")</f>
        <v/>
      </c>
      <c r="X750" s="208">
        <f>SUM(Hoja1[[#This Row],[$ X TIP VEHICUL]:[AGREGADO]])</f>
        <v>0</v>
      </c>
    </row>
    <row r="751" spans="2:24" hidden="1" x14ac:dyDescent="0.25">
      <c r="B751" s="189"/>
      <c r="J751" s="189"/>
      <c r="M751" s="205"/>
      <c r="O751" t="s">
        <v>7711</v>
      </c>
      <c r="S751" t="str">
        <f>IFERROR(VLOOKUP(E751,'VALORES VIAJES'!$A$2:$B$13,2,FALSE),"")</f>
        <v/>
      </c>
      <c r="T751" t="str">
        <f>IFERROR(VLOOKUP(H751,'VALORES VIAJES'!$A$2:$B$24,2,FALSE),"")</f>
        <v/>
      </c>
      <c r="U751" t="str">
        <f>IFERROR(VLOOKUP(I751,'VALORES VIAJES'!$A$2:$B$24,2,FALSE),"")</f>
        <v/>
      </c>
      <c r="V751" t="str">
        <f>IFERROR(VLOOKUP(K751,'VALORES VIAJES'!$A$2:$B$24,2,FALSE),"")</f>
        <v/>
      </c>
      <c r="X751" s="208">
        <f>SUM(Hoja1[[#This Row],[$ X TIP VEHICUL]:[AGREGADO]])</f>
        <v>0</v>
      </c>
    </row>
    <row r="752" spans="2:24" hidden="1" x14ac:dyDescent="0.25">
      <c r="B752" s="189"/>
      <c r="J752" s="189"/>
      <c r="M752" s="205"/>
      <c r="O752" t="s">
        <v>7711</v>
      </c>
      <c r="S752" t="str">
        <f>IFERROR(VLOOKUP(E752,'VALORES VIAJES'!$A$2:$B$13,2,FALSE),"")</f>
        <v/>
      </c>
      <c r="T752" t="str">
        <f>IFERROR(VLOOKUP(H752,'VALORES VIAJES'!$A$2:$B$24,2,FALSE),"")</f>
        <v/>
      </c>
      <c r="U752" t="str">
        <f>IFERROR(VLOOKUP(I752,'VALORES VIAJES'!$A$2:$B$24,2,FALSE),"")</f>
        <v/>
      </c>
      <c r="V752" t="str">
        <f>IFERROR(VLOOKUP(K752,'VALORES VIAJES'!$A$2:$B$24,2,FALSE),"")</f>
        <v/>
      </c>
      <c r="X752" s="208">
        <f>SUM(Hoja1[[#This Row],[$ X TIP VEHICUL]:[AGREGADO]])</f>
        <v>0</v>
      </c>
    </row>
    <row r="753" spans="2:24" hidden="1" x14ac:dyDescent="0.25">
      <c r="B753" s="189"/>
      <c r="J753" s="189"/>
      <c r="M753" s="205"/>
      <c r="O753" t="s">
        <v>7711</v>
      </c>
      <c r="S753" t="str">
        <f>IFERROR(VLOOKUP(E753,'VALORES VIAJES'!$A$2:$B$13,2,FALSE),"")</f>
        <v/>
      </c>
      <c r="T753" t="str">
        <f>IFERROR(VLOOKUP(H753,'VALORES VIAJES'!$A$2:$B$24,2,FALSE),"")</f>
        <v/>
      </c>
      <c r="U753" t="str">
        <f>IFERROR(VLOOKUP(I753,'VALORES VIAJES'!$A$2:$B$24,2,FALSE),"")</f>
        <v/>
      </c>
      <c r="V753" t="str">
        <f>IFERROR(VLOOKUP(K753,'VALORES VIAJES'!$A$2:$B$24,2,FALSE),"")</f>
        <v/>
      </c>
      <c r="X753" s="208">
        <f>SUM(Hoja1[[#This Row],[$ X TIP VEHICUL]:[AGREGADO]])</f>
        <v>0</v>
      </c>
    </row>
    <row r="754" spans="2:24" hidden="1" x14ac:dyDescent="0.25">
      <c r="B754" s="189"/>
      <c r="J754" s="189"/>
      <c r="M754" s="205"/>
      <c r="O754" t="s">
        <v>7711</v>
      </c>
      <c r="S754" t="str">
        <f>IFERROR(VLOOKUP(E754,'VALORES VIAJES'!$A$2:$B$13,2,FALSE),"")</f>
        <v/>
      </c>
      <c r="T754" t="str">
        <f>IFERROR(VLOOKUP(H754,'VALORES VIAJES'!$A$2:$B$24,2,FALSE),"")</f>
        <v/>
      </c>
      <c r="U754" t="str">
        <f>IFERROR(VLOOKUP(I754,'VALORES VIAJES'!$A$2:$B$24,2,FALSE),"")</f>
        <v/>
      </c>
      <c r="V754" t="str">
        <f>IFERROR(VLOOKUP(K754,'VALORES VIAJES'!$A$2:$B$24,2,FALSE),"")</f>
        <v/>
      </c>
      <c r="X754" s="208">
        <f>SUM(Hoja1[[#This Row],[$ X TIP VEHICUL]:[AGREGADO]])</f>
        <v>0</v>
      </c>
    </row>
    <row r="755" spans="2:24" hidden="1" x14ac:dyDescent="0.25">
      <c r="B755" s="189"/>
      <c r="J755" s="189"/>
      <c r="M755" s="205"/>
      <c r="O755" t="s">
        <v>7711</v>
      </c>
      <c r="S755" t="str">
        <f>IFERROR(VLOOKUP(E755,'VALORES VIAJES'!$A$2:$B$13,2,FALSE),"")</f>
        <v/>
      </c>
      <c r="T755" t="str">
        <f>IFERROR(VLOOKUP(H755,'VALORES VIAJES'!$A$2:$B$24,2,FALSE),"")</f>
        <v/>
      </c>
      <c r="U755" t="str">
        <f>IFERROR(VLOOKUP(I755,'VALORES VIAJES'!$A$2:$B$24,2,FALSE),"")</f>
        <v/>
      </c>
      <c r="V755" t="str">
        <f>IFERROR(VLOOKUP(K755,'VALORES VIAJES'!$A$2:$B$24,2,FALSE),"")</f>
        <v/>
      </c>
      <c r="X755" s="208">
        <f>SUM(Hoja1[[#This Row],[$ X TIP VEHICUL]:[AGREGADO]])</f>
        <v>0</v>
      </c>
    </row>
    <row r="756" spans="2:24" hidden="1" x14ac:dyDescent="0.25">
      <c r="B756" s="189"/>
      <c r="J756" s="189"/>
      <c r="M756" s="205"/>
      <c r="O756" t="s">
        <v>7711</v>
      </c>
      <c r="S756" t="str">
        <f>IFERROR(VLOOKUP(E756,'VALORES VIAJES'!$A$2:$B$13,2,FALSE),"")</f>
        <v/>
      </c>
      <c r="T756" t="str">
        <f>IFERROR(VLOOKUP(H756,'VALORES VIAJES'!$A$2:$B$24,2,FALSE),"")</f>
        <v/>
      </c>
      <c r="U756" t="str">
        <f>IFERROR(VLOOKUP(I756,'VALORES VIAJES'!$A$2:$B$24,2,FALSE),"")</f>
        <v/>
      </c>
      <c r="V756" t="str">
        <f>IFERROR(VLOOKUP(K756,'VALORES VIAJES'!$A$2:$B$24,2,FALSE),"")</f>
        <v/>
      </c>
      <c r="X756" s="208">
        <f>SUM(Hoja1[[#This Row],[$ X TIP VEHICUL]:[AGREGADO]])</f>
        <v>0</v>
      </c>
    </row>
    <row r="757" spans="2:24" hidden="1" x14ac:dyDescent="0.25">
      <c r="B757" s="189"/>
      <c r="J757" s="189"/>
      <c r="M757" s="205"/>
      <c r="O757" t="s">
        <v>7711</v>
      </c>
      <c r="S757" t="str">
        <f>IFERROR(VLOOKUP(E757,'VALORES VIAJES'!$A$2:$B$13,2,FALSE),"")</f>
        <v/>
      </c>
      <c r="T757" t="str">
        <f>IFERROR(VLOOKUP(H757,'VALORES VIAJES'!$A$2:$B$24,2,FALSE),"")</f>
        <v/>
      </c>
      <c r="U757" t="str">
        <f>IFERROR(VLOOKUP(I757,'VALORES VIAJES'!$A$2:$B$24,2,FALSE),"")</f>
        <v/>
      </c>
      <c r="V757" t="str">
        <f>IFERROR(VLOOKUP(K757,'VALORES VIAJES'!$A$2:$B$24,2,FALSE),"")</f>
        <v/>
      </c>
      <c r="X757" s="208">
        <f>SUM(Hoja1[[#This Row],[$ X TIP VEHICUL]:[AGREGADO]])</f>
        <v>0</v>
      </c>
    </row>
    <row r="758" spans="2:24" hidden="1" x14ac:dyDescent="0.25">
      <c r="B758" s="189"/>
      <c r="J758" s="189"/>
      <c r="M758" s="205"/>
      <c r="O758" t="s">
        <v>7711</v>
      </c>
      <c r="S758" t="str">
        <f>IFERROR(VLOOKUP(E758,'VALORES VIAJES'!$A$2:$B$13,2,FALSE),"")</f>
        <v/>
      </c>
      <c r="T758" t="str">
        <f>IFERROR(VLOOKUP(H758,'VALORES VIAJES'!$A$2:$B$24,2,FALSE),"")</f>
        <v/>
      </c>
      <c r="U758" t="str">
        <f>IFERROR(VLOOKUP(I758,'VALORES VIAJES'!$A$2:$B$24,2,FALSE),"")</f>
        <v/>
      </c>
      <c r="V758" t="str">
        <f>IFERROR(VLOOKUP(K758,'VALORES VIAJES'!$A$2:$B$24,2,FALSE),"")</f>
        <v/>
      </c>
      <c r="X758" s="208">
        <f>SUM(Hoja1[[#This Row],[$ X TIP VEHICUL]:[AGREGADO]])</f>
        <v>0</v>
      </c>
    </row>
    <row r="759" spans="2:24" hidden="1" x14ac:dyDescent="0.25">
      <c r="B759" s="189"/>
      <c r="J759" s="189"/>
      <c r="M759" s="205"/>
      <c r="O759" t="s">
        <v>7711</v>
      </c>
      <c r="S759" t="str">
        <f>IFERROR(VLOOKUP(E759,'VALORES VIAJES'!$A$2:$B$13,2,FALSE),"")</f>
        <v/>
      </c>
      <c r="T759" t="str">
        <f>IFERROR(VLOOKUP(H759,'VALORES VIAJES'!$A$2:$B$24,2,FALSE),"")</f>
        <v/>
      </c>
      <c r="U759" t="str">
        <f>IFERROR(VLOOKUP(I759,'VALORES VIAJES'!$A$2:$B$24,2,FALSE),"")</f>
        <v/>
      </c>
      <c r="V759" t="str">
        <f>IFERROR(VLOOKUP(K759,'VALORES VIAJES'!$A$2:$B$24,2,FALSE),"")</f>
        <v/>
      </c>
      <c r="X759" s="208">
        <f>SUM(Hoja1[[#This Row],[$ X TIP VEHICUL]:[AGREGADO]])</f>
        <v>0</v>
      </c>
    </row>
    <row r="760" spans="2:24" hidden="1" x14ac:dyDescent="0.25">
      <c r="B760" s="189"/>
      <c r="J760" s="189"/>
      <c r="M760" s="205"/>
      <c r="O760" t="s">
        <v>7711</v>
      </c>
      <c r="S760" t="str">
        <f>IFERROR(VLOOKUP(E760,'VALORES VIAJES'!$A$2:$B$13,2,FALSE),"")</f>
        <v/>
      </c>
      <c r="T760" t="str">
        <f>IFERROR(VLOOKUP(H760,'VALORES VIAJES'!$A$2:$B$24,2,FALSE),"")</f>
        <v/>
      </c>
      <c r="U760" t="str">
        <f>IFERROR(VLOOKUP(I760,'VALORES VIAJES'!$A$2:$B$24,2,FALSE),"")</f>
        <v/>
      </c>
      <c r="V760" t="str">
        <f>IFERROR(VLOOKUP(K760,'VALORES VIAJES'!$A$2:$B$24,2,FALSE),"")</f>
        <v/>
      </c>
      <c r="X760" s="208">
        <f>SUM(Hoja1[[#This Row],[$ X TIP VEHICUL]:[AGREGADO]])</f>
        <v>0</v>
      </c>
    </row>
    <row r="761" spans="2:24" hidden="1" x14ac:dyDescent="0.25">
      <c r="B761" s="189"/>
      <c r="J761" s="189"/>
      <c r="M761" s="205"/>
      <c r="O761" t="s">
        <v>7711</v>
      </c>
      <c r="S761" t="str">
        <f>IFERROR(VLOOKUP(E761,'VALORES VIAJES'!$A$2:$B$13,2,FALSE),"")</f>
        <v/>
      </c>
      <c r="T761" t="str">
        <f>IFERROR(VLOOKUP(H761,'VALORES VIAJES'!$A$2:$B$24,2,FALSE),"")</f>
        <v/>
      </c>
      <c r="U761" t="str">
        <f>IFERROR(VLOOKUP(I761,'VALORES VIAJES'!$A$2:$B$24,2,FALSE),"")</f>
        <v/>
      </c>
      <c r="V761" t="str">
        <f>IFERROR(VLOOKUP(K761,'VALORES VIAJES'!$A$2:$B$24,2,FALSE),"")</f>
        <v/>
      </c>
      <c r="X761" s="208">
        <f>SUM(Hoja1[[#This Row],[$ X TIP VEHICUL]:[AGREGADO]])</f>
        <v>0</v>
      </c>
    </row>
    <row r="762" spans="2:24" hidden="1" x14ac:dyDescent="0.25">
      <c r="B762" s="189"/>
      <c r="J762" s="189"/>
      <c r="M762" s="205"/>
      <c r="O762" t="s">
        <v>7711</v>
      </c>
      <c r="S762" t="str">
        <f>IFERROR(VLOOKUP(E762,'VALORES VIAJES'!$A$2:$B$13,2,FALSE),"")</f>
        <v/>
      </c>
      <c r="T762" t="str">
        <f>IFERROR(VLOOKUP(H762,'VALORES VIAJES'!$A$2:$B$24,2,FALSE),"")</f>
        <v/>
      </c>
      <c r="U762" t="str">
        <f>IFERROR(VLOOKUP(I762,'VALORES VIAJES'!$A$2:$B$24,2,FALSE),"")</f>
        <v/>
      </c>
      <c r="V762" t="str">
        <f>IFERROR(VLOOKUP(K762,'VALORES VIAJES'!$A$2:$B$24,2,FALSE),"")</f>
        <v/>
      </c>
      <c r="X762" s="208">
        <f>SUM(Hoja1[[#This Row],[$ X TIP VEHICUL]:[AGREGADO]])</f>
        <v>0</v>
      </c>
    </row>
    <row r="763" spans="2:24" hidden="1" x14ac:dyDescent="0.25">
      <c r="B763" s="189"/>
      <c r="J763" s="189"/>
      <c r="M763" s="205"/>
      <c r="O763" t="s">
        <v>7711</v>
      </c>
      <c r="S763" t="str">
        <f>IFERROR(VLOOKUP(E763,'VALORES VIAJES'!$A$2:$B$13,2,FALSE),"")</f>
        <v/>
      </c>
      <c r="T763" t="str">
        <f>IFERROR(VLOOKUP(H763,'VALORES VIAJES'!$A$2:$B$24,2,FALSE),"")</f>
        <v/>
      </c>
      <c r="U763" t="str">
        <f>IFERROR(VLOOKUP(I763,'VALORES VIAJES'!$A$2:$B$24,2,FALSE),"")</f>
        <v/>
      </c>
      <c r="V763" t="str">
        <f>IFERROR(VLOOKUP(K763,'VALORES VIAJES'!$A$2:$B$24,2,FALSE),"")</f>
        <v/>
      </c>
      <c r="X763" s="208">
        <f>SUM(Hoja1[[#This Row],[$ X TIP VEHICUL]:[AGREGADO]])</f>
        <v>0</v>
      </c>
    </row>
    <row r="764" spans="2:24" hidden="1" x14ac:dyDescent="0.25">
      <c r="B764" s="189"/>
      <c r="J764" s="189"/>
      <c r="M764" s="205"/>
      <c r="O764" t="s">
        <v>7711</v>
      </c>
      <c r="S764" t="str">
        <f>IFERROR(VLOOKUP(E764,'VALORES VIAJES'!$A$2:$B$13,2,FALSE),"")</f>
        <v/>
      </c>
      <c r="T764" t="str">
        <f>IFERROR(VLOOKUP(H764,'VALORES VIAJES'!$A$2:$B$24,2,FALSE),"")</f>
        <v/>
      </c>
      <c r="U764" t="str">
        <f>IFERROR(VLOOKUP(I764,'VALORES VIAJES'!$A$2:$B$24,2,FALSE),"")</f>
        <v/>
      </c>
      <c r="V764" t="str">
        <f>IFERROR(VLOOKUP(K764,'VALORES VIAJES'!$A$2:$B$24,2,FALSE),"")</f>
        <v/>
      </c>
      <c r="X764" s="208">
        <f>SUM(Hoja1[[#This Row],[$ X TIP VEHICUL]:[AGREGADO]])</f>
        <v>0</v>
      </c>
    </row>
    <row r="765" spans="2:24" hidden="1" x14ac:dyDescent="0.25">
      <c r="B765" s="189"/>
      <c r="J765" s="189"/>
      <c r="M765" s="205"/>
      <c r="O765" t="s">
        <v>7711</v>
      </c>
      <c r="S765" t="str">
        <f>IFERROR(VLOOKUP(E765,'VALORES VIAJES'!$A$2:$B$13,2,FALSE),"")</f>
        <v/>
      </c>
      <c r="T765" t="str">
        <f>IFERROR(VLOOKUP(H765,'VALORES VIAJES'!$A$2:$B$24,2,FALSE),"")</f>
        <v/>
      </c>
      <c r="U765" t="str">
        <f>IFERROR(VLOOKUP(I765,'VALORES VIAJES'!$A$2:$B$24,2,FALSE),"")</f>
        <v/>
      </c>
      <c r="V765" t="str">
        <f>IFERROR(VLOOKUP(K765,'VALORES VIAJES'!$A$2:$B$24,2,FALSE),"")</f>
        <v/>
      </c>
      <c r="X765" s="208">
        <f>SUM(Hoja1[[#This Row],[$ X TIP VEHICUL]:[AGREGADO]])</f>
        <v>0</v>
      </c>
    </row>
    <row r="766" spans="2:24" hidden="1" x14ac:dyDescent="0.25">
      <c r="B766" s="189"/>
      <c r="J766" s="189"/>
      <c r="M766" s="205"/>
      <c r="O766" t="s">
        <v>7711</v>
      </c>
      <c r="S766" t="str">
        <f>IFERROR(VLOOKUP(E766,'VALORES VIAJES'!$A$2:$B$13,2,FALSE),"")</f>
        <v/>
      </c>
      <c r="T766" t="str">
        <f>IFERROR(VLOOKUP(H766,'VALORES VIAJES'!$A$2:$B$24,2,FALSE),"")</f>
        <v/>
      </c>
      <c r="U766" t="str">
        <f>IFERROR(VLOOKUP(I766,'VALORES VIAJES'!$A$2:$B$24,2,FALSE),"")</f>
        <v/>
      </c>
      <c r="V766" t="str">
        <f>IFERROR(VLOOKUP(K766,'VALORES VIAJES'!$A$2:$B$24,2,FALSE),"")</f>
        <v/>
      </c>
      <c r="X766" s="208">
        <f>SUM(Hoja1[[#This Row],[$ X TIP VEHICUL]:[AGREGADO]])</f>
        <v>0</v>
      </c>
    </row>
    <row r="767" spans="2:24" hidden="1" x14ac:dyDescent="0.25">
      <c r="B767" s="189"/>
      <c r="J767" s="189"/>
      <c r="M767" s="205"/>
      <c r="O767" t="s">
        <v>7711</v>
      </c>
      <c r="S767" t="str">
        <f>IFERROR(VLOOKUP(E767,'VALORES VIAJES'!$A$2:$B$13,2,FALSE),"")</f>
        <v/>
      </c>
      <c r="T767" t="str">
        <f>IFERROR(VLOOKUP(H767,'VALORES VIAJES'!$A$2:$B$24,2,FALSE),"")</f>
        <v/>
      </c>
      <c r="U767" t="str">
        <f>IFERROR(VLOOKUP(I767,'VALORES VIAJES'!$A$2:$B$24,2,FALSE),"")</f>
        <v/>
      </c>
      <c r="V767" t="str">
        <f>IFERROR(VLOOKUP(K767,'VALORES VIAJES'!$A$2:$B$24,2,FALSE),"")</f>
        <v/>
      </c>
      <c r="X767" s="208">
        <f>SUM(Hoja1[[#This Row],[$ X TIP VEHICUL]:[AGREGADO]])</f>
        <v>0</v>
      </c>
    </row>
    <row r="768" spans="2:24" hidden="1" x14ac:dyDescent="0.25">
      <c r="B768" s="189"/>
      <c r="J768" s="189"/>
      <c r="M768" s="205"/>
      <c r="O768" t="s">
        <v>7711</v>
      </c>
      <c r="S768" t="str">
        <f>IFERROR(VLOOKUP(E768,'VALORES VIAJES'!$A$2:$B$13,2,FALSE),"")</f>
        <v/>
      </c>
      <c r="T768" t="str">
        <f>IFERROR(VLOOKUP(H768,'VALORES VIAJES'!$A$2:$B$24,2,FALSE),"")</f>
        <v/>
      </c>
      <c r="U768" t="str">
        <f>IFERROR(VLOOKUP(I768,'VALORES VIAJES'!$A$2:$B$24,2,FALSE),"")</f>
        <v/>
      </c>
      <c r="V768" t="str">
        <f>IFERROR(VLOOKUP(K768,'VALORES VIAJES'!$A$2:$B$24,2,FALSE),"")</f>
        <v/>
      </c>
      <c r="X768" s="208">
        <f>SUM(Hoja1[[#This Row],[$ X TIP VEHICUL]:[AGREGADO]])</f>
        <v>0</v>
      </c>
    </row>
    <row r="769" spans="2:24" hidden="1" x14ac:dyDescent="0.25">
      <c r="B769" s="189"/>
      <c r="J769" s="189"/>
      <c r="M769" s="205"/>
      <c r="O769" t="s">
        <v>7711</v>
      </c>
      <c r="S769" t="str">
        <f>IFERROR(VLOOKUP(E769,'VALORES VIAJES'!$A$2:$B$13,2,FALSE),"")</f>
        <v/>
      </c>
      <c r="T769" t="str">
        <f>IFERROR(VLOOKUP(H769,'VALORES VIAJES'!$A$2:$B$24,2,FALSE),"")</f>
        <v/>
      </c>
      <c r="U769" t="str">
        <f>IFERROR(VLOOKUP(I769,'VALORES VIAJES'!$A$2:$B$24,2,FALSE),"")</f>
        <v/>
      </c>
      <c r="V769" t="str">
        <f>IFERROR(VLOOKUP(K769,'VALORES VIAJES'!$A$2:$B$24,2,FALSE),"")</f>
        <v/>
      </c>
      <c r="X769" s="208">
        <f>SUM(Hoja1[[#This Row],[$ X TIP VEHICUL]:[AGREGADO]])</f>
        <v>0</v>
      </c>
    </row>
    <row r="770" spans="2:24" hidden="1" x14ac:dyDescent="0.25">
      <c r="B770" s="189"/>
      <c r="J770" s="189"/>
      <c r="M770" s="205"/>
      <c r="O770" t="s">
        <v>7711</v>
      </c>
      <c r="S770" t="str">
        <f>IFERROR(VLOOKUP(E770,'VALORES VIAJES'!$A$2:$B$13,2,FALSE),"")</f>
        <v/>
      </c>
      <c r="T770" t="str">
        <f>IFERROR(VLOOKUP(H770,'VALORES VIAJES'!$A$2:$B$24,2,FALSE),"")</f>
        <v/>
      </c>
      <c r="U770" t="str">
        <f>IFERROR(VLOOKUP(I770,'VALORES VIAJES'!$A$2:$B$24,2,FALSE),"")</f>
        <v/>
      </c>
      <c r="V770" t="str">
        <f>IFERROR(VLOOKUP(K770,'VALORES VIAJES'!$A$2:$B$24,2,FALSE),"")</f>
        <v/>
      </c>
      <c r="X770" s="208">
        <f>SUM(Hoja1[[#This Row],[$ X TIP VEHICUL]:[AGREGADO]])</f>
        <v>0</v>
      </c>
    </row>
    <row r="771" spans="2:24" hidden="1" x14ac:dyDescent="0.25">
      <c r="B771" s="189"/>
      <c r="J771" s="189"/>
      <c r="M771" s="205"/>
      <c r="O771" t="s">
        <v>7711</v>
      </c>
      <c r="S771" t="str">
        <f>IFERROR(VLOOKUP(E771,'VALORES VIAJES'!$A$2:$B$13,2,FALSE),"")</f>
        <v/>
      </c>
      <c r="T771" t="str">
        <f>IFERROR(VLOOKUP(H771,'VALORES VIAJES'!$A$2:$B$24,2,FALSE),"")</f>
        <v/>
      </c>
      <c r="U771" t="str">
        <f>IFERROR(VLOOKUP(I771,'VALORES VIAJES'!$A$2:$B$24,2,FALSE),"")</f>
        <v/>
      </c>
      <c r="V771" t="str">
        <f>IFERROR(VLOOKUP(K771,'VALORES VIAJES'!$A$2:$B$24,2,FALSE),"")</f>
        <v/>
      </c>
      <c r="X771" s="208">
        <f>SUM(Hoja1[[#This Row],[$ X TIP VEHICUL]:[AGREGADO]])</f>
        <v>0</v>
      </c>
    </row>
    <row r="772" spans="2:24" hidden="1" x14ac:dyDescent="0.25">
      <c r="B772" s="189"/>
      <c r="J772" s="189"/>
      <c r="M772" s="205"/>
      <c r="O772" t="s">
        <v>7711</v>
      </c>
      <c r="S772" t="str">
        <f>IFERROR(VLOOKUP(E772,'VALORES VIAJES'!$A$2:$B$13,2,FALSE),"")</f>
        <v/>
      </c>
      <c r="T772" t="str">
        <f>IFERROR(VLOOKUP(H772,'VALORES VIAJES'!$A$2:$B$24,2,FALSE),"")</f>
        <v/>
      </c>
      <c r="U772" t="str">
        <f>IFERROR(VLOOKUP(I772,'VALORES VIAJES'!$A$2:$B$24,2,FALSE),"")</f>
        <v/>
      </c>
      <c r="V772" t="str">
        <f>IFERROR(VLOOKUP(K772,'VALORES VIAJES'!$A$2:$B$24,2,FALSE),"")</f>
        <v/>
      </c>
      <c r="X772" s="208">
        <f>SUM(Hoja1[[#This Row],[$ X TIP VEHICUL]:[AGREGADO]])</f>
        <v>0</v>
      </c>
    </row>
    <row r="773" spans="2:24" hidden="1" x14ac:dyDescent="0.25">
      <c r="B773" s="189"/>
      <c r="J773" s="189"/>
      <c r="M773" s="205"/>
      <c r="O773" t="s">
        <v>7711</v>
      </c>
      <c r="S773" t="str">
        <f>IFERROR(VLOOKUP(E773,'VALORES VIAJES'!$A$2:$B$13,2,FALSE),"")</f>
        <v/>
      </c>
      <c r="T773" t="str">
        <f>IFERROR(VLOOKUP(H773,'VALORES VIAJES'!$A$2:$B$24,2,FALSE),"")</f>
        <v/>
      </c>
      <c r="U773" t="str">
        <f>IFERROR(VLOOKUP(I773,'VALORES VIAJES'!$A$2:$B$24,2,FALSE),"")</f>
        <v/>
      </c>
      <c r="V773" t="str">
        <f>IFERROR(VLOOKUP(K773,'VALORES VIAJES'!$A$2:$B$24,2,FALSE),"")</f>
        <v/>
      </c>
      <c r="X773" s="208">
        <f>SUM(Hoja1[[#This Row],[$ X TIP VEHICUL]:[AGREGADO]])</f>
        <v>0</v>
      </c>
    </row>
    <row r="774" spans="2:24" hidden="1" x14ac:dyDescent="0.25">
      <c r="B774" s="189"/>
      <c r="J774" s="189"/>
      <c r="M774" s="205"/>
      <c r="O774" t="s">
        <v>7711</v>
      </c>
      <c r="S774" t="str">
        <f>IFERROR(VLOOKUP(E774,'VALORES VIAJES'!$A$2:$B$13,2,FALSE),"")</f>
        <v/>
      </c>
      <c r="T774" t="str">
        <f>IFERROR(VLOOKUP(H774,'VALORES VIAJES'!$A$2:$B$24,2,FALSE),"")</f>
        <v/>
      </c>
      <c r="U774" t="str">
        <f>IFERROR(VLOOKUP(I774,'VALORES VIAJES'!$A$2:$B$24,2,FALSE),"")</f>
        <v/>
      </c>
      <c r="V774" t="str">
        <f>IFERROR(VLOOKUP(K774,'VALORES VIAJES'!$A$2:$B$24,2,FALSE),"")</f>
        <v/>
      </c>
      <c r="X774" s="208">
        <f>SUM(Hoja1[[#This Row],[$ X TIP VEHICUL]:[AGREGADO]])</f>
        <v>0</v>
      </c>
    </row>
    <row r="775" spans="2:24" hidden="1" x14ac:dyDescent="0.25">
      <c r="B775" s="189"/>
      <c r="J775" s="189"/>
      <c r="M775" s="205"/>
      <c r="O775" t="s">
        <v>7711</v>
      </c>
      <c r="S775" t="str">
        <f>IFERROR(VLOOKUP(E775,'VALORES VIAJES'!$A$2:$B$13,2,FALSE),"")</f>
        <v/>
      </c>
      <c r="T775" t="str">
        <f>IFERROR(VLOOKUP(H775,'VALORES VIAJES'!$A$2:$B$24,2,FALSE),"")</f>
        <v/>
      </c>
      <c r="U775" t="str">
        <f>IFERROR(VLOOKUP(I775,'VALORES VIAJES'!$A$2:$B$24,2,FALSE),"")</f>
        <v/>
      </c>
      <c r="V775" t="str">
        <f>IFERROR(VLOOKUP(K775,'VALORES VIAJES'!$A$2:$B$24,2,FALSE),"")</f>
        <v/>
      </c>
      <c r="X775" s="208">
        <f>SUM(Hoja1[[#This Row],[$ X TIP VEHICUL]:[AGREGADO]])</f>
        <v>0</v>
      </c>
    </row>
    <row r="776" spans="2:24" hidden="1" x14ac:dyDescent="0.25">
      <c r="B776" s="189"/>
      <c r="J776" s="189"/>
      <c r="M776" s="205"/>
      <c r="O776" t="s">
        <v>7711</v>
      </c>
      <c r="S776" t="str">
        <f>IFERROR(VLOOKUP(E776,'VALORES VIAJES'!$A$2:$B$13,2,FALSE),"")</f>
        <v/>
      </c>
      <c r="T776" t="str">
        <f>IFERROR(VLOOKUP(H776,'VALORES VIAJES'!$A$2:$B$24,2,FALSE),"")</f>
        <v/>
      </c>
      <c r="U776" t="str">
        <f>IFERROR(VLOOKUP(I776,'VALORES VIAJES'!$A$2:$B$24,2,FALSE),"")</f>
        <v/>
      </c>
      <c r="V776" t="str">
        <f>IFERROR(VLOOKUP(K776,'VALORES VIAJES'!$A$2:$B$24,2,FALSE),"")</f>
        <v/>
      </c>
      <c r="X776" s="208">
        <f>SUM(Hoja1[[#This Row],[$ X TIP VEHICUL]:[AGREGADO]])</f>
        <v>0</v>
      </c>
    </row>
    <row r="777" spans="2:24" hidden="1" x14ac:dyDescent="0.25">
      <c r="B777" s="189"/>
      <c r="J777" s="189"/>
      <c r="M777" s="205"/>
      <c r="O777" t="s">
        <v>7711</v>
      </c>
      <c r="S777" t="str">
        <f>IFERROR(VLOOKUP(E777,'VALORES VIAJES'!$A$2:$B$13,2,FALSE),"")</f>
        <v/>
      </c>
      <c r="T777" t="str">
        <f>IFERROR(VLOOKUP(H777,'VALORES VIAJES'!$A$2:$B$24,2,FALSE),"")</f>
        <v/>
      </c>
      <c r="U777" t="str">
        <f>IFERROR(VLOOKUP(I777,'VALORES VIAJES'!$A$2:$B$24,2,FALSE),"")</f>
        <v/>
      </c>
      <c r="V777" t="str">
        <f>IFERROR(VLOOKUP(K777,'VALORES VIAJES'!$A$2:$B$24,2,FALSE),"")</f>
        <v/>
      </c>
      <c r="X777" s="208">
        <f>SUM(Hoja1[[#This Row],[$ X TIP VEHICUL]:[AGREGADO]])</f>
        <v>0</v>
      </c>
    </row>
    <row r="778" spans="2:24" hidden="1" x14ac:dyDescent="0.25">
      <c r="B778" s="189"/>
      <c r="J778" s="189"/>
      <c r="M778" s="205"/>
      <c r="O778" t="s">
        <v>7711</v>
      </c>
      <c r="S778" t="str">
        <f>IFERROR(VLOOKUP(E778,'VALORES VIAJES'!$A$2:$B$13,2,FALSE),"")</f>
        <v/>
      </c>
      <c r="T778" t="str">
        <f>IFERROR(VLOOKUP(H778,'VALORES VIAJES'!$A$2:$B$24,2,FALSE),"")</f>
        <v/>
      </c>
      <c r="U778" t="str">
        <f>IFERROR(VLOOKUP(I778,'VALORES VIAJES'!$A$2:$B$24,2,FALSE),"")</f>
        <v/>
      </c>
      <c r="V778" t="str">
        <f>IFERROR(VLOOKUP(K778,'VALORES VIAJES'!$A$2:$B$24,2,FALSE),"")</f>
        <v/>
      </c>
      <c r="X778" s="208">
        <f>SUM(Hoja1[[#This Row],[$ X TIP VEHICUL]:[AGREGADO]])</f>
        <v>0</v>
      </c>
    </row>
    <row r="779" spans="2:24" hidden="1" x14ac:dyDescent="0.25">
      <c r="B779" s="189"/>
      <c r="J779" s="189"/>
      <c r="M779" s="205"/>
      <c r="O779" t="s">
        <v>7711</v>
      </c>
      <c r="S779" t="str">
        <f>IFERROR(VLOOKUP(E779,'VALORES VIAJES'!$A$2:$B$13,2,FALSE),"")</f>
        <v/>
      </c>
      <c r="T779" t="str">
        <f>IFERROR(VLOOKUP(H779,'VALORES VIAJES'!$A$2:$B$24,2,FALSE),"")</f>
        <v/>
      </c>
      <c r="U779" t="str">
        <f>IFERROR(VLOOKUP(I779,'VALORES VIAJES'!$A$2:$B$24,2,FALSE),"")</f>
        <v/>
      </c>
      <c r="V779" t="str">
        <f>IFERROR(VLOOKUP(K779,'VALORES VIAJES'!$A$2:$B$24,2,FALSE),"")</f>
        <v/>
      </c>
      <c r="X779" s="208">
        <f>SUM(Hoja1[[#This Row],[$ X TIP VEHICUL]:[AGREGADO]])</f>
        <v>0</v>
      </c>
    </row>
    <row r="780" spans="2:24" hidden="1" x14ac:dyDescent="0.25">
      <c r="B780" s="189"/>
      <c r="J780" s="189"/>
      <c r="M780" s="205"/>
      <c r="O780" t="s">
        <v>7711</v>
      </c>
      <c r="S780" t="str">
        <f>IFERROR(VLOOKUP(E780,'VALORES VIAJES'!$A$2:$B$13,2,FALSE),"")</f>
        <v/>
      </c>
      <c r="T780" t="str">
        <f>IFERROR(VLOOKUP(H780,'VALORES VIAJES'!$A$2:$B$24,2,FALSE),"")</f>
        <v/>
      </c>
      <c r="U780" t="str">
        <f>IFERROR(VLOOKUP(I780,'VALORES VIAJES'!$A$2:$B$24,2,FALSE),"")</f>
        <v/>
      </c>
      <c r="V780" t="str">
        <f>IFERROR(VLOOKUP(K780,'VALORES VIAJES'!$A$2:$B$24,2,FALSE),"")</f>
        <v/>
      </c>
      <c r="X780" s="208">
        <f>SUM(Hoja1[[#This Row],[$ X TIP VEHICUL]:[AGREGADO]])</f>
        <v>0</v>
      </c>
    </row>
    <row r="781" spans="2:24" hidden="1" x14ac:dyDescent="0.25">
      <c r="B781" s="189"/>
      <c r="J781" s="189"/>
      <c r="M781" s="205"/>
      <c r="O781" t="s">
        <v>7711</v>
      </c>
      <c r="S781" t="str">
        <f>IFERROR(VLOOKUP(E781,'VALORES VIAJES'!$A$2:$B$13,2,FALSE),"")</f>
        <v/>
      </c>
      <c r="T781" t="str">
        <f>IFERROR(VLOOKUP(H781,'VALORES VIAJES'!$A$2:$B$24,2,FALSE),"")</f>
        <v/>
      </c>
      <c r="U781" t="str">
        <f>IFERROR(VLOOKUP(I781,'VALORES VIAJES'!$A$2:$B$24,2,FALSE),"")</f>
        <v/>
      </c>
      <c r="V781" t="str">
        <f>IFERROR(VLOOKUP(K781,'VALORES VIAJES'!$A$2:$B$24,2,FALSE),"")</f>
        <v/>
      </c>
      <c r="X781" s="208">
        <f>SUM(Hoja1[[#This Row],[$ X TIP VEHICUL]:[AGREGADO]])</f>
        <v>0</v>
      </c>
    </row>
    <row r="782" spans="2:24" hidden="1" x14ac:dyDescent="0.25">
      <c r="B782" s="189"/>
      <c r="J782" s="189"/>
      <c r="M782" s="205"/>
      <c r="O782" t="s">
        <v>7711</v>
      </c>
      <c r="S782" t="str">
        <f>IFERROR(VLOOKUP(E782,'VALORES VIAJES'!$A$2:$B$13,2,FALSE),"")</f>
        <v/>
      </c>
      <c r="T782" t="str">
        <f>IFERROR(VLOOKUP(H782,'VALORES VIAJES'!$A$2:$B$24,2,FALSE),"")</f>
        <v/>
      </c>
      <c r="U782" t="str">
        <f>IFERROR(VLOOKUP(I782,'VALORES VIAJES'!$A$2:$B$24,2,FALSE),"")</f>
        <v/>
      </c>
      <c r="V782" t="str">
        <f>IFERROR(VLOOKUP(K782,'VALORES VIAJES'!$A$2:$B$24,2,FALSE),"")</f>
        <v/>
      </c>
      <c r="X782" s="208">
        <f>SUM(Hoja1[[#This Row],[$ X TIP VEHICUL]:[AGREGADO]])</f>
        <v>0</v>
      </c>
    </row>
    <row r="783" spans="2:24" hidden="1" x14ac:dyDescent="0.25">
      <c r="B783" s="189"/>
      <c r="J783" s="189"/>
      <c r="M783" s="205"/>
      <c r="O783" t="s">
        <v>7711</v>
      </c>
      <c r="S783" t="str">
        <f>IFERROR(VLOOKUP(E783,'VALORES VIAJES'!$A$2:$B$13,2,FALSE),"")</f>
        <v/>
      </c>
      <c r="T783" t="str">
        <f>IFERROR(VLOOKUP(H783,'VALORES VIAJES'!$A$2:$B$24,2,FALSE),"")</f>
        <v/>
      </c>
      <c r="U783" t="str">
        <f>IFERROR(VLOOKUP(I783,'VALORES VIAJES'!$A$2:$B$24,2,FALSE),"")</f>
        <v/>
      </c>
      <c r="V783" t="str">
        <f>IFERROR(VLOOKUP(K783,'VALORES VIAJES'!$A$2:$B$24,2,FALSE),"")</f>
        <v/>
      </c>
      <c r="X783" s="208">
        <f>SUM(Hoja1[[#This Row],[$ X TIP VEHICUL]:[AGREGADO]])</f>
        <v>0</v>
      </c>
    </row>
    <row r="784" spans="2:24" hidden="1" x14ac:dyDescent="0.25">
      <c r="B784" s="189"/>
      <c r="J784" s="189"/>
      <c r="M784" s="205"/>
      <c r="O784" t="s">
        <v>7711</v>
      </c>
      <c r="S784" t="str">
        <f>IFERROR(VLOOKUP(E784,'VALORES VIAJES'!$A$2:$B$13,2,FALSE),"")</f>
        <v/>
      </c>
      <c r="T784" t="str">
        <f>IFERROR(VLOOKUP(H784,'VALORES VIAJES'!$A$2:$B$24,2,FALSE),"")</f>
        <v/>
      </c>
      <c r="U784" t="str">
        <f>IFERROR(VLOOKUP(I784,'VALORES VIAJES'!$A$2:$B$24,2,FALSE),"")</f>
        <v/>
      </c>
      <c r="V784" t="str">
        <f>IFERROR(VLOOKUP(K784,'VALORES VIAJES'!$A$2:$B$24,2,FALSE),"")</f>
        <v/>
      </c>
      <c r="X784" s="208">
        <f>SUM(Hoja1[[#This Row],[$ X TIP VEHICUL]:[AGREGADO]])</f>
        <v>0</v>
      </c>
    </row>
    <row r="785" spans="2:24" hidden="1" x14ac:dyDescent="0.25">
      <c r="B785" s="189"/>
      <c r="J785" s="189"/>
      <c r="M785" s="205"/>
      <c r="O785" t="s">
        <v>7711</v>
      </c>
      <c r="S785" t="str">
        <f>IFERROR(VLOOKUP(E785,'VALORES VIAJES'!$A$2:$B$13,2,FALSE),"")</f>
        <v/>
      </c>
      <c r="T785" t="str">
        <f>IFERROR(VLOOKUP(H785,'VALORES VIAJES'!$A$2:$B$24,2,FALSE),"")</f>
        <v/>
      </c>
      <c r="U785" t="str">
        <f>IFERROR(VLOOKUP(I785,'VALORES VIAJES'!$A$2:$B$24,2,FALSE),"")</f>
        <v/>
      </c>
      <c r="V785" t="str">
        <f>IFERROR(VLOOKUP(K785,'VALORES VIAJES'!$A$2:$B$24,2,FALSE),"")</f>
        <v/>
      </c>
      <c r="X785" s="208">
        <f>SUM(Hoja1[[#This Row],[$ X TIP VEHICUL]:[AGREGADO]])</f>
        <v>0</v>
      </c>
    </row>
    <row r="786" spans="2:24" hidden="1" x14ac:dyDescent="0.25">
      <c r="B786" s="189"/>
      <c r="J786" s="189"/>
      <c r="M786" s="205"/>
      <c r="O786" t="s">
        <v>7711</v>
      </c>
      <c r="S786" t="str">
        <f>IFERROR(VLOOKUP(E786,'VALORES VIAJES'!$A$2:$B$13,2,FALSE),"")</f>
        <v/>
      </c>
      <c r="T786" t="str">
        <f>IFERROR(VLOOKUP(H786,'VALORES VIAJES'!$A$2:$B$24,2,FALSE),"")</f>
        <v/>
      </c>
      <c r="U786" t="str">
        <f>IFERROR(VLOOKUP(I786,'VALORES VIAJES'!$A$2:$B$24,2,FALSE),"")</f>
        <v/>
      </c>
      <c r="V786" t="str">
        <f>IFERROR(VLOOKUP(K786,'VALORES VIAJES'!$A$2:$B$24,2,FALSE),"")</f>
        <v/>
      </c>
      <c r="X786" s="208">
        <f>SUM(Hoja1[[#This Row],[$ X TIP VEHICUL]:[AGREGADO]])</f>
        <v>0</v>
      </c>
    </row>
    <row r="787" spans="2:24" hidden="1" x14ac:dyDescent="0.25">
      <c r="B787" s="189"/>
      <c r="J787" s="189"/>
      <c r="M787" s="205"/>
      <c r="O787" t="s">
        <v>7711</v>
      </c>
      <c r="S787" t="str">
        <f>IFERROR(VLOOKUP(E787,'VALORES VIAJES'!$A$2:$B$13,2,FALSE),"")</f>
        <v/>
      </c>
      <c r="T787" t="str">
        <f>IFERROR(VLOOKUP(H787,'VALORES VIAJES'!$A$2:$B$24,2,FALSE),"")</f>
        <v/>
      </c>
      <c r="U787" t="str">
        <f>IFERROR(VLOOKUP(I787,'VALORES VIAJES'!$A$2:$B$24,2,FALSE),"")</f>
        <v/>
      </c>
      <c r="V787" t="str">
        <f>IFERROR(VLOOKUP(K787,'VALORES VIAJES'!$A$2:$B$24,2,FALSE),"")</f>
        <v/>
      </c>
      <c r="X787" s="208">
        <f>SUM(Hoja1[[#This Row],[$ X TIP VEHICUL]:[AGREGADO]])</f>
        <v>0</v>
      </c>
    </row>
    <row r="788" spans="2:24" hidden="1" x14ac:dyDescent="0.25">
      <c r="B788" s="189"/>
      <c r="J788" s="189"/>
      <c r="M788" s="205"/>
      <c r="O788" t="s">
        <v>7711</v>
      </c>
      <c r="S788" t="str">
        <f>IFERROR(VLOOKUP(E788,'VALORES VIAJES'!$A$2:$B$13,2,FALSE),"")</f>
        <v/>
      </c>
      <c r="T788" t="str">
        <f>IFERROR(VLOOKUP(H788,'VALORES VIAJES'!$A$2:$B$24,2,FALSE),"")</f>
        <v/>
      </c>
      <c r="U788" t="str">
        <f>IFERROR(VLOOKUP(I788,'VALORES VIAJES'!$A$2:$B$24,2,FALSE),"")</f>
        <v/>
      </c>
      <c r="V788" t="str">
        <f>IFERROR(VLOOKUP(K788,'VALORES VIAJES'!$A$2:$B$24,2,FALSE),"")</f>
        <v/>
      </c>
      <c r="X788" s="208">
        <f>SUM(Hoja1[[#This Row],[$ X TIP VEHICUL]:[AGREGADO]])</f>
        <v>0</v>
      </c>
    </row>
    <row r="789" spans="2:24" hidden="1" x14ac:dyDescent="0.25">
      <c r="B789" s="189"/>
      <c r="J789" s="189"/>
      <c r="M789" s="205"/>
      <c r="O789" t="s">
        <v>7711</v>
      </c>
      <c r="S789" t="str">
        <f>IFERROR(VLOOKUP(E789,'VALORES VIAJES'!$A$2:$B$13,2,FALSE),"")</f>
        <v/>
      </c>
      <c r="T789" t="str">
        <f>IFERROR(VLOOKUP(H789,'VALORES VIAJES'!$A$2:$B$24,2,FALSE),"")</f>
        <v/>
      </c>
      <c r="U789" t="str">
        <f>IFERROR(VLOOKUP(I789,'VALORES VIAJES'!$A$2:$B$24,2,FALSE),"")</f>
        <v/>
      </c>
      <c r="V789" t="str">
        <f>IFERROR(VLOOKUP(K789,'VALORES VIAJES'!$A$2:$B$24,2,FALSE),"")</f>
        <v/>
      </c>
      <c r="X789" s="208">
        <f>SUM(Hoja1[[#This Row],[$ X TIP VEHICUL]:[AGREGADO]])</f>
        <v>0</v>
      </c>
    </row>
    <row r="790" spans="2:24" hidden="1" x14ac:dyDescent="0.25">
      <c r="B790" s="189"/>
      <c r="J790" s="189"/>
      <c r="M790" s="205"/>
      <c r="O790" t="s">
        <v>7711</v>
      </c>
      <c r="S790" t="str">
        <f>IFERROR(VLOOKUP(E790,'VALORES VIAJES'!$A$2:$B$13,2,FALSE),"")</f>
        <v/>
      </c>
      <c r="T790" t="str">
        <f>IFERROR(VLOOKUP(H790,'VALORES VIAJES'!$A$2:$B$24,2,FALSE),"")</f>
        <v/>
      </c>
      <c r="U790" t="str">
        <f>IFERROR(VLOOKUP(I790,'VALORES VIAJES'!$A$2:$B$24,2,FALSE),"")</f>
        <v/>
      </c>
      <c r="V790" t="str">
        <f>IFERROR(VLOOKUP(K790,'VALORES VIAJES'!$A$2:$B$24,2,FALSE),"")</f>
        <v/>
      </c>
      <c r="X790" s="208">
        <f>SUM(Hoja1[[#This Row],[$ X TIP VEHICUL]:[AGREGADO]])</f>
        <v>0</v>
      </c>
    </row>
    <row r="791" spans="2:24" hidden="1" x14ac:dyDescent="0.25">
      <c r="B791" s="189"/>
      <c r="J791" s="189"/>
      <c r="M791" s="205"/>
      <c r="O791" t="s">
        <v>7711</v>
      </c>
      <c r="S791" t="str">
        <f>IFERROR(VLOOKUP(E791,'VALORES VIAJES'!$A$2:$B$13,2,FALSE),"")</f>
        <v/>
      </c>
      <c r="T791" t="str">
        <f>IFERROR(VLOOKUP(H791,'VALORES VIAJES'!$A$2:$B$24,2,FALSE),"")</f>
        <v/>
      </c>
      <c r="U791" t="str">
        <f>IFERROR(VLOOKUP(I791,'VALORES VIAJES'!$A$2:$B$24,2,FALSE),"")</f>
        <v/>
      </c>
      <c r="V791" t="str">
        <f>IFERROR(VLOOKUP(K791,'VALORES VIAJES'!$A$2:$B$24,2,FALSE),"")</f>
        <v/>
      </c>
      <c r="X791" s="208">
        <f>SUM(Hoja1[[#This Row],[$ X TIP VEHICUL]:[AGREGADO]])</f>
        <v>0</v>
      </c>
    </row>
    <row r="792" spans="2:24" hidden="1" x14ac:dyDescent="0.25">
      <c r="B792" s="189"/>
      <c r="J792" s="189"/>
      <c r="M792" s="205"/>
      <c r="O792" t="s">
        <v>7711</v>
      </c>
      <c r="S792" t="str">
        <f>IFERROR(VLOOKUP(E792,'VALORES VIAJES'!$A$2:$B$13,2,FALSE),"")</f>
        <v/>
      </c>
      <c r="T792" t="str">
        <f>IFERROR(VLOOKUP(H792,'VALORES VIAJES'!$A$2:$B$24,2,FALSE),"")</f>
        <v/>
      </c>
      <c r="U792" t="str">
        <f>IFERROR(VLOOKUP(I792,'VALORES VIAJES'!$A$2:$B$24,2,FALSE),"")</f>
        <v/>
      </c>
      <c r="V792" t="str">
        <f>IFERROR(VLOOKUP(K792,'VALORES VIAJES'!$A$2:$B$24,2,FALSE),"")</f>
        <v/>
      </c>
      <c r="X792" s="208">
        <f>SUM(Hoja1[[#This Row],[$ X TIP VEHICUL]:[AGREGADO]])</f>
        <v>0</v>
      </c>
    </row>
    <row r="793" spans="2:24" hidden="1" x14ac:dyDescent="0.25">
      <c r="B793" s="189"/>
      <c r="J793" s="189"/>
      <c r="M793" s="205"/>
      <c r="O793" t="s">
        <v>7711</v>
      </c>
      <c r="S793" t="str">
        <f>IFERROR(VLOOKUP(E793,'VALORES VIAJES'!$A$2:$B$13,2,FALSE),"")</f>
        <v/>
      </c>
      <c r="T793" t="str">
        <f>IFERROR(VLOOKUP(H793,'VALORES VIAJES'!$A$2:$B$24,2,FALSE),"")</f>
        <v/>
      </c>
      <c r="U793" t="str">
        <f>IFERROR(VLOOKUP(I793,'VALORES VIAJES'!$A$2:$B$24,2,FALSE),"")</f>
        <v/>
      </c>
      <c r="V793" t="str">
        <f>IFERROR(VLOOKUP(K793,'VALORES VIAJES'!$A$2:$B$24,2,FALSE),"")</f>
        <v/>
      </c>
      <c r="X793" s="208">
        <f>SUM(Hoja1[[#This Row],[$ X TIP VEHICUL]:[AGREGADO]])</f>
        <v>0</v>
      </c>
    </row>
    <row r="794" spans="2:24" hidden="1" x14ac:dyDescent="0.25">
      <c r="B794" s="189"/>
      <c r="J794" s="189"/>
      <c r="M794" s="205"/>
      <c r="O794" t="s">
        <v>7711</v>
      </c>
      <c r="S794" t="str">
        <f>IFERROR(VLOOKUP(E794,'VALORES VIAJES'!$A$2:$B$13,2,FALSE),"")</f>
        <v/>
      </c>
      <c r="T794" t="str">
        <f>IFERROR(VLOOKUP(H794,'VALORES VIAJES'!$A$2:$B$24,2,FALSE),"")</f>
        <v/>
      </c>
      <c r="U794" t="str">
        <f>IFERROR(VLOOKUP(I794,'VALORES VIAJES'!$A$2:$B$24,2,FALSE),"")</f>
        <v/>
      </c>
      <c r="V794" t="str">
        <f>IFERROR(VLOOKUP(K794,'VALORES VIAJES'!$A$2:$B$24,2,FALSE),"")</f>
        <v/>
      </c>
      <c r="X794" s="208">
        <f>SUM(Hoja1[[#This Row],[$ X TIP VEHICUL]:[AGREGADO]])</f>
        <v>0</v>
      </c>
    </row>
    <row r="795" spans="2:24" hidden="1" x14ac:dyDescent="0.25">
      <c r="B795" s="189"/>
      <c r="J795" s="189"/>
      <c r="M795" s="205"/>
      <c r="O795" t="s">
        <v>7711</v>
      </c>
      <c r="S795" t="str">
        <f>IFERROR(VLOOKUP(E795,'VALORES VIAJES'!$A$2:$B$13,2,FALSE),"")</f>
        <v/>
      </c>
      <c r="T795" t="str">
        <f>IFERROR(VLOOKUP(H795,'VALORES VIAJES'!$A$2:$B$24,2,FALSE),"")</f>
        <v/>
      </c>
      <c r="U795" t="str">
        <f>IFERROR(VLOOKUP(I795,'VALORES VIAJES'!$A$2:$B$24,2,FALSE),"")</f>
        <v/>
      </c>
      <c r="V795" t="str">
        <f>IFERROR(VLOOKUP(K795,'VALORES VIAJES'!$A$2:$B$24,2,FALSE),"")</f>
        <v/>
      </c>
      <c r="X795" s="208">
        <f>SUM(Hoja1[[#This Row],[$ X TIP VEHICUL]:[AGREGADO]])</f>
        <v>0</v>
      </c>
    </row>
    <row r="796" spans="2:24" hidden="1" x14ac:dyDescent="0.25">
      <c r="B796" s="189"/>
      <c r="J796" s="189"/>
      <c r="M796" s="205"/>
      <c r="O796" t="s">
        <v>7711</v>
      </c>
      <c r="S796" t="str">
        <f>IFERROR(VLOOKUP(E796,'VALORES VIAJES'!$A$2:$B$13,2,FALSE),"")</f>
        <v/>
      </c>
      <c r="T796" t="str">
        <f>IFERROR(VLOOKUP(H796,'VALORES VIAJES'!$A$2:$B$24,2,FALSE),"")</f>
        <v/>
      </c>
      <c r="U796" t="str">
        <f>IFERROR(VLOOKUP(I796,'VALORES VIAJES'!$A$2:$B$24,2,FALSE),"")</f>
        <v/>
      </c>
      <c r="V796" t="str">
        <f>IFERROR(VLOOKUP(K796,'VALORES VIAJES'!$A$2:$B$24,2,FALSE),"")</f>
        <v/>
      </c>
      <c r="X796" s="208">
        <f>SUM(Hoja1[[#This Row],[$ X TIP VEHICUL]:[AGREGADO]])</f>
        <v>0</v>
      </c>
    </row>
    <row r="797" spans="2:24" hidden="1" x14ac:dyDescent="0.25">
      <c r="B797" s="189"/>
      <c r="J797" s="189"/>
      <c r="M797" s="205"/>
      <c r="O797" t="s">
        <v>7711</v>
      </c>
      <c r="S797" t="str">
        <f>IFERROR(VLOOKUP(E797,'VALORES VIAJES'!$A$2:$B$13,2,FALSE),"")</f>
        <v/>
      </c>
      <c r="T797" t="str">
        <f>IFERROR(VLOOKUP(H797,'VALORES VIAJES'!$A$2:$B$24,2,FALSE),"")</f>
        <v/>
      </c>
      <c r="U797" t="str">
        <f>IFERROR(VLOOKUP(I797,'VALORES VIAJES'!$A$2:$B$24,2,FALSE),"")</f>
        <v/>
      </c>
      <c r="V797" t="str">
        <f>IFERROR(VLOOKUP(K797,'VALORES VIAJES'!$A$2:$B$24,2,FALSE),"")</f>
        <v/>
      </c>
      <c r="X797" s="208">
        <f>SUM(Hoja1[[#This Row],[$ X TIP VEHICUL]:[AGREGADO]])</f>
        <v>0</v>
      </c>
    </row>
    <row r="798" spans="2:24" hidden="1" x14ac:dyDescent="0.25">
      <c r="B798" s="189"/>
      <c r="J798" s="189"/>
      <c r="M798" s="205"/>
      <c r="O798" t="s">
        <v>7711</v>
      </c>
      <c r="S798" t="str">
        <f>IFERROR(VLOOKUP(E798,'VALORES VIAJES'!$A$2:$B$13,2,FALSE),"")</f>
        <v/>
      </c>
      <c r="T798" t="str">
        <f>IFERROR(VLOOKUP(H798,'VALORES VIAJES'!$A$2:$B$24,2,FALSE),"")</f>
        <v/>
      </c>
      <c r="U798" t="str">
        <f>IFERROR(VLOOKUP(I798,'VALORES VIAJES'!$A$2:$B$24,2,FALSE),"")</f>
        <v/>
      </c>
      <c r="V798" t="str">
        <f>IFERROR(VLOOKUP(K798,'VALORES VIAJES'!$A$2:$B$24,2,FALSE),"")</f>
        <v/>
      </c>
      <c r="X798" s="208">
        <f>SUM(Hoja1[[#This Row],[$ X TIP VEHICUL]:[AGREGADO]])</f>
        <v>0</v>
      </c>
    </row>
    <row r="799" spans="2:24" hidden="1" x14ac:dyDescent="0.25">
      <c r="B799" s="189"/>
      <c r="J799" s="189"/>
      <c r="M799" s="205"/>
      <c r="O799" t="s">
        <v>7711</v>
      </c>
      <c r="S799" t="str">
        <f>IFERROR(VLOOKUP(E799,'VALORES VIAJES'!$A$2:$B$13,2,FALSE),"")</f>
        <v/>
      </c>
      <c r="T799" t="str">
        <f>IFERROR(VLOOKUP(H799,'VALORES VIAJES'!$A$2:$B$24,2,FALSE),"")</f>
        <v/>
      </c>
      <c r="U799" t="str">
        <f>IFERROR(VLOOKUP(I799,'VALORES VIAJES'!$A$2:$B$24,2,FALSE),"")</f>
        <v/>
      </c>
      <c r="V799" t="str">
        <f>IFERROR(VLOOKUP(K799,'VALORES VIAJES'!$A$2:$B$24,2,FALSE),"")</f>
        <v/>
      </c>
      <c r="X799" s="208">
        <f>SUM(Hoja1[[#This Row],[$ X TIP VEHICUL]:[AGREGADO]])</f>
        <v>0</v>
      </c>
    </row>
    <row r="800" spans="2:24" hidden="1" x14ac:dyDescent="0.25">
      <c r="B800" s="189"/>
      <c r="J800" s="189"/>
      <c r="M800" s="205"/>
      <c r="O800" t="s">
        <v>7711</v>
      </c>
      <c r="S800" t="str">
        <f>IFERROR(VLOOKUP(E800,'VALORES VIAJES'!$A$2:$B$13,2,FALSE),"")</f>
        <v/>
      </c>
      <c r="T800" t="str">
        <f>IFERROR(VLOOKUP(H800,'VALORES VIAJES'!$A$2:$B$24,2,FALSE),"")</f>
        <v/>
      </c>
      <c r="U800" t="str">
        <f>IFERROR(VLOOKUP(I800,'VALORES VIAJES'!$A$2:$B$24,2,FALSE),"")</f>
        <v/>
      </c>
      <c r="V800" t="str">
        <f>IFERROR(VLOOKUP(K800,'VALORES VIAJES'!$A$2:$B$24,2,FALSE),"")</f>
        <v/>
      </c>
      <c r="X800" s="208">
        <f>SUM(Hoja1[[#This Row],[$ X TIP VEHICUL]:[AGREGADO]])</f>
        <v>0</v>
      </c>
    </row>
    <row r="801" spans="2:24" hidden="1" x14ac:dyDescent="0.25">
      <c r="B801" s="189"/>
      <c r="J801" s="189"/>
      <c r="M801" s="205"/>
      <c r="O801" t="s">
        <v>7711</v>
      </c>
      <c r="S801" t="str">
        <f>IFERROR(VLOOKUP(E801,'VALORES VIAJES'!$A$2:$B$13,2,FALSE),"")</f>
        <v/>
      </c>
      <c r="T801" t="str">
        <f>IFERROR(VLOOKUP(H801,'VALORES VIAJES'!$A$2:$B$24,2,FALSE),"")</f>
        <v/>
      </c>
      <c r="U801" t="str">
        <f>IFERROR(VLOOKUP(I801,'VALORES VIAJES'!$A$2:$B$24,2,FALSE),"")</f>
        <v/>
      </c>
      <c r="V801" t="str">
        <f>IFERROR(VLOOKUP(K801,'VALORES VIAJES'!$A$2:$B$24,2,FALSE),"")</f>
        <v/>
      </c>
      <c r="X801" s="208">
        <f>SUM(Hoja1[[#This Row],[$ X TIP VEHICUL]:[AGREGADO]])</f>
        <v>0</v>
      </c>
    </row>
    <row r="802" spans="2:24" hidden="1" x14ac:dyDescent="0.25">
      <c r="B802" s="189"/>
      <c r="J802" s="189"/>
      <c r="M802" s="205"/>
      <c r="O802" t="s">
        <v>7711</v>
      </c>
      <c r="S802" t="str">
        <f>IFERROR(VLOOKUP(E802,'VALORES VIAJES'!$A$2:$B$13,2,FALSE),"")</f>
        <v/>
      </c>
      <c r="T802" t="str">
        <f>IFERROR(VLOOKUP(H802,'VALORES VIAJES'!$A$2:$B$24,2,FALSE),"")</f>
        <v/>
      </c>
      <c r="U802" t="str">
        <f>IFERROR(VLOOKUP(I802,'VALORES VIAJES'!$A$2:$B$24,2,FALSE),"")</f>
        <v/>
      </c>
      <c r="V802" t="str">
        <f>IFERROR(VLOOKUP(K802,'VALORES VIAJES'!$A$2:$B$24,2,FALSE),"")</f>
        <v/>
      </c>
      <c r="X802" s="208">
        <f>SUM(Hoja1[[#This Row],[$ X TIP VEHICUL]:[AGREGADO]])</f>
        <v>0</v>
      </c>
    </row>
    <row r="803" spans="2:24" hidden="1" x14ac:dyDescent="0.25">
      <c r="B803" s="189"/>
      <c r="J803" s="189"/>
      <c r="M803" s="205"/>
      <c r="O803" t="s">
        <v>7711</v>
      </c>
      <c r="S803" t="str">
        <f>IFERROR(VLOOKUP(E803,'VALORES VIAJES'!$A$2:$B$13,2,FALSE),"")</f>
        <v/>
      </c>
      <c r="T803" t="str">
        <f>IFERROR(VLOOKUP(H803,'VALORES VIAJES'!$A$2:$B$24,2,FALSE),"")</f>
        <v/>
      </c>
      <c r="U803" t="str">
        <f>IFERROR(VLOOKUP(I803,'VALORES VIAJES'!$A$2:$B$24,2,FALSE),"")</f>
        <v/>
      </c>
      <c r="V803" t="str">
        <f>IFERROR(VLOOKUP(K803,'VALORES VIAJES'!$A$2:$B$24,2,FALSE),"")</f>
        <v/>
      </c>
      <c r="X803" s="208">
        <f>SUM(Hoja1[[#This Row],[$ X TIP VEHICUL]:[AGREGADO]])</f>
        <v>0</v>
      </c>
    </row>
    <row r="804" spans="2:24" hidden="1" x14ac:dyDescent="0.25">
      <c r="B804" s="189"/>
      <c r="J804" s="189"/>
      <c r="M804" s="205"/>
      <c r="O804" t="s">
        <v>7711</v>
      </c>
      <c r="S804" t="str">
        <f>IFERROR(VLOOKUP(E804,'VALORES VIAJES'!$A$2:$B$13,2,FALSE),"")</f>
        <v/>
      </c>
      <c r="T804" t="str">
        <f>IFERROR(VLOOKUP(H804,'VALORES VIAJES'!$A$2:$B$24,2,FALSE),"")</f>
        <v/>
      </c>
      <c r="U804" t="str">
        <f>IFERROR(VLOOKUP(I804,'VALORES VIAJES'!$A$2:$B$24,2,FALSE),"")</f>
        <v/>
      </c>
      <c r="V804" t="str">
        <f>IFERROR(VLOOKUP(K804,'VALORES VIAJES'!$A$2:$B$24,2,FALSE),"")</f>
        <v/>
      </c>
      <c r="X804" s="208">
        <f>SUM(Hoja1[[#This Row],[$ X TIP VEHICUL]:[AGREGADO]])</f>
        <v>0</v>
      </c>
    </row>
    <row r="805" spans="2:24" hidden="1" x14ac:dyDescent="0.25">
      <c r="B805" s="189"/>
      <c r="J805" s="189"/>
      <c r="M805" s="205"/>
      <c r="O805" t="s">
        <v>7711</v>
      </c>
      <c r="S805" t="str">
        <f>IFERROR(VLOOKUP(E805,'VALORES VIAJES'!$A$2:$B$13,2,FALSE),"")</f>
        <v/>
      </c>
      <c r="T805" t="str">
        <f>IFERROR(VLOOKUP(H805,'VALORES VIAJES'!$A$2:$B$24,2,FALSE),"")</f>
        <v/>
      </c>
      <c r="U805" t="str">
        <f>IFERROR(VLOOKUP(I805,'VALORES VIAJES'!$A$2:$B$24,2,FALSE),"")</f>
        <v/>
      </c>
      <c r="V805" t="str">
        <f>IFERROR(VLOOKUP(K805,'VALORES VIAJES'!$A$2:$B$24,2,FALSE),"")</f>
        <v/>
      </c>
      <c r="X805" s="208">
        <f>SUM(Hoja1[[#This Row],[$ X TIP VEHICUL]:[AGREGADO]])</f>
        <v>0</v>
      </c>
    </row>
    <row r="806" spans="2:24" hidden="1" x14ac:dyDescent="0.25">
      <c r="B806" s="189"/>
      <c r="J806" s="189"/>
      <c r="M806" s="205"/>
      <c r="O806" t="s">
        <v>7711</v>
      </c>
      <c r="S806" t="str">
        <f>IFERROR(VLOOKUP(E806,'VALORES VIAJES'!$A$2:$B$13,2,FALSE),"")</f>
        <v/>
      </c>
      <c r="T806" t="str">
        <f>IFERROR(VLOOKUP(H806,'VALORES VIAJES'!$A$2:$B$24,2,FALSE),"")</f>
        <v/>
      </c>
      <c r="U806" t="str">
        <f>IFERROR(VLOOKUP(I806,'VALORES VIAJES'!$A$2:$B$24,2,FALSE),"")</f>
        <v/>
      </c>
      <c r="V806" t="str">
        <f>IFERROR(VLOOKUP(K806,'VALORES VIAJES'!$A$2:$B$24,2,FALSE),"")</f>
        <v/>
      </c>
      <c r="X806" s="208">
        <f>SUM(Hoja1[[#This Row],[$ X TIP VEHICUL]:[AGREGADO]])</f>
        <v>0</v>
      </c>
    </row>
    <row r="807" spans="2:24" hidden="1" x14ac:dyDescent="0.25">
      <c r="B807" s="189"/>
      <c r="J807" s="189"/>
      <c r="M807" s="205"/>
      <c r="O807" t="s">
        <v>7711</v>
      </c>
      <c r="S807" t="str">
        <f>IFERROR(VLOOKUP(E807,'VALORES VIAJES'!$A$2:$B$13,2,FALSE),"")</f>
        <v/>
      </c>
      <c r="T807" t="str">
        <f>IFERROR(VLOOKUP(H807,'VALORES VIAJES'!$A$2:$B$24,2,FALSE),"")</f>
        <v/>
      </c>
      <c r="U807" t="str">
        <f>IFERROR(VLOOKUP(I807,'VALORES VIAJES'!$A$2:$B$24,2,FALSE),"")</f>
        <v/>
      </c>
      <c r="V807" t="str">
        <f>IFERROR(VLOOKUP(K807,'VALORES VIAJES'!$A$2:$B$24,2,FALSE),"")</f>
        <v/>
      </c>
      <c r="X807" s="208">
        <f>SUM(Hoja1[[#This Row],[$ X TIP VEHICUL]:[AGREGADO]])</f>
        <v>0</v>
      </c>
    </row>
    <row r="808" spans="2:24" hidden="1" x14ac:dyDescent="0.25">
      <c r="B808" s="189"/>
      <c r="J808" s="189"/>
      <c r="M808" s="205"/>
      <c r="O808" t="s">
        <v>7711</v>
      </c>
      <c r="S808" t="str">
        <f>IFERROR(VLOOKUP(E808,'VALORES VIAJES'!$A$2:$B$13,2,FALSE),"")</f>
        <v/>
      </c>
      <c r="T808" t="str">
        <f>IFERROR(VLOOKUP(H808,'VALORES VIAJES'!$A$2:$B$24,2,FALSE),"")</f>
        <v/>
      </c>
      <c r="U808" t="str">
        <f>IFERROR(VLOOKUP(I808,'VALORES VIAJES'!$A$2:$B$24,2,FALSE),"")</f>
        <v/>
      </c>
      <c r="V808" t="str">
        <f>IFERROR(VLOOKUP(K808,'VALORES VIAJES'!$A$2:$B$24,2,FALSE),"")</f>
        <v/>
      </c>
      <c r="X808" s="208">
        <f>SUM(Hoja1[[#This Row],[$ X TIP VEHICUL]:[AGREGADO]])</f>
        <v>0</v>
      </c>
    </row>
    <row r="809" spans="2:24" hidden="1" x14ac:dyDescent="0.25">
      <c r="B809" s="189"/>
      <c r="J809" s="189"/>
      <c r="M809" s="205"/>
      <c r="O809" t="s">
        <v>7711</v>
      </c>
      <c r="S809" t="str">
        <f>IFERROR(VLOOKUP(E809,'VALORES VIAJES'!$A$2:$B$13,2,FALSE),"")</f>
        <v/>
      </c>
      <c r="T809" t="str">
        <f>IFERROR(VLOOKUP(H809,'VALORES VIAJES'!$A$2:$B$24,2,FALSE),"")</f>
        <v/>
      </c>
      <c r="U809" t="str">
        <f>IFERROR(VLOOKUP(I809,'VALORES VIAJES'!$A$2:$B$24,2,FALSE),"")</f>
        <v/>
      </c>
      <c r="V809" t="str">
        <f>IFERROR(VLOOKUP(K809,'VALORES VIAJES'!$A$2:$B$24,2,FALSE),"")</f>
        <v/>
      </c>
      <c r="X809" s="208">
        <f>SUM(Hoja1[[#This Row],[$ X TIP VEHICUL]:[AGREGADO]])</f>
        <v>0</v>
      </c>
    </row>
    <row r="810" spans="2:24" hidden="1" x14ac:dyDescent="0.25">
      <c r="B810" s="189"/>
      <c r="J810" s="189"/>
      <c r="M810" s="205"/>
      <c r="O810" t="s">
        <v>7711</v>
      </c>
      <c r="S810" t="str">
        <f>IFERROR(VLOOKUP(E810,'VALORES VIAJES'!$A$2:$B$13,2,FALSE),"")</f>
        <v/>
      </c>
      <c r="T810" t="str">
        <f>IFERROR(VLOOKUP(H810,'VALORES VIAJES'!$A$2:$B$24,2,FALSE),"")</f>
        <v/>
      </c>
      <c r="U810" t="str">
        <f>IFERROR(VLOOKUP(I810,'VALORES VIAJES'!$A$2:$B$24,2,FALSE),"")</f>
        <v/>
      </c>
      <c r="V810" t="str">
        <f>IFERROR(VLOOKUP(K810,'VALORES VIAJES'!$A$2:$B$24,2,FALSE),"")</f>
        <v/>
      </c>
      <c r="X810" s="208">
        <f>SUM(Hoja1[[#This Row],[$ X TIP VEHICUL]:[AGREGADO]])</f>
        <v>0</v>
      </c>
    </row>
    <row r="811" spans="2:24" hidden="1" x14ac:dyDescent="0.25">
      <c r="B811" s="189"/>
      <c r="J811" s="189"/>
      <c r="M811" s="205"/>
      <c r="O811" t="s">
        <v>7711</v>
      </c>
      <c r="S811" t="str">
        <f>IFERROR(VLOOKUP(E811,'VALORES VIAJES'!$A$2:$B$13,2,FALSE),"")</f>
        <v/>
      </c>
      <c r="T811" t="str">
        <f>IFERROR(VLOOKUP(H811,'VALORES VIAJES'!$A$2:$B$24,2,FALSE),"")</f>
        <v/>
      </c>
      <c r="U811" t="str">
        <f>IFERROR(VLOOKUP(I811,'VALORES VIAJES'!$A$2:$B$24,2,FALSE),"")</f>
        <v/>
      </c>
      <c r="V811" t="str">
        <f>IFERROR(VLOOKUP(K811,'VALORES VIAJES'!$A$2:$B$24,2,FALSE),"")</f>
        <v/>
      </c>
      <c r="X811" s="208">
        <f>SUM(Hoja1[[#This Row],[$ X TIP VEHICUL]:[AGREGADO]])</f>
        <v>0</v>
      </c>
    </row>
    <row r="812" spans="2:24" hidden="1" x14ac:dyDescent="0.25">
      <c r="B812" s="189"/>
      <c r="J812" s="189"/>
      <c r="M812" s="205"/>
      <c r="O812" t="s">
        <v>7711</v>
      </c>
      <c r="S812" t="str">
        <f>IFERROR(VLOOKUP(E812,'VALORES VIAJES'!$A$2:$B$13,2,FALSE),"")</f>
        <v/>
      </c>
      <c r="T812" t="str">
        <f>IFERROR(VLOOKUP(H812,'VALORES VIAJES'!$A$2:$B$24,2,FALSE),"")</f>
        <v/>
      </c>
      <c r="U812" t="str">
        <f>IFERROR(VLOOKUP(I812,'VALORES VIAJES'!$A$2:$B$24,2,FALSE),"")</f>
        <v/>
      </c>
      <c r="V812" t="str">
        <f>IFERROR(VLOOKUP(K812,'VALORES VIAJES'!$A$2:$B$24,2,FALSE),"")</f>
        <v/>
      </c>
      <c r="X812" s="208">
        <f>SUM(Hoja1[[#This Row],[$ X TIP VEHICUL]:[AGREGADO]])</f>
        <v>0</v>
      </c>
    </row>
    <row r="813" spans="2:24" hidden="1" x14ac:dyDescent="0.25">
      <c r="B813" s="189"/>
      <c r="J813" s="189"/>
      <c r="M813" s="205"/>
      <c r="O813" t="s">
        <v>7711</v>
      </c>
      <c r="S813" t="str">
        <f>IFERROR(VLOOKUP(E813,'VALORES VIAJES'!$A$2:$B$13,2,FALSE),"")</f>
        <v/>
      </c>
      <c r="T813" t="str">
        <f>IFERROR(VLOOKUP(H813,'VALORES VIAJES'!$A$2:$B$24,2,FALSE),"")</f>
        <v/>
      </c>
      <c r="U813" t="str">
        <f>IFERROR(VLOOKUP(I813,'VALORES VIAJES'!$A$2:$B$24,2,FALSE),"")</f>
        <v/>
      </c>
      <c r="V813" t="str">
        <f>IFERROR(VLOOKUP(K813,'VALORES VIAJES'!$A$2:$B$24,2,FALSE),"")</f>
        <v/>
      </c>
      <c r="X813" s="208">
        <f>SUM(Hoja1[[#This Row],[$ X TIP VEHICUL]:[AGREGADO]])</f>
        <v>0</v>
      </c>
    </row>
    <row r="814" spans="2:24" hidden="1" x14ac:dyDescent="0.25">
      <c r="B814" s="189"/>
      <c r="J814" s="189"/>
      <c r="M814" s="205"/>
      <c r="O814" t="s">
        <v>7711</v>
      </c>
      <c r="S814" t="str">
        <f>IFERROR(VLOOKUP(E814,'VALORES VIAJES'!$A$2:$B$13,2,FALSE),"")</f>
        <v/>
      </c>
      <c r="T814" t="str">
        <f>IFERROR(VLOOKUP(H814,'VALORES VIAJES'!$A$2:$B$24,2,FALSE),"")</f>
        <v/>
      </c>
      <c r="U814" t="str">
        <f>IFERROR(VLOOKUP(I814,'VALORES VIAJES'!$A$2:$B$24,2,FALSE),"")</f>
        <v/>
      </c>
      <c r="V814" t="str">
        <f>IFERROR(VLOOKUP(K814,'VALORES VIAJES'!$A$2:$B$24,2,FALSE),"")</f>
        <v/>
      </c>
      <c r="X814" s="208">
        <f>SUM(Hoja1[[#This Row],[$ X TIP VEHICUL]:[AGREGADO]])</f>
        <v>0</v>
      </c>
    </row>
    <row r="815" spans="2:24" hidden="1" x14ac:dyDescent="0.25">
      <c r="B815" s="189"/>
      <c r="J815" s="189"/>
      <c r="M815" s="205"/>
      <c r="O815" t="s">
        <v>7711</v>
      </c>
      <c r="S815" t="str">
        <f>IFERROR(VLOOKUP(E815,'VALORES VIAJES'!$A$2:$B$13,2,FALSE),"")</f>
        <v/>
      </c>
      <c r="T815" t="str">
        <f>IFERROR(VLOOKUP(H815,'VALORES VIAJES'!$A$2:$B$24,2,FALSE),"")</f>
        <v/>
      </c>
      <c r="U815" t="str">
        <f>IFERROR(VLOOKUP(I815,'VALORES VIAJES'!$A$2:$B$24,2,FALSE),"")</f>
        <v/>
      </c>
      <c r="V815" t="str">
        <f>IFERROR(VLOOKUP(K815,'VALORES VIAJES'!$A$2:$B$24,2,FALSE),"")</f>
        <v/>
      </c>
      <c r="X815" s="208">
        <f>SUM(Hoja1[[#This Row],[$ X TIP VEHICUL]:[AGREGADO]])</f>
        <v>0</v>
      </c>
    </row>
    <row r="816" spans="2:24" hidden="1" x14ac:dyDescent="0.25">
      <c r="B816" s="189"/>
      <c r="J816" s="189"/>
      <c r="M816" s="205"/>
      <c r="O816" t="s">
        <v>7711</v>
      </c>
      <c r="S816" t="str">
        <f>IFERROR(VLOOKUP(E816,'VALORES VIAJES'!$A$2:$B$13,2,FALSE),"")</f>
        <v/>
      </c>
      <c r="T816" t="str">
        <f>IFERROR(VLOOKUP(H816,'VALORES VIAJES'!$A$2:$B$24,2,FALSE),"")</f>
        <v/>
      </c>
      <c r="U816" t="str">
        <f>IFERROR(VLOOKUP(I816,'VALORES VIAJES'!$A$2:$B$24,2,FALSE),"")</f>
        <v/>
      </c>
      <c r="V816" t="str">
        <f>IFERROR(VLOOKUP(K816,'VALORES VIAJES'!$A$2:$B$24,2,FALSE),"")</f>
        <v/>
      </c>
      <c r="X816" s="208">
        <f>SUM(Hoja1[[#This Row],[$ X TIP VEHICUL]:[AGREGADO]])</f>
        <v>0</v>
      </c>
    </row>
    <row r="817" spans="2:24" hidden="1" x14ac:dyDescent="0.25">
      <c r="B817" s="189"/>
      <c r="J817" s="189"/>
      <c r="M817" s="205"/>
      <c r="O817" t="s">
        <v>7711</v>
      </c>
      <c r="S817" t="str">
        <f>IFERROR(VLOOKUP(E817,'VALORES VIAJES'!$A$2:$B$13,2,FALSE),"")</f>
        <v/>
      </c>
      <c r="T817" t="str">
        <f>IFERROR(VLOOKUP(H817,'VALORES VIAJES'!$A$2:$B$24,2,FALSE),"")</f>
        <v/>
      </c>
      <c r="U817" t="str">
        <f>IFERROR(VLOOKUP(I817,'VALORES VIAJES'!$A$2:$B$24,2,FALSE),"")</f>
        <v/>
      </c>
      <c r="V817" t="str">
        <f>IFERROR(VLOOKUP(K817,'VALORES VIAJES'!$A$2:$B$24,2,FALSE),"")</f>
        <v/>
      </c>
      <c r="X817" s="208">
        <f>SUM(Hoja1[[#This Row],[$ X TIP VEHICUL]:[AGREGADO]])</f>
        <v>0</v>
      </c>
    </row>
    <row r="818" spans="2:24" hidden="1" x14ac:dyDescent="0.25">
      <c r="B818" s="189"/>
      <c r="J818" s="189"/>
      <c r="M818" s="205"/>
      <c r="O818" t="s">
        <v>7711</v>
      </c>
      <c r="S818" t="str">
        <f>IFERROR(VLOOKUP(E818,'VALORES VIAJES'!$A$2:$B$13,2,FALSE),"")</f>
        <v/>
      </c>
      <c r="T818" t="str">
        <f>IFERROR(VLOOKUP(H818,'VALORES VIAJES'!$A$2:$B$24,2,FALSE),"")</f>
        <v/>
      </c>
      <c r="U818" t="str">
        <f>IFERROR(VLOOKUP(I818,'VALORES VIAJES'!$A$2:$B$24,2,FALSE),"")</f>
        <v/>
      </c>
      <c r="V818" t="str">
        <f>IFERROR(VLOOKUP(K818,'VALORES VIAJES'!$A$2:$B$24,2,FALSE),"")</f>
        <v/>
      </c>
      <c r="X818" s="208">
        <f>SUM(Hoja1[[#This Row],[$ X TIP VEHICUL]:[AGREGADO]])</f>
        <v>0</v>
      </c>
    </row>
    <row r="819" spans="2:24" hidden="1" x14ac:dyDescent="0.25">
      <c r="B819" s="189"/>
      <c r="J819" s="189"/>
      <c r="M819" s="205"/>
      <c r="O819" t="s">
        <v>7711</v>
      </c>
      <c r="S819" t="str">
        <f>IFERROR(VLOOKUP(E819,'VALORES VIAJES'!$A$2:$B$13,2,FALSE),"")</f>
        <v/>
      </c>
      <c r="T819" t="str">
        <f>IFERROR(VLOOKUP(H819,'VALORES VIAJES'!$A$2:$B$24,2,FALSE),"")</f>
        <v/>
      </c>
      <c r="U819" t="str">
        <f>IFERROR(VLOOKUP(I819,'VALORES VIAJES'!$A$2:$B$24,2,FALSE),"")</f>
        <v/>
      </c>
      <c r="V819" t="str">
        <f>IFERROR(VLOOKUP(K819,'VALORES VIAJES'!$A$2:$B$24,2,FALSE),"")</f>
        <v/>
      </c>
      <c r="X819" s="208">
        <f>SUM(Hoja1[[#This Row],[$ X TIP VEHICUL]:[AGREGADO]])</f>
        <v>0</v>
      </c>
    </row>
    <row r="820" spans="2:24" hidden="1" x14ac:dyDescent="0.25">
      <c r="B820" s="189"/>
      <c r="J820" s="189"/>
      <c r="M820" s="205"/>
      <c r="O820" t="s">
        <v>7711</v>
      </c>
      <c r="S820" t="str">
        <f>IFERROR(VLOOKUP(E820,'VALORES VIAJES'!$A$2:$B$13,2,FALSE),"")</f>
        <v/>
      </c>
      <c r="T820" t="str">
        <f>IFERROR(VLOOKUP(H820,'VALORES VIAJES'!$A$2:$B$24,2,FALSE),"")</f>
        <v/>
      </c>
      <c r="U820" t="str">
        <f>IFERROR(VLOOKUP(I820,'VALORES VIAJES'!$A$2:$B$24,2,FALSE),"")</f>
        <v/>
      </c>
      <c r="V820" t="str">
        <f>IFERROR(VLOOKUP(K820,'VALORES VIAJES'!$A$2:$B$24,2,FALSE),"")</f>
        <v/>
      </c>
      <c r="X820" s="208">
        <f>SUM(Hoja1[[#This Row],[$ X TIP VEHICUL]:[AGREGADO]])</f>
        <v>0</v>
      </c>
    </row>
    <row r="821" spans="2:24" hidden="1" x14ac:dyDescent="0.25">
      <c r="B821" s="189"/>
      <c r="J821" s="189"/>
      <c r="M821" s="205"/>
      <c r="O821" t="s">
        <v>7711</v>
      </c>
      <c r="S821" t="str">
        <f>IFERROR(VLOOKUP(E821,'VALORES VIAJES'!$A$2:$B$13,2,FALSE),"")</f>
        <v/>
      </c>
      <c r="T821" t="str">
        <f>IFERROR(VLOOKUP(H821,'VALORES VIAJES'!$A$2:$B$24,2,FALSE),"")</f>
        <v/>
      </c>
      <c r="U821" t="str">
        <f>IFERROR(VLOOKUP(I821,'VALORES VIAJES'!$A$2:$B$24,2,FALSE),"")</f>
        <v/>
      </c>
      <c r="V821" t="str">
        <f>IFERROR(VLOOKUP(K821,'VALORES VIAJES'!$A$2:$B$24,2,FALSE),"")</f>
        <v/>
      </c>
      <c r="X821" s="208">
        <f>SUM(Hoja1[[#This Row],[$ X TIP VEHICUL]:[AGREGADO]])</f>
        <v>0</v>
      </c>
    </row>
    <row r="822" spans="2:24" hidden="1" x14ac:dyDescent="0.25">
      <c r="B822" s="189"/>
      <c r="J822" s="189"/>
      <c r="M822" s="205"/>
      <c r="O822" t="s">
        <v>7711</v>
      </c>
      <c r="S822" t="str">
        <f>IFERROR(VLOOKUP(E822,'VALORES VIAJES'!$A$2:$B$13,2,FALSE),"")</f>
        <v/>
      </c>
      <c r="T822" t="str">
        <f>IFERROR(VLOOKUP(H822,'VALORES VIAJES'!$A$2:$B$24,2,FALSE),"")</f>
        <v/>
      </c>
      <c r="U822" t="str">
        <f>IFERROR(VLOOKUP(I822,'VALORES VIAJES'!$A$2:$B$24,2,FALSE),"")</f>
        <v/>
      </c>
      <c r="V822" t="str">
        <f>IFERROR(VLOOKUP(K822,'VALORES VIAJES'!$A$2:$B$24,2,FALSE),"")</f>
        <v/>
      </c>
      <c r="X822" s="208">
        <f>SUM(Hoja1[[#This Row],[$ X TIP VEHICUL]:[AGREGADO]])</f>
        <v>0</v>
      </c>
    </row>
    <row r="823" spans="2:24" hidden="1" x14ac:dyDescent="0.25">
      <c r="B823" s="189"/>
      <c r="J823" s="189"/>
      <c r="M823" s="205"/>
      <c r="O823" t="s">
        <v>7711</v>
      </c>
      <c r="S823" t="str">
        <f>IFERROR(VLOOKUP(E823,'VALORES VIAJES'!$A$2:$B$13,2,FALSE),"")</f>
        <v/>
      </c>
      <c r="T823" t="str">
        <f>IFERROR(VLOOKUP(H823,'VALORES VIAJES'!$A$2:$B$24,2,FALSE),"")</f>
        <v/>
      </c>
      <c r="U823" t="str">
        <f>IFERROR(VLOOKUP(I823,'VALORES VIAJES'!$A$2:$B$24,2,FALSE),"")</f>
        <v/>
      </c>
      <c r="V823" t="str">
        <f>IFERROR(VLOOKUP(K823,'VALORES VIAJES'!$A$2:$B$24,2,FALSE),"")</f>
        <v/>
      </c>
      <c r="X823" s="208">
        <f>SUM(Hoja1[[#This Row],[$ X TIP VEHICUL]:[AGREGADO]])</f>
        <v>0</v>
      </c>
    </row>
    <row r="824" spans="2:24" hidden="1" x14ac:dyDescent="0.25">
      <c r="B824" s="189"/>
      <c r="J824" s="189"/>
      <c r="M824" s="205"/>
      <c r="O824" t="s">
        <v>7711</v>
      </c>
      <c r="S824" t="str">
        <f>IFERROR(VLOOKUP(E824,'VALORES VIAJES'!$A$2:$B$13,2,FALSE),"")</f>
        <v/>
      </c>
      <c r="T824" t="str">
        <f>IFERROR(VLOOKUP(H824,'VALORES VIAJES'!$A$2:$B$24,2,FALSE),"")</f>
        <v/>
      </c>
      <c r="U824" t="str">
        <f>IFERROR(VLOOKUP(I824,'VALORES VIAJES'!$A$2:$B$24,2,FALSE),"")</f>
        <v/>
      </c>
      <c r="V824" t="str">
        <f>IFERROR(VLOOKUP(K824,'VALORES VIAJES'!$A$2:$B$24,2,FALSE),"")</f>
        <v/>
      </c>
      <c r="X824" s="208">
        <f>SUM(Hoja1[[#This Row],[$ X TIP VEHICUL]:[AGREGADO]])</f>
        <v>0</v>
      </c>
    </row>
    <row r="825" spans="2:24" hidden="1" x14ac:dyDescent="0.25">
      <c r="B825" s="189"/>
      <c r="J825" s="189"/>
      <c r="M825" s="205"/>
      <c r="O825" t="s">
        <v>7711</v>
      </c>
      <c r="S825" t="str">
        <f>IFERROR(VLOOKUP(E825,'VALORES VIAJES'!$A$2:$B$13,2,FALSE),"")</f>
        <v/>
      </c>
      <c r="T825" t="str">
        <f>IFERROR(VLOOKUP(H825,'VALORES VIAJES'!$A$2:$B$24,2,FALSE),"")</f>
        <v/>
      </c>
      <c r="U825" t="str">
        <f>IFERROR(VLOOKUP(I825,'VALORES VIAJES'!$A$2:$B$24,2,FALSE),"")</f>
        <v/>
      </c>
      <c r="V825" t="str">
        <f>IFERROR(VLOOKUP(K825,'VALORES VIAJES'!$A$2:$B$24,2,FALSE),"")</f>
        <v/>
      </c>
      <c r="X825" s="208">
        <f>SUM(Hoja1[[#This Row],[$ X TIP VEHICUL]:[AGREGADO]])</f>
        <v>0</v>
      </c>
    </row>
    <row r="826" spans="2:24" hidden="1" x14ac:dyDescent="0.25">
      <c r="B826" s="189"/>
      <c r="J826" s="189"/>
      <c r="M826" s="205"/>
      <c r="O826" t="s">
        <v>7711</v>
      </c>
      <c r="S826" t="str">
        <f>IFERROR(VLOOKUP(E826,'VALORES VIAJES'!$A$2:$B$13,2,FALSE),"")</f>
        <v/>
      </c>
      <c r="T826" t="str">
        <f>IFERROR(VLOOKUP(H826,'VALORES VIAJES'!$A$2:$B$24,2,FALSE),"")</f>
        <v/>
      </c>
      <c r="U826" t="str">
        <f>IFERROR(VLOOKUP(I826,'VALORES VIAJES'!$A$2:$B$24,2,FALSE),"")</f>
        <v/>
      </c>
      <c r="V826" t="str">
        <f>IFERROR(VLOOKUP(K826,'VALORES VIAJES'!$A$2:$B$24,2,FALSE),"")</f>
        <v/>
      </c>
      <c r="X826" s="208">
        <f>SUM(Hoja1[[#This Row],[$ X TIP VEHICUL]:[AGREGADO]])</f>
        <v>0</v>
      </c>
    </row>
    <row r="827" spans="2:24" hidden="1" x14ac:dyDescent="0.25">
      <c r="B827" s="189"/>
      <c r="J827" s="189"/>
      <c r="M827" s="205"/>
      <c r="O827" t="s">
        <v>7711</v>
      </c>
      <c r="S827" t="str">
        <f>IFERROR(VLOOKUP(E827,'VALORES VIAJES'!$A$2:$B$13,2,FALSE),"")</f>
        <v/>
      </c>
      <c r="T827" t="str">
        <f>IFERROR(VLOOKUP(H827,'VALORES VIAJES'!$A$2:$B$24,2,FALSE),"")</f>
        <v/>
      </c>
      <c r="U827" t="str">
        <f>IFERROR(VLOOKUP(I827,'VALORES VIAJES'!$A$2:$B$24,2,FALSE),"")</f>
        <v/>
      </c>
      <c r="V827" t="str">
        <f>IFERROR(VLOOKUP(K827,'VALORES VIAJES'!$A$2:$B$24,2,FALSE),"")</f>
        <v/>
      </c>
      <c r="X827" s="208">
        <f>SUM(Hoja1[[#This Row],[$ X TIP VEHICUL]:[AGREGADO]])</f>
        <v>0</v>
      </c>
    </row>
    <row r="828" spans="2:24" hidden="1" x14ac:dyDescent="0.25">
      <c r="B828" s="189"/>
      <c r="J828" s="189"/>
      <c r="M828" s="205"/>
      <c r="O828" t="s">
        <v>7711</v>
      </c>
      <c r="S828" t="str">
        <f>IFERROR(VLOOKUP(E828,'VALORES VIAJES'!$A$2:$B$13,2,FALSE),"")</f>
        <v/>
      </c>
      <c r="T828" t="str">
        <f>IFERROR(VLOOKUP(H828,'VALORES VIAJES'!$A$2:$B$24,2,FALSE),"")</f>
        <v/>
      </c>
      <c r="U828" t="str">
        <f>IFERROR(VLOOKUP(I828,'VALORES VIAJES'!$A$2:$B$24,2,FALSE),"")</f>
        <v/>
      </c>
      <c r="V828" t="str">
        <f>IFERROR(VLOOKUP(K828,'VALORES VIAJES'!$A$2:$B$24,2,FALSE),"")</f>
        <v/>
      </c>
      <c r="X828" s="208">
        <f>SUM(Hoja1[[#This Row],[$ X TIP VEHICUL]:[AGREGADO]])</f>
        <v>0</v>
      </c>
    </row>
    <row r="829" spans="2:24" hidden="1" x14ac:dyDescent="0.25">
      <c r="B829" s="189"/>
      <c r="J829" s="189"/>
      <c r="M829" s="205"/>
      <c r="O829" t="s">
        <v>7711</v>
      </c>
      <c r="S829" t="str">
        <f>IFERROR(VLOOKUP(E829,'VALORES VIAJES'!$A$2:$B$13,2,FALSE),"")</f>
        <v/>
      </c>
      <c r="T829" t="str">
        <f>IFERROR(VLOOKUP(H829,'VALORES VIAJES'!$A$2:$B$24,2,FALSE),"")</f>
        <v/>
      </c>
      <c r="U829" t="str">
        <f>IFERROR(VLOOKUP(I829,'VALORES VIAJES'!$A$2:$B$24,2,FALSE),"")</f>
        <v/>
      </c>
      <c r="V829" t="str">
        <f>IFERROR(VLOOKUP(K829,'VALORES VIAJES'!$A$2:$B$24,2,FALSE),"")</f>
        <v/>
      </c>
      <c r="X829" s="208">
        <f>SUM(Hoja1[[#This Row],[$ X TIP VEHICUL]:[AGREGADO]])</f>
        <v>0</v>
      </c>
    </row>
    <row r="830" spans="2:24" hidden="1" x14ac:dyDescent="0.25">
      <c r="B830" s="189"/>
      <c r="J830" s="189"/>
      <c r="M830" s="205"/>
      <c r="O830" t="s">
        <v>7711</v>
      </c>
      <c r="S830" t="str">
        <f>IFERROR(VLOOKUP(E830,'VALORES VIAJES'!$A$2:$B$13,2,FALSE),"")</f>
        <v/>
      </c>
      <c r="T830" t="str">
        <f>IFERROR(VLOOKUP(H830,'VALORES VIAJES'!$A$2:$B$24,2,FALSE),"")</f>
        <v/>
      </c>
      <c r="U830" t="str">
        <f>IFERROR(VLOOKUP(I830,'VALORES VIAJES'!$A$2:$B$24,2,FALSE),"")</f>
        <v/>
      </c>
      <c r="V830" t="str">
        <f>IFERROR(VLOOKUP(K830,'VALORES VIAJES'!$A$2:$B$24,2,FALSE),"")</f>
        <v/>
      </c>
      <c r="X830" s="208">
        <f>SUM(Hoja1[[#This Row],[$ X TIP VEHICUL]:[AGREGADO]])</f>
        <v>0</v>
      </c>
    </row>
    <row r="831" spans="2:24" hidden="1" x14ac:dyDescent="0.25">
      <c r="B831" s="189"/>
      <c r="J831" s="189"/>
      <c r="M831" s="205"/>
      <c r="O831" t="s">
        <v>7711</v>
      </c>
      <c r="S831" t="str">
        <f>IFERROR(VLOOKUP(E831,'VALORES VIAJES'!$A$2:$B$13,2,FALSE),"")</f>
        <v/>
      </c>
      <c r="T831" t="str">
        <f>IFERROR(VLOOKUP(H831,'VALORES VIAJES'!$A$2:$B$24,2,FALSE),"")</f>
        <v/>
      </c>
      <c r="U831" t="str">
        <f>IFERROR(VLOOKUP(I831,'VALORES VIAJES'!$A$2:$B$24,2,FALSE),"")</f>
        <v/>
      </c>
      <c r="V831" t="str">
        <f>IFERROR(VLOOKUP(K831,'VALORES VIAJES'!$A$2:$B$24,2,FALSE),"")</f>
        <v/>
      </c>
      <c r="X831" s="208">
        <f>SUM(Hoja1[[#This Row],[$ X TIP VEHICUL]:[AGREGADO]])</f>
        <v>0</v>
      </c>
    </row>
    <row r="832" spans="2:24" hidden="1" x14ac:dyDescent="0.25">
      <c r="B832" s="189"/>
      <c r="J832" s="189"/>
      <c r="M832" s="205"/>
      <c r="O832" t="s">
        <v>7711</v>
      </c>
      <c r="S832" t="str">
        <f>IFERROR(VLOOKUP(E832,'VALORES VIAJES'!$A$2:$B$13,2,FALSE),"")</f>
        <v/>
      </c>
      <c r="T832" t="str">
        <f>IFERROR(VLOOKUP(H832,'VALORES VIAJES'!$A$2:$B$24,2,FALSE),"")</f>
        <v/>
      </c>
      <c r="U832" t="str">
        <f>IFERROR(VLOOKUP(I832,'VALORES VIAJES'!$A$2:$B$24,2,FALSE),"")</f>
        <v/>
      </c>
      <c r="V832" t="str">
        <f>IFERROR(VLOOKUP(K832,'VALORES VIAJES'!$A$2:$B$24,2,FALSE),"")</f>
        <v/>
      </c>
      <c r="X832" s="208">
        <f>SUM(Hoja1[[#This Row],[$ X TIP VEHICUL]:[AGREGADO]])</f>
        <v>0</v>
      </c>
    </row>
    <row r="833" spans="2:24" hidden="1" x14ac:dyDescent="0.25">
      <c r="B833" s="189"/>
      <c r="J833" s="189"/>
      <c r="M833" s="205"/>
      <c r="O833" t="s">
        <v>7711</v>
      </c>
      <c r="S833" t="str">
        <f>IFERROR(VLOOKUP(E833,'VALORES VIAJES'!$A$2:$B$13,2,FALSE),"")</f>
        <v/>
      </c>
      <c r="T833" t="str">
        <f>IFERROR(VLOOKUP(H833,'VALORES VIAJES'!$A$2:$B$24,2,FALSE),"")</f>
        <v/>
      </c>
      <c r="U833" t="str">
        <f>IFERROR(VLOOKUP(I833,'VALORES VIAJES'!$A$2:$B$24,2,FALSE),"")</f>
        <v/>
      </c>
      <c r="V833" t="str">
        <f>IFERROR(VLOOKUP(K833,'VALORES VIAJES'!$A$2:$B$24,2,FALSE),"")</f>
        <v/>
      </c>
      <c r="X833" s="208">
        <f>SUM(Hoja1[[#This Row],[$ X TIP VEHICUL]:[AGREGADO]])</f>
        <v>0</v>
      </c>
    </row>
    <row r="834" spans="2:24" hidden="1" x14ac:dyDescent="0.25">
      <c r="B834" s="189"/>
      <c r="J834" s="189"/>
      <c r="M834" s="205"/>
      <c r="O834" t="s">
        <v>7711</v>
      </c>
      <c r="S834" t="str">
        <f>IFERROR(VLOOKUP(E834,'VALORES VIAJES'!$A$2:$B$13,2,FALSE),"")</f>
        <v/>
      </c>
      <c r="T834" t="str">
        <f>IFERROR(VLOOKUP(H834,'VALORES VIAJES'!$A$2:$B$24,2,FALSE),"")</f>
        <v/>
      </c>
      <c r="U834" t="str">
        <f>IFERROR(VLOOKUP(I834,'VALORES VIAJES'!$A$2:$B$24,2,FALSE),"")</f>
        <v/>
      </c>
      <c r="V834" t="str">
        <f>IFERROR(VLOOKUP(K834,'VALORES VIAJES'!$A$2:$B$24,2,FALSE),"")</f>
        <v/>
      </c>
      <c r="X834" s="208">
        <f>SUM(Hoja1[[#This Row],[$ X TIP VEHICUL]:[AGREGADO]])</f>
        <v>0</v>
      </c>
    </row>
    <row r="835" spans="2:24" hidden="1" x14ac:dyDescent="0.25">
      <c r="B835" s="189"/>
      <c r="J835" s="189"/>
      <c r="M835" s="205"/>
      <c r="O835" t="s">
        <v>7711</v>
      </c>
      <c r="S835" t="str">
        <f>IFERROR(VLOOKUP(E835,'VALORES VIAJES'!$A$2:$B$13,2,FALSE),"")</f>
        <v/>
      </c>
      <c r="T835" t="str">
        <f>IFERROR(VLOOKUP(H835,'VALORES VIAJES'!$A$2:$B$24,2,FALSE),"")</f>
        <v/>
      </c>
      <c r="U835" t="str">
        <f>IFERROR(VLOOKUP(I835,'VALORES VIAJES'!$A$2:$B$24,2,FALSE),"")</f>
        <v/>
      </c>
      <c r="V835" t="str">
        <f>IFERROR(VLOOKUP(K835,'VALORES VIAJES'!$A$2:$B$24,2,FALSE),"")</f>
        <v/>
      </c>
      <c r="X835" s="208">
        <f>SUM(Hoja1[[#This Row],[$ X TIP VEHICUL]:[AGREGADO]])</f>
        <v>0</v>
      </c>
    </row>
    <row r="836" spans="2:24" hidden="1" x14ac:dyDescent="0.25">
      <c r="B836" s="189"/>
      <c r="J836" s="189"/>
      <c r="M836" s="205"/>
      <c r="O836" t="s">
        <v>7711</v>
      </c>
      <c r="S836" t="str">
        <f>IFERROR(VLOOKUP(E836,'VALORES VIAJES'!$A$2:$B$13,2,FALSE),"")</f>
        <v/>
      </c>
      <c r="T836" t="str">
        <f>IFERROR(VLOOKUP(H836,'VALORES VIAJES'!$A$2:$B$24,2,FALSE),"")</f>
        <v/>
      </c>
      <c r="U836" t="str">
        <f>IFERROR(VLOOKUP(I836,'VALORES VIAJES'!$A$2:$B$24,2,FALSE),"")</f>
        <v/>
      </c>
      <c r="V836" t="str">
        <f>IFERROR(VLOOKUP(K836,'VALORES VIAJES'!$A$2:$B$24,2,FALSE),"")</f>
        <v/>
      </c>
      <c r="X836" s="208">
        <f>SUM(Hoja1[[#This Row],[$ X TIP VEHICUL]:[AGREGADO]])</f>
        <v>0</v>
      </c>
    </row>
    <row r="837" spans="2:24" hidden="1" x14ac:dyDescent="0.25">
      <c r="B837" s="189"/>
      <c r="J837" s="189"/>
      <c r="M837" s="205"/>
      <c r="O837" t="s">
        <v>7711</v>
      </c>
      <c r="S837" t="str">
        <f>IFERROR(VLOOKUP(E837,'VALORES VIAJES'!$A$2:$B$13,2,FALSE),"")</f>
        <v/>
      </c>
      <c r="T837" t="str">
        <f>IFERROR(VLOOKUP(H837,'VALORES VIAJES'!$A$2:$B$24,2,FALSE),"")</f>
        <v/>
      </c>
      <c r="U837" t="str">
        <f>IFERROR(VLOOKUP(I837,'VALORES VIAJES'!$A$2:$B$24,2,FALSE),"")</f>
        <v/>
      </c>
      <c r="V837" t="str">
        <f>IFERROR(VLOOKUP(K837,'VALORES VIAJES'!$A$2:$B$24,2,FALSE),"")</f>
        <v/>
      </c>
      <c r="X837" s="208">
        <f>SUM(Hoja1[[#This Row],[$ X TIP VEHICUL]:[AGREGADO]])</f>
        <v>0</v>
      </c>
    </row>
    <row r="838" spans="2:24" hidden="1" x14ac:dyDescent="0.25">
      <c r="B838" s="189"/>
      <c r="J838" s="189"/>
      <c r="M838" s="205"/>
      <c r="O838" t="s">
        <v>7711</v>
      </c>
      <c r="S838" t="str">
        <f>IFERROR(VLOOKUP(E838,'VALORES VIAJES'!$A$2:$B$13,2,FALSE),"")</f>
        <v/>
      </c>
      <c r="T838" t="str">
        <f>IFERROR(VLOOKUP(H838,'VALORES VIAJES'!$A$2:$B$24,2,FALSE),"")</f>
        <v/>
      </c>
      <c r="U838" t="str">
        <f>IFERROR(VLOOKUP(I838,'VALORES VIAJES'!$A$2:$B$24,2,FALSE),"")</f>
        <v/>
      </c>
      <c r="V838" t="str">
        <f>IFERROR(VLOOKUP(K838,'VALORES VIAJES'!$A$2:$B$24,2,FALSE),"")</f>
        <v/>
      </c>
      <c r="X838" s="208">
        <f>SUM(Hoja1[[#This Row],[$ X TIP VEHICUL]:[AGREGADO]])</f>
        <v>0</v>
      </c>
    </row>
    <row r="839" spans="2:24" hidden="1" x14ac:dyDescent="0.25">
      <c r="B839" s="189"/>
      <c r="J839" s="189"/>
      <c r="M839" s="205"/>
      <c r="O839" t="s">
        <v>7711</v>
      </c>
      <c r="S839" t="str">
        <f>IFERROR(VLOOKUP(E839,'VALORES VIAJES'!$A$2:$B$13,2,FALSE),"")</f>
        <v/>
      </c>
      <c r="T839" t="str">
        <f>IFERROR(VLOOKUP(H839,'VALORES VIAJES'!$A$2:$B$24,2,FALSE),"")</f>
        <v/>
      </c>
      <c r="U839" t="str">
        <f>IFERROR(VLOOKUP(I839,'VALORES VIAJES'!$A$2:$B$24,2,FALSE),"")</f>
        <v/>
      </c>
      <c r="V839" t="str">
        <f>IFERROR(VLOOKUP(K839,'VALORES VIAJES'!$A$2:$B$24,2,FALSE),"")</f>
        <v/>
      </c>
      <c r="X839" s="208">
        <f>SUM(Hoja1[[#This Row],[$ X TIP VEHICUL]:[AGREGADO]])</f>
        <v>0</v>
      </c>
    </row>
    <row r="840" spans="2:24" hidden="1" x14ac:dyDescent="0.25">
      <c r="B840" s="189"/>
      <c r="J840" s="189"/>
      <c r="M840" s="205"/>
      <c r="O840" t="s">
        <v>7711</v>
      </c>
      <c r="S840" t="str">
        <f>IFERROR(VLOOKUP(E840,'VALORES VIAJES'!$A$2:$B$13,2,FALSE),"")</f>
        <v/>
      </c>
      <c r="T840" t="str">
        <f>IFERROR(VLOOKUP(H840,'VALORES VIAJES'!$A$2:$B$24,2,FALSE),"")</f>
        <v/>
      </c>
      <c r="U840" t="str">
        <f>IFERROR(VLOOKUP(I840,'VALORES VIAJES'!$A$2:$B$24,2,FALSE),"")</f>
        <v/>
      </c>
      <c r="V840" t="str">
        <f>IFERROR(VLOOKUP(K840,'VALORES VIAJES'!$A$2:$B$24,2,FALSE),"")</f>
        <v/>
      </c>
      <c r="X840" s="208">
        <f>SUM(Hoja1[[#This Row],[$ X TIP VEHICUL]:[AGREGADO]])</f>
        <v>0</v>
      </c>
    </row>
    <row r="841" spans="2:24" hidden="1" x14ac:dyDescent="0.25">
      <c r="B841" s="189"/>
      <c r="J841" s="189"/>
      <c r="M841" s="205"/>
      <c r="O841" t="s">
        <v>7711</v>
      </c>
      <c r="S841" t="str">
        <f>IFERROR(VLOOKUP(E841,'VALORES VIAJES'!$A$2:$B$13,2,FALSE),"")</f>
        <v/>
      </c>
      <c r="T841" t="str">
        <f>IFERROR(VLOOKUP(H841,'VALORES VIAJES'!$A$2:$B$24,2,FALSE),"")</f>
        <v/>
      </c>
      <c r="U841" t="str">
        <f>IFERROR(VLOOKUP(I841,'VALORES VIAJES'!$A$2:$B$24,2,FALSE),"")</f>
        <v/>
      </c>
      <c r="V841" t="str">
        <f>IFERROR(VLOOKUP(K841,'VALORES VIAJES'!$A$2:$B$24,2,FALSE),"")</f>
        <v/>
      </c>
      <c r="X841" s="208">
        <f>SUM(Hoja1[[#This Row],[$ X TIP VEHICUL]:[AGREGADO]])</f>
        <v>0</v>
      </c>
    </row>
    <row r="842" spans="2:24" hidden="1" x14ac:dyDescent="0.25">
      <c r="B842" s="189"/>
      <c r="J842" s="189"/>
      <c r="M842" s="205"/>
      <c r="O842" t="s">
        <v>7711</v>
      </c>
      <c r="S842" t="str">
        <f>IFERROR(VLOOKUP(E842,'VALORES VIAJES'!$A$2:$B$13,2,FALSE),"")</f>
        <v/>
      </c>
      <c r="T842" t="str">
        <f>IFERROR(VLOOKUP(H842,'VALORES VIAJES'!$A$2:$B$24,2,FALSE),"")</f>
        <v/>
      </c>
      <c r="U842" t="str">
        <f>IFERROR(VLOOKUP(I842,'VALORES VIAJES'!$A$2:$B$24,2,FALSE),"")</f>
        <v/>
      </c>
      <c r="V842" t="str">
        <f>IFERROR(VLOOKUP(K842,'VALORES VIAJES'!$A$2:$B$24,2,FALSE),"")</f>
        <v/>
      </c>
      <c r="X842" s="208">
        <f>SUM(Hoja1[[#This Row],[$ X TIP VEHICUL]:[AGREGADO]])</f>
        <v>0</v>
      </c>
    </row>
    <row r="843" spans="2:24" hidden="1" x14ac:dyDescent="0.25">
      <c r="B843" s="189"/>
      <c r="J843" s="189"/>
      <c r="M843" s="205"/>
      <c r="O843" t="s">
        <v>7711</v>
      </c>
      <c r="S843" t="str">
        <f>IFERROR(VLOOKUP(E843,'VALORES VIAJES'!$A$2:$B$13,2,FALSE),"")</f>
        <v/>
      </c>
      <c r="T843" t="str">
        <f>IFERROR(VLOOKUP(H843,'VALORES VIAJES'!$A$2:$B$24,2,FALSE),"")</f>
        <v/>
      </c>
      <c r="U843" t="str">
        <f>IFERROR(VLOOKUP(I843,'VALORES VIAJES'!$A$2:$B$24,2,FALSE),"")</f>
        <v/>
      </c>
      <c r="V843" t="str">
        <f>IFERROR(VLOOKUP(K843,'VALORES VIAJES'!$A$2:$B$24,2,FALSE),"")</f>
        <v/>
      </c>
      <c r="X843" s="208">
        <f>SUM(Hoja1[[#This Row],[$ X TIP VEHICUL]:[AGREGADO]])</f>
        <v>0</v>
      </c>
    </row>
    <row r="844" spans="2:24" hidden="1" x14ac:dyDescent="0.25">
      <c r="B844" s="189"/>
      <c r="J844" s="189"/>
      <c r="M844" s="205"/>
      <c r="O844" t="s">
        <v>7711</v>
      </c>
      <c r="S844" t="str">
        <f>IFERROR(VLOOKUP(E844,'VALORES VIAJES'!$A$2:$B$13,2,FALSE),"")</f>
        <v/>
      </c>
      <c r="T844" t="str">
        <f>IFERROR(VLOOKUP(H844,'VALORES VIAJES'!$A$2:$B$24,2,FALSE),"")</f>
        <v/>
      </c>
      <c r="U844" t="str">
        <f>IFERROR(VLOOKUP(I844,'VALORES VIAJES'!$A$2:$B$24,2,FALSE),"")</f>
        <v/>
      </c>
      <c r="V844" t="str">
        <f>IFERROR(VLOOKUP(K844,'VALORES VIAJES'!$A$2:$B$24,2,FALSE),"")</f>
        <v/>
      </c>
      <c r="X844" s="208">
        <f>SUM(Hoja1[[#This Row],[$ X TIP VEHICUL]:[AGREGADO]])</f>
        <v>0</v>
      </c>
    </row>
    <row r="845" spans="2:24" hidden="1" x14ac:dyDescent="0.25">
      <c r="B845" s="189"/>
      <c r="J845" s="189"/>
      <c r="M845" s="205"/>
      <c r="O845" t="s">
        <v>7711</v>
      </c>
      <c r="S845" t="str">
        <f>IFERROR(VLOOKUP(E845,'VALORES VIAJES'!$A$2:$B$13,2,FALSE),"")</f>
        <v/>
      </c>
      <c r="T845" t="str">
        <f>IFERROR(VLOOKUP(H845,'VALORES VIAJES'!$A$2:$B$24,2,FALSE),"")</f>
        <v/>
      </c>
      <c r="U845" t="str">
        <f>IFERROR(VLOOKUP(I845,'VALORES VIAJES'!$A$2:$B$24,2,FALSE),"")</f>
        <v/>
      </c>
      <c r="V845" t="str">
        <f>IFERROR(VLOOKUP(K845,'VALORES VIAJES'!$A$2:$B$24,2,FALSE),"")</f>
        <v/>
      </c>
      <c r="X845" s="208">
        <f>SUM(Hoja1[[#This Row],[$ X TIP VEHICUL]:[AGREGADO]])</f>
        <v>0</v>
      </c>
    </row>
    <row r="846" spans="2:24" hidden="1" x14ac:dyDescent="0.25">
      <c r="B846" s="189"/>
      <c r="J846" s="189"/>
      <c r="M846" s="205"/>
      <c r="O846" t="s">
        <v>7711</v>
      </c>
      <c r="S846" t="str">
        <f>IFERROR(VLOOKUP(E846,'VALORES VIAJES'!$A$2:$B$13,2,FALSE),"")</f>
        <v/>
      </c>
      <c r="T846" t="str">
        <f>IFERROR(VLOOKUP(H846,'VALORES VIAJES'!$A$2:$B$24,2,FALSE),"")</f>
        <v/>
      </c>
      <c r="U846" t="str">
        <f>IFERROR(VLOOKUP(I846,'VALORES VIAJES'!$A$2:$B$24,2,FALSE),"")</f>
        <v/>
      </c>
      <c r="V846" t="str">
        <f>IFERROR(VLOOKUP(K846,'VALORES VIAJES'!$A$2:$B$24,2,FALSE),"")</f>
        <v/>
      </c>
      <c r="X846" s="208">
        <f>SUM(Hoja1[[#This Row],[$ X TIP VEHICUL]:[AGREGADO]])</f>
        <v>0</v>
      </c>
    </row>
    <row r="847" spans="2:24" hidden="1" x14ac:dyDescent="0.25">
      <c r="B847" s="189"/>
      <c r="J847" s="189"/>
      <c r="M847" s="205"/>
      <c r="O847" t="s">
        <v>7711</v>
      </c>
      <c r="S847" t="str">
        <f>IFERROR(VLOOKUP(E847,'VALORES VIAJES'!$A$2:$B$13,2,FALSE),"")</f>
        <v/>
      </c>
      <c r="T847" t="str">
        <f>IFERROR(VLOOKUP(H847,'VALORES VIAJES'!$A$2:$B$24,2,FALSE),"")</f>
        <v/>
      </c>
      <c r="U847" t="str">
        <f>IFERROR(VLOOKUP(I847,'VALORES VIAJES'!$A$2:$B$24,2,FALSE),"")</f>
        <v/>
      </c>
      <c r="V847" t="str">
        <f>IFERROR(VLOOKUP(K847,'VALORES VIAJES'!$A$2:$B$24,2,FALSE),"")</f>
        <v/>
      </c>
      <c r="X847" s="208">
        <f>SUM(Hoja1[[#This Row],[$ X TIP VEHICUL]:[AGREGADO]])</f>
        <v>0</v>
      </c>
    </row>
    <row r="848" spans="2:24" hidden="1" x14ac:dyDescent="0.25">
      <c r="B848" s="189"/>
      <c r="J848" s="189"/>
      <c r="M848" s="205"/>
      <c r="O848" t="s">
        <v>7711</v>
      </c>
      <c r="S848" t="str">
        <f>IFERROR(VLOOKUP(E848,'VALORES VIAJES'!$A$2:$B$13,2,FALSE),"")</f>
        <v/>
      </c>
      <c r="T848" t="str">
        <f>IFERROR(VLOOKUP(H848,'VALORES VIAJES'!$A$2:$B$24,2,FALSE),"")</f>
        <v/>
      </c>
      <c r="U848" t="str">
        <f>IFERROR(VLOOKUP(I848,'VALORES VIAJES'!$A$2:$B$24,2,FALSE),"")</f>
        <v/>
      </c>
      <c r="V848" t="str">
        <f>IFERROR(VLOOKUP(K848,'VALORES VIAJES'!$A$2:$B$24,2,FALSE),"")</f>
        <v/>
      </c>
      <c r="X848" s="208">
        <f>SUM(Hoja1[[#This Row],[$ X TIP VEHICUL]:[AGREGADO]])</f>
        <v>0</v>
      </c>
    </row>
    <row r="849" spans="2:24" hidden="1" x14ac:dyDescent="0.25">
      <c r="B849" s="189"/>
      <c r="J849" s="189"/>
      <c r="M849" s="205"/>
      <c r="O849" t="s">
        <v>7711</v>
      </c>
      <c r="S849" t="str">
        <f>IFERROR(VLOOKUP(E849,'VALORES VIAJES'!$A$2:$B$13,2,FALSE),"")</f>
        <v/>
      </c>
      <c r="T849" t="str">
        <f>IFERROR(VLOOKUP(H849,'VALORES VIAJES'!$A$2:$B$24,2,FALSE),"")</f>
        <v/>
      </c>
      <c r="U849" t="str">
        <f>IFERROR(VLOOKUP(I849,'VALORES VIAJES'!$A$2:$B$24,2,FALSE),"")</f>
        <v/>
      </c>
      <c r="V849" t="str">
        <f>IFERROR(VLOOKUP(K849,'VALORES VIAJES'!$A$2:$B$24,2,FALSE),"")</f>
        <v/>
      </c>
      <c r="X849" s="208">
        <f>SUM(Hoja1[[#This Row],[$ X TIP VEHICUL]:[AGREGADO]])</f>
        <v>0</v>
      </c>
    </row>
    <row r="850" spans="2:24" hidden="1" x14ac:dyDescent="0.25">
      <c r="B850" s="189"/>
      <c r="J850" s="189"/>
      <c r="M850" s="205"/>
      <c r="O850" t="s">
        <v>7711</v>
      </c>
      <c r="S850" t="str">
        <f>IFERROR(VLOOKUP(E850,'VALORES VIAJES'!$A$2:$B$13,2,FALSE),"")</f>
        <v/>
      </c>
      <c r="T850" t="str">
        <f>IFERROR(VLOOKUP(H850,'VALORES VIAJES'!$A$2:$B$24,2,FALSE),"")</f>
        <v/>
      </c>
      <c r="U850" t="str">
        <f>IFERROR(VLOOKUP(I850,'VALORES VIAJES'!$A$2:$B$24,2,FALSE),"")</f>
        <v/>
      </c>
      <c r="V850" t="str">
        <f>IFERROR(VLOOKUP(K850,'VALORES VIAJES'!$A$2:$B$24,2,FALSE),"")</f>
        <v/>
      </c>
      <c r="X850" s="208">
        <f>SUM(Hoja1[[#This Row],[$ X TIP VEHICUL]:[AGREGADO]])</f>
        <v>0</v>
      </c>
    </row>
    <row r="851" spans="2:24" hidden="1" x14ac:dyDescent="0.25">
      <c r="B851" s="189"/>
      <c r="J851" s="189"/>
      <c r="M851" s="205"/>
      <c r="O851" t="s">
        <v>7711</v>
      </c>
      <c r="S851" t="str">
        <f>IFERROR(VLOOKUP(E851,'VALORES VIAJES'!$A$2:$B$13,2,FALSE),"")</f>
        <v/>
      </c>
      <c r="T851" t="str">
        <f>IFERROR(VLOOKUP(H851,'VALORES VIAJES'!$A$2:$B$24,2,FALSE),"")</f>
        <v/>
      </c>
      <c r="U851" t="str">
        <f>IFERROR(VLOOKUP(I851,'VALORES VIAJES'!$A$2:$B$24,2,FALSE),"")</f>
        <v/>
      </c>
      <c r="V851" t="str">
        <f>IFERROR(VLOOKUP(K851,'VALORES VIAJES'!$A$2:$B$24,2,FALSE),"")</f>
        <v/>
      </c>
      <c r="X851" s="208">
        <f>SUM(Hoja1[[#This Row],[$ X TIP VEHICUL]:[AGREGADO]])</f>
        <v>0</v>
      </c>
    </row>
    <row r="852" spans="2:24" hidden="1" x14ac:dyDescent="0.25">
      <c r="B852" s="189"/>
      <c r="J852" s="189"/>
      <c r="M852" s="205"/>
      <c r="O852" t="s">
        <v>7711</v>
      </c>
      <c r="S852" t="str">
        <f>IFERROR(VLOOKUP(E852,'VALORES VIAJES'!$A$2:$B$13,2,FALSE),"")</f>
        <v/>
      </c>
      <c r="T852" t="str">
        <f>IFERROR(VLOOKUP(H852,'VALORES VIAJES'!$A$2:$B$24,2,FALSE),"")</f>
        <v/>
      </c>
      <c r="U852" t="str">
        <f>IFERROR(VLOOKUP(I852,'VALORES VIAJES'!$A$2:$B$24,2,FALSE),"")</f>
        <v/>
      </c>
      <c r="V852" t="str">
        <f>IFERROR(VLOOKUP(K852,'VALORES VIAJES'!$A$2:$B$24,2,FALSE),"")</f>
        <v/>
      </c>
      <c r="X852" s="208">
        <f>SUM(Hoja1[[#This Row],[$ X TIP VEHICUL]:[AGREGADO]])</f>
        <v>0</v>
      </c>
    </row>
    <row r="853" spans="2:24" hidden="1" x14ac:dyDescent="0.25">
      <c r="B853" s="189"/>
      <c r="J853" s="189"/>
      <c r="M853" s="205"/>
      <c r="O853" t="s">
        <v>7711</v>
      </c>
      <c r="S853" t="str">
        <f>IFERROR(VLOOKUP(E853,'VALORES VIAJES'!$A$2:$B$13,2,FALSE),"")</f>
        <v/>
      </c>
      <c r="T853" t="str">
        <f>IFERROR(VLOOKUP(H853,'VALORES VIAJES'!$A$2:$B$24,2,FALSE),"")</f>
        <v/>
      </c>
      <c r="U853" t="str">
        <f>IFERROR(VLOOKUP(I853,'VALORES VIAJES'!$A$2:$B$24,2,FALSE),"")</f>
        <v/>
      </c>
      <c r="V853" t="str">
        <f>IFERROR(VLOOKUP(K853,'VALORES VIAJES'!$A$2:$B$24,2,FALSE),"")</f>
        <v/>
      </c>
      <c r="X853" s="208">
        <f>SUM(Hoja1[[#This Row],[$ X TIP VEHICUL]:[AGREGADO]])</f>
        <v>0</v>
      </c>
    </row>
    <row r="854" spans="2:24" hidden="1" x14ac:dyDescent="0.25">
      <c r="B854" s="189"/>
      <c r="J854" s="189"/>
      <c r="M854" s="205"/>
      <c r="O854" t="s">
        <v>7711</v>
      </c>
      <c r="S854" t="str">
        <f>IFERROR(VLOOKUP(E854,'VALORES VIAJES'!$A$2:$B$13,2,FALSE),"")</f>
        <v/>
      </c>
      <c r="T854" t="str">
        <f>IFERROR(VLOOKUP(H854,'VALORES VIAJES'!$A$2:$B$24,2,FALSE),"")</f>
        <v/>
      </c>
      <c r="U854" t="str">
        <f>IFERROR(VLOOKUP(I854,'VALORES VIAJES'!$A$2:$B$24,2,FALSE),"")</f>
        <v/>
      </c>
      <c r="V854" t="str">
        <f>IFERROR(VLOOKUP(K854,'VALORES VIAJES'!$A$2:$B$24,2,FALSE),"")</f>
        <v/>
      </c>
      <c r="X854" s="208">
        <f>SUM(Hoja1[[#This Row],[$ X TIP VEHICUL]:[AGREGADO]])</f>
        <v>0</v>
      </c>
    </row>
    <row r="855" spans="2:24" hidden="1" x14ac:dyDescent="0.25">
      <c r="B855" s="189"/>
      <c r="J855" s="189"/>
      <c r="M855" s="205"/>
      <c r="O855" t="s">
        <v>7711</v>
      </c>
      <c r="S855" t="str">
        <f>IFERROR(VLOOKUP(E855,'VALORES VIAJES'!$A$2:$B$13,2,FALSE),"")</f>
        <v/>
      </c>
      <c r="T855" t="str">
        <f>IFERROR(VLOOKUP(H855,'VALORES VIAJES'!$A$2:$B$24,2,FALSE),"")</f>
        <v/>
      </c>
      <c r="U855" t="str">
        <f>IFERROR(VLOOKUP(I855,'VALORES VIAJES'!$A$2:$B$24,2,FALSE),"")</f>
        <v/>
      </c>
      <c r="V855" t="str">
        <f>IFERROR(VLOOKUP(K855,'VALORES VIAJES'!$A$2:$B$24,2,FALSE),"")</f>
        <v/>
      </c>
      <c r="X855" s="208">
        <f>SUM(Hoja1[[#This Row],[$ X TIP VEHICUL]:[AGREGADO]])</f>
        <v>0</v>
      </c>
    </row>
    <row r="856" spans="2:24" hidden="1" x14ac:dyDescent="0.25">
      <c r="B856" s="189"/>
      <c r="J856" s="189"/>
      <c r="M856" s="205"/>
      <c r="O856" t="s">
        <v>7711</v>
      </c>
      <c r="S856" t="str">
        <f>IFERROR(VLOOKUP(E856,'VALORES VIAJES'!$A$2:$B$13,2,FALSE),"")</f>
        <v/>
      </c>
      <c r="T856" t="str">
        <f>IFERROR(VLOOKUP(H856,'VALORES VIAJES'!$A$2:$B$24,2,FALSE),"")</f>
        <v/>
      </c>
      <c r="U856" t="str">
        <f>IFERROR(VLOOKUP(I856,'VALORES VIAJES'!$A$2:$B$24,2,FALSE),"")</f>
        <v/>
      </c>
      <c r="V856" t="str">
        <f>IFERROR(VLOOKUP(K856,'VALORES VIAJES'!$A$2:$B$24,2,FALSE),"")</f>
        <v/>
      </c>
      <c r="X856" s="208">
        <f>SUM(Hoja1[[#This Row],[$ X TIP VEHICUL]:[AGREGADO]])</f>
        <v>0</v>
      </c>
    </row>
    <row r="857" spans="2:24" hidden="1" x14ac:dyDescent="0.25">
      <c r="B857" s="189"/>
      <c r="J857" s="189"/>
      <c r="M857" s="205"/>
      <c r="O857" t="s">
        <v>7711</v>
      </c>
      <c r="S857" t="str">
        <f>IFERROR(VLOOKUP(E857,'VALORES VIAJES'!$A$2:$B$13,2,FALSE),"")</f>
        <v/>
      </c>
      <c r="T857" t="str">
        <f>IFERROR(VLOOKUP(H857,'VALORES VIAJES'!$A$2:$B$24,2,FALSE),"")</f>
        <v/>
      </c>
      <c r="U857" t="str">
        <f>IFERROR(VLOOKUP(I857,'VALORES VIAJES'!$A$2:$B$24,2,FALSE),"")</f>
        <v/>
      </c>
      <c r="V857" t="str">
        <f>IFERROR(VLOOKUP(K857,'VALORES VIAJES'!$A$2:$B$24,2,FALSE),"")</f>
        <v/>
      </c>
      <c r="X857" s="208">
        <f>SUM(Hoja1[[#This Row],[$ X TIP VEHICUL]:[AGREGADO]])</f>
        <v>0</v>
      </c>
    </row>
    <row r="858" spans="2:24" hidden="1" x14ac:dyDescent="0.25">
      <c r="B858" s="189"/>
      <c r="J858" s="189"/>
      <c r="M858" s="205"/>
      <c r="O858" t="s">
        <v>7711</v>
      </c>
      <c r="S858" t="str">
        <f>IFERROR(VLOOKUP(E858,'VALORES VIAJES'!$A$2:$B$13,2,FALSE),"")</f>
        <v/>
      </c>
      <c r="T858" t="str">
        <f>IFERROR(VLOOKUP(H858,'VALORES VIAJES'!$A$2:$B$24,2,FALSE),"")</f>
        <v/>
      </c>
      <c r="U858" t="str">
        <f>IFERROR(VLOOKUP(I858,'VALORES VIAJES'!$A$2:$B$24,2,FALSE),"")</f>
        <v/>
      </c>
      <c r="V858" t="str">
        <f>IFERROR(VLOOKUP(K858,'VALORES VIAJES'!$A$2:$B$24,2,FALSE),"")</f>
        <v/>
      </c>
      <c r="X858" s="208">
        <f>SUM(Hoja1[[#This Row],[$ X TIP VEHICUL]:[AGREGADO]])</f>
        <v>0</v>
      </c>
    </row>
    <row r="859" spans="2:24" hidden="1" x14ac:dyDescent="0.25">
      <c r="B859" s="189"/>
      <c r="J859" s="189"/>
      <c r="M859" s="205"/>
      <c r="O859" t="s">
        <v>7711</v>
      </c>
      <c r="S859" t="str">
        <f>IFERROR(VLOOKUP(E859,'VALORES VIAJES'!$A$2:$B$13,2,FALSE),"")</f>
        <v/>
      </c>
      <c r="T859" t="str">
        <f>IFERROR(VLOOKUP(H859,'VALORES VIAJES'!$A$2:$B$24,2,FALSE),"")</f>
        <v/>
      </c>
      <c r="U859" t="str">
        <f>IFERROR(VLOOKUP(I859,'VALORES VIAJES'!$A$2:$B$24,2,FALSE),"")</f>
        <v/>
      </c>
      <c r="V859" t="str">
        <f>IFERROR(VLOOKUP(K859,'VALORES VIAJES'!$A$2:$B$24,2,FALSE),"")</f>
        <v/>
      </c>
      <c r="X859" s="208">
        <f>SUM(Hoja1[[#This Row],[$ X TIP VEHICUL]:[AGREGADO]])</f>
        <v>0</v>
      </c>
    </row>
    <row r="860" spans="2:24" hidden="1" x14ac:dyDescent="0.25">
      <c r="B860" s="189"/>
      <c r="J860" s="189"/>
      <c r="M860" s="205"/>
      <c r="O860" t="s">
        <v>7711</v>
      </c>
      <c r="S860" t="str">
        <f>IFERROR(VLOOKUP(E860,'VALORES VIAJES'!$A$2:$B$13,2,FALSE),"")</f>
        <v/>
      </c>
      <c r="T860" t="str">
        <f>IFERROR(VLOOKUP(H860,'VALORES VIAJES'!$A$2:$B$24,2,FALSE),"")</f>
        <v/>
      </c>
      <c r="U860" t="str">
        <f>IFERROR(VLOOKUP(I860,'VALORES VIAJES'!$A$2:$B$24,2,FALSE),"")</f>
        <v/>
      </c>
      <c r="V860" t="str">
        <f>IFERROR(VLOOKUP(K860,'VALORES VIAJES'!$A$2:$B$24,2,FALSE),"")</f>
        <v/>
      </c>
      <c r="X860" s="208">
        <f>SUM(Hoja1[[#This Row],[$ X TIP VEHICUL]:[AGREGADO]])</f>
        <v>0</v>
      </c>
    </row>
    <row r="861" spans="2:24" hidden="1" x14ac:dyDescent="0.25">
      <c r="B861" s="189"/>
      <c r="J861" s="189"/>
      <c r="M861" s="205"/>
      <c r="O861" t="s">
        <v>7711</v>
      </c>
      <c r="S861" t="str">
        <f>IFERROR(VLOOKUP(E861,'VALORES VIAJES'!$A$2:$B$13,2,FALSE),"")</f>
        <v/>
      </c>
      <c r="T861" t="str">
        <f>IFERROR(VLOOKUP(H861,'VALORES VIAJES'!$A$2:$B$24,2,FALSE),"")</f>
        <v/>
      </c>
      <c r="U861" t="str">
        <f>IFERROR(VLOOKUP(I861,'VALORES VIAJES'!$A$2:$B$24,2,FALSE),"")</f>
        <v/>
      </c>
      <c r="V861" t="str">
        <f>IFERROR(VLOOKUP(K861,'VALORES VIAJES'!$A$2:$B$24,2,FALSE),"")</f>
        <v/>
      </c>
      <c r="X861" s="208">
        <f>SUM(Hoja1[[#This Row],[$ X TIP VEHICUL]:[AGREGADO]])</f>
        <v>0</v>
      </c>
    </row>
    <row r="862" spans="2:24" hidden="1" x14ac:dyDescent="0.25">
      <c r="B862" s="189"/>
      <c r="J862" s="189"/>
      <c r="M862" s="205"/>
      <c r="O862" t="s">
        <v>7711</v>
      </c>
      <c r="S862" t="str">
        <f>IFERROR(VLOOKUP(E862,'VALORES VIAJES'!$A$2:$B$13,2,FALSE),"")</f>
        <v/>
      </c>
      <c r="T862" t="str">
        <f>IFERROR(VLOOKUP(H862,'VALORES VIAJES'!$A$2:$B$24,2,FALSE),"")</f>
        <v/>
      </c>
      <c r="U862" t="str">
        <f>IFERROR(VLOOKUP(I862,'VALORES VIAJES'!$A$2:$B$24,2,FALSE),"")</f>
        <v/>
      </c>
      <c r="V862" t="str">
        <f>IFERROR(VLOOKUP(K862,'VALORES VIAJES'!$A$2:$B$24,2,FALSE),"")</f>
        <v/>
      </c>
      <c r="X862" s="208">
        <f>SUM(Hoja1[[#This Row],[$ X TIP VEHICUL]:[AGREGADO]])</f>
        <v>0</v>
      </c>
    </row>
    <row r="863" spans="2:24" hidden="1" x14ac:dyDescent="0.25">
      <c r="B863" s="189"/>
      <c r="J863" s="189"/>
      <c r="M863" s="205"/>
      <c r="O863" t="s">
        <v>7711</v>
      </c>
      <c r="S863" t="str">
        <f>IFERROR(VLOOKUP(E863,'VALORES VIAJES'!$A$2:$B$13,2,FALSE),"")</f>
        <v/>
      </c>
      <c r="T863" t="str">
        <f>IFERROR(VLOOKUP(H863,'VALORES VIAJES'!$A$2:$B$24,2,FALSE),"")</f>
        <v/>
      </c>
      <c r="U863" t="str">
        <f>IFERROR(VLOOKUP(I863,'VALORES VIAJES'!$A$2:$B$24,2,FALSE),"")</f>
        <v/>
      </c>
      <c r="V863" t="str">
        <f>IFERROR(VLOOKUP(K863,'VALORES VIAJES'!$A$2:$B$24,2,FALSE),"")</f>
        <v/>
      </c>
      <c r="X863" s="208">
        <f>SUM(Hoja1[[#This Row],[$ X TIP VEHICUL]:[AGREGADO]])</f>
        <v>0</v>
      </c>
    </row>
    <row r="864" spans="2:24" hidden="1" x14ac:dyDescent="0.25">
      <c r="B864" s="189"/>
      <c r="J864" s="189"/>
      <c r="M864" s="205"/>
      <c r="O864" t="s">
        <v>7711</v>
      </c>
      <c r="S864" t="str">
        <f>IFERROR(VLOOKUP(E864,'VALORES VIAJES'!$A$2:$B$13,2,FALSE),"")</f>
        <v/>
      </c>
      <c r="T864" t="str">
        <f>IFERROR(VLOOKUP(H864,'VALORES VIAJES'!$A$2:$B$24,2,FALSE),"")</f>
        <v/>
      </c>
      <c r="U864" t="str">
        <f>IFERROR(VLOOKUP(I864,'VALORES VIAJES'!$A$2:$B$24,2,FALSE),"")</f>
        <v/>
      </c>
      <c r="V864" t="str">
        <f>IFERROR(VLOOKUP(K864,'VALORES VIAJES'!$A$2:$B$24,2,FALSE),"")</f>
        <v/>
      </c>
      <c r="X864" s="208">
        <f>SUM(Hoja1[[#This Row],[$ X TIP VEHICUL]:[AGREGADO]])</f>
        <v>0</v>
      </c>
    </row>
    <row r="865" spans="2:24" hidden="1" x14ac:dyDescent="0.25">
      <c r="B865" s="189"/>
      <c r="J865" s="189"/>
      <c r="M865" s="205"/>
      <c r="O865" t="s">
        <v>7711</v>
      </c>
      <c r="S865" t="str">
        <f>IFERROR(VLOOKUP(E865,'VALORES VIAJES'!$A$2:$B$13,2,FALSE),"")</f>
        <v/>
      </c>
      <c r="T865" t="str">
        <f>IFERROR(VLOOKUP(H865,'VALORES VIAJES'!$A$2:$B$24,2,FALSE),"")</f>
        <v/>
      </c>
      <c r="U865" t="str">
        <f>IFERROR(VLOOKUP(I865,'VALORES VIAJES'!$A$2:$B$24,2,FALSE),"")</f>
        <v/>
      </c>
      <c r="V865" t="str">
        <f>IFERROR(VLOOKUP(K865,'VALORES VIAJES'!$A$2:$B$24,2,FALSE),"")</f>
        <v/>
      </c>
      <c r="X865" s="208">
        <f>SUM(Hoja1[[#This Row],[$ X TIP VEHICUL]:[AGREGADO]])</f>
        <v>0</v>
      </c>
    </row>
    <row r="866" spans="2:24" hidden="1" x14ac:dyDescent="0.25">
      <c r="B866" s="189"/>
      <c r="J866" s="189"/>
      <c r="M866" s="205"/>
      <c r="O866" t="s">
        <v>7711</v>
      </c>
      <c r="S866" t="str">
        <f>IFERROR(VLOOKUP(E866,'VALORES VIAJES'!$A$2:$B$13,2,FALSE),"")</f>
        <v/>
      </c>
      <c r="T866" t="str">
        <f>IFERROR(VLOOKUP(H866,'VALORES VIAJES'!$A$2:$B$24,2,FALSE),"")</f>
        <v/>
      </c>
      <c r="U866" t="str">
        <f>IFERROR(VLOOKUP(I866,'VALORES VIAJES'!$A$2:$B$24,2,FALSE),"")</f>
        <v/>
      </c>
      <c r="V866" t="str">
        <f>IFERROR(VLOOKUP(K866,'VALORES VIAJES'!$A$2:$B$24,2,FALSE),"")</f>
        <v/>
      </c>
      <c r="X866" s="208">
        <f>SUM(Hoja1[[#This Row],[$ X TIP VEHICUL]:[AGREGADO]])</f>
        <v>0</v>
      </c>
    </row>
    <row r="867" spans="2:24" hidden="1" x14ac:dyDescent="0.25">
      <c r="B867" s="189"/>
      <c r="J867" s="189"/>
      <c r="M867" s="205"/>
      <c r="O867" t="s">
        <v>7711</v>
      </c>
      <c r="S867" t="str">
        <f>IFERROR(VLOOKUP(E867,'VALORES VIAJES'!$A$2:$B$13,2,FALSE),"")</f>
        <v/>
      </c>
      <c r="T867" t="str">
        <f>IFERROR(VLOOKUP(H867,'VALORES VIAJES'!$A$2:$B$24,2,FALSE),"")</f>
        <v/>
      </c>
      <c r="U867" t="str">
        <f>IFERROR(VLOOKUP(I867,'VALORES VIAJES'!$A$2:$B$24,2,FALSE),"")</f>
        <v/>
      </c>
      <c r="V867" t="str">
        <f>IFERROR(VLOOKUP(K867,'VALORES VIAJES'!$A$2:$B$24,2,FALSE),"")</f>
        <v/>
      </c>
      <c r="X867" s="208">
        <f>SUM(Hoja1[[#This Row],[$ X TIP VEHICUL]:[AGREGADO]])</f>
        <v>0</v>
      </c>
    </row>
    <row r="868" spans="2:24" hidden="1" x14ac:dyDescent="0.25">
      <c r="B868" s="189"/>
      <c r="J868" s="189"/>
      <c r="M868" s="205"/>
      <c r="O868" t="s">
        <v>7711</v>
      </c>
      <c r="S868" t="str">
        <f>IFERROR(VLOOKUP(E868,'VALORES VIAJES'!$A$2:$B$13,2,FALSE),"")</f>
        <v/>
      </c>
      <c r="T868" t="str">
        <f>IFERROR(VLOOKUP(H868,'VALORES VIAJES'!$A$2:$B$24,2,FALSE),"")</f>
        <v/>
      </c>
      <c r="U868" t="str">
        <f>IFERROR(VLOOKUP(I868,'VALORES VIAJES'!$A$2:$B$24,2,FALSE),"")</f>
        <v/>
      </c>
      <c r="V868" t="str">
        <f>IFERROR(VLOOKUP(K868,'VALORES VIAJES'!$A$2:$B$24,2,FALSE),"")</f>
        <v/>
      </c>
      <c r="X868" s="208">
        <f>SUM(Hoja1[[#This Row],[$ X TIP VEHICUL]:[AGREGADO]])</f>
        <v>0</v>
      </c>
    </row>
    <row r="869" spans="2:24" hidden="1" x14ac:dyDescent="0.25">
      <c r="B869" s="189"/>
      <c r="J869" s="189"/>
      <c r="M869" s="205"/>
      <c r="O869" t="s">
        <v>7711</v>
      </c>
      <c r="S869" t="str">
        <f>IFERROR(VLOOKUP(E869,'VALORES VIAJES'!$A$2:$B$13,2,FALSE),"")</f>
        <v/>
      </c>
      <c r="T869" t="str">
        <f>IFERROR(VLOOKUP(H869,'VALORES VIAJES'!$A$2:$B$24,2,FALSE),"")</f>
        <v/>
      </c>
      <c r="U869" t="str">
        <f>IFERROR(VLOOKUP(I869,'VALORES VIAJES'!$A$2:$B$24,2,FALSE),"")</f>
        <v/>
      </c>
      <c r="V869" t="str">
        <f>IFERROR(VLOOKUP(K869,'VALORES VIAJES'!$A$2:$B$24,2,FALSE),"")</f>
        <v/>
      </c>
      <c r="X869" s="208">
        <f>SUM(Hoja1[[#This Row],[$ X TIP VEHICUL]:[AGREGADO]])</f>
        <v>0</v>
      </c>
    </row>
    <row r="870" spans="2:24" hidden="1" x14ac:dyDescent="0.25">
      <c r="B870" s="189"/>
      <c r="J870" s="189"/>
      <c r="M870" s="205"/>
      <c r="O870" t="s">
        <v>7711</v>
      </c>
      <c r="S870" t="str">
        <f>IFERROR(VLOOKUP(E870,'VALORES VIAJES'!$A$2:$B$13,2,FALSE),"")</f>
        <v/>
      </c>
      <c r="T870" t="str">
        <f>IFERROR(VLOOKUP(H870,'VALORES VIAJES'!$A$2:$B$24,2,FALSE),"")</f>
        <v/>
      </c>
      <c r="U870" t="str">
        <f>IFERROR(VLOOKUP(I870,'VALORES VIAJES'!$A$2:$B$24,2,FALSE),"")</f>
        <v/>
      </c>
      <c r="V870" t="str">
        <f>IFERROR(VLOOKUP(K870,'VALORES VIAJES'!$A$2:$B$24,2,FALSE),"")</f>
        <v/>
      </c>
      <c r="X870" s="208">
        <f>SUM(Hoja1[[#This Row],[$ X TIP VEHICUL]:[AGREGADO]])</f>
        <v>0</v>
      </c>
    </row>
    <row r="871" spans="2:24" hidden="1" x14ac:dyDescent="0.25">
      <c r="B871" s="189"/>
      <c r="J871" s="189"/>
      <c r="M871" s="205"/>
      <c r="O871" t="s">
        <v>7711</v>
      </c>
      <c r="S871" t="str">
        <f>IFERROR(VLOOKUP(E871,'VALORES VIAJES'!$A$2:$B$13,2,FALSE),"")</f>
        <v/>
      </c>
      <c r="T871" t="str">
        <f>IFERROR(VLOOKUP(H871,'VALORES VIAJES'!$A$2:$B$24,2,FALSE),"")</f>
        <v/>
      </c>
      <c r="U871" t="str">
        <f>IFERROR(VLOOKUP(I871,'VALORES VIAJES'!$A$2:$B$24,2,FALSE),"")</f>
        <v/>
      </c>
      <c r="V871" t="str">
        <f>IFERROR(VLOOKUP(K871,'VALORES VIAJES'!$A$2:$B$24,2,FALSE),"")</f>
        <v/>
      </c>
      <c r="X871" s="208">
        <f>SUM(Hoja1[[#This Row],[$ X TIP VEHICUL]:[AGREGADO]])</f>
        <v>0</v>
      </c>
    </row>
    <row r="872" spans="2:24" hidden="1" x14ac:dyDescent="0.25">
      <c r="B872" s="189"/>
      <c r="J872" s="189"/>
      <c r="M872" s="205"/>
      <c r="O872" t="s">
        <v>7711</v>
      </c>
      <c r="S872" t="str">
        <f>IFERROR(VLOOKUP(E872,'VALORES VIAJES'!$A$2:$B$13,2,FALSE),"")</f>
        <v/>
      </c>
      <c r="T872" t="str">
        <f>IFERROR(VLOOKUP(H872,'VALORES VIAJES'!$A$2:$B$24,2,FALSE),"")</f>
        <v/>
      </c>
      <c r="U872" t="str">
        <f>IFERROR(VLOOKUP(I872,'VALORES VIAJES'!$A$2:$B$24,2,FALSE),"")</f>
        <v/>
      </c>
      <c r="V872" t="str">
        <f>IFERROR(VLOOKUP(K872,'VALORES VIAJES'!$A$2:$B$24,2,FALSE),"")</f>
        <v/>
      </c>
      <c r="X872" s="208">
        <f>SUM(Hoja1[[#This Row],[$ X TIP VEHICUL]:[AGREGADO]])</f>
        <v>0</v>
      </c>
    </row>
    <row r="873" spans="2:24" hidden="1" x14ac:dyDescent="0.25">
      <c r="B873" s="189"/>
      <c r="J873" s="189"/>
      <c r="M873" s="205"/>
      <c r="O873" t="s">
        <v>7711</v>
      </c>
      <c r="S873" t="str">
        <f>IFERROR(VLOOKUP(E873,'VALORES VIAJES'!$A$2:$B$13,2,FALSE),"")</f>
        <v/>
      </c>
      <c r="T873" t="str">
        <f>IFERROR(VLOOKUP(H873,'VALORES VIAJES'!$A$2:$B$24,2,FALSE),"")</f>
        <v/>
      </c>
      <c r="U873" t="str">
        <f>IFERROR(VLOOKUP(I873,'VALORES VIAJES'!$A$2:$B$24,2,FALSE),"")</f>
        <v/>
      </c>
      <c r="V873" t="str">
        <f>IFERROR(VLOOKUP(K873,'VALORES VIAJES'!$A$2:$B$24,2,FALSE),"")</f>
        <v/>
      </c>
      <c r="X873" s="208">
        <f>SUM(Hoja1[[#This Row],[$ X TIP VEHICUL]:[AGREGADO]])</f>
        <v>0</v>
      </c>
    </row>
    <row r="874" spans="2:24" hidden="1" x14ac:dyDescent="0.25">
      <c r="B874" s="189"/>
      <c r="J874" s="189"/>
      <c r="M874" s="205"/>
      <c r="O874" t="s">
        <v>7711</v>
      </c>
      <c r="S874" t="str">
        <f>IFERROR(VLOOKUP(E874,'VALORES VIAJES'!$A$2:$B$13,2,FALSE),"")</f>
        <v/>
      </c>
      <c r="T874" t="str">
        <f>IFERROR(VLOOKUP(H874,'VALORES VIAJES'!$A$2:$B$24,2,FALSE),"")</f>
        <v/>
      </c>
      <c r="U874" t="str">
        <f>IFERROR(VLOOKUP(I874,'VALORES VIAJES'!$A$2:$B$24,2,FALSE),"")</f>
        <v/>
      </c>
      <c r="V874" t="str">
        <f>IFERROR(VLOOKUP(K874,'VALORES VIAJES'!$A$2:$B$24,2,FALSE),"")</f>
        <v/>
      </c>
      <c r="X874" s="208">
        <f>SUM(Hoja1[[#This Row],[$ X TIP VEHICUL]:[AGREGADO]])</f>
        <v>0</v>
      </c>
    </row>
    <row r="875" spans="2:24" hidden="1" x14ac:dyDescent="0.25">
      <c r="B875" s="189"/>
      <c r="J875" s="189"/>
      <c r="M875" s="205"/>
      <c r="O875" t="s">
        <v>7711</v>
      </c>
      <c r="S875" t="str">
        <f>IFERROR(VLOOKUP(E875,'VALORES VIAJES'!$A$2:$B$13,2,FALSE),"")</f>
        <v/>
      </c>
      <c r="T875" t="str">
        <f>IFERROR(VLOOKUP(H875,'VALORES VIAJES'!$A$2:$B$24,2,FALSE),"")</f>
        <v/>
      </c>
      <c r="U875" t="str">
        <f>IFERROR(VLOOKUP(I875,'VALORES VIAJES'!$A$2:$B$24,2,FALSE),"")</f>
        <v/>
      </c>
      <c r="V875" t="str">
        <f>IFERROR(VLOOKUP(K875,'VALORES VIAJES'!$A$2:$B$24,2,FALSE),"")</f>
        <v/>
      </c>
      <c r="X875" s="208">
        <f>SUM(Hoja1[[#This Row],[$ X TIP VEHICUL]:[AGREGADO]])</f>
        <v>0</v>
      </c>
    </row>
    <row r="876" spans="2:24" hidden="1" x14ac:dyDescent="0.25">
      <c r="B876" s="189"/>
      <c r="J876" s="189"/>
      <c r="M876" s="205"/>
      <c r="O876" t="s">
        <v>7711</v>
      </c>
      <c r="S876" t="str">
        <f>IFERROR(VLOOKUP(E876,'VALORES VIAJES'!$A$2:$B$13,2,FALSE),"")</f>
        <v/>
      </c>
      <c r="T876" t="str">
        <f>IFERROR(VLOOKUP(H876,'VALORES VIAJES'!$A$2:$B$24,2,FALSE),"")</f>
        <v/>
      </c>
      <c r="U876" t="str">
        <f>IFERROR(VLOOKUP(I876,'VALORES VIAJES'!$A$2:$B$24,2,FALSE),"")</f>
        <v/>
      </c>
      <c r="V876" t="str">
        <f>IFERROR(VLOOKUP(K876,'VALORES VIAJES'!$A$2:$B$24,2,FALSE),"")</f>
        <v/>
      </c>
      <c r="X876" s="208">
        <f>SUM(Hoja1[[#This Row],[$ X TIP VEHICUL]:[AGREGADO]])</f>
        <v>0</v>
      </c>
    </row>
    <row r="877" spans="2:24" hidden="1" x14ac:dyDescent="0.25">
      <c r="B877" s="189"/>
      <c r="J877" s="189"/>
      <c r="M877" s="205"/>
      <c r="O877" t="s">
        <v>7711</v>
      </c>
      <c r="S877" t="str">
        <f>IFERROR(VLOOKUP(E877,'VALORES VIAJES'!$A$2:$B$13,2,FALSE),"")</f>
        <v/>
      </c>
      <c r="T877" t="str">
        <f>IFERROR(VLOOKUP(H877,'VALORES VIAJES'!$A$2:$B$24,2,FALSE),"")</f>
        <v/>
      </c>
      <c r="U877" t="str">
        <f>IFERROR(VLOOKUP(I877,'VALORES VIAJES'!$A$2:$B$24,2,FALSE),"")</f>
        <v/>
      </c>
      <c r="V877" t="str">
        <f>IFERROR(VLOOKUP(K877,'VALORES VIAJES'!$A$2:$B$24,2,FALSE),"")</f>
        <v/>
      </c>
      <c r="X877" s="208">
        <f>SUM(Hoja1[[#This Row],[$ X TIP VEHICUL]:[AGREGADO]])</f>
        <v>0</v>
      </c>
    </row>
    <row r="878" spans="2:24" hidden="1" x14ac:dyDescent="0.25">
      <c r="B878" s="189"/>
      <c r="J878" s="189"/>
      <c r="M878" s="205"/>
      <c r="O878" t="s">
        <v>7711</v>
      </c>
      <c r="S878" t="str">
        <f>IFERROR(VLOOKUP(E878,'VALORES VIAJES'!$A$2:$B$13,2,FALSE),"")</f>
        <v/>
      </c>
      <c r="T878" t="str">
        <f>IFERROR(VLOOKUP(H878,'VALORES VIAJES'!$A$2:$B$24,2,FALSE),"")</f>
        <v/>
      </c>
      <c r="U878" t="str">
        <f>IFERROR(VLOOKUP(I878,'VALORES VIAJES'!$A$2:$B$24,2,FALSE),"")</f>
        <v/>
      </c>
      <c r="V878" t="str">
        <f>IFERROR(VLOOKUP(K878,'VALORES VIAJES'!$A$2:$B$24,2,FALSE),"")</f>
        <v/>
      </c>
      <c r="X878" s="208">
        <f>SUM(Hoja1[[#This Row],[$ X TIP VEHICUL]:[AGREGADO]])</f>
        <v>0</v>
      </c>
    </row>
    <row r="879" spans="2:24" hidden="1" x14ac:dyDescent="0.25">
      <c r="B879" s="189"/>
      <c r="J879" s="189"/>
      <c r="M879" s="205"/>
      <c r="O879" t="s">
        <v>7711</v>
      </c>
      <c r="S879" t="str">
        <f>IFERROR(VLOOKUP(E879,'VALORES VIAJES'!$A$2:$B$13,2,FALSE),"")</f>
        <v/>
      </c>
      <c r="T879" t="str">
        <f>IFERROR(VLOOKUP(H879,'VALORES VIAJES'!$A$2:$B$24,2,FALSE),"")</f>
        <v/>
      </c>
      <c r="U879" t="str">
        <f>IFERROR(VLOOKUP(I879,'VALORES VIAJES'!$A$2:$B$24,2,FALSE),"")</f>
        <v/>
      </c>
      <c r="V879" t="str">
        <f>IFERROR(VLOOKUP(K879,'VALORES VIAJES'!$A$2:$B$24,2,FALSE),"")</f>
        <v/>
      </c>
      <c r="X879" s="208">
        <f>SUM(Hoja1[[#This Row],[$ X TIP VEHICUL]:[AGREGADO]])</f>
        <v>0</v>
      </c>
    </row>
    <row r="880" spans="2:24" hidden="1" x14ac:dyDescent="0.25">
      <c r="B880" s="189"/>
      <c r="J880" s="189"/>
      <c r="M880" s="205"/>
      <c r="O880" t="s">
        <v>7711</v>
      </c>
      <c r="S880" t="str">
        <f>IFERROR(VLOOKUP(E880,'VALORES VIAJES'!$A$2:$B$13,2,FALSE),"")</f>
        <v/>
      </c>
      <c r="T880" t="str">
        <f>IFERROR(VLOOKUP(H880,'VALORES VIAJES'!$A$2:$B$24,2,FALSE),"")</f>
        <v/>
      </c>
      <c r="U880" t="str">
        <f>IFERROR(VLOOKUP(I880,'VALORES VIAJES'!$A$2:$B$24,2,FALSE),"")</f>
        <v/>
      </c>
      <c r="V880" t="str">
        <f>IFERROR(VLOOKUP(K880,'VALORES VIAJES'!$A$2:$B$24,2,FALSE),"")</f>
        <v/>
      </c>
      <c r="X880" s="208">
        <f>SUM(Hoja1[[#This Row],[$ X TIP VEHICUL]:[AGREGADO]])</f>
        <v>0</v>
      </c>
    </row>
    <row r="881" spans="2:24" hidden="1" x14ac:dyDescent="0.25">
      <c r="B881" s="189"/>
      <c r="J881" s="189"/>
      <c r="M881" s="205"/>
      <c r="O881" t="s">
        <v>7711</v>
      </c>
      <c r="S881" t="str">
        <f>IFERROR(VLOOKUP(E881,'VALORES VIAJES'!$A$2:$B$13,2,FALSE),"")</f>
        <v/>
      </c>
      <c r="T881" t="str">
        <f>IFERROR(VLOOKUP(H881,'VALORES VIAJES'!$A$2:$B$24,2,FALSE),"")</f>
        <v/>
      </c>
      <c r="U881" t="str">
        <f>IFERROR(VLOOKUP(I881,'VALORES VIAJES'!$A$2:$B$24,2,FALSE),"")</f>
        <v/>
      </c>
      <c r="V881" t="str">
        <f>IFERROR(VLOOKUP(K881,'VALORES VIAJES'!$A$2:$B$24,2,FALSE),"")</f>
        <v/>
      </c>
      <c r="X881" s="208">
        <f>SUM(Hoja1[[#This Row],[$ X TIP VEHICUL]:[AGREGADO]])</f>
        <v>0</v>
      </c>
    </row>
    <row r="882" spans="2:24" hidden="1" x14ac:dyDescent="0.25">
      <c r="B882" s="189"/>
      <c r="J882" s="189"/>
      <c r="M882" s="205"/>
      <c r="O882" t="s">
        <v>7711</v>
      </c>
      <c r="S882" t="str">
        <f>IFERROR(VLOOKUP(E882,'VALORES VIAJES'!$A$2:$B$13,2,FALSE),"")</f>
        <v/>
      </c>
      <c r="T882" t="str">
        <f>IFERROR(VLOOKUP(H882,'VALORES VIAJES'!$A$2:$B$24,2,FALSE),"")</f>
        <v/>
      </c>
      <c r="U882" t="str">
        <f>IFERROR(VLOOKUP(I882,'VALORES VIAJES'!$A$2:$B$24,2,FALSE),"")</f>
        <v/>
      </c>
      <c r="V882" t="str">
        <f>IFERROR(VLOOKUP(K882,'VALORES VIAJES'!$A$2:$B$24,2,FALSE),"")</f>
        <v/>
      </c>
      <c r="X882" s="208">
        <f>SUM(Hoja1[[#This Row],[$ X TIP VEHICUL]:[AGREGADO]])</f>
        <v>0</v>
      </c>
    </row>
    <row r="883" spans="2:24" hidden="1" x14ac:dyDescent="0.25">
      <c r="B883" s="189"/>
      <c r="J883" s="189"/>
      <c r="M883" s="205"/>
      <c r="O883" t="s">
        <v>7711</v>
      </c>
      <c r="S883" t="str">
        <f>IFERROR(VLOOKUP(E883,'VALORES VIAJES'!$A$2:$B$13,2,FALSE),"")</f>
        <v/>
      </c>
      <c r="T883" t="str">
        <f>IFERROR(VLOOKUP(H883,'VALORES VIAJES'!$A$2:$B$24,2,FALSE),"")</f>
        <v/>
      </c>
      <c r="U883" t="str">
        <f>IFERROR(VLOOKUP(I883,'VALORES VIAJES'!$A$2:$B$24,2,FALSE),"")</f>
        <v/>
      </c>
      <c r="V883" t="str">
        <f>IFERROR(VLOOKUP(K883,'VALORES VIAJES'!$A$2:$B$24,2,FALSE),"")</f>
        <v/>
      </c>
      <c r="X883" s="208">
        <f>SUM(Hoja1[[#This Row],[$ X TIP VEHICUL]:[AGREGADO]])</f>
        <v>0</v>
      </c>
    </row>
    <row r="884" spans="2:24" hidden="1" x14ac:dyDescent="0.25">
      <c r="B884" s="189"/>
      <c r="J884" s="189"/>
      <c r="M884" s="205"/>
      <c r="O884" t="s">
        <v>7711</v>
      </c>
      <c r="S884" t="str">
        <f>IFERROR(VLOOKUP(E884,'VALORES VIAJES'!$A$2:$B$13,2,FALSE),"")</f>
        <v/>
      </c>
      <c r="T884" t="str">
        <f>IFERROR(VLOOKUP(H884,'VALORES VIAJES'!$A$2:$B$24,2,FALSE),"")</f>
        <v/>
      </c>
      <c r="U884" t="str">
        <f>IFERROR(VLOOKUP(I884,'VALORES VIAJES'!$A$2:$B$24,2,FALSE),"")</f>
        <v/>
      </c>
      <c r="V884" t="str">
        <f>IFERROR(VLOOKUP(K884,'VALORES VIAJES'!$A$2:$B$24,2,FALSE),"")</f>
        <v/>
      </c>
      <c r="X884" s="208">
        <f>SUM(Hoja1[[#This Row],[$ X TIP VEHICUL]:[AGREGADO]])</f>
        <v>0</v>
      </c>
    </row>
    <row r="885" spans="2:24" hidden="1" x14ac:dyDescent="0.25">
      <c r="B885" s="189"/>
      <c r="J885" s="189"/>
      <c r="M885" s="205"/>
      <c r="O885" t="s">
        <v>7711</v>
      </c>
      <c r="S885" t="str">
        <f>IFERROR(VLOOKUP(E885,'VALORES VIAJES'!$A$2:$B$13,2,FALSE),"")</f>
        <v/>
      </c>
      <c r="T885" t="str">
        <f>IFERROR(VLOOKUP(H885,'VALORES VIAJES'!$A$2:$B$24,2,FALSE),"")</f>
        <v/>
      </c>
      <c r="U885" t="str">
        <f>IFERROR(VLOOKUP(I885,'VALORES VIAJES'!$A$2:$B$24,2,FALSE),"")</f>
        <v/>
      </c>
      <c r="V885" t="str">
        <f>IFERROR(VLOOKUP(K885,'VALORES VIAJES'!$A$2:$B$24,2,FALSE),"")</f>
        <v/>
      </c>
      <c r="X885" s="208">
        <f>SUM(Hoja1[[#This Row],[$ X TIP VEHICUL]:[AGREGADO]])</f>
        <v>0</v>
      </c>
    </row>
    <row r="886" spans="2:24" hidden="1" x14ac:dyDescent="0.25">
      <c r="B886" s="189"/>
      <c r="J886" s="189"/>
      <c r="M886" s="205"/>
      <c r="O886" t="s">
        <v>7711</v>
      </c>
      <c r="S886" t="str">
        <f>IFERROR(VLOOKUP(E886,'VALORES VIAJES'!$A$2:$B$13,2,FALSE),"")</f>
        <v/>
      </c>
      <c r="T886" t="str">
        <f>IFERROR(VLOOKUP(H886,'VALORES VIAJES'!$A$2:$B$24,2,FALSE),"")</f>
        <v/>
      </c>
      <c r="U886" t="str">
        <f>IFERROR(VLOOKUP(I886,'VALORES VIAJES'!$A$2:$B$24,2,FALSE),"")</f>
        <v/>
      </c>
      <c r="V886" t="str">
        <f>IFERROR(VLOOKUP(K886,'VALORES VIAJES'!$A$2:$B$24,2,FALSE),"")</f>
        <v/>
      </c>
      <c r="X886" s="208">
        <f>SUM(Hoja1[[#This Row],[$ X TIP VEHICUL]:[AGREGADO]])</f>
        <v>0</v>
      </c>
    </row>
    <row r="887" spans="2:24" hidden="1" x14ac:dyDescent="0.25">
      <c r="B887" s="189"/>
      <c r="J887" s="189"/>
      <c r="M887" s="205"/>
      <c r="O887" t="s">
        <v>7711</v>
      </c>
      <c r="S887" t="str">
        <f>IFERROR(VLOOKUP(E887,'VALORES VIAJES'!$A$2:$B$13,2,FALSE),"")</f>
        <v/>
      </c>
      <c r="T887" t="str">
        <f>IFERROR(VLOOKUP(H887,'VALORES VIAJES'!$A$2:$B$24,2,FALSE),"")</f>
        <v/>
      </c>
      <c r="U887" t="str">
        <f>IFERROR(VLOOKUP(I887,'VALORES VIAJES'!$A$2:$B$24,2,FALSE),"")</f>
        <v/>
      </c>
      <c r="V887" t="str">
        <f>IFERROR(VLOOKUP(K887,'VALORES VIAJES'!$A$2:$B$24,2,FALSE),"")</f>
        <v/>
      </c>
      <c r="X887" s="208">
        <f>SUM(Hoja1[[#This Row],[$ X TIP VEHICUL]:[AGREGADO]])</f>
        <v>0</v>
      </c>
    </row>
    <row r="888" spans="2:24" hidden="1" x14ac:dyDescent="0.25">
      <c r="B888" s="189"/>
      <c r="J888" s="189"/>
      <c r="M888" s="205"/>
      <c r="O888" t="s">
        <v>7711</v>
      </c>
      <c r="S888" t="str">
        <f>IFERROR(VLOOKUP(E888,'VALORES VIAJES'!$A$2:$B$13,2,FALSE),"")</f>
        <v/>
      </c>
      <c r="T888" t="str">
        <f>IFERROR(VLOOKUP(H888,'VALORES VIAJES'!$A$2:$B$24,2,FALSE),"")</f>
        <v/>
      </c>
      <c r="U888" t="str">
        <f>IFERROR(VLOOKUP(I888,'VALORES VIAJES'!$A$2:$B$24,2,FALSE),"")</f>
        <v/>
      </c>
      <c r="V888" t="str">
        <f>IFERROR(VLOOKUP(K888,'VALORES VIAJES'!$A$2:$B$24,2,FALSE),"")</f>
        <v/>
      </c>
      <c r="X888" s="208">
        <f>SUM(Hoja1[[#This Row],[$ X TIP VEHICUL]:[AGREGADO]])</f>
        <v>0</v>
      </c>
    </row>
    <row r="889" spans="2:24" hidden="1" x14ac:dyDescent="0.25">
      <c r="B889" s="189"/>
      <c r="J889" s="189"/>
      <c r="M889" s="205"/>
      <c r="O889" t="s">
        <v>7711</v>
      </c>
      <c r="S889" t="str">
        <f>IFERROR(VLOOKUP(E889,'VALORES VIAJES'!$A$2:$B$13,2,FALSE),"")</f>
        <v/>
      </c>
      <c r="T889" t="str">
        <f>IFERROR(VLOOKUP(H889,'VALORES VIAJES'!$A$2:$B$24,2,FALSE),"")</f>
        <v/>
      </c>
      <c r="U889" t="str">
        <f>IFERROR(VLOOKUP(I889,'VALORES VIAJES'!$A$2:$B$24,2,FALSE),"")</f>
        <v/>
      </c>
      <c r="V889" t="str">
        <f>IFERROR(VLOOKUP(K889,'VALORES VIAJES'!$A$2:$B$24,2,FALSE),"")</f>
        <v/>
      </c>
      <c r="X889" s="208">
        <f>SUM(Hoja1[[#This Row],[$ X TIP VEHICUL]:[AGREGADO]])</f>
        <v>0</v>
      </c>
    </row>
    <row r="890" spans="2:24" hidden="1" x14ac:dyDescent="0.25">
      <c r="B890" s="189"/>
      <c r="J890" s="189"/>
      <c r="M890" s="205"/>
      <c r="O890" t="s">
        <v>7711</v>
      </c>
      <c r="S890" t="str">
        <f>IFERROR(VLOOKUP(E890,'VALORES VIAJES'!$A$2:$B$13,2,FALSE),"")</f>
        <v/>
      </c>
      <c r="T890" t="str">
        <f>IFERROR(VLOOKUP(H890,'VALORES VIAJES'!$A$2:$B$24,2,FALSE),"")</f>
        <v/>
      </c>
      <c r="U890" t="str">
        <f>IFERROR(VLOOKUP(I890,'VALORES VIAJES'!$A$2:$B$24,2,FALSE),"")</f>
        <v/>
      </c>
      <c r="V890" t="str">
        <f>IFERROR(VLOOKUP(K890,'VALORES VIAJES'!$A$2:$B$24,2,FALSE),"")</f>
        <v/>
      </c>
      <c r="X890" s="208">
        <f>SUM(Hoja1[[#This Row],[$ X TIP VEHICUL]:[AGREGADO]])</f>
        <v>0</v>
      </c>
    </row>
    <row r="891" spans="2:24" hidden="1" x14ac:dyDescent="0.25">
      <c r="B891" s="189"/>
      <c r="J891" s="189"/>
      <c r="M891" s="205"/>
      <c r="O891" t="s">
        <v>7711</v>
      </c>
      <c r="S891" t="str">
        <f>IFERROR(VLOOKUP(E891,'VALORES VIAJES'!$A$2:$B$13,2,FALSE),"")</f>
        <v/>
      </c>
      <c r="T891" t="str">
        <f>IFERROR(VLOOKUP(H891,'VALORES VIAJES'!$A$2:$B$24,2,FALSE),"")</f>
        <v/>
      </c>
      <c r="U891" t="str">
        <f>IFERROR(VLOOKUP(I891,'VALORES VIAJES'!$A$2:$B$24,2,FALSE),"")</f>
        <v/>
      </c>
      <c r="V891" t="str">
        <f>IFERROR(VLOOKUP(K891,'VALORES VIAJES'!$A$2:$B$24,2,FALSE),"")</f>
        <v/>
      </c>
      <c r="X891" s="208">
        <f>SUM(Hoja1[[#This Row],[$ X TIP VEHICUL]:[AGREGADO]])</f>
        <v>0</v>
      </c>
    </row>
    <row r="892" spans="2:24" hidden="1" x14ac:dyDescent="0.25">
      <c r="B892" s="189"/>
      <c r="J892" s="189"/>
      <c r="M892" s="205"/>
      <c r="O892" t="s">
        <v>7711</v>
      </c>
      <c r="S892" t="str">
        <f>IFERROR(VLOOKUP(E892,'VALORES VIAJES'!$A$2:$B$13,2,FALSE),"")</f>
        <v/>
      </c>
      <c r="T892" t="str">
        <f>IFERROR(VLOOKUP(H892,'VALORES VIAJES'!$A$2:$B$24,2,FALSE),"")</f>
        <v/>
      </c>
      <c r="U892" t="str">
        <f>IFERROR(VLOOKUP(I892,'VALORES VIAJES'!$A$2:$B$24,2,FALSE),"")</f>
        <v/>
      </c>
      <c r="V892" t="str">
        <f>IFERROR(VLOOKUP(K892,'VALORES VIAJES'!$A$2:$B$24,2,FALSE),"")</f>
        <v/>
      </c>
      <c r="X892" s="208">
        <f>SUM(Hoja1[[#This Row],[$ X TIP VEHICUL]:[AGREGADO]])</f>
        <v>0</v>
      </c>
    </row>
    <row r="893" spans="2:24" hidden="1" x14ac:dyDescent="0.25">
      <c r="B893" s="189"/>
      <c r="J893" s="189"/>
      <c r="M893" s="205"/>
      <c r="O893" t="s">
        <v>7711</v>
      </c>
      <c r="S893" t="str">
        <f>IFERROR(VLOOKUP(E893,'VALORES VIAJES'!$A$2:$B$13,2,FALSE),"")</f>
        <v/>
      </c>
      <c r="T893" t="str">
        <f>IFERROR(VLOOKUP(H893,'VALORES VIAJES'!$A$2:$B$24,2,FALSE),"")</f>
        <v/>
      </c>
      <c r="U893" t="str">
        <f>IFERROR(VLOOKUP(I893,'VALORES VIAJES'!$A$2:$B$24,2,FALSE),"")</f>
        <v/>
      </c>
      <c r="V893" t="str">
        <f>IFERROR(VLOOKUP(K893,'VALORES VIAJES'!$A$2:$B$24,2,FALSE),"")</f>
        <v/>
      </c>
      <c r="X893" s="208">
        <f>SUM(Hoja1[[#This Row],[$ X TIP VEHICUL]:[AGREGADO]])</f>
        <v>0</v>
      </c>
    </row>
    <row r="894" spans="2:24" hidden="1" x14ac:dyDescent="0.25">
      <c r="B894" s="189"/>
      <c r="J894" s="189"/>
      <c r="M894" s="205"/>
      <c r="O894" t="s">
        <v>7711</v>
      </c>
      <c r="S894" t="str">
        <f>IFERROR(VLOOKUP(E894,'VALORES VIAJES'!$A$2:$B$13,2,FALSE),"")</f>
        <v/>
      </c>
      <c r="T894" t="str">
        <f>IFERROR(VLOOKUP(H894,'VALORES VIAJES'!$A$2:$B$24,2,FALSE),"")</f>
        <v/>
      </c>
      <c r="U894" t="str">
        <f>IFERROR(VLOOKUP(I894,'VALORES VIAJES'!$A$2:$B$24,2,FALSE),"")</f>
        <v/>
      </c>
      <c r="V894" t="str">
        <f>IFERROR(VLOOKUP(K894,'VALORES VIAJES'!$A$2:$B$24,2,FALSE),"")</f>
        <v/>
      </c>
      <c r="X894" s="208">
        <f>SUM(Hoja1[[#This Row],[$ X TIP VEHICUL]:[AGREGADO]])</f>
        <v>0</v>
      </c>
    </row>
    <row r="895" spans="2:24" hidden="1" x14ac:dyDescent="0.25">
      <c r="B895" s="189"/>
      <c r="J895" s="189"/>
      <c r="M895" s="205"/>
      <c r="O895" t="s">
        <v>7711</v>
      </c>
      <c r="S895" t="str">
        <f>IFERROR(VLOOKUP(E895,'VALORES VIAJES'!$A$2:$B$13,2,FALSE),"")</f>
        <v/>
      </c>
      <c r="T895" t="str">
        <f>IFERROR(VLOOKUP(H895,'VALORES VIAJES'!$A$2:$B$24,2,FALSE),"")</f>
        <v/>
      </c>
      <c r="U895" t="str">
        <f>IFERROR(VLOOKUP(I895,'VALORES VIAJES'!$A$2:$B$24,2,FALSE),"")</f>
        <v/>
      </c>
      <c r="V895" t="str">
        <f>IFERROR(VLOOKUP(K895,'VALORES VIAJES'!$A$2:$B$24,2,FALSE),"")</f>
        <v/>
      </c>
      <c r="X895" s="208">
        <f>SUM(Hoja1[[#This Row],[$ X TIP VEHICUL]:[AGREGADO]])</f>
        <v>0</v>
      </c>
    </row>
    <row r="896" spans="2:24" hidden="1" x14ac:dyDescent="0.25">
      <c r="B896" s="189"/>
      <c r="J896" s="189"/>
      <c r="M896" s="205"/>
      <c r="O896" t="s">
        <v>7711</v>
      </c>
      <c r="S896" t="str">
        <f>IFERROR(VLOOKUP(E896,'VALORES VIAJES'!$A$2:$B$13,2,FALSE),"")</f>
        <v/>
      </c>
      <c r="T896" t="str">
        <f>IFERROR(VLOOKUP(H896,'VALORES VIAJES'!$A$2:$B$24,2,FALSE),"")</f>
        <v/>
      </c>
      <c r="U896" t="str">
        <f>IFERROR(VLOOKUP(I896,'VALORES VIAJES'!$A$2:$B$24,2,FALSE),"")</f>
        <v/>
      </c>
      <c r="V896" t="str">
        <f>IFERROR(VLOOKUP(K896,'VALORES VIAJES'!$A$2:$B$24,2,FALSE),"")</f>
        <v/>
      </c>
      <c r="X896" s="208">
        <f>SUM(Hoja1[[#This Row],[$ X TIP VEHICUL]:[AGREGADO]])</f>
        <v>0</v>
      </c>
    </row>
    <row r="897" spans="2:24" hidden="1" x14ac:dyDescent="0.25">
      <c r="B897" s="189"/>
      <c r="J897" s="189"/>
      <c r="M897" s="205"/>
      <c r="O897" t="s">
        <v>7711</v>
      </c>
      <c r="S897" t="str">
        <f>IFERROR(VLOOKUP(E897,'VALORES VIAJES'!$A$2:$B$13,2,FALSE),"")</f>
        <v/>
      </c>
      <c r="T897" t="str">
        <f>IFERROR(VLOOKUP(H897,'VALORES VIAJES'!$A$2:$B$24,2,FALSE),"")</f>
        <v/>
      </c>
      <c r="U897" t="str">
        <f>IFERROR(VLOOKUP(I897,'VALORES VIAJES'!$A$2:$B$24,2,FALSE),"")</f>
        <v/>
      </c>
      <c r="V897" t="str">
        <f>IFERROR(VLOOKUP(K897,'VALORES VIAJES'!$A$2:$B$24,2,FALSE),"")</f>
        <v/>
      </c>
      <c r="X897" s="208">
        <f>SUM(Hoja1[[#This Row],[$ X TIP VEHICUL]:[AGREGADO]])</f>
        <v>0</v>
      </c>
    </row>
    <row r="898" spans="2:24" hidden="1" x14ac:dyDescent="0.25">
      <c r="B898" s="189"/>
      <c r="J898" s="189"/>
      <c r="M898" s="205"/>
      <c r="O898" t="s">
        <v>7711</v>
      </c>
      <c r="S898" t="str">
        <f>IFERROR(VLOOKUP(E898,'VALORES VIAJES'!$A$2:$B$13,2,FALSE),"")</f>
        <v/>
      </c>
      <c r="T898" t="str">
        <f>IFERROR(VLOOKUP(H898,'VALORES VIAJES'!$A$2:$B$24,2,FALSE),"")</f>
        <v/>
      </c>
      <c r="U898" t="str">
        <f>IFERROR(VLOOKUP(I898,'VALORES VIAJES'!$A$2:$B$24,2,FALSE),"")</f>
        <v/>
      </c>
      <c r="V898" t="str">
        <f>IFERROR(VLOOKUP(K898,'VALORES VIAJES'!$A$2:$B$24,2,FALSE),"")</f>
        <v/>
      </c>
      <c r="X898" s="208">
        <f>SUM(Hoja1[[#This Row],[$ X TIP VEHICUL]:[AGREGADO]])</f>
        <v>0</v>
      </c>
    </row>
    <row r="899" spans="2:24" hidden="1" x14ac:dyDescent="0.25">
      <c r="B899" s="189"/>
      <c r="J899" s="189"/>
      <c r="M899" s="205"/>
      <c r="O899" t="s">
        <v>7711</v>
      </c>
      <c r="S899" t="str">
        <f>IFERROR(VLOOKUP(E899,'VALORES VIAJES'!$A$2:$B$13,2,FALSE),"")</f>
        <v/>
      </c>
      <c r="T899" t="str">
        <f>IFERROR(VLOOKUP(H899,'VALORES VIAJES'!$A$2:$B$24,2,FALSE),"")</f>
        <v/>
      </c>
      <c r="U899" t="str">
        <f>IFERROR(VLOOKUP(I899,'VALORES VIAJES'!$A$2:$B$24,2,FALSE),"")</f>
        <v/>
      </c>
      <c r="V899" t="str">
        <f>IFERROR(VLOOKUP(K899,'VALORES VIAJES'!$A$2:$B$24,2,FALSE),"")</f>
        <v/>
      </c>
      <c r="X899" s="208">
        <f>SUM(Hoja1[[#This Row],[$ X TIP VEHICUL]:[AGREGADO]])</f>
        <v>0</v>
      </c>
    </row>
    <row r="900" spans="2:24" hidden="1" x14ac:dyDescent="0.25">
      <c r="B900" s="189"/>
      <c r="J900" s="189"/>
      <c r="M900" s="205"/>
      <c r="O900" t="s">
        <v>7711</v>
      </c>
      <c r="S900" t="str">
        <f>IFERROR(VLOOKUP(E900,'VALORES VIAJES'!$A$2:$B$13,2,FALSE),"")</f>
        <v/>
      </c>
      <c r="T900" t="str">
        <f>IFERROR(VLOOKUP(H900,'VALORES VIAJES'!$A$2:$B$24,2,FALSE),"")</f>
        <v/>
      </c>
      <c r="U900" t="str">
        <f>IFERROR(VLOOKUP(I900,'VALORES VIAJES'!$A$2:$B$24,2,FALSE),"")</f>
        <v/>
      </c>
      <c r="V900" t="str">
        <f>IFERROR(VLOOKUP(K900,'VALORES VIAJES'!$A$2:$B$24,2,FALSE),"")</f>
        <v/>
      </c>
      <c r="X900" s="208">
        <f>SUM(Hoja1[[#This Row],[$ X TIP VEHICUL]:[AGREGADO]])</f>
        <v>0</v>
      </c>
    </row>
    <row r="901" spans="2:24" hidden="1" x14ac:dyDescent="0.25">
      <c r="B901" s="189"/>
      <c r="J901" s="189"/>
      <c r="M901" s="205"/>
      <c r="O901" t="s">
        <v>7711</v>
      </c>
      <c r="S901" t="str">
        <f>IFERROR(VLOOKUP(E901,'VALORES VIAJES'!$A$2:$B$13,2,FALSE),"")</f>
        <v/>
      </c>
      <c r="T901" t="str">
        <f>IFERROR(VLOOKUP(H901,'VALORES VIAJES'!$A$2:$B$24,2,FALSE),"")</f>
        <v/>
      </c>
      <c r="U901" t="str">
        <f>IFERROR(VLOOKUP(I901,'VALORES VIAJES'!$A$2:$B$24,2,FALSE),"")</f>
        <v/>
      </c>
      <c r="V901" t="str">
        <f>IFERROR(VLOOKUP(K901,'VALORES VIAJES'!$A$2:$B$24,2,FALSE),"")</f>
        <v/>
      </c>
      <c r="X901" s="208">
        <f>SUM(Hoja1[[#This Row],[$ X TIP VEHICUL]:[AGREGADO]])</f>
        <v>0</v>
      </c>
    </row>
    <row r="902" spans="2:24" hidden="1" x14ac:dyDescent="0.25">
      <c r="B902" s="189"/>
      <c r="J902" s="189"/>
      <c r="M902" s="205"/>
      <c r="O902" t="s">
        <v>7711</v>
      </c>
      <c r="S902" t="str">
        <f>IFERROR(VLOOKUP(E902,'VALORES VIAJES'!$A$2:$B$13,2,FALSE),"")</f>
        <v/>
      </c>
      <c r="T902" t="str">
        <f>IFERROR(VLOOKUP(H902,'VALORES VIAJES'!$A$2:$B$24,2,FALSE),"")</f>
        <v/>
      </c>
      <c r="U902" t="str">
        <f>IFERROR(VLOOKUP(I902,'VALORES VIAJES'!$A$2:$B$24,2,FALSE),"")</f>
        <v/>
      </c>
      <c r="V902" t="str">
        <f>IFERROR(VLOOKUP(K902,'VALORES VIAJES'!$A$2:$B$24,2,FALSE),"")</f>
        <v/>
      </c>
      <c r="X902" s="208">
        <f>SUM(Hoja1[[#This Row],[$ X TIP VEHICUL]:[AGREGADO]])</f>
        <v>0</v>
      </c>
    </row>
    <row r="903" spans="2:24" hidden="1" x14ac:dyDescent="0.25">
      <c r="B903" s="189"/>
      <c r="J903" s="189"/>
      <c r="M903" s="205"/>
      <c r="O903" t="s">
        <v>7711</v>
      </c>
      <c r="S903" t="str">
        <f>IFERROR(VLOOKUP(E903,'VALORES VIAJES'!$A$2:$B$13,2,FALSE),"")</f>
        <v/>
      </c>
      <c r="T903" t="str">
        <f>IFERROR(VLOOKUP(H903,'VALORES VIAJES'!$A$2:$B$24,2,FALSE),"")</f>
        <v/>
      </c>
      <c r="U903" t="str">
        <f>IFERROR(VLOOKUP(I903,'VALORES VIAJES'!$A$2:$B$24,2,FALSE),"")</f>
        <v/>
      </c>
      <c r="V903" t="str">
        <f>IFERROR(VLOOKUP(K903,'VALORES VIAJES'!$A$2:$B$24,2,FALSE),"")</f>
        <v/>
      </c>
      <c r="X903" s="208">
        <f>SUM(Hoja1[[#This Row],[$ X TIP VEHICUL]:[AGREGADO]])</f>
        <v>0</v>
      </c>
    </row>
    <row r="904" spans="2:24" hidden="1" x14ac:dyDescent="0.25">
      <c r="B904" s="189"/>
      <c r="J904" s="189"/>
      <c r="M904" s="205"/>
      <c r="O904" t="s">
        <v>7711</v>
      </c>
      <c r="S904" t="str">
        <f>IFERROR(VLOOKUP(E904,'VALORES VIAJES'!$A$2:$B$13,2,FALSE),"")</f>
        <v/>
      </c>
      <c r="T904" t="str">
        <f>IFERROR(VLOOKUP(H904,'VALORES VIAJES'!$A$2:$B$24,2,FALSE),"")</f>
        <v/>
      </c>
      <c r="U904" t="str">
        <f>IFERROR(VLOOKUP(I904,'VALORES VIAJES'!$A$2:$B$24,2,FALSE),"")</f>
        <v/>
      </c>
      <c r="V904" t="str">
        <f>IFERROR(VLOOKUP(K904,'VALORES VIAJES'!$A$2:$B$24,2,FALSE),"")</f>
        <v/>
      </c>
      <c r="X904" s="208">
        <f>SUM(Hoja1[[#This Row],[$ X TIP VEHICUL]:[AGREGADO]])</f>
        <v>0</v>
      </c>
    </row>
    <row r="905" spans="2:24" hidden="1" x14ac:dyDescent="0.25">
      <c r="B905" s="189"/>
      <c r="J905" s="189"/>
      <c r="M905" s="205"/>
      <c r="O905" t="s">
        <v>7711</v>
      </c>
      <c r="S905" t="str">
        <f>IFERROR(VLOOKUP(E905,'VALORES VIAJES'!$A$2:$B$13,2,FALSE),"")</f>
        <v/>
      </c>
      <c r="T905" t="str">
        <f>IFERROR(VLOOKUP(H905,'VALORES VIAJES'!$A$2:$B$24,2,FALSE),"")</f>
        <v/>
      </c>
      <c r="U905" t="str">
        <f>IFERROR(VLOOKUP(I905,'VALORES VIAJES'!$A$2:$B$24,2,FALSE),"")</f>
        <v/>
      </c>
      <c r="V905" t="str">
        <f>IFERROR(VLOOKUP(K905,'VALORES VIAJES'!$A$2:$B$24,2,FALSE),"")</f>
        <v/>
      </c>
      <c r="X905" s="208">
        <f>SUM(Hoja1[[#This Row],[$ X TIP VEHICUL]:[AGREGADO]])</f>
        <v>0</v>
      </c>
    </row>
    <row r="906" spans="2:24" hidden="1" x14ac:dyDescent="0.25">
      <c r="B906" s="189"/>
      <c r="J906" s="189"/>
      <c r="M906" s="205"/>
      <c r="O906" t="s">
        <v>7711</v>
      </c>
      <c r="S906" t="str">
        <f>IFERROR(VLOOKUP(E906,'VALORES VIAJES'!$A$2:$B$13,2,FALSE),"")</f>
        <v/>
      </c>
      <c r="T906" t="str">
        <f>IFERROR(VLOOKUP(H906,'VALORES VIAJES'!$A$2:$B$24,2,FALSE),"")</f>
        <v/>
      </c>
      <c r="U906" t="str">
        <f>IFERROR(VLOOKUP(I906,'VALORES VIAJES'!$A$2:$B$24,2,FALSE),"")</f>
        <v/>
      </c>
      <c r="V906" t="str">
        <f>IFERROR(VLOOKUP(K906,'VALORES VIAJES'!$A$2:$B$24,2,FALSE),"")</f>
        <v/>
      </c>
      <c r="X906" s="208">
        <f>SUM(Hoja1[[#This Row],[$ X TIP VEHICUL]:[AGREGADO]])</f>
        <v>0</v>
      </c>
    </row>
    <row r="907" spans="2:24" hidden="1" x14ac:dyDescent="0.25">
      <c r="B907" s="189"/>
      <c r="J907" s="189"/>
      <c r="M907" s="205"/>
      <c r="O907" t="s">
        <v>7711</v>
      </c>
      <c r="S907" t="str">
        <f>IFERROR(VLOOKUP(E907,'VALORES VIAJES'!$A$2:$B$13,2,FALSE),"")</f>
        <v/>
      </c>
      <c r="T907" t="str">
        <f>IFERROR(VLOOKUP(H907,'VALORES VIAJES'!$A$2:$B$24,2,FALSE),"")</f>
        <v/>
      </c>
      <c r="U907" t="str">
        <f>IFERROR(VLOOKUP(I907,'VALORES VIAJES'!$A$2:$B$24,2,FALSE),"")</f>
        <v/>
      </c>
      <c r="V907" t="str">
        <f>IFERROR(VLOOKUP(K907,'VALORES VIAJES'!$A$2:$B$24,2,FALSE),"")</f>
        <v/>
      </c>
      <c r="X907" s="208">
        <f>SUM(Hoja1[[#This Row],[$ X TIP VEHICUL]:[AGREGADO]])</f>
        <v>0</v>
      </c>
    </row>
    <row r="908" spans="2:24" hidden="1" x14ac:dyDescent="0.25">
      <c r="B908" s="189"/>
      <c r="J908" s="189"/>
      <c r="M908" s="205"/>
      <c r="O908" t="s">
        <v>7711</v>
      </c>
      <c r="S908" t="str">
        <f>IFERROR(VLOOKUP(E908,'VALORES VIAJES'!$A$2:$B$13,2,FALSE),"")</f>
        <v/>
      </c>
      <c r="T908" t="str">
        <f>IFERROR(VLOOKUP(H908,'VALORES VIAJES'!$A$2:$B$24,2,FALSE),"")</f>
        <v/>
      </c>
      <c r="U908" t="str">
        <f>IFERROR(VLOOKUP(I908,'VALORES VIAJES'!$A$2:$B$24,2,FALSE),"")</f>
        <v/>
      </c>
      <c r="V908" t="str">
        <f>IFERROR(VLOOKUP(K908,'VALORES VIAJES'!$A$2:$B$24,2,FALSE),"")</f>
        <v/>
      </c>
      <c r="X908" s="208">
        <f>SUM(Hoja1[[#This Row],[$ X TIP VEHICUL]:[AGREGADO]])</f>
        <v>0</v>
      </c>
    </row>
    <row r="909" spans="2:24" hidden="1" x14ac:dyDescent="0.25">
      <c r="B909" s="189"/>
      <c r="J909" s="189"/>
      <c r="M909" s="205"/>
      <c r="O909" t="s">
        <v>7711</v>
      </c>
      <c r="S909" t="str">
        <f>IFERROR(VLOOKUP(E909,'VALORES VIAJES'!$A$2:$B$13,2,FALSE),"")</f>
        <v/>
      </c>
      <c r="T909" t="str">
        <f>IFERROR(VLOOKUP(H909,'VALORES VIAJES'!$A$2:$B$24,2,FALSE),"")</f>
        <v/>
      </c>
      <c r="U909" t="str">
        <f>IFERROR(VLOOKUP(I909,'VALORES VIAJES'!$A$2:$B$24,2,FALSE),"")</f>
        <v/>
      </c>
      <c r="V909" t="str">
        <f>IFERROR(VLOOKUP(K909,'VALORES VIAJES'!$A$2:$B$24,2,FALSE),"")</f>
        <v/>
      </c>
      <c r="X909" s="208">
        <f>SUM(Hoja1[[#This Row],[$ X TIP VEHICUL]:[AGREGADO]])</f>
        <v>0</v>
      </c>
    </row>
    <row r="910" spans="2:24" hidden="1" x14ac:dyDescent="0.25">
      <c r="B910" s="189"/>
      <c r="J910" s="189"/>
      <c r="M910" s="205"/>
      <c r="O910" t="s">
        <v>7711</v>
      </c>
      <c r="S910" t="str">
        <f>IFERROR(VLOOKUP(E910,'VALORES VIAJES'!$A$2:$B$13,2,FALSE),"")</f>
        <v/>
      </c>
      <c r="T910" t="str">
        <f>IFERROR(VLOOKUP(H910,'VALORES VIAJES'!$A$2:$B$24,2,FALSE),"")</f>
        <v/>
      </c>
      <c r="U910" t="str">
        <f>IFERROR(VLOOKUP(I910,'VALORES VIAJES'!$A$2:$B$24,2,FALSE),"")</f>
        <v/>
      </c>
      <c r="V910" t="str">
        <f>IFERROR(VLOOKUP(K910,'VALORES VIAJES'!$A$2:$B$24,2,FALSE),"")</f>
        <v/>
      </c>
      <c r="X910" s="208">
        <f>SUM(Hoja1[[#This Row],[$ X TIP VEHICUL]:[AGREGADO]])</f>
        <v>0</v>
      </c>
    </row>
    <row r="911" spans="2:24" hidden="1" x14ac:dyDescent="0.25">
      <c r="B911" s="189"/>
      <c r="J911" s="189"/>
      <c r="M911" s="205"/>
      <c r="O911" t="s">
        <v>7711</v>
      </c>
      <c r="S911" t="str">
        <f>IFERROR(VLOOKUP(E911,'VALORES VIAJES'!$A$2:$B$13,2,FALSE),"")</f>
        <v/>
      </c>
      <c r="T911" t="str">
        <f>IFERROR(VLOOKUP(H911,'VALORES VIAJES'!$A$2:$B$24,2,FALSE),"")</f>
        <v/>
      </c>
      <c r="U911" t="str">
        <f>IFERROR(VLOOKUP(I911,'VALORES VIAJES'!$A$2:$B$24,2,FALSE),"")</f>
        <v/>
      </c>
      <c r="V911" t="str">
        <f>IFERROR(VLOOKUP(K911,'VALORES VIAJES'!$A$2:$B$24,2,FALSE),"")</f>
        <v/>
      </c>
      <c r="X911" s="208">
        <f>SUM(Hoja1[[#This Row],[$ X TIP VEHICUL]:[AGREGADO]])</f>
        <v>0</v>
      </c>
    </row>
    <row r="912" spans="2:24" hidden="1" x14ac:dyDescent="0.25">
      <c r="B912" s="189"/>
      <c r="J912" s="189"/>
      <c r="M912" s="205"/>
      <c r="O912" t="s">
        <v>7711</v>
      </c>
      <c r="S912" t="str">
        <f>IFERROR(VLOOKUP(E912,'VALORES VIAJES'!$A$2:$B$13,2,FALSE),"")</f>
        <v/>
      </c>
      <c r="T912" t="str">
        <f>IFERROR(VLOOKUP(H912,'VALORES VIAJES'!$A$2:$B$24,2,FALSE),"")</f>
        <v/>
      </c>
      <c r="U912" t="str">
        <f>IFERROR(VLOOKUP(I912,'VALORES VIAJES'!$A$2:$B$24,2,FALSE),"")</f>
        <v/>
      </c>
      <c r="V912" t="str">
        <f>IFERROR(VLOOKUP(K912,'VALORES VIAJES'!$A$2:$B$24,2,FALSE),"")</f>
        <v/>
      </c>
      <c r="X912" s="208">
        <f>SUM(Hoja1[[#This Row],[$ X TIP VEHICUL]:[AGREGADO]])</f>
        <v>0</v>
      </c>
    </row>
    <row r="913" spans="2:24" hidden="1" x14ac:dyDescent="0.25">
      <c r="B913" s="189"/>
      <c r="J913" s="189"/>
      <c r="M913" s="205"/>
      <c r="O913" t="s">
        <v>7711</v>
      </c>
      <c r="S913" t="str">
        <f>IFERROR(VLOOKUP(E913,'VALORES VIAJES'!$A$2:$B$13,2,FALSE),"")</f>
        <v/>
      </c>
      <c r="T913" t="str">
        <f>IFERROR(VLOOKUP(H913,'VALORES VIAJES'!$A$2:$B$24,2,FALSE),"")</f>
        <v/>
      </c>
      <c r="U913" t="str">
        <f>IFERROR(VLOOKUP(I913,'VALORES VIAJES'!$A$2:$B$24,2,FALSE),"")</f>
        <v/>
      </c>
      <c r="V913" t="str">
        <f>IFERROR(VLOOKUP(K913,'VALORES VIAJES'!$A$2:$B$24,2,FALSE),"")</f>
        <v/>
      </c>
      <c r="X913" s="208">
        <f>SUM(Hoja1[[#This Row],[$ X TIP VEHICUL]:[AGREGADO]])</f>
        <v>0</v>
      </c>
    </row>
    <row r="914" spans="2:24" hidden="1" x14ac:dyDescent="0.25">
      <c r="B914" s="189"/>
      <c r="J914" s="189"/>
      <c r="M914" s="205"/>
      <c r="O914" t="s">
        <v>7711</v>
      </c>
      <c r="S914" t="str">
        <f>IFERROR(VLOOKUP(E914,'VALORES VIAJES'!$A$2:$B$13,2,FALSE),"")</f>
        <v/>
      </c>
      <c r="T914" t="str">
        <f>IFERROR(VLOOKUP(H914,'VALORES VIAJES'!$A$2:$B$24,2,FALSE),"")</f>
        <v/>
      </c>
      <c r="U914" t="str">
        <f>IFERROR(VLOOKUP(I914,'VALORES VIAJES'!$A$2:$B$24,2,FALSE),"")</f>
        <v/>
      </c>
      <c r="V914" t="str">
        <f>IFERROR(VLOOKUP(K914,'VALORES VIAJES'!$A$2:$B$24,2,FALSE),"")</f>
        <v/>
      </c>
      <c r="X914" s="208">
        <f>SUM(Hoja1[[#This Row],[$ X TIP VEHICUL]:[AGREGADO]])</f>
        <v>0</v>
      </c>
    </row>
    <row r="915" spans="2:24" hidden="1" x14ac:dyDescent="0.25">
      <c r="B915" s="189"/>
      <c r="J915" s="189"/>
      <c r="M915" s="205"/>
      <c r="O915" t="s">
        <v>7711</v>
      </c>
      <c r="S915" t="str">
        <f>IFERROR(VLOOKUP(E915,'VALORES VIAJES'!$A$2:$B$13,2,FALSE),"")</f>
        <v/>
      </c>
      <c r="T915" t="str">
        <f>IFERROR(VLOOKUP(H915,'VALORES VIAJES'!$A$2:$B$24,2,FALSE),"")</f>
        <v/>
      </c>
      <c r="U915" t="str">
        <f>IFERROR(VLOOKUP(I915,'VALORES VIAJES'!$A$2:$B$24,2,FALSE),"")</f>
        <v/>
      </c>
      <c r="V915" t="str">
        <f>IFERROR(VLOOKUP(K915,'VALORES VIAJES'!$A$2:$B$24,2,FALSE),"")</f>
        <v/>
      </c>
      <c r="X915" s="208">
        <f>SUM(Hoja1[[#This Row],[$ X TIP VEHICUL]:[AGREGADO]])</f>
        <v>0</v>
      </c>
    </row>
    <row r="916" spans="2:24" hidden="1" x14ac:dyDescent="0.25">
      <c r="B916" s="189"/>
      <c r="J916" s="189"/>
      <c r="M916" s="205"/>
      <c r="O916" t="s">
        <v>7711</v>
      </c>
      <c r="S916" t="str">
        <f>IFERROR(VLOOKUP(E916,'VALORES VIAJES'!$A$2:$B$13,2,FALSE),"")</f>
        <v/>
      </c>
      <c r="T916" t="str">
        <f>IFERROR(VLOOKUP(H916,'VALORES VIAJES'!$A$2:$B$24,2,FALSE),"")</f>
        <v/>
      </c>
      <c r="U916" t="str">
        <f>IFERROR(VLOOKUP(I916,'VALORES VIAJES'!$A$2:$B$24,2,FALSE),"")</f>
        <v/>
      </c>
      <c r="V916" t="str">
        <f>IFERROR(VLOOKUP(K916,'VALORES VIAJES'!$A$2:$B$24,2,FALSE),"")</f>
        <v/>
      </c>
      <c r="X916" s="208">
        <f>SUM(Hoja1[[#This Row],[$ X TIP VEHICUL]:[AGREGADO]])</f>
        <v>0</v>
      </c>
    </row>
    <row r="917" spans="2:24" hidden="1" x14ac:dyDescent="0.25">
      <c r="B917" s="189"/>
      <c r="J917" s="189"/>
      <c r="M917" s="205"/>
      <c r="O917" t="s">
        <v>7711</v>
      </c>
      <c r="S917" t="str">
        <f>IFERROR(VLOOKUP(E917,'VALORES VIAJES'!$A$2:$B$13,2,FALSE),"")</f>
        <v/>
      </c>
      <c r="T917" t="str">
        <f>IFERROR(VLOOKUP(H917,'VALORES VIAJES'!$A$2:$B$24,2,FALSE),"")</f>
        <v/>
      </c>
      <c r="U917" t="str">
        <f>IFERROR(VLOOKUP(I917,'VALORES VIAJES'!$A$2:$B$24,2,FALSE),"")</f>
        <v/>
      </c>
      <c r="V917" t="str">
        <f>IFERROR(VLOOKUP(K917,'VALORES VIAJES'!$A$2:$B$24,2,FALSE),"")</f>
        <v/>
      </c>
      <c r="X917" s="208">
        <f>SUM(Hoja1[[#This Row],[$ X TIP VEHICUL]:[AGREGADO]])</f>
        <v>0</v>
      </c>
    </row>
    <row r="918" spans="2:24" hidden="1" x14ac:dyDescent="0.25">
      <c r="B918" s="189"/>
      <c r="J918" s="189"/>
      <c r="M918" s="205"/>
      <c r="O918" t="s">
        <v>7711</v>
      </c>
      <c r="S918" t="str">
        <f>IFERROR(VLOOKUP(E918,'VALORES VIAJES'!$A$2:$B$13,2,FALSE),"")</f>
        <v/>
      </c>
      <c r="T918" t="str">
        <f>IFERROR(VLOOKUP(H918,'VALORES VIAJES'!$A$2:$B$24,2,FALSE),"")</f>
        <v/>
      </c>
      <c r="U918" t="str">
        <f>IFERROR(VLOOKUP(I918,'VALORES VIAJES'!$A$2:$B$24,2,FALSE),"")</f>
        <v/>
      </c>
      <c r="V918" t="str">
        <f>IFERROR(VLOOKUP(K918,'VALORES VIAJES'!$A$2:$B$24,2,FALSE),"")</f>
        <v/>
      </c>
      <c r="X918" s="208">
        <f>SUM(Hoja1[[#This Row],[$ X TIP VEHICUL]:[AGREGADO]])</f>
        <v>0</v>
      </c>
    </row>
    <row r="919" spans="2:24" hidden="1" x14ac:dyDescent="0.25">
      <c r="B919" s="189"/>
      <c r="J919" s="189"/>
      <c r="M919" s="205"/>
      <c r="O919" t="s">
        <v>7711</v>
      </c>
      <c r="S919" t="str">
        <f>IFERROR(VLOOKUP(E919,'VALORES VIAJES'!$A$2:$B$13,2,FALSE),"")</f>
        <v/>
      </c>
      <c r="T919" t="str">
        <f>IFERROR(VLOOKUP(H919,'VALORES VIAJES'!$A$2:$B$24,2,FALSE),"")</f>
        <v/>
      </c>
      <c r="U919" t="str">
        <f>IFERROR(VLOOKUP(I919,'VALORES VIAJES'!$A$2:$B$24,2,FALSE),"")</f>
        <v/>
      </c>
      <c r="V919" t="str">
        <f>IFERROR(VLOOKUP(K919,'VALORES VIAJES'!$A$2:$B$24,2,FALSE),"")</f>
        <v/>
      </c>
      <c r="X919" s="208">
        <f>SUM(Hoja1[[#This Row],[$ X TIP VEHICUL]:[AGREGADO]])</f>
        <v>0</v>
      </c>
    </row>
    <row r="920" spans="2:24" hidden="1" x14ac:dyDescent="0.25">
      <c r="B920" s="189"/>
      <c r="J920" s="189"/>
      <c r="M920" s="205"/>
      <c r="O920" t="s">
        <v>7711</v>
      </c>
      <c r="S920" t="str">
        <f>IFERROR(VLOOKUP(E920,'VALORES VIAJES'!$A$2:$B$13,2,FALSE),"")</f>
        <v/>
      </c>
      <c r="T920" t="str">
        <f>IFERROR(VLOOKUP(H920,'VALORES VIAJES'!$A$2:$B$24,2,FALSE),"")</f>
        <v/>
      </c>
      <c r="U920" t="str">
        <f>IFERROR(VLOOKUP(I920,'VALORES VIAJES'!$A$2:$B$24,2,FALSE),"")</f>
        <v/>
      </c>
      <c r="V920" t="str">
        <f>IFERROR(VLOOKUP(K920,'VALORES VIAJES'!$A$2:$B$24,2,FALSE),"")</f>
        <v/>
      </c>
      <c r="X920" s="208">
        <f>SUM(Hoja1[[#This Row],[$ X TIP VEHICUL]:[AGREGADO]])</f>
        <v>0</v>
      </c>
    </row>
    <row r="921" spans="2:24" hidden="1" x14ac:dyDescent="0.25">
      <c r="B921" s="189"/>
      <c r="J921" s="189"/>
      <c r="M921" s="205"/>
      <c r="O921" t="s">
        <v>7711</v>
      </c>
      <c r="S921" t="str">
        <f>IFERROR(VLOOKUP(E921,'VALORES VIAJES'!$A$2:$B$13,2,FALSE),"")</f>
        <v/>
      </c>
      <c r="T921" t="str">
        <f>IFERROR(VLOOKUP(H921,'VALORES VIAJES'!$A$2:$B$24,2,FALSE),"")</f>
        <v/>
      </c>
      <c r="U921" t="str">
        <f>IFERROR(VLOOKUP(I921,'VALORES VIAJES'!$A$2:$B$24,2,FALSE),"")</f>
        <v/>
      </c>
      <c r="V921" t="str">
        <f>IFERROR(VLOOKUP(K921,'VALORES VIAJES'!$A$2:$B$24,2,FALSE),"")</f>
        <v/>
      </c>
      <c r="X921" s="208">
        <f>SUM(Hoja1[[#This Row],[$ X TIP VEHICUL]:[AGREGADO]])</f>
        <v>0</v>
      </c>
    </row>
    <row r="922" spans="2:24" hidden="1" x14ac:dyDescent="0.25">
      <c r="B922" s="189"/>
      <c r="J922" s="189"/>
      <c r="M922" s="205"/>
      <c r="O922" t="s">
        <v>7711</v>
      </c>
      <c r="S922" t="str">
        <f>IFERROR(VLOOKUP(E922,'VALORES VIAJES'!$A$2:$B$13,2,FALSE),"")</f>
        <v/>
      </c>
      <c r="T922" t="str">
        <f>IFERROR(VLOOKUP(H922,'VALORES VIAJES'!$A$2:$B$24,2,FALSE),"")</f>
        <v/>
      </c>
      <c r="U922" t="str">
        <f>IFERROR(VLOOKUP(I922,'VALORES VIAJES'!$A$2:$B$24,2,FALSE),"")</f>
        <v/>
      </c>
      <c r="V922" t="str">
        <f>IFERROR(VLOOKUP(K922,'VALORES VIAJES'!$A$2:$B$24,2,FALSE),"")</f>
        <v/>
      </c>
      <c r="X922" s="208">
        <f>SUM(Hoja1[[#This Row],[$ X TIP VEHICUL]:[AGREGADO]])</f>
        <v>0</v>
      </c>
    </row>
    <row r="923" spans="2:24" hidden="1" x14ac:dyDescent="0.25">
      <c r="B923" s="189"/>
      <c r="J923" s="189"/>
      <c r="M923" s="205"/>
      <c r="O923" t="s">
        <v>7711</v>
      </c>
      <c r="S923" t="str">
        <f>IFERROR(VLOOKUP(E923,'VALORES VIAJES'!$A$2:$B$13,2,FALSE),"")</f>
        <v/>
      </c>
      <c r="T923" t="str">
        <f>IFERROR(VLOOKUP(H923,'VALORES VIAJES'!$A$2:$B$24,2,FALSE),"")</f>
        <v/>
      </c>
      <c r="U923" t="str">
        <f>IFERROR(VLOOKUP(I923,'VALORES VIAJES'!$A$2:$B$24,2,FALSE),"")</f>
        <v/>
      </c>
      <c r="V923" t="str">
        <f>IFERROR(VLOOKUP(K923,'VALORES VIAJES'!$A$2:$B$24,2,FALSE),"")</f>
        <v/>
      </c>
      <c r="X923" s="208">
        <f>SUM(Hoja1[[#This Row],[$ X TIP VEHICUL]:[AGREGADO]])</f>
        <v>0</v>
      </c>
    </row>
    <row r="924" spans="2:24" hidden="1" x14ac:dyDescent="0.25">
      <c r="B924" s="189"/>
      <c r="J924" s="189"/>
      <c r="M924" s="205"/>
      <c r="O924" t="s">
        <v>7711</v>
      </c>
      <c r="S924" t="str">
        <f>IFERROR(VLOOKUP(E924,'VALORES VIAJES'!$A$2:$B$13,2,FALSE),"")</f>
        <v/>
      </c>
      <c r="T924" t="str">
        <f>IFERROR(VLOOKUP(H924,'VALORES VIAJES'!$A$2:$B$24,2,FALSE),"")</f>
        <v/>
      </c>
      <c r="U924" t="str">
        <f>IFERROR(VLOOKUP(I924,'VALORES VIAJES'!$A$2:$B$24,2,FALSE),"")</f>
        <v/>
      </c>
      <c r="V924" t="str">
        <f>IFERROR(VLOOKUP(K924,'VALORES VIAJES'!$A$2:$B$24,2,FALSE),"")</f>
        <v/>
      </c>
      <c r="X924" s="208">
        <f>SUM(Hoja1[[#This Row],[$ X TIP VEHICUL]:[AGREGADO]])</f>
        <v>0</v>
      </c>
    </row>
    <row r="925" spans="2:24" hidden="1" x14ac:dyDescent="0.25">
      <c r="B925" s="189"/>
      <c r="J925" s="189"/>
      <c r="M925" s="205"/>
      <c r="O925" t="s">
        <v>7711</v>
      </c>
      <c r="S925" t="str">
        <f>IFERROR(VLOOKUP(E925,'VALORES VIAJES'!$A$2:$B$13,2,FALSE),"")</f>
        <v/>
      </c>
      <c r="T925" t="str">
        <f>IFERROR(VLOOKUP(H925,'VALORES VIAJES'!$A$2:$B$24,2,FALSE),"")</f>
        <v/>
      </c>
      <c r="U925" t="str">
        <f>IFERROR(VLOOKUP(I925,'VALORES VIAJES'!$A$2:$B$24,2,FALSE),"")</f>
        <v/>
      </c>
      <c r="V925" t="str">
        <f>IFERROR(VLOOKUP(K925,'VALORES VIAJES'!$A$2:$B$24,2,FALSE),"")</f>
        <v/>
      </c>
      <c r="X925" s="208">
        <f>SUM(Hoja1[[#This Row],[$ X TIP VEHICUL]:[AGREGADO]])</f>
        <v>0</v>
      </c>
    </row>
    <row r="926" spans="2:24" hidden="1" x14ac:dyDescent="0.25">
      <c r="B926" s="189"/>
      <c r="J926" s="189"/>
      <c r="M926" s="205"/>
      <c r="O926" t="s">
        <v>7711</v>
      </c>
      <c r="S926" t="str">
        <f>IFERROR(VLOOKUP(E926,'VALORES VIAJES'!$A$2:$B$13,2,FALSE),"")</f>
        <v/>
      </c>
      <c r="T926" t="str">
        <f>IFERROR(VLOOKUP(H926,'VALORES VIAJES'!$A$2:$B$24,2,FALSE),"")</f>
        <v/>
      </c>
      <c r="U926" t="str">
        <f>IFERROR(VLOOKUP(I926,'VALORES VIAJES'!$A$2:$B$24,2,FALSE),"")</f>
        <v/>
      </c>
      <c r="V926" t="str">
        <f>IFERROR(VLOOKUP(K926,'VALORES VIAJES'!$A$2:$B$24,2,FALSE),"")</f>
        <v/>
      </c>
      <c r="X926" s="208">
        <f>SUM(Hoja1[[#This Row],[$ X TIP VEHICUL]:[AGREGADO]])</f>
        <v>0</v>
      </c>
    </row>
    <row r="927" spans="2:24" hidden="1" x14ac:dyDescent="0.25">
      <c r="B927" s="189"/>
      <c r="J927" s="189"/>
      <c r="M927" s="205"/>
      <c r="O927" t="s">
        <v>7711</v>
      </c>
      <c r="S927" t="str">
        <f>IFERROR(VLOOKUP(E927,'VALORES VIAJES'!$A$2:$B$13,2,FALSE),"")</f>
        <v/>
      </c>
      <c r="T927" t="str">
        <f>IFERROR(VLOOKUP(H927,'VALORES VIAJES'!$A$2:$B$24,2,FALSE),"")</f>
        <v/>
      </c>
      <c r="U927" t="str">
        <f>IFERROR(VLOOKUP(I927,'VALORES VIAJES'!$A$2:$B$24,2,FALSE),"")</f>
        <v/>
      </c>
      <c r="V927" t="str">
        <f>IFERROR(VLOOKUP(K927,'VALORES VIAJES'!$A$2:$B$24,2,FALSE),"")</f>
        <v/>
      </c>
      <c r="X927" s="208">
        <f>SUM(Hoja1[[#This Row],[$ X TIP VEHICUL]:[AGREGADO]])</f>
        <v>0</v>
      </c>
    </row>
    <row r="928" spans="2:24" hidden="1" x14ac:dyDescent="0.25">
      <c r="B928" s="189"/>
      <c r="J928" s="189"/>
      <c r="M928" s="205"/>
      <c r="O928" t="s">
        <v>7711</v>
      </c>
      <c r="S928" t="str">
        <f>IFERROR(VLOOKUP(E928,'VALORES VIAJES'!$A$2:$B$13,2,FALSE),"")</f>
        <v/>
      </c>
      <c r="T928" t="str">
        <f>IFERROR(VLOOKUP(H928,'VALORES VIAJES'!$A$2:$B$24,2,FALSE),"")</f>
        <v/>
      </c>
      <c r="U928" t="str">
        <f>IFERROR(VLOOKUP(I928,'VALORES VIAJES'!$A$2:$B$24,2,FALSE),"")</f>
        <v/>
      </c>
      <c r="V928" t="str">
        <f>IFERROR(VLOOKUP(K928,'VALORES VIAJES'!$A$2:$B$24,2,FALSE),"")</f>
        <v/>
      </c>
      <c r="X928" s="208">
        <f>SUM(Hoja1[[#This Row],[$ X TIP VEHICUL]:[AGREGADO]])</f>
        <v>0</v>
      </c>
    </row>
    <row r="929" spans="2:24" hidden="1" x14ac:dyDescent="0.25">
      <c r="B929" s="189"/>
      <c r="J929" s="189"/>
      <c r="M929" s="205"/>
      <c r="O929" t="s">
        <v>7711</v>
      </c>
      <c r="S929" t="str">
        <f>IFERROR(VLOOKUP(E929,'VALORES VIAJES'!$A$2:$B$13,2,FALSE),"")</f>
        <v/>
      </c>
      <c r="T929" t="str">
        <f>IFERROR(VLOOKUP(H929,'VALORES VIAJES'!$A$2:$B$24,2,FALSE),"")</f>
        <v/>
      </c>
      <c r="U929" t="str">
        <f>IFERROR(VLOOKUP(I929,'VALORES VIAJES'!$A$2:$B$24,2,FALSE),"")</f>
        <v/>
      </c>
      <c r="V929" t="str">
        <f>IFERROR(VLOOKUP(K929,'VALORES VIAJES'!$A$2:$B$24,2,FALSE),"")</f>
        <v/>
      </c>
      <c r="X929" s="208">
        <f>SUM(Hoja1[[#This Row],[$ X TIP VEHICUL]:[AGREGADO]])</f>
        <v>0</v>
      </c>
    </row>
    <row r="930" spans="2:24" hidden="1" x14ac:dyDescent="0.25">
      <c r="B930" s="189"/>
      <c r="J930" s="189"/>
      <c r="M930" s="205"/>
      <c r="O930" t="s">
        <v>7711</v>
      </c>
      <c r="S930" t="str">
        <f>IFERROR(VLOOKUP(E930,'VALORES VIAJES'!$A$2:$B$13,2,FALSE),"")</f>
        <v/>
      </c>
      <c r="T930" t="str">
        <f>IFERROR(VLOOKUP(H930,'VALORES VIAJES'!$A$2:$B$24,2,FALSE),"")</f>
        <v/>
      </c>
      <c r="U930" t="str">
        <f>IFERROR(VLOOKUP(I930,'VALORES VIAJES'!$A$2:$B$24,2,FALSE),"")</f>
        <v/>
      </c>
      <c r="V930" t="str">
        <f>IFERROR(VLOOKUP(K930,'VALORES VIAJES'!$A$2:$B$24,2,FALSE),"")</f>
        <v/>
      </c>
      <c r="X930" s="208">
        <f>SUM(Hoja1[[#This Row],[$ X TIP VEHICUL]:[AGREGADO]])</f>
        <v>0</v>
      </c>
    </row>
    <row r="931" spans="2:24" hidden="1" x14ac:dyDescent="0.25">
      <c r="B931" s="189"/>
      <c r="J931" s="189"/>
      <c r="M931" s="205"/>
      <c r="O931" t="s">
        <v>7711</v>
      </c>
      <c r="S931" t="str">
        <f>IFERROR(VLOOKUP(E931,'VALORES VIAJES'!$A$2:$B$13,2,FALSE),"")</f>
        <v/>
      </c>
      <c r="T931" t="str">
        <f>IFERROR(VLOOKUP(H931,'VALORES VIAJES'!$A$2:$B$24,2,FALSE),"")</f>
        <v/>
      </c>
      <c r="U931" t="str">
        <f>IFERROR(VLOOKUP(I931,'VALORES VIAJES'!$A$2:$B$24,2,FALSE),"")</f>
        <v/>
      </c>
      <c r="V931" t="str">
        <f>IFERROR(VLOOKUP(K931,'VALORES VIAJES'!$A$2:$B$24,2,FALSE),"")</f>
        <v/>
      </c>
      <c r="X931" s="208">
        <f>SUM(Hoja1[[#This Row],[$ X TIP VEHICUL]:[AGREGADO]])</f>
        <v>0</v>
      </c>
    </row>
    <row r="932" spans="2:24" hidden="1" x14ac:dyDescent="0.25">
      <c r="B932" s="189"/>
      <c r="J932" s="189"/>
      <c r="M932" s="205"/>
      <c r="O932" t="s">
        <v>7711</v>
      </c>
      <c r="S932" t="str">
        <f>IFERROR(VLOOKUP(E932,'VALORES VIAJES'!$A$2:$B$13,2,FALSE),"")</f>
        <v/>
      </c>
      <c r="T932" t="str">
        <f>IFERROR(VLOOKUP(H932,'VALORES VIAJES'!$A$2:$B$24,2,FALSE),"")</f>
        <v/>
      </c>
      <c r="U932" t="str">
        <f>IFERROR(VLOOKUP(I932,'VALORES VIAJES'!$A$2:$B$24,2,FALSE),"")</f>
        <v/>
      </c>
      <c r="V932" t="str">
        <f>IFERROR(VLOOKUP(K932,'VALORES VIAJES'!$A$2:$B$24,2,FALSE),"")</f>
        <v/>
      </c>
      <c r="X932" s="208">
        <f>SUM(Hoja1[[#This Row],[$ X TIP VEHICUL]:[AGREGADO]])</f>
        <v>0</v>
      </c>
    </row>
    <row r="933" spans="2:24" hidden="1" x14ac:dyDescent="0.25">
      <c r="B933" s="189"/>
      <c r="J933" s="189"/>
      <c r="M933" s="205"/>
      <c r="O933" t="s">
        <v>7711</v>
      </c>
      <c r="S933" t="str">
        <f>IFERROR(VLOOKUP(E933,'VALORES VIAJES'!$A$2:$B$13,2,FALSE),"")</f>
        <v/>
      </c>
      <c r="T933" t="str">
        <f>IFERROR(VLOOKUP(H933,'VALORES VIAJES'!$A$2:$B$24,2,FALSE),"")</f>
        <v/>
      </c>
      <c r="U933" t="str">
        <f>IFERROR(VLOOKUP(I933,'VALORES VIAJES'!$A$2:$B$24,2,FALSE),"")</f>
        <v/>
      </c>
      <c r="V933" t="str">
        <f>IFERROR(VLOOKUP(K933,'VALORES VIAJES'!$A$2:$B$24,2,FALSE),"")</f>
        <v/>
      </c>
      <c r="X933" s="208">
        <f>SUM(Hoja1[[#This Row],[$ X TIP VEHICUL]:[AGREGADO]])</f>
        <v>0</v>
      </c>
    </row>
    <row r="934" spans="2:24" hidden="1" x14ac:dyDescent="0.25">
      <c r="B934" s="189"/>
      <c r="J934" s="189"/>
      <c r="M934" s="205"/>
      <c r="O934" t="s">
        <v>7711</v>
      </c>
      <c r="S934" t="str">
        <f>IFERROR(VLOOKUP(E934,'VALORES VIAJES'!$A$2:$B$13,2,FALSE),"")</f>
        <v/>
      </c>
      <c r="T934" t="str">
        <f>IFERROR(VLOOKUP(H934,'VALORES VIAJES'!$A$2:$B$24,2,FALSE),"")</f>
        <v/>
      </c>
      <c r="U934" t="str">
        <f>IFERROR(VLOOKUP(I934,'VALORES VIAJES'!$A$2:$B$24,2,FALSE),"")</f>
        <v/>
      </c>
      <c r="V934" t="str">
        <f>IFERROR(VLOOKUP(K934,'VALORES VIAJES'!$A$2:$B$24,2,FALSE),"")</f>
        <v/>
      </c>
      <c r="X934" s="208">
        <f>SUM(Hoja1[[#This Row],[$ X TIP VEHICUL]:[AGREGADO]])</f>
        <v>0</v>
      </c>
    </row>
    <row r="935" spans="2:24" hidden="1" x14ac:dyDescent="0.25">
      <c r="B935" s="189"/>
      <c r="J935" s="189"/>
      <c r="M935" s="205"/>
      <c r="O935" t="s">
        <v>7711</v>
      </c>
      <c r="S935" t="str">
        <f>IFERROR(VLOOKUP(E935,'VALORES VIAJES'!$A$2:$B$13,2,FALSE),"")</f>
        <v/>
      </c>
      <c r="T935" t="str">
        <f>IFERROR(VLOOKUP(H935,'VALORES VIAJES'!$A$2:$B$24,2,FALSE),"")</f>
        <v/>
      </c>
      <c r="U935" t="str">
        <f>IFERROR(VLOOKUP(I935,'VALORES VIAJES'!$A$2:$B$24,2,FALSE),"")</f>
        <v/>
      </c>
      <c r="V935" t="str">
        <f>IFERROR(VLOOKUP(K935,'VALORES VIAJES'!$A$2:$B$24,2,FALSE),"")</f>
        <v/>
      </c>
      <c r="X935" s="208">
        <f>SUM(Hoja1[[#This Row],[$ X TIP VEHICUL]:[AGREGADO]])</f>
        <v>0</v>
      </c>
    </row>
    <row r="936" spans="2:24" hidden="1" x14ac:dyDescent="0.25">
      <c r="B936" s="189"/>
      <c r="J936" s="189"/>
      <c r="M936" s="205"/>
      <c r="O936" t="s">
        <v>7711</v>
      </c>
      <c r="S936" t="str">
        <f>IFERROR(VLOOKUP(E936,'VALORES VIAJES'!$A$2:$B$13,2,FALSE),"")</f>
        <v/>
      </c>
      <c r="T936" t="str">
        <f>IFERROR(VLOOKUP(H936,'VALORES VIAJES'!$A$2:$B$24,2,FALSE),"")</f>
        <v/>
      </c>
      <c r="U936" t="str">
        <f>IFERROR(VLOOKUP(I936,'VALORES VIAJES'!$A$2:$B$24,2,FALSE),"")</f>
        <v/>
      </c>
      <c r="V936" t="str">
        <f>IFERROR(VLOOKUP(K936,'VALORES VIAJES'!$A$2:$B$24,2,FALSE),"")</f>
        <v/>
      </c>
      <c r="X936" s="208">
        <f>SUM(Hoja1[[#This Row],[$ X TIP VEHICUL]:[AGREGADO]])</f>
        <v>0</v>
      </c>
    </row>
    <row r="937" spans="2:24" hidden="1" x14ac:dyDescent="0.25">
      <c r="B937" s="189"/>
      <c r="J937" s="189"/>
      <c r="M937" s="205"/>
      <c r="O937" t="s">
        <v>7711</v>
      </c>
      <c r="S937" t="str">
        <f>IFERROR(VLOOKUP(E937,'VALORES VIAJES'!$A$2:$B$13,2,FALSE),"")</f>
        <v/>
      </c>
      <c r="T937" t="str">
        <f>IFERROR(VLOOKUP(H937,'VALORES VIAJES'!$A$2:$B$24,2,FALSE),"")</f>
        <v/>
      </c>
      <c r="U937" t="str">
        <f>IFERROR(VLOOKUP(I937,'VALORES VIAJES'!$A$2:$B$24,2,FALSE),"")</f>
        <v/>
      </c>
      <c r="V937" t="str">
        <f>IFERROR(VLOOKUP(K937,'VALORES VIAJES'!$A$2:$B$24,2,FALSE),"")</f>
        <v/>
      </c>
      <c r="X937" s="208">
        <f>SUM(Hoja1[[#This Row],[$ X TIP VEHICUL]:[AGREGADO]])</f>
        <v>0</v>
      </c>
    </row>
    <row r="938" spans="2:24" hidden="1" x14ac:dyDescent="0.25">
      <c r="B938" s="189"/>
      <c r="J938" s="189"/>
      <c r="M938" s="205"/>
      <c r="O938" t="s">
        <v>7711</v>
      </c>
      <c r="S938" t="str">
        <f>IFERROR(VLOOKUP(E938,'VALORES VIAJES'!$A$2:$B$13,2,FALSE),"")</f>
        <v/>
      </c>
      <c r="T938" t="str">
        <f>IFERROR(VLOOKUP(H938,'VALORES VIAJES'!$A$2:$B$24,2,FALSE),"")</f>
        <v/>
      </c>
      <c r="U938" t="str">
        <f>IFERROR(VLOOKUP(I938,'VALORES VIAJES'!$A$2:$B$24,2,FALSE),"")</f>
        <v/>
      </c>
      <c r="V938" t="str">
        <f>IFERROR(VLOOKUP(K938,'VALORES VIAJES'!$A$2:$B$24,2,FALSE),"")</f>
        <v/>
      </c>
      <c r="X938" s="208">
        <f>SUM(Hoja1[[#This Row],[$ X TIP VEHICUL]:[AGREGADO]])</f>
        <v>0</v>
      </c>
    </row>
    <row r="939" spans="2:24" hidden="1" x14ac:dyDescent="0.25">
      <c r="B939" s="189"/>
      <c r="J939" s="189"/>
      <c r="M939" s="205"/>
      <c r="O939" t="s">
        <v>7711</v>
      </c>
      <c r="S939" t="str">
        <f>IFERROR(VLOOKUP(E939,'VALORES VIAJES'!$A$2:$B$13,2,FALSE),"")</f>
        <v/>
      </c>
      <c r="T939" t="str">
        <f>IFERROR(VLOOKUP(H939,'VALORES VIAJES'!$A$2:$B$24,2,FALSE),"")</f>
        <v/>
      </c>
      <c r="U939" t="str">
        <f>IFERROR(VLOOKUP(I939,'VALORES VIAJES'!$A$2:$B$24,2,FALSE),"")</f>
        <v/>
      </c>
      <c r="V939" t="str">
        <f>IFERROR(VLOOKUP(K939,'VALORES VIAJES'!$A$2:$B$24,2,FALSE),"")</f>
        <v/>
      </c>
      <c r="X939" s="208">
        <f>SUM(Hoja1[[#This Row],[$ X TIP VEHICUL]:[AGREGADO]])</f>
        <v>0</v>
      </c>
    </row>
    <row r="940" spans="2:24" hidden="1" x14ac:dyDescent="0.25">
      <c r="B940" s="189"/>
      <c r="J940" s="189"/>
      <c r="M940" s="205"/>
      <c r="O940" t="s">
        <v>7711</v>
      </c>
      <c r="S940" t="str">
        <f>IFERROR(VLOOKUP(E940,'VALORES VIAJES'!$A$2:$B$13,2,FALSE),"")</f>
        <v/>
      </c>
      <c r="T940" t="str">
        <f>IFERROR(VLOOKUP(H940,'VALORES VIAJES'!$A$2:$B$24,2,FALSE),"")</f>
        <v/>
      </c>
      <c r="U940" t="str">
        <f>IFERROR(VLOOKUP(I940,'VALORES VIAJES'!$A$2:$B$24,2,FALSE),"")</f>
        <v/>
      </c>
      <c r="V940" t="str">
        <f>IFERROR(VLOOKUP(K940,'VALORES VIAJES'!$A$2:$B$24,2,FALSE),"")</f>
        <v/>
      </c>
      <c r="X940" s="208">
        <f>SUM(Hoja1[[#This Row],[$ X TIP VEHICUL]:[AGREGADO]])</f>
        <v>0</v>
      </c>
    </row>
    <row r="941" spans="2:24" hidden="1" x14ac:dyDescent="0.25">
      <c r="B941" s="189"/>
      <c r="J941" s="189"/>
      <c r="M941" s="205"/>
      <c r="O941" t="s">
        <v>7711</v>
      </c>
      <c r="S941" t="str">
        <f>IFERROR(VLOOKUP(E941,'VALORES VIAJES'!$A$2:$B$13,2,FALSE),"")</f>
        <v/>
      </c>
      <c r="T941" t="str">
        <f>IFERROR(VLOOKUP(H941,'VALORES VIAJES'!$A$2:$B$24,2,FALSE),"")</f>
        <v/>
      </c>
      <c r="U941" t="str">
        <f>IFERROR(VLOOKUP(I941,'VALORES VIAJES'!$A$2:$B$24,2,FALSE),"")</f>
        <v/>
      </c>
      <c r="V941" t="str">
        <f>IFERROR(VLOOKUP(K941,'VALORES VIAJES'!$A$2:$B$24,2,FALSE),"")</f>
        <v/>
      </c>
      <c r="X941" s="208">
        <f>SUM(Hoja1[[#This Row],[$ X TIP VEHICUL]:[AGREGADO]])</f>
        <v>0</v>
      </c>
    </row>
    <row r="942" spans="2:24" hidden="1" x14ac:dyDescent="0.25">
      <c r="B942" s="189"/>
      <c r="J942" s="189"/>
      <c r="M942" s="205"/>
      <c r="O942" t="s">
        <v>7711</v>
      </c>
      <c r="S942" t="str">
        <f>IFERROR(VLOOKUP(E942,'VALORES VIAJES'!$A$2:$B$13,2,FALSE),"")</f>
        <v/>
      </c>
      <c r="T942" t="str">
        <f>IFERROR(VLOOKUP(H942,'VALORES VIAJES'!$A$2:$B$24,2,FALSE),"")</f>
        <v/>
      </c>
      <c r="U942" t="str">
        <f>IFERROR(VLOOKUP(I942,'VALORES VIAJES'!$A$2:$B$24,2,FALSE),"")</f>
        <v/>
      </c>
      <c r="V942" t="str">
        <f>IFERROR(VLOOKUP(K942,'VALORES VIAJES'!$A$2:$B$24,2,FALSE),"")</f>
        <v/>
      </c>
      <c r="X942" s="208">
        <f>SUM(Hoja1[[#This Row],[$ X TIP VEHICUL]:[AGREGADO]])</f>
        <v>0</v>
      </c>
    </row>
    <row r="943" spans="2:24" hidden="1" x14ac:dyDescent="0.25">
      <c r="B943" s="189"/>
      <c r="J943" s="189"/>
      <c r="M943" s="205"/>
      <c r="O943" t="s">
        <v>7711</v>
      </c>
      <c r="S943" t="str">
        <f>IFERROR(VLOOKUP(E943,'VALORES VIAJES'!$A$2:$B$13,2,FALSE),"")</f>
        <v/>
      </c>
      <c r="T943" t="str">
        <f>IFERROR(VLOOKUP(H943,'VALORES VIAJES'!$A$2:$B$24,2,FALSE),"")</f>
        <v/>
      </c>
      <c r="U943" t="str">
        <f>IFERROR(VLOOKUP(I943,'VALORES VIAJES'!$A$2:$B$24,2,FALSE),"")</f>
        <v/>
      </c>
      <c r="V943" t="str">
        <f>IFERROR(VLOOKUP(K943,'VALORES VIAJES'!$A$2:$B$24,2,FALSE),"")</f>
        <v/>
      </c>
      <c r="X943" s="208">
        <f>SUM(Hoja1[[#This Row],[$ X TIP VEHICUL]:[AGREGADO]])</f>
        <v>0</v>
      </c>
    </row>
    <row r="944" spans="2:24" hidden="1" x14ac:dyDescent="0.25">
      <c r="B944" s="189"/>
      <c r="J944" s="189"/>
      <c r="M944" s="205"/>
      <c r="O944" t="s">
        <v>7711</v>
      </c>
      <c r="S944" t="str">
        <f>IFERROR(VLOOKUP(E944,'VALORES VIAJES'!$A$2:$B$13,2,FALSE),"")</f>
        <v/>
      </c>
      <c r="T944" t="str">
        <f>IFERROR(VLOOKUP(H944,'VALORES VIAJES'!$A$2:$B$24,2,FALSE),"")</f>
        <v/>
      </c>
      <c r="U944" t="str">
        <f>IFERROR(VLOOKUP(I944,'VALORES VIAJES'!$A$2:$B$24,2,FALSE),"")</f>
        <v/>
      </c>
      <c r="V944" t="str">
        <f>IFERROR(VLOOKUP(K944,'VALORES VIAJES'!$A$2:$B$24,2,FALSE),"")</f>
        <v/>
      </c>
      <c r="X944" s="208">
        <f>SUM(Hoja1[[#This Row],[$ X TIP VEHICUL]:[AGREGADO]])</f>
        <v>0</v>
      </c>
    </row>
    <row r="945" spans="2:24" hidden="1" x14ac:dyDescent="0.25">
      <c r="B945" s="189"/>
      <c r="J945" s="189"/>
      <c r="M945" s="205"/>
      <c r="O945" t="s">
        <v>7711</v>
      </c>
      <c r="S945" t="str">
        <f>IFERROR(VLOOKUP(E945,'VALORES VIAJES'!$A$2:$B$13,2,FALSE),"")</f>
        <v/>
      </c>
      <c r="T945" t="str">
        <f>IFERROR(VLOOKUP(H945,'VALORES VIAJES'!$A$2:$B$24,2,FALSE),"")</f>
        <v/>
      </c>
      <c r="U945" t="str">
        <f>IFERROR(VLOOKUP(I945,'VALORES VIAJES'!$A$2:$B$24,2,FALSE),"")</f>
        <v/>
      </c>
      <c r="V945" t="str">
        <f>IFERROR(VLOOKUP(K945,'VALORES VIAJES'!$A$2:$B$24,2,FALSE),"")</f>
        <v/>
      </c>
      <c r="X945" s="208">
        <f>SUM(Hoja1[[#This Row],[$ X TIP VEHICUL]:[AGREGADO]])</f>
        <v>0</v>
      </c>
    </row>
    <row r="946" spans="2:24" hidden="1" x14ac:dyDescent="0.25">
      <c r="B946" s="189"/>
      <c r="J946" s="189"/>
      <c r="M946" s="205"/>
      <c r="O946" t="s">
        <v>7711</v>
      </c>
      <c r="S946" t="str">
        <f>IFERROR(VLOOKUP(E946,'VALORES VIAJES'!$A$2:$B$13,2,FALSE),"")</f>
        <v/>
      </c>
      <c r="T946" t="str">
        <f>IFERROR(VLOOKUP(H946,'VALORES VIAJES'!$A$2:$B$24,2,FALSE),"")</f>
        <v/>
      </c>
      <c r="U946" t="str">
        <f>IFERROR(VLOOKUP(I946,'VALORES VIAJES'!$A$2:$B$24,2,FALSE),"")</f>
        <v/>
      </c>
      <c r="V946" t="str">
        <f>IFERROR(VLOOKUP(K946,'VALORES VIAJES'!$A$2:$B$24,2,FALSE),"")</f>
        <v/>
      </c>
      <c r="X946" s="208">
        <f>SUM(Hoja1[[#This Row],[$ X TIP VEHICUL]:[AGREGADO]])</f>
        <v>0</v>
      </c>
    </row>
    <row r="947" spans="2:24" hidden="1" x14ac:dyDescent="0.25">
      <c r="B947" s="189"/>
      <c r="J947" s="189"/>
      <c r="M947" s="205"/>
      <c r="O947" t="s">
        <v>7711</v>
      </c>
      <c r="S947" t="str">
        <f>IFERROR(VLOOKUP(E947,'VALORES VIAJES'!$A$2:$B$13,2,FALSE),"")</f>
        <v/>
      </c>
      <c r="T947" t="str">
        <f>IFERROR(VLOOKUP(H947,'VALORES VIAJES'!$A$2:$B$24,2,FALSE),"")</f>
        <v/>
      </c>
      <c r="U947" t="str">
        <f>IFERROR(VLOOKUP(I947,'VALORES VIAJES'!$A$2:$B$24,2,FALSE),"")</f>
        <v/>
      </c>
      <c r="V947" t="str">
        <f>IFERROR(VLOOKUP(K947,'VALORES VIAJES'!$A$2:$B$24,2,FALSE),"")</f>
        <v/>
      </c>
      <c r="X947" s="208">
        <f>SUM(Hoja1[[#This Row],[$ X TIP VEHICUL]:[AGREGADO]])</f>
        <v>0</v>
      </c>
    </row>
    <row r="948" spans="2:24" hidden="1" x14ac:dyDescent="0.25">
      <c r="B948" s="189"/>
      <c r="J948" s="189"/>
      <c r="M948" s="205"/>
      <c r="O948" t="s">
        <v>7711</v>
      </c>
      <c r="S948" t="str">
        <f>IFERROR(VLOOKUP(E948,'VALORES VIAJES'!$A$2:$B$13,2,FALSE),"")</f>
        <v/>
      </c>
      <c r="T948" t="str">
        <f>IFERROR(VLOOKUP(H948,'VALORES VIAJES'!$A$2:$B$24,2,FALSE),"")</f>
        <v/>
      </c>
      <c r="U948" t="str">
        <f>IFERROR(VLOOKUP(I948,'VALORES VIAJES'!$A$2:$B$24,2,FALSE),"")</f>
        <v/>
      </c>
      <c r="V948" t="str">
        <f>IFERROR(VLOOKUP(K948,'VALORES VIAJES'!$A$2:$B$24,2,FALSE),"")</f>
        <v/>
      </c>
      <c r="X948" s="208">
        <f>SUM(Hoja1[[#This Row],[$ X TIP VEHICUL]:[AGREGADO]])</f>
        <v>0</v>
      </c>
    </row>
    <row r="949" spans="2:24" hidden="1" x14ac:dyDescent="0.25">
      <c r="B949" s="189"/>
      <c r="J949" s="189"/>
      <c r="M949" s="205"/>
      <c r="O949" t="s">
        <v>7711</v>
      </c>
      <c r="S949" t="str">
        <f>IFERROR(VLOOKUP(E949,'VALORES VIAJES'!$A$2:$B$13,2,FALSE),"")</f>
        <v/>
      </c>
      <c r="T949" t="str">
        <f>IFERROR(VLOOKUP(H949,'VALORES VIAJES'!$A$2:$B$24,2,FALSE),"")</f>
        <v/>
      </c>
      <c r="U949" t="str">
        <f>IFERROR(VLOOKUP(I949,'VALORES VIAJES'!$A$2:$B$24,2,FALSE),"")</f>
        <v/>
      </c>
      <c r="V949" t="str">
        <f>IFERROR(VLOOKUP(K949,'VALORES VIAJES'!$A$2:$B$24,2,FALSE),"")</f>
        <v/>
      </c>
      <c r="X949" s="208">
        <f>SUM(Hoja1[[#This Row],[$ X TIP VEHICUL]:[AGREGADO]])</f>
        <v>0</v>
      </c>
    </row>
    <row r="950" spans="2:24" hidden="1" x14ac:dyDescent="0.25">
      <c r="B950" s="189"/>
      <c r="J950" s="189"/>
      <c r="M950" s="205"/>
      <c r="O950" t="s">
        <v>7711</v>
      </c>
      <c r="S950" t="str">
        <f>IFERROR(VLOOKUP(E950,'VALORES VIAJES'!$A$2:$B$13,2,FALSE),"")</f>
        <v/>
      </c>
      <c r="T950" t="str">
        <f>IFERROR(VLOOKUP(H950,'VALORES VIAJES'!$A$2:$B$24,2,FALSE),"")</f>
        <v/>
      </c>
      <c r="U950" t="str">
        <f>IFERROR(VLOOKUP(I950,'VALORES VIAJES'!$A$2:$B$24,2,FALSE),"")</f>
        <v/>
      </c>
      <c r="V950" t="str">
        <f>IFERROR(VLOOKUP(K950,'VALORES VIAJES'!$A$2:$B$24,2,FALSE),"")</f>
        <v/>
      </c>
      <c r="X950" s="208">
        <f>SUM(Hoja1[[#This Row],[$ X TIP VEHICUL]:[AGREGADO]])</f>
        <v>0</v>
      </c>
    </row>
    <row r="951" spans="2:24" hidden="1" x14ac:dyDescent="0.25">
      <c r="B951" s="189"/>
      <c r="J951" s="189"/>
      <c r="M951" s="205"/>
      <c r="O951" t="s">
        <v>7711</v>
      </c>
      <c r="S951" t="str">
        <f>IFERROR(VLOOKUP(E951,'VALORES VIAJES'!$A$2:$B$13,2,FALSE),"")</f>
        <v/>
      </c>
      <c r="T951" t="str">
        <f>IFERROR(VLOOKUP(H951,'VALORES VIAJES'!$A$2:$B$24,2,FALSE),"")</f>
        <v/>
      </c>
      <c r="U951" t="str">
        <f>IFERROR(VLOOKUP(I951,'VALORES VIAJES'!$A$2:$B$24,2,FALSE),"")</f>
        <v/>
      </c>
      <c r="V951" t="str">
        <f>IFERROR(VLOOKUP(K951,'VALORES VIAJES'!$A$2:$B$24,2,FALSE),"")</f>
        <v/>
      </c>
      <c r="X951" s="208">
        <f>SUM(Hoja1[[#This Row],[$ X TIP VEHICUL]:[AGREGADO]])</f>
        <v>0</v>
      </c>
    </row>
    <row r="952" spans="2:24" hidden="1" x14ac:dyDescent="0.25">
      <c r="B952" s="189"/>
      <c r="J952" s="189"/>
      <c r="M952" s="205"/>
      <c r="O952" t="s">
        <v>7711</v>
      </c>
      <c r="S952" t="str">
        <f>IFERROR(VLOOKUP(E952,'VALORES VIAJES'!$A$2:$B$13,2,FALSE),"")</f>
        <v/>
      </c>
      <c r="T952" t="str">
        <f>IFERROR(VLOOKUP(H952,'VALORES VIAJES'!$A$2:$B$24,2,FALSE),"")</f>
        <v/>
      </c>
      <c r="U952" t="str">
        <f>IFERROR(VLOOKUP(I952,'VALORES VIAJES'!$A$2:$B$24,2,FALSE),"")</f>
        <v/>
      </c>
      <c r="V952" t="str">
        <f>IFERROR(VLOOKUP(K952,'VALORES VIAJES'!$A$2:$B$24,2,FALSE),"")</f>
        <v/>
      </c>
      <c r="X952" s="208">
        <f>SUM(Hoja1[[#This Row],[$ X TIP VEHICUL]:[AGREGADO]])</f>
        <v>0</v>
      </c>
    </row>
    <row r="953" spans="2:24" hidden="1" x14ac:dyDescent="0.25">
      <c r="B953" s="189"/>
      <c r="J953" s="189"/>
      <c r="M953" s="205"/>
      <c r="O953" t="s">
        <v>7711</v>
      </c>
      <c r="S953" t="str">
        <f>IFERROR(VLOOKUP(E953,'VALORES VIAJES'!$A$2:$B$13,2,FALSE),"")</f>
        <v/>
      </c>
      <c r="T953" t="str">
        <f>IFERROR(VLOOKUP(H953,'VALORES VIAJES'!$A$2:$B$24,2,FALSE),"")</f>
        <v/>
      </c>
      <c r="U953" t="str">
        <f>IFERROR(VLOOKUP(I953,'VALORES VIAJES'!$A$2:$B$24,2,FALSE),"")</f>
        <v/>
      </c>
      <c r="V953" t="str">
        <f>IFERROR(VLOOKUP(K953,'VALORES VIAJES'!$A$2:$B$24,2,FALSE),"")</f>
        <v/>
      </c>
      <c r="X953" s="208">
        <f>SUM(Hoja1[[#This Row],[$ X TIP VEHICUL]:[AGREGADO]])</f>
        <v>0</v>
      </c>
    </row>
    <row r="954" spans="2:24" hidden="1" x14ac:dyDescent="0.25">
      <c r="B954" s="189"/>
      <c r="J954" s="189"/>
      <c r="M954" s="205"/>
      <c r="O954" t="s">
        <v>7711</v>
      </c>
      <c r="S954" t="str">
        <f>IFERROR(VLOOKUP(E954,'VALORES VIAJES'!$A$2:$B$13,2,FALSE),"")</f>
        <v/>
      </c>
      <c r="T954" t="str">
        <f>IFERROR(VLOOKUP(H954,'VALORES VIAJES'!$A$2:$B$24,2,FALSE),"")</f>
        <v/>
      </c>
      <c r="U954" t="str">
        <f>IFERROR(VLOOKUP(I954,'VALORES VIAJES'!$A$2:$B$24,2,FALSE),"")</f>
        <v/>
      </c>
      <c r="V954" t="str">
        <f>IFERROR(VLOOKUP(K954,'VALORES VIAJES'!$A$2:$B$24,2,FALSE),"")</f>
        <v/>
      </c>
      <c r="X954" s="208">
        <f>SUM(Hoja1[[#This Row],[$ X TIP VEHICUL]:[AGREGADO]])</f>
        <v>0</v>
      </c>
    </row>
    <row r="955" spans="2:24" hidden="1" x14ac:dyDescent="0.25">
      <c r="B955" s="189"/>
      <c r="J955" s="189"/>
      <c r="M955" s="205"/>
      <c r="O955" t="s">
        <v>7711</v>
      </c>
      <c r="S955" t="str">
        <f>IFERROR(VLOOKUP(E955,'VALORES VIAJES'!$A$2:$B$13,2,FALSE),"")</f>
        <v/>
      </c>
      <c r="T955" t="str">
        <f>IFERROR(VLOOKUP(H955,'VALORES VIAJES'!$A$2:$B$24,2,FALSE),"")</f>
        <v/>
      </c>
      <c r="U955" t="str">
        <f>IFERROR(VLOOKUP(I955,'VALORES VIAJES'!$A$2:$B$24,2,FALSE),"")</f>
        <v/>
      </c>
      <c r="V955" t="str">
        <f>IFERROR(VLOOKUP(K955,'VALORES VIAJES'!$A$2:$B$24,2,FALSE),"")</f>
        <v/>
      </c>
      <c r="X955" s="208">
        <f>SUM(Hoja1[[#This Row],[$ X TIP VEHICUL]:[AGREGADO]])</f>
        <v>0</v>
      </c>
    </row>
    <row r="956" spans="2:24" hidden="1" x14ac:dyDescent="0.25">
      <c r="B956" s="189"/>
      <c r="J956" s="189"/>
      <c r="M956" s="205"/>
      <c r="O956" t="s">
        <v>7711</v>
      </c>
      <c r="S956" t="str">
        <f>IFERROR(VLOOKUP(E956,'VALORES VIAJES'!$A$2:$B$13,2,FALSE),"")</f>
        <v/>
      </c>
      <c r="T956" t="str">
        <f>IFERROR(VLOOKUP(H956,'VALORES VIAJES'!$A$2:$B$24,2,FALSE),"")</f>
        <v/>
      </c>
      <c r="U956" t="str">
        <f>IFERROR(VLOOKUP(I956,'VALORES VIAJES'!$A$2:$B$24,2,FALSE),"")</f>
        <v/>
      </c>
      <c r="V956" t="str">
        <f>IFERROR(VLOOKUP(K956,'VALORES VIAJES'!$A$2:$B$24,2,FALSE),"")</f>
        <v/>
      </c>
      <c r="X956" s="208">
        <f>SUM(Hoja1[[#This Row],[$ X TIP VEHICUL]:[AGREGADO]])</f>
        <v>0</v>
      </c>
    </row>
    <row r="957" spans="2:24" hidden="1" x14ac:dyDescent="0.25">
      <c r="B957" s="189"/>
      <c r="J957" s="189"/>
      <c r="M957" s="205"/>
      <c r="O957" t="s">
        <v>7711</v>
      </c>
      <c r="S957" t="str">
        <f>IFERROR(VLOOKUP(E957,'VALORES VIAJES'!$A$2:$B$13,2,FALSE),"")</f>
        <v/>
      </c>
      <c r="T957" t="str">
        <f>IFERROR(VLOOKUP(H957,'VALORES VIAJES'!$A$2:$B$24,2,FALSE),"")</f>
        <v/>
      </c>
      <c r="U957" t="str">
        <f>IFERROR(VLOOKUP(I957,'VALORES VIAJES'!$A$2:$B$24,2,FALSE),"")</f>
        <v/>
      </c>
      <c r="V957" t="str">
        <f>IFERROR(VLOOKUP(K957,'VALORES VIAJES'!$A$2:$B$24,2,FALSE),"")</f>
        <v/>
      </c>
      <c r="X957" s="208">
        <f>SUM(Hoja1[[#This Row],[$ X TIP VEHICUL]:[AGREGADO]])</f>
        <v>0</v>
      </c>
    </row>
    <row r="958" spans="2:24" hidden="1" x14ac:dyDescent="0.25">
      <c r="B958" s="189"/>
      <c r="J958" s="189"/>
      <c r="M958" s="205"/>
      <c r="O958" t="s">
        <v>7711</v>
      </c>
      <c r="S958" t="str">
        <f>IFERROR(VLOOKUP(E958,'VALORES VIAJES'!$A$2:$B$13,2,FALSE),"")</f>
        <v/>
      </c>
      <c r="T958" t="str">
        <f>IFERROR(VLOOKUP(H958,'VALORES VIAJES'!$A$2:$B$24,2,FALSE),"")</f>
        <v/>
      </c>
      <c r="U958" t="str">
        <f>IFERROR(VLOOKUP(I958,'VALORES VIAJES'!$A$2:$B$24,2,FALSE),"")</f>
        <v/>
      </c>
      <c r="V958" t="str">
        <f>IFERROR(VLOOKUP(K958,'VALORES VIAJES'!$A$2:$B$24,2,FALSE),"")</f>
        <v/>
      </c>
      <c r="X958" s="208">
        <f>SUM(Hoja1[[#This Row],[$ X TIP VEHICUL]:[AGREGADO]])</f>
        <v>0</v>
      </c>
    </row>
    <row r="959" spans="2:24" hidden="1" x14ac:dyDescent="0.25">
      <c r="B959" s="189"/>
      <c r="J959" s="189"/>
      <c r="M959" s="205"/>
      <c r="O959" t="s">
        <v>7711</v>
      </c>
      <c r="S959" t="str">
        <f>IFERROR(VLOOKUP(E959,'VALORES VIAJES'!$A$2:$B$13,2,FALSE),"")</f>
        <v/>
      </c>
      <c r="T959" t="str">
        <f>IFERROR(VLOOKUP(H959,'VALORES VIAJES'!$A$2:$B$24,2,FALSE),"")</f>
        <v/>
      </c>
      <c r="U959" t="str">
        <f>IFERROR(VLOOKUP(I959,'VALORES VIAJES'!$A$2:$B$24,2,FALSE),"")</f>
        <v/>
      </c>
      <c r="V959" t="str">
        <f>IFERROR(VLOOKUP(K959,'VALORES VIAJES'!$A$2:$B$24,2,FALSE),"")</f>
        <v/>
      </c>
      <c r="X959" s="208">
        <f>SUM(Hoja1[[#This Row],[$ X TIP VEHICUL]:[AGREGADO]])</f>
        <v>0</v>
      </c>
    </row>
    <row r="960" spans="2:24" hidden="1" x14ac:dyDescent="0.25">
      <c r="B960" s="189"/>
      <c r="J960" s="189"/>
      <c r="M960" s="205"/>
      <c r="O960" t="s">
        <v>7711</v>
      </c>
      <c r="S960" t="str">
        <f>IFERROR(VLOOKUP(E960,'VALORES VIAJES'!$A$2:$B$13,2,FALSE),"")</f>
        <v/>
      </c>
      <c r="T960" t="str">
        <f>IFERROR(VLOOKUP(H960,'VALORES VIAJES'!$A$2:$B$24,2,FALSE),"")</f>
        <v/>
      </c>
      <c r="U960" t="str">
        <f>IFERROR(VLOOKUP(I960,'VALORES VIAJES'!$A$2:$B$24,2,FALSE),"")</f>
        <v/>
      </c>
      <c r="V960" t="str">
        <f>IFERROR(VLOOKUP(K960,'VALORES VIAJES'!$A$2:$B$24,2,FALSE),"")</f>
        <v/>
      </c>
      <c r="X960" s="208">
        <f>SUM(Hoja1[[#This Row],[$ X TIP VEHICUL]:[AGREGADO]])</f>
        <v>0</v>
      </c>
    </row>
    <row r="961" spans="2:24" hidden="1" x14ac:dyDescent="0.25">
      <c r="B961" s="189"/>
      <c r="J961" s="189"/>
      <c r="M961" s="205"/>
      <c r="O961" t="s">
        <v>7711</v>
      </c>
      <c r="S961" t="str">
        <f>IFERROR(VLOOKUP(E961,'VALORES VIAJES'!$A$2:$B$13,2,FALSE),"")</f>
        <v/>
      </c>
      <c r="T961" t="str">
        <f>IFERROR(VLOOKUP(H961,'VALORES VIAJES'!$A$2:$B$24,2,FALSE),"")</f>
        <v/>
      </c>
      <c r="U961" t="str">
        <f>IFERROR(VLOOKUP(I961,'VALORES VIAJES'!$A$2:$B$24,2,FALSE),"")</f>
        <v/>
      </c>
      <c r="V961" t="str">
        <f>IFERROR(VLOOKUP(K961,'VALORES VIAJES'!$A$2:$B$24,2,FALSE),"")</f>
        <v/>
      </c>
      <c r="X961" s="208">
        <f>SUM(Hoja1[[#This Row],[$ X TIP VEHICUL]:[AGREGADO]])</f>
        <v>0</v>
      </c>
    </row>
    <row r="962" spans="2:24" hidden="1" x14ac:dyDescent="0.25">
      <c r="B962" s="189"/>
      <c r="J962" s="189"/>
      <c r="M962" s="205"/>
      <c r="O962" t="s">
        <v>7711</v>
      </c>
      <c r="S962" t="str">
        <f>IFERROR(VLOOKUP(E962,'VALORES VIAJES'!$A$2:$B$13,2,FALSE),"")</f>
        <v/>
      </c>
      <c r="T962" t="str">
        <f>IFERROR(VLOOKUP(H962,'VALORES VIAJES'!$A$2:$B$24,2,FALSE),"")</f>
        <v/>
      </c>
      <c r="U962" t="str">
        <f>IFERROR(VLOOKUP(I962,'VALORES VIAJES'!$A$2:$B$24,2,FALSE),"")</f>
        <v/>
      </c>
      <c r="V962" t="str">
        <f>IFERROR(VLOOKUP(K962,'VALORES VIAJES'!$A$2:$B$24,2,FALSE),"")</f>
        <v/>
      </c>
      <c r="X962" s="208">
        <f>SUM(Hoja1[[#This Row],[$ X TIP VEHICUL]:[AGREGADO]])</f>
        <v>0</v>
      </c>
    </row>
    <row r="963" spans="2:24" hidden="1" x14ac:dyDescent="0.25">
      <c r="B963" s="189"/>
      <c r="J963" s="189"/>
      <c r="M963" s="205"/>
      <c r="O963" t="s">
        <v>7711</v>
      </c>
      <c r="S963" t="str">
        <f>IFERROR(VLOOKUP(E963,'VALORES VIAJES'!$A$2:$B$13,2,FALSE),"")</f>
        <v/>
      </c>
      <c r="T963" t="str">
        <f>IFERROR(VLOOKUP(H963,'VALORES VIAJES'!$A$2:$B$24,2,FALSE),"")</f>
        <v/>
      </c>
      <c r="U963" t="str">
        <f>IFERROR(VLOOKUP(I963,'VALORES VIAJES'!$A$2:$B$24,2,FALSE),"")</f>
        <v/>
      </c>
      <c r="V963" t="str">
        <f>IFERROR(VLOOKUP(K963,'VALORES VIAJES'!$A$2:$B$24,2,FALSE),"")</f>
        <v/>
      </c>
      <c r="X963" s="208">
        <f>SUM(Hoja1[[#This Row],[$ X TIP VEHICUL]:[AGREGADO]])</f>
        <v>0</v>
      </c>
    </row>
    <row r="964" spans="2:24" hidden="1" x14ac:dyDescent="0.25">
      <c r="B964" s="189"/>
      <c r="J964" s="189"/>
      <c r="M964" s="205"/>
      <c r="O964" t="s">
        <v>7711</v>
      </c>
      <c r="S964" t="str">
        <f>IFERROR(VLOOKUP(E964,'VALORES VIAJES'!$A$2:$B$13,2,FALSE),"")</f>
        <v/>
      </c>
      <c r="T964" t="str">
        <f>IFERROR(VLOOKUP(H964,'VALORES VIAJES'!$A$2:$B$24,2,FALSE),"")</f>
        <v/>
      </c>
      <c r="U964" t="str">
        <f>IFERROR(VLOOKUP(I964,'VALORES VIAJES'!$A$2:$B$24,2,FALSE),"")</f>
        <v/>
      </c>
      <c r="V964" t="str">
        <f>IFERROR(VLOOKUP(K964,'VALORES VIAJES'!$A$2:$B$24,2,FALSE),"")</f>
        <v/>
      </c>
      <c r="X964" s="208">
        <f>SUM(Hoja1[[#This Row],[$ X TIP VEHICUL]:[AGREGADO]])</f>
        <v>0</v>
      </c>
    </row>
    <row r="965" spans="2:24" hidden="1" x14ac:dyDescent="0.25">
      <c r="B965" s="189"/>
      <c r="J965" s="189"/>
      <c r="M965" s="205"/>
      <c r="O965" t="s">
        <v>7711</v>
      </c>
      <c r="S965" t="str">
        <f>IFERROR(VLOOKUP(E965,'VALORES VIAJES'!$A$2:$B$13,2,FALSE),"")</f>
        <v/>
      </c>
      <c r="T965" t="str">
        <f>IFERROR(VLOOKUP(H965,'VALORES VIAJES'!$A$2:$B$24,2,FALSE),"")</f>
        <v/>
      </c>
      <c r="U965" t="str">
        <f>IFERROR(VLOOKUP(I965,'VALORES VIAJES'!$A$2:$B$24,2,FALSE),"")</f>
        <v/>
      </c>
      <c r="V965" t="str">
        <f>IFERROR(VLOOKUP(K965,'VALORES VIAJES'!$A$2:$B$24,2,FALSE),"")</f>
        <v/>
      </c>
      <c r="X965" s="208">
        <f>SUM(Hoja1[[#This Row],[$ X TIP VEHICUL]:[AGREGADO]])</f>
        <v>0</v>
      </c>
    </row>
    <row r="966" spans="2:24" hidden="1" x14ac:dyDescent="0.25">
      <c r="B966" s="189"/>
      <c r="J966" s="189"/>
      <c r="M966" s="205"/>
      <c r="O966" t="s">
        <v>7711</v>
      </c>
      <c r="S966" t="str">
        <f>IFERROR(VLOOKUP(E966,'VALORES VIAJES'!$A$2:$B$13,2,FALSE),"")</f>
        <v/>
      </c>
      <c r="T966" t="str">
        <f>IFERROR(VLOOKUP(H966,'VALORES VIAJES'!$A$2:$B$24,2,FALSE),"")</f>
        <v/>
      </c>
      <c r="U966" t="str">
        <f>IFERROR(VLOOKUP(I966,'VALORES VIAJES'!$A$2:$B$24,2,FALSE),"")</f>
        <v/>
      </c>
      <c r="V966" t="str">
        <f>IFERROR(VLOOKUP(K966,'VALORES VIAJES'!$A$2:$B$24,2,FALSE),"")</f>
        <v/>
      </c>
      <c r="X966" s="208">
        <f>SUM(Hoja1[[#This Row],[$ X TIP VEHICUL]:[AGREGADO]])</f>
        <v>0</v>
      </c>
    </row>
    <row r="967" spans="2:24" hidden="1" x14ac:dyDescent="0.25">
      <c r="B967" s="189"/>
      <c r="J967" s="189"/>
      <c r="M967" s="205"/>
      <c r="O967" t="s">
        <v>7711</v>
      </c>
      <c r="S967" t="str">
        <f>IFERROR(VLOOKUP(E967,'VALORES VIAJES'!$A$2:$B$13,2,FALSE),"")</f>
        <v/>
      </c>
      <c r="T967" t="str">
        <f>IFERROR(VLOOKUP(H967,'VALORES VIAJES'!$A$2:$B$24,2,FALSE),"")</f>
        <v/>
      </c>
      <c r="U967" t="str">
        <f>IFERROR(VLOOKUP(I967,'VALORES VIAJES'!$A$2:$B$24,2,FALSE),"")</f>
        <v/>
      </c>
      <c r="V967" t="str">
        <f>IFERROR(VLOOKUP(K967,'VALORES VIAJES'!$A$2:$B$24,2,FALSE),"")</f>
        <v/>
      </c>
      <c r="X967" s="208">
        <f>SUM(Hoja1[[#This Row],[$ X TIP VEHICUL]:[AGREGADO]])</f>
        <v>0</v>
      </c>
    </row>
    <row r="968" spans="2:24" hidden="1" x14ac:dyDescent="0.25">
      <c r="B968" s="189"/>
      <c r="J968" s="189"/>
      <c r="M968" s="205"/>
      <c r="O968" t="s">
        <v>7711</v>
      </c>
      <c r="S968" t="str">
        <f>IFERROR(VLOOKUP(E968,'VALORES VIAJES'!$A$2:$B$13,2,FALSE),"")</f>
        <v/>
      </c>
      <c r="T968" t="str">
        <f>IFERROR(VLOOKUP(H968,'VALORES VIAJES'!$A$2:$B$24,2,FALSE),"")</f>
        <v/>
      </c>
      <c r="U968" t="str">
        <f>IFERROR(VLOOKUP(I968,'VALORES VIAJES'!$A$2:$B$24,2,FALSE),"")</f>
        <v/>
      </c>
      <c r="V968" t="str">
        <f>IFERROR(VLOOKUP(K968,'VALORES VIAJES'!$A$2:$B$24,2,FALSE),"")</f>
        <v/>
      </c>
      <c r="X968" s="208">
        <f>SUM(Hoja1[[#This Row],[$ X TIP VEHICUL]:[AGREGADO]])</f>
        <v>0</v>
      </c>
    </row>
    <row r="969" spans="2:24" hidden="1" x14ac:dyDescent="0.25">
      <c r="B969" s="189"/>
      <c r="J969" s="189"/>
      <c r="M969" s="205"/>
      <c r="O969" t="s">
        <v>7711</v>
      </c>
      <c r="S969" t="str">
        <f>IFERROR(VLOOKUP(E969,'VALORES VIAJES'!$A$2:$B$13,2,FALSE),"")</f>
        <v/>
      </c>
      <c r="T969" t="str">
        <f>IFERROR(VLOOKUP(H969,'VALORES VIAJES'!$A$2:$B$24,2,FALSE),"")</f>
        <v/>
      </c>
      <c r="U969" t="str">
        <f>IFERROR(VLOOKUP(I969,'VALORES VIAJES'!$A$2:$B$24,2,FALSE),"")</f>
        <v/>
      </c>
      <c r="V969" t="str">
        <f>IFERROR(VLOOKUP(K969,'VALORES VIAJES'!$A$2:$B$24,2,FALSE),"")</f>
        <v/>
      </c>
      <c r="X969" s="208">
        <f>SUM(Hoja1[[#This Row],[$ X TIP VEHICUL]:[AGREGADO]])</f>
        <v>0</v>
      </c>
    </row>
    <row r="970" spans="2:24" hidden="1" x14ac:dyDescent="0.25">
      <c r="B970" s="189"/>
      <c r="J970" s="189"/>
      <c r="M970" s="205"/>
      <c r="O970" t="s">
        <v>7711</v>
      </c>
      <c r="S970" t="str">
        <f>IFERROR(VLOOKUP(E970,'VALORES VIAJES'!$A$2:$B$13,2,FALSE),"")</f>
        <v/>
      </c>
      <c r="T970" t="str">
        <f>IFERROR(VLOOKUP(H970,'VALORES VIAJES'!$A$2:$B$24,2,FALSE),"")</f>
        <v/>
      </c>
      <c r="U970" t="str">
        <f>IFERROR(VLOOKUP(I970,'VALORES VIAJES'!$A$2:$B$24,2,FALSE),"")</f>
        <v/>
      </c>
      <c r="V970" t="str">
        <f>IFERROR(VLOOKUP(K970,'VALORES VIAJES'!$A$2:$B$24,2,FALSE),"")</f>
        <v/>
      </c>
      <c r="X970" s="208">
        <f>SUM(Hoja1[[#This Row],[$ X TIP VEHICUL]:[AGREGADO]])</f>
        <v>0</v>
      </c>
    </row>
    <row r="971" spans="2:24" hidden="1" x14ac:dyDescent="0.25">
      <c r="B971" s="189"/>
      <c r="J971" s="189"/>
      <c r="M971" s="205"/>
      <c r="O971" t="s">
        <v>7711</v>
      </c>
      <c r="S971" t="str">
        <f>IFERROR(VLOOKUP(E971,'VALORES VIAJES'!$A$2:$B$13,2,FALSE),"")</f>
        <v/>
      </c>
      <c r="T971" t="str">
        <f>IFERROR(VLOOKUP(H971,'VALORES VIAJES'!$A$2:$B$24,2,FALSE),"")</f>
        <v/>
      </c>
      <c r="U971" t="str">
        <f>IFERROR(VLOOKUP(I971,'VALORES VIAJES'!$A$2:$B$24,2,FALSE),"")</f>
        <v/>
      </c>
      <c r="V971" t="str">
        <f>IFERROR(VLOOKUP(K971,'VALORES VIAJES'!$A$2:$B$24,2,FALSE),"")</f>
        <v/>
      </c>
      <c r="X971" s="208">
        <f>SUM(Hoja1[[#This Row],[$ X TIP VEHICUL]:[AGREGADO]])</f>
        <v>0</v>
      </c>
    </row>
    <row r="972" spans="2:24" hidden="1" x14ac:dyDescent="0.25">
      <c r="B972" s="189"/>
      <c r="J972" s="189"/>
      <c r="M972" s="205"/>
      <c r="O972" t="s">
        <v>7711</v>
      </c>
      <c r="S972" t="str">
        <f>IFERROR(VLOOKUP(E972,'VALORES VIAJES'!$A$2:$B$13,2,FALSE),"")</f>
        <v/>
      </c>
      <c r="T972" t="str">
        <f>IFERROR(VLOOKUP(H972,'VALORES VIAJES'!$A$2:$B$24,2,FALSE),"")</f>
        <v/>
      </c>
      <c r="U972" t="str">
        <f>IFERROR(VLOOKUP(I972,'VALORES VIAJES'!$A$2:$B$24,2,FALSE),"")</f>
        <v/>
      </c>
      <c r="V972" t="str">
        <f>IFERROR(VLOOKUP(K972,'VALORES VIAJES'!$A$2:$B$24,2,FALSE),"")</f>
        <v/>
      </c>
      <c r="X972" s="208">
        <f>SUM(Hoja1[[#This Row],[$ X TIP VEHICUL]:[AGREGADO]])</f>
        <v>0</v>
      </c>
    </row>
    <row r="973" spans="2:24" hidden="1" x14ac:dyDescent="0.25">
      <c r="B973" s="189"/>
      <c r="J973" s="189"/>
      <c r="M973" s="205"/>
      <c r="O973" t="s">
        <v>7711</v>
      </c>
      <c r="S973" t="str">
        <f>IFERROR(VLOOKUP(E973,'VALORES VIAJES'!$A$2:$B$13,2,FALSE),"")</f>
        <v/>
      </c>
      <c r="T973" t="str">
        <f>IFERROR(VLOOKUP(H973,'VALORES VIAJES'!$A$2:$B$24,2,FALSE),"")</f>
        <v/>
      </c>
      <c r="U973" t="str">
        <f>IFERROR(VLOOKUP(I973,'VALORES VIAJES'!$A$2:$B$24,2,FALSE),"")</f>
        <v/>
      </c>
      <c r="V973" t="str">
        <f>IFERROR(VLOOKUP(K973,'VALORES VIAJES'!$A$2:$B$24,2,FALSE),"")</f>
        <v/>
      </c>
      <c r="X973" s="208">
        <f>SUM(Hoja1[[#This Row],[$ X TIP VEHICUL]:[AGREGADO]])</f>
        <v>0</v>
      </c>
    </row>
    <row r="974" spans="2:24" hidden="1" x14ac:dyDescent="0.25">
      <c r="B974" s="189"/>
      <c r="J974" s="189"/>
      <c r="M974" s="205"/>
      <c r="O974" t="s">
        <v>7711</v>
      </c>
      <c r="S974" t="str">
        <f>IFERROR(VLOOKUP(E974,'VALORES VIAJES'!$A$2:$B$13,2,FALSE),"")</f>
        <v/>
      </c>
      <c r="T974" t="str">
        <f>IFERROR(VLOOKUP(H974,'VALORES VIAJES'!$A$2:$B$24,2,FALSE),"")</f>
        <v/>
      </c>
      <c r="U974" t="str">
        <f>IFERROR(VLOOKUP(I974,'VALORES VIAJES'!$A$2:$B$24,2,FALSE),"")</f>
        <v/>
      </c>
      <c r="V974" t="str">
        <f>IFERROR(VLOOKUP(K974,'VALORES VIAJES'!$A$2:$B$24,2,FALSE),"")</f>
        <v/>
      </c>
      <c r="X974" s="208">
        <f>SUM(Hoja1[[#This Row],[$ X TIP VEHICUL]:[AGREGADO]])</f>
        <v>0</v>
      </c>
    </row>
    <row r="975" spans="2:24" hidden="1" x14ac:dyDescent="0.25">
      <c r="B975" s="189"/>
      <c r="J975" s="189"/>
      <c r="M975" s="205"/>
      <c r="O975" t="s">
        <v>7711</v>
      </c>
      <c r="S975" t="str">
        <f>IFERROR(VLOOKUP(E975,'VALORES VIAJES'!$A$2:$B$13,2,FALSE),"")</f>
        <v/>
      </c>
      <c r="T975" t="str">
        <f>IFERROR(VLOOKUP(H975,'VALORES VIAJES'!$A$2:$B$24,2,FALSE),"")</f>
        <v/>
      </c>
      <c r="U975" t="str">
        <f>IFERROR(VLOOKUP(I975,'VALORES VIAJES'!$A$2:$B$24,2,FALSE),"")</f>
        <v/>
      </c>
      <c r="V975" t="str">
        <f>IFERROR(VLOOKUP(K975,'VALORES VIAJES'!$A$2:$B$24,2,FALSE),"")</f>
        <v/>
      </c>
      <c r="X975" s="208">
        <f>SUM(Hoja1[[#This Row],[$ X TIP VEHICUL]:[AGREGADO]])</f>
        <v>0</v>
      </c>
    </row>
    <row r="976" spans="2:24" hidden="1" x14ac:dyDescent="0.25">
      <c r="B976" s="189"/>
      <c r="J976" s="189"/>
      <c r="M976" s="205"/>
      <c r="O976" t="s">
        <v>7711</v>
      </c>
      <c r="S976" t="str">
        <f>IFERROR(VLOOKUP(E976,'VALORES VIAJES'!$A$2:$B$13,2,FALSE),"")</f>
        <v/>
      </c>
      <c r="T976" t="str">
        <f>IFERROR(VLOOKUP(H976,'VALORES VIAJES'!$A$2:$B$24,2,FALSE),"")</f>
        <v/>
      </c>
      <c r="U976" t="str">
        <f>IFERROR(VLOOKUP(I976,'VALORES VIAJES'!$A$2:$B$24,2,FALSE),"")</f>
        <v/>
      </c>
      <c r="V976" t="str">
        <f>IFERROR(VLOOKUP(K976,'VALORES VIAJES'!$A$2:$B$24,2,FALSE),"")</f>
        <v/>
      </c>
      <c r="X976" s="208">
        <f>SUM(Hoja1[[#This Row],[$ X TIP VEHICUL]:[AGREGADO]])</f>
        <v>0</v>
      </c>
    </row>
    <row r="977" spans="2:24" hidden="1" x14ac:dyDescent="0.25">
      <c r="B977" s="189"/>
      <c r="J977" s="189"/>
      <c r="M977" s="205"/>
      <c r="O977" t="s">
        <v>7711</v>
      </c>
      <c r="S977" t="str">
        <f>IFERROR(VLOOKUP(E977,'VALORES VIAJES'!$A$2:$B$13,2,FALSE),"")</f>
        <v/>
      </c>
      <c r="T977" t="str">
        <f>IFERROR(VLOOKUP(H977,'VALORES VIAJES'!$A$2:$B$24,2,FALSE),"")</f>
        <v/>
      </c>
      <c r="U977" t="str">
        <f>IFERROR(VLOOKUP(I977,'VALORES VIAJES'!$A$2:$B$24,2,FALSE),"")</f>
        <v/>
      </c>
      <c r="V977" t="str">
        <f>IFERROR(VLOOKUP(K977,'VALORES VIAJES'!$A$2:$B$24,2,FALSE),"")</f>
        <v/>
      </c>
      <c r="X977" s="208">
        <f>SUM(Hoja1[[#This Row],[$ X TIP VEHICUL]:[AGREGADO]])</f>
        <v>0</v>
      </c>
    </row>
    <row r="978" spans="2:24" hidden="1" x14ac:dyDescent="0.25">
      <c r="B978" s="189"/>
      <c r="J978" s="189"/>
      <c r="M978" s="205"/>
      <c r="O978" t="s">
        <v>7711</v>
      </c>
      <c r="S978" t="str">
        <f>IFERROR(VLOOKUP(E978,'VALORES VIAJES'!$A$2:$B$13,2,FALSE),"")</f>
        <v/>
      </c>
      <c r="T978" t="str">
        <f>IFERROR(VLOOKUP(H978,'VALORES VIAJES'!$A$2:$B$24,2,FALSE),"")</f>
        <v/>
      </c>
      <c r="U978" t="str">
        <f>IFERROR(VLOOKUP(I978,'VALORES VIAJES'!$A$2:$B$24,2,FALSE),"")</f>
        <v/>
      </c>
      <c r="V978" t="str">
        <f>IFERROR(VLOOKUP(K978,'VALORES VIAJES'!$A$2:$B$24,2,FALSE),"")</f>
        <v/>
      </c>
      <c r="X978" s="208">
        <f>SUM(Hoja1[[#This Row],[$ X TIP VEHICUL]:[AGREGADO]])</f>
        <v>0</v>
      </c>
    </row>
    <row r="979" spans="2:24" hidden="1" x14ac:dyDescent="0.25">
      <c r="B979" s="189"/>
      <c r="J979" s="189"/>
      <c r="M979" s="205"/>
      <c r="O979" t="s">
        <v>7711</v>
      </c>
      <c r="S979" t="str">
        <f>IFERROR(VLOOKUP(E979,'VALORES VIAJES'!$A$2:$B$13,2,FALSE),"")</f>
        <v/>
      </c>
      <c r="T979" t="str">
        <f>IFERROR(VLOOKUP(H979,'VALORES VIAJES'!$A$2:$B$24,2,FALSE),"")</f>
        <v/>
      </c>
      <c r="U979" t="str">
        <f>IFERROR(VLOOKUP(I979,'VALORES VIAJES'!$A$2:$B$24,2,FALSE),"")</f>
        <v/>
      </c>
      <c r="V979" t="str">
        <f>IFERROR(VLOOKUP(K979,'VALORES VIAJES'!$A$2:$B$24,2,FALSE),"")</f>
        <v/>
      </c>
      <c r="X979" s="208">
        <f>SUM(Hoja1[[#This Row],[$ X TIP VEHICUL]:[AGREGADO]])</f>
        <v>0</v>
      </c>
    </row>
    <row r="980" spans="2:24" hidden="1" x14ac:dyDescent="0.25">
      <c r="B980" s="189"/>
      <c r="J980" s="189"/>
      <c r="M980" s="205"/>
      <c r="O980" t="s">
        <v>7711</v>
      </c>
      <c r="S980" t="str">
        <f>IFERROR(VLOOKUP(E980,'VALORES VIAJES'!$A$2:$B$13,2,FALSE),"")</f>
        <v/>
      </c>
      <c r="T980" t="str">
        <f>IFERROR(VLOOKUP(H980,'VALORES VIAJES'!$A$2:$B$24,2,FALSE),"")</f>
        <v/>
      </c>
      <c r="U980" t="str">
        <f>IFERROR(VLOOKUP(I980,'VALORES VIAJES'!$A$2:$B$24,2,FALSE),"")</f>
        <v/>
      </c>
      <c r="V980" t="str">
        <f>IFERROR(VLOOKUP(K980,'VALORES VIAJES'!$A$2:$B$24,2,FALSE),"")</f>
        <v/>
      </c>
      <c r="X980" s="208">
        <f>SUM(Hoja1[[#This Row],[$ X TIP VEHICUL]:[AGREGADO]])</f>
        <v>0</v>
      </c>
    </row>
    <row r="981" spans="2:24" hidden="1" x14ac:dyDescent="0.25">
      <c r="B981" s="189"/>
      <c r="J981" s="189"/>
      <c r="M981" s="205"/>
      <c r="O981" t="s">
        <v>7711</v>
      </c>
      <c r="S981" t="str">
        <f>IFERROR(VLOOKUP(E981,'VALORES VIAJES'!$A$2:$B$13,2,FALSE),"")</f>
        <v/>
      </c>
      <c r="T981" t="str">
        <f>IFERROR(VLOOKUP(H981,'VALORES VIAJES'!$A$2:$B$24,2,FALSE),"")</f>
        <v/>
      </c>
      <c r="U981" t="str">
        <f>IFERROR(VLOOKUP(I981,'VALORES VIAJES'!$A$2:$B$24,2,FALSE),"")</f>
        <v/>
      </c>
      <c r="V981" t="str">
        <f>IFERROR(VLOOKUP(K981,'VALORES VIAJES'!$A$2:$B$24,2,FALSE),"")</f>
        <v/>
      </c>
      <c r="X981" s="208">
        <f>SUM(Hoja1[[#This Row],[$ X TIP VEHICUL]:[AGREGADO]])</f>
        <v>0</v>
      </c>
    </row>
    <row r="982" spans="2:24" hidden="1" x14ac:dyDescent="0.25">
      <c r="B982" s="189"/>
      <c r="J982" s="189"/>
      <c r="M982" s="205"/>
      <c r="O982" t="s">
        <v>7711</v>
      </c>
      <c r="S982" t="str">
        <f>IFERROR(VLOOKUP(E982,'VALORES VIAJES'!$A$2:$B$13,2,FALSE),"")</f>
        <v/>
      </c>
      <c r="T982" t="str">
        <f>IFERROR(VLOOKUP(H982,'VALORES VIAJES'!$A$2:$B$24,2,FALSE),"")</f>
        <v/>
      </c>
      <c r="U982" t="str">
        <f>IFERROR(VLOOKUP(I982,'VALORES VIAJES'!$A$2:$B$24,2,FALSE),"")</f>
        <v/>
      </c>
      <c r="V982" t="str">
        <f>IFERROR(VLOOKUP(K982,'VALORES VIAJES'!$A$2:$B$24,2,FALSE),"")</f>
        <v/>
      </c>
      <c r="X982" s="208">
        <f>SUM(Hoja1[[#This Row],[$ X TIP VEHICUL]:[AGREGADO]])</f>
        <v>0</v>
      </c>
    </row>
    <row r="983" spans="2:24" hidden="1" x14ac:dyDescent="0.25">
      <c r="B983" s="189"/>
      <c r="J983" s="189"/>
      <c r="M983" s="205"/>
      <c r="O983" t="s">
        <v>7711</v>
      </c>
      <c r="S983" t="str">
        <f>IFERROR(VLOOKUP(E983,'VALORES VIAJES'!$A$2:$B$13,2,FALSE),"")</f>
        <v/>
      </c>
      <c r="T983" t="str">
        <f>IFERROR(VLOOKUP(H983,'VALORES VIAJES'!$A$2:$B$24,2,FALSE),"")</f>
        <v/>
      </c>
      <c r="U983" t="str">
        <f>IFERROR(VLOOKUP(I983,'VALORES VIAJES'!$A$2:$B$24,2,FALSE),"")</f>
        <v/>
      </c>
      <c r="V983" t="str">
        <f>IFERROR(VLOOKUP(K983,'VALORES VIAJES'!$A$2:$B$24,2,FALSE),"")</f>
        <v/>
      </c>
      <c r="X983" s="208">
        <f>SUM(Hoja1[[#This Row],[$ X TIP VEHICUL]:[AGREGADO]])</f>
        <v>0</v>
      </c>
    </row>
    <row r="984" spans="2:24" hidden="1" x14ac:dyDescent="0.25">
      <c r="B984" s="189"/>
      <c r="J984" s="189"/>
      <c r="M984" s="205"/>
      <c r="O984" t="s">
        <v>7711</v>
      </c>
      <c r="S984" t="str">
        <f>IFERROR(VLOOKUP(E984,'VALORES VIAJES'!$A$2:$B$13,2,FALSE),"")</f>
        <v/>
      </c>
      <c r="T984" t="str">
        <f>IFERROR(VLOOKUP(H984,'VALORES VIAJES'!$A$2:$B$24,2,FALSE),"")</f>
        <v/>
      </c>
      <c r="U984" t="str">
        <f>IFERROR(VLOOKUP(I984,'VALORES VIAJES'!$A$2:$B$24,2,FALSE),"")</f>
        <v/>
      </c>
      <c r="V984" t="str">
        <f>IFERROR(VLOOKUP(K984,'VALORES VIAJES'!$A$2:$B$24,2,FALSE),"")</f>
        <v/>
      </c>
      <c r="X984" s="208">
        <f>SUM(Hoja1[[#This Row],[$ X TIP VEHICUL]:[AGREGADO]])</f>
        <v>0</v>
      </c>
    </row>
    <row r="985" spans="2:24" hidden="1" x14ac:dyDescent="0.25">
      <c r="B985" s="189"/>
      <c r="J985" s="189"/>
      <c r="M985" s="205"/>
      <c r="O985" t="s">
        <v>7711</v>
      </c>
      <c r="S985" t="str">
        <f>IFERROR(VLOOKUP(E985,'VALORES VIAJES'!$A$2:$B$13,2,FALSE),"")</f>
        <v/>
      </c>
      <c r="T985" t="str">
        <f>IFERROR(VLOOKUP(H985,'VALORES VIAJES'!$A$2:$B$24,2,FALSE),"")</f>
        <v/>
      </c>
      <c r="U985" t="str">
        <f>IFERROR(VLOOKUP(I985,'VALORES VIAJES'!$A$2:$B$24,2,FALSE),"")</f>
        <v/>
      </c>
      <c r="V985" t="str">
        <f>IFERROR(VLOOKUP(K985,'VALORES VIAJES'!$A$2:$B$24,2,FALSE),"")</f>
        <v/>
      </c>
      <c r="X985" s="208">
        <f>SUM(Hoja1[[#This Row],[$ X TIP VEHICUL]:[AGREGADO]])</f>
        <v>0</v>
      </c>
    </row>
    <row r="986" spans="2:24" hidden="1" x14ac:dyDescent="0.25">
      <c r="B986" s="189"/>
      <c r="J986" s="189"/>
      <c r="M986" s="205"/>
      <c r="O986" t="s">
        <v>7711</v>
      </c>
      <c r="S986" t="str">
        <f>IFERROR(VLOOKUP(E986,'VALORES VIAJES'!$A$2:$B$13,2,FALSE),"")</f>
        <v/>
      </c>
      <c r="T986" t="str">
        <f>IFERROR(VLOOKUP(H986,'VALORES VIAJES'!$A$2:$B$24,2,FALSE),"")</f>
        <v/>
      </c>
      <c r="U986" t="str">
        <f>IFERROR(VLOOKUP(I986,'VALORES VIAJES'!$A$2:$B$24,2,FALSE),"")</f>
        <v/>
      </c>
      <c r="V986" t="str">
        <f>IFERROR(VLOOKUP(K986,'VALORES VIAJES'!$A$2:$B$24,2,FALSE),"")</f>
        <v/>
      </c>
      <c r="X986" s="208">
        <f>SUM(Hoja1[[#This Row],[$ X TIP VEHICUL]:[AGREGADO]])</f>
        <v>0</v>
      </c>
    </row>
    <row r="987" spans="2:24" hidden="1" x14ac:dyDescent="0.25">
      <c r="B987" s="189"/>
      <c r="J987" s="189"/>
      <c r="M987" s="205"/>
      <c r="O987" t="s">
        <v>7711</v>
      </c>
      <c r="S987" t="str">
        <f>IFERROR(VLOOKUP(E987,'VALORES VIAJES'!$A$2:$B$13,2,FALSE),"")</f>
        <v/>
      </c>
      <c r="T987" t="str">
        <f>IFERROR(VLOOKUP(H987,'VALORES VIAJES'!$A$2:$B$24,2,FALSE),"")</f>
        <v/>
      </c>
      <c r="U987" t="str">
        <f>IFERROR(VLOOKUP(I987,'VALORES VIAJES'!$A$2:$B$24,2,FALSE),"")</f>
        <v/>
      </c>
      <c r="V987" t="str">
        <f>IFERROR(VLOOKUP(K987,'VALORES VIAJES'!$A$2:$B$24,2,FALSE),"")</f>
        <v/>
      </c>
      <c r="X987" s="208">
        <f>SUM(Hoja1[[#This Row],[$ X TIP VEHICUL]:[AGREGADO]])</f>
        <v>0</v>
      </c>
    </row>
    <row r="988" spans="2:24" hidden="1" x14ac:dyDescent="0.25">
      <c r="B988" s="189"/>
      <c r="J988" s="189"/>
      <c r="M988" s="205"/>
      <c r="O988" t="s">
        <v>7711</v>
      </c>
      <c r="S988" t="str">
        <f>IFERROR(VLOOKUP(E988,'VALORES VIAJES'!$A$2:$B$13,2,FALSE),"")</f>
        <v/>
      </c>
      <c r="T988" t="str">
        <f>IFERROR(VLOOKUP(H988,'VALORES VIAJES'!$A$2:$B$24,2,FALSE),"")</f>
        <v/>
      </c>
      <c r="U988" t="str">
        <f>IFERROR(VLOOKUP(I988,'VALORES VIAJES'!$A$2:$B$24,2,FALSE),"")</f>
        <v/>
      </c>
      <c r="V988" t="str">
        <f>IFERROR(VLOOKUP(K988,'VALORES VIAJES'!$A$2:$B$24,2,FALSE),"")</f>
        <v/>
      </c>
      <c r="X988" s="208">
        <f>SUM(Hoja1[[#This Row],[$ X TIP VEHICUL]:[AGREGADO]])</f>
        <v>0</v>
      </c>
    </row>
    <row r="989" spans="2:24" hidden="1" x14ac:dyDescent="0.25">
      <c r="B989" s="189"/>
      <c r="J989" s="189"/>
      <c r="M989" s="205"/>
      <c r="O989" t="s">
        <v>7711</v>
      </c>
      <c r="S989" t="str">
        <f>IFERROR(VLOOKUP(E989,'VALORES VIAJES'!$A$2:$B$13,2,FALSE),"")</f>
        <v/>
      </c>
      <c r="T989" t="str">
        <f>IFERROR(VLOOKUP(H989,'VALORES VIAJES'!$A$2:$B$24,2,FALSE),"")</f>
        <v/>
      </c>
      <c r="U989" t="str">
        <f>IFERROR(VLOOKUP(I989,'VALORES VIAJES'!$A$2:$B$24,2,FALSE),"")</f>
        <v/>
      </c>
      <c r="V989" t="str">
        <f>IFERROR(VLOOKUP(K989,'VALORES VIAJES'!$A$2:$B$24,2,FALSE),"")</f>
        <v/>
      </c>
      <c r="X989" s="208">
        <f>SUM(Hoja1[[#This Row],[$ X TIP VEHICUL]:[AGREGADO]])</f>
        <v>0</v>
      </c>
    </row>
    <row r="990" spans="2:24" hidden="1" x14ac:dyDescent="0.25">
      <c r="B990" s="189"/>
      <c r="J990" s="189"/>
      <c r="M990" s="205"/>
      <c r="O990" t="s">
        <v>7711</v>
      </c>
      <c r="S990" t="str">
        <f>IFERROR(VLOOKUP(E990,'VALORES VIAJES'!$A$2:$B$13,2,FALSE),"")</f>
        <v/>
      </c>
      <c r="T990" t="str">
        <f>IFERROR(VLOOKUP(H990,'VALORES VIAJES'!$A$2:$B$24,2,FALSE),"")</f>
        <v/>
      </c>
      <c r="U990" t="str">
        <f>IFERROR(VLOOKUP(I990,'VALORES VIAJES'!$A$2:$B$24,2,FALSE),"")</f>
        <v/>
      </c>
      <c r="V990" t="str">
        <f>IFERROR(VLOOKUP(K990,'VALORES VIAJES'!$A$2:$B$24,2,FALSE),"")</f>
        <v/>
      </c>
      <c r="X990" s="208">
        <f>SUM(Hoja1[[#This Row],[$ X TIP VEHICUL]:[AGREGADO]])</f>
        <v>0</v>
      </c>
    </row>
    <row r="991" spans="2:24" hidden="1" x14ac:dyDescent="0.25">
      <c r="B991" s="189"/>
      <c r="J991" s="189"/>
      <c r="M991" s="205"/>
      <c r="O991" t="s">
        <v>7711</v>
      </c>
      <c r="S991" t="str">
        <f>IFERROR(VLOOKUP(E991,'VALORES VIAJES'!$A$2:$B$13,2,FALSE),"")</f>
        <v/>
      </c>
      <c r="T991" t="str">
        <f>IFERROR(VLOOKUP(H991,'VALORES VIAJES'!$A$2:$B$24,2,FALSE),"")</f>
        <v/>
      </c>
      <c r="U991" t="str">
        <f>IFERROR(VLOOKUP(I991,'VALORES VIAJES'!$A$2:$B$24,2,FALSE),"")</f>
        <v/>
      </c>
      <c r="V991" t="str">
        <f>IFERROR(VLOOKUP(K991,'VALORES VIAJES'!$A$2:$B$24,2,FALSE),"")</f>
        <v/>
      </c>
      <c r="X991" s="208">
        <f>SUM(Hoja1[[#This Row],[$ X TIP VEHICUL]:[AGREGADO]])</f>
        <v>0</v>
      </c>
    </row>
    <row r="992" spans="2:24" hidden="1" x14ac:dyDescent="0.25">
      <c r="B992" s="189"/>
      <c r="J992" s="189"/>
      <c r="M992" s="205"/>
      <c r="O992" t="s">
        <v>7711</v>
      </c>
      <c r="S992" t="str">
        <f>IFERROR(VLOOKUP(E992,'VALORES VIAJES'!$A$2:$B$13,2,FALSE),"")</f>
        <v/>
      </c>
      <c r="T992" t="str">
        <f>IFERROR(VLOOKUP(H992,'VALORES VIAJES'!$A$2:$B$24,2,FALSE),"")</f>
        <v/>
      </c>
      <c r="U992" t="str">
        <f>IFERROR(VLOOKUP(I992,'VALORES VIAJES'!$A$2:$B$24,2,FALSE),"")</f>
        <v/>
      </c>
      <c r="V992" t="str">
        <f>IFERROR(VLOOKUP(K992,'VALORES VIAJES'!$A$2:$B$24,2,FALSE),"")</f>
        <v/>
      </c>
      <c r="X992" s="208">
        <f>SUM(Hoja1[[#This Row],[$ X TIP VEHICUL]:[AGREGADO]])</f>
        <v>0</v>
      </c>
    </row>
    <row r="993" spans="2:24" hidden="1" x14ac:dyDescent="0.25">
      <c r="B993" s="189"/>
      <c r="J993" s="189"/>
      <c r="M993" s="205"/>
      <c r="O993" t="s">
        <v>7711</v>
      </c>
      <c r="S993" t="str">
        <f>IFERROR(VLOOKUP(E993,'VALORES VIAJES'!$A$2:$B$13,2,FALSE),"")</f>
        <v/>
      </c>
      <c r="T993" t="str">
        <f>IFERROR(VLOOKUP(H993,'VALORES VIAJES'!$A$2:$B$24,2,FALSE),"")</f>
        <v/>
      </c>
      <c r="U993" t="str">
        <f>IFERROR(VLOOKUP(I993,'VALORES VIAJES'!$A$2:$B$24,2,FALSE),"")</f>
        <v/>
      </c>
      <c r="V993" t="str">
        <f>IFERROR(VLOOKUP(K993,'VALORES VIAJES'!$A$2:$B$24,2,FALSE),"")</f>
        <v/>
      </c>
      <c r="X993" s="208">
        <f>SUM(Hoja1[[#This Row],[$ X TIP VEHICUL]:[AGREGADO]])</f>
        <v>0</v>
      </c>
    </row>
    <row r="994" spans="2:24" hidden="1" x14ac:dyDescent="0.25">
      <c r="B994" s="189"/>
      <c r="J994" s="189"/>
      <c r="M994" s="205"/>
      <c r="O994" t="s">
        <v>7711</v>
      </c>
      <c r="S994" t="str">
        <f>IFERROR(VLOOKUP(E994,'VALORES VIAJES'!$A$2:$B$13,2,FALSE),"")</f>
        <v/>
      </c>
      <c r="T994" t="str">
        <f>IFERROR(VLOOKUP(H994,'VALORES VIAJES'!$A$2:$B$24,2,FALSE),"")</f>
        <v/>
      </c>
      <c r="U994" t="str">
        <f>IFERROR(VLOOKUP(I994,'VALORES VIAJES'!$A$2:$B$24,2,FALSE),"")</f>
        <v/>
      </c>
      <c r="V994" t="str">
        <f>IFERROR(VLOOKUP(K994,'VALORES VIAJES'!$A$2:$B$24,2,FALSE),"")</f>
        <v/>
      </c>
      <c r="X994" s="208">
        <f>SUM(Hoja1[[#This Row],[$ X TIP VEHICUL]:[AGREGADO]])</f>
        <v>0</v>
      </c>
    </row>
    <row r="995" spans="2:24" hidden="1" x14ac:dyDescent="0.25">
      <c r="B995" s="189"/>
      <c r="J995" s="189"/>
      <c r="M995" s="205"/>
      <c r="O995" t="s">
        <v>7711</v>
      </c>
      <c r="S995" t="str">
        <f>IFERROR(VLOOKUP(E995,'VALORES VIAJES'!$A$2:$B$13,2,FALSE),"")</f>
        <v/>
      </c>
      <c r="T995" t="str">
        <f>IFERROR(VLOOKUP(H995,'VALORES VIAJES'!$A$2:$B$24,2,FALSE),"")</f>
        <v/>
      </c>
      <c r="U995" t="str">
        <f>IFERROR(VLOOKUP(I995,'VALORES VIAJES'!$A$2:$B$24,2,FALSE),"")</f>
        <v/>
      </c>
      <c r="V995" t="str">
        <f>IFERROR(VLOOKUP(K995,'VALORES VIAJES'!$A$2:$B$24,2,FALSE),"")</f>
        <v/>
      </c>
      <c r="X995" s="208">
        <f>SUM(Hoja1[[#This Row],[$ X TIP VEHICUL]:[AGREGADO]])</f>
        <v>0</v>
      </c>
    </row>
    <row r="996" spans="2:24" hidden="1" x14ac:dyDescent="0.25">
      <c r="B996" s="189"/>
      <c r="J996" s="189"/>
      <c r="M996" s="205"/>
      <c r="O996" t="s">
        <v>7711</v>
      </c>
      <c r="S996" t="str">
        <f>IFERROR(VLOOKUP(E996,'VALORES VIAJES'!$A$2:$B$13,2,FALSE),"")</f>
        <v/>
      </c>
      <c r="T996" t="str">
        <f>IFERROR(VLOOKUP(H996,'VALORES VIAJES'!$A$2:$B$24,2,FALSE),"")</f>
        <v/>
      </c>
      <c r="U996" t="str">
        <f>IFERROR(VLOOKUP(I996,'VALORES VIAJES'!$A$2:$B$24,2,FALSE),"")</f>
        <v/>
      </c>
      <c r="V996" t="str">
        <f>IFERROR(VLOOKUP(K996,'VALORES VIAJES'!$A$2:$B$24,2,FALSE),"")</f>
        <v/>
      </c>
      <c r="X996" s="208">
        <f>SUM(Hoja1[[#This Row],[$ X TIP VEHICUL]:[AGREGADO]])</f>
        <v>0</v>
      </c>
    </row>
    <row r="997" spans="2:24" hidden="1" x14ac:dyDescent="0.25">
      <c r="B997" s="189"/>
      <c r="J997" s="189"/>
      <c r="M997" s="205"/>
      <c r="O997" t="s">
        <v>7711</v>
      </c>
      <c r="S997" t="str">
        <f>IFERROR(VLOOKUP(E997,'VALORES VIAJES'!$A$2:$B$13,2,FALSE),"")</f>
        <v/>
      </c>
      <c r="T997" t="str">
        <f>IFERROR(VLOOKUP(H997,'VALORES VIAJES'!$A$2:$B$24,2,FALSE),"")</f>
        <v/>
      </c>
      <c r="U997" t="str">
        <f>IFERROR(VLOOKUP(I997,'VALORES VIAJES'!$A$2:$B$24,2,FALSE),"")</f>
        <v/>
      </c>
      <c r="V997" t="str">
        <f>IFERROR(VLOOKUP(K997,'VALORES VIAJES'!$A$2:$B$24,2,FALSE),"")</f>
        <v/>
      </c>
      <c r="X997" s="208">
        <f>SUM(Hoja1[[#This Row],[$ X TIP VEHICUL]:[AGREGADO]])</f>
        <v>0</v>
      </c>
    </row>
    <row r="998" spans="2:24" hidden="1" x14ac:dyDescent="0.25">
      <c r="B998" s="189"/>
      <c r="J998" s="189"/>
      <c r="M998" s="205"/>
      <c r="O998" t="s">
        <v>7711</v>
      </c>
      <c r="S998" t="str">
        <f>IFERROR(VLOOKUP(E998,'VALORES VIAJES'!$A$2:$B$13,2,FALSE),"")</f>
        <v/>
      </c>
      <c r="T998" t="str">
        <f>IFERROR(VLOOKUP(H998,'VALORES VIAJES'!$A$2:$B$24,2,FALSE),"")</f>
        <v/>
      </c>
      <c r="U998" t="str">
        <f>IFERROR(VLOOKUP(I998,'VALORES VIAJES'!$A$2:$B$24,2,FALSE),"")</f>
        <v/>
      </c>
      <c r="V998" t="str">
        <f>IFERROR(VLOOKUP(K998,'VALORES VIAJES'!$A$2:$B$24,2,FALSE),"")</f>
        <v/>
      </c>
      <c r="X998" s="208">
        <f>SUM(Hoja1[[#This Row],[$ X TIP VEHICUL]:[AGREGADO]])</f>
        <v>0</v>
      </c>
    </row>
    <row r="999" spans="2:24" hidden="1" x14ac:dyDescent="0.25">
      <c r="B999" s="189"/>
      <c r="J999" s="189"/>
      <c r="M999" s="205"/>
      <c r="O999" t="s">
        <v>7711</v>
      </c>
      <c r="S999" t="str">
        <f>IFERROR(VLOOKUP(E999,'VALORES VIAJES'!$A$2:$B$13,2,FALSE),"")</f>
        <v/>
      </c>
      <c r="T999" t="str">
        <f>IFERROR(VLOOKUP(H999,'VALORES VIAJES'!$A$2:$B$24,2,FALSE),"")</f>
        <v/>
      </c>
      <c r="U999" t="str">
        <f>IFERROR(VLOOKUP(I999,'VALORES VIAJES'!$A$2:$B$24,2,FALSE),"")</f>
        <v/>
      </c>
      <c r="V999" t="str">
        <f>IFERROR(VLOOKUP(K999,'VALORES VIAJES'!$A$2:$B$24,2,FALSE),"")</f>
        <v/>
      </c>
      <c r="X999" s="208">
        <f>SUM(Hoja1[[#This Row],[$ X TIP VEHICUL]:[AGREGADO]])</f>
        <v>0</v>
      </c>
    </row>
    <row r="1000" spans="2:24" hidden="1" x14ac:dyDescent="0.25">
      <c r="B1000" s="189"/>
      <c r="J1000" s="189"/>
      <c r="M1000" s="205"/>
      <c r="O1000" t="s">
        <v>7711</v>
      </c>
      <c r="S1000" t="str">
        <f>IFERROR(VLOOKUP(E1000,'VALORES VIAJES'!$A$2:$B$13,2,FALSE),"")</f>
        <v/>
      </c>
      <c r="T1000" t="str">
        <f>IFERROR(VLOOKUP(H1000,'VALORES VIAJES'!$A$2:$B$24,2,FALSE),"")</f>
        <v/>
      </c>
      <c r="U1000" t="str">
        <f>IFERROR(VLOOKUP(I1000,'VALORES VIAJES'!$A$2:$B$24,2,FALSE),"")</f>
        <v/>
      </c>
      <c r="V1000" t="str">
        <f>IFERROR(VLOOKUP(K1000,'VALORES VIAJES'!$A$2:$B$24,2,FALSE),"")</f>
        <v/>
      </c>
      <c r="X1000" s="208">
        <f>SUM(Hoja1[[#This Row],[$ X TIP VEHICUL]:[AGREGADO]])</f>
        <v>0</v>
      </c>
    </row>
    <row r="1001" spans="2:24" hidden="1" x14ac:dyDescent="0.25">
      <c r="B1001" s="189"/>
      <c r="J1001" s="189"/>
      <c r="M1001" s="205"/>
      <c r="S1001" t="str">
        <f>IFERROR(VLOOKUP(E1001,'VALORES VIAJES'!$A$2:$B$13,2,FALSE),"")</f>
        <v/>
      </c>
      <c r="T1001" t="str">
        <f>IFERROR(VLOOKUP(H1001,'VALORES VIAJES'!$A$2:$B$24,2,FALSE),"")</f>
        <v/>
      </c>
      <c r="U1001" t="str">
        <f>IFERROR(VLOOKUP(I1001,'VALORES VIAJES'!$A$2:$B$24,2,FALSE),"")</f>
        <v/>
      </c>
      <c r="V1001" t="str">
        <f>IFERROR(VLOOKUP(K1001,'VALORES VIAJES'!$A$2:$B$24,2,FALSE),"")</f>
        <v/>
      </c>
      <c r="X1001" s="208">
        <f>SUM(Hoja1[[#This Row],[$ X TIP VEHICUL]:[AGREGADO]])</f>
        <v>0</v>
      </c>
    </row>
    <row r="1002" spans="2:24" hidden="1" x14ac:dyDescent="0.25">
      <c r="B1002" s="189"/>
      <c r="J1002" s="189"/>
      <c r="M1002" s="205"/>
      <c r="S1002" t="str">
        <f>IFERROR(VLOOKUP(E1002,'VALORES VIAJES'!$A$2:$B$13,2,FALSE),"")</f>
        <v/>
      </c>
      <c r="T1002" t="str">
        <f>IFERROR(VLOOKUP(H1002,'VALORES VIAJES'!$A$2:$B$24,2,FALSE),"")</f>
        <v/>
      </c>
      <c r="U1002" t="str">
        <f>IFERROR(VLOOKUP(I1002,'VALORES VIAJES'!$A$2:$B$24,2,FALSE),"")</f>
        <v/>
      </c>
      <c r="V1002" t="str">
        <f>IFERROR(VLOOKUP(K1002,'VALORES VIAJES'!$A$2:$B$24,2,FALSE),"")</f>
        <v/>
      </c>
      <c r="X1002" s="208">
        <f>SUM(Hoja1[[#This Row],[$ X TIP VEHICUL]:[AGREGADO]])</f>
        <v>0</v>
      </c>
    </row>
    <row r="1003" spans="2:24" hidden="1" x14ac:dyDescent="0.25">
      <c r="B1003" s="189"/>
      <c r="J1003" s="189"/>
      <c r="M1003" s="205"/>
      <c r="S1003" t="str">
        <f>IFERROR(VLOOKUP(E1003,'VALORES VIAJES'!$A$2:$B$13,2,FALSE),"")</f>
        <v/>
      </c>
      <c r="T1003" t="str">
        <f>IFERROR(VLOOKUP(H1003,'VALORES VIAJES'!$A$2:$B$24,2,FALSE),"")</f>
        <v/>
      </c>
      <c r="U1003" t="str">
        <f>IFERROR(VLOOKUP(I1003,'VALORES VIAJES'!$A$2:$B$24,2,FALSE),"")</f>
        <v/>
      </c>
      <c r="V1003" t="str">
        <f>IFERROR(VLOOKUP(K1003,'VALORES VIAJES'!$A$2:$B$24,2,FALSE),"")</f>
        <v/>
      </c>
      <c r="X1003" s="208">
        <f>SUM(Hoja1[[#This Row],[$ X TIP VEHICUL]:[AGREGADO]])</f>
        <v>0</v>
      </c>
    </row>
    <row r="1004" spans="2:24" hidden="1" x14ac:dyDescent="0.25">
      <c r="B1004" s="189"/>
      <c r="J1004" s="189"/>
      <c r="M1004" s="205"/>
      <c r="S1004" t="str">
        <f>IFERROR(VLOOKUP(E1004,'VALORES VIAJES'!$A$2:$B$13,2,FALSE),"")</f>
        <v/>
      </c>
      <c r="T1004" t="str">
        <f>IFERROR(VLOOKUP(H1004,'VALORES VIAJES'!$A$2:$B$24,2,FALSE),"")</f>
        <v/>
      </c>
      <c r="U1004" t="str">
        <f>IFERROR(VLOOKUP(I1004,'VALORES VIAJES'!$A$2:$B$24,2,FALSE),"")</f>
        <v/>
      </c>
      <c r="V1004" t="str">
        <f>IFERROR(VLOOKUP(K1004,'VALORES VIAJES'!$A$2:$B$24,2,FALSE),"")</f>
        <v/>
      </c>
      <c r="X1004" s="208">
        <f>SUM(Hoja1[[#This Row],[$ X TIP VEHICUL]:[AGREGADO]])</f>
        <v>0</v>
      </c>
    </row>
    <row r="1005" spans="2:24" hidden="1" x14ac:dyDescent="0.25">
      <c r="B1005" s="189"/>
      <c r="J1005" s="189"/>
      <c r="M1005" s="205"/>
      <c r="S1005" t="str">
        <f>IFERROR(VLOOKUP(E1005,'VALORES VIAJES'!$A$2:$B$13,2,FALSE),"")</f>
        <v/>
      </c>
      <c r="T1005" t="str">
        <f>IFERROR(VLOOKUP(H1005,'VALORES VIAJES'!$A$2:$B$24,2,FALSE),"")</f>
        <v/>
      </c>
      <c r="U1005" t="str">
        <f>IFERROR(VLOOKUP(I1005,'VALORES VIAJES'!$A$2:$B$24,2,FALSE),"")</f>
        <v/>
      </c>
      <c r="V1005" t="str">
        <f>IFERROR(VLOOKUP(K1005,'VALORES VIAJES'!$A$2:$B$24,2,FALSE),"")</f>
        <v/>
      </c>
      <c r="X1005" s="208">
        <f>SUM(Hoja1[[#This Row],[$ X TIP VEHICUL]:[AGREGADO]])</f>
        <v>0</v>
      </c>
    </row>
    <row r="1006" spans="2:24" hidden="1" x14ac:dyDescent="0.25">
      <c r="B1006" s="189"/>
      <c r="J1006" s="189"/>
      <c r="M1006" s="205"/>
      <c r="S1006" t="str">
        <f>IFERROR(VLOOKUP(E1006,'VALORES VIAJES'!$A$2:$B$13,2,FALSE),"")</f>
        <v/>
      </c>
      <c r="T1006" t="str">
        <f>IFERROR(VLOOKUP(H1006,'VALORES VIAJES'!$A$2:$B$24,2,FALSE),"")</f>
        <v/>
      </c>
      <c r="U1006" t="str">
        <f>IFERROR(VLOOKUP(I1006,'VALORES VIAJES'!$A$2:$B$24,2,FALSE),"")</f>
        <v/>
      </c>
      <c r="V1006" t="str">
        <f>IFERROR(VLOOKUP(K1006,'VALORES VIAJES'!$A$2:$B$24,2,FALSE),"")</f>
        <v/>
      </c>
      <c r="X1006" s="208">
        <f>SUM(Hoja1[[#This Row],[$ X TIP VEHICUL]:[AGREGADO]])</f>
        <v>0</v>
      </c>
    </row>
    <row r="1007" spans="2:24" hidden="1" x14ac:dyDescent="0.25">
      <c r="B1007" s="189"/>
      <c r="J1007" s="189"/>
      <c r="M1007" s="205"/>
      <c r="S1007" t="str">
        <f>IFERROR(VLOOKUP(E1007,'VALORES VIAJES'!$A$2:$B$13,2,FALSE),"")</f>
        <v/>
      </c>
      <c r="T1007" t="str">
        <f>IFERROR(VLOOKUP(H1007,'VALORES VIAJES'!$A$2:$B$24,2,FALSE),"")</f>
        <v/>
      </c>
      <c r="U1007" t="str">
        <f>IFERROR(VLOOKUP(I1007,'VALORES VIAJES'!$A$2:$B$24,2,FALSE),"")</f>
        <v/>
      </c>
      <c r="V1007" t="str">
        <f>IFERROR(VLOOKUP(K1007,'VALORES VIAJES'!$A$2:$B$24,2,FALSE),"")</f>
        <v/>
      </c>
      <c r="X1007" s="208">
        <f>SUM(Hoja1[[#This Row],[$ X TIP VEHICUL]:[AGREGADO]])</f>
        <v>0</v>
      </c>
    </row>
    <row r="1008" spans="2:24" hidden="1" x14ac:dyDescent="0.25">
      <c r="B1008" s="189"/>
      <c r="J1008" s="189"/>
      <c r="M1008" s="205"/>
      <c r="S1008" t="str">
        <f>IFERROR(VLOOKUP(E1008,'VALORES VIAJES'!$A$2:$B$13,2,FALSE),"")</f>
        <v/>
      </c>
      <c r="T1008" t="str">
        <f>IFERROR(VLOOKUP(H1008,'VALORES VIAJES'!$A$2:$B$24,2,FALSE),"")</f>
        <v/>
      </c>
      <c r="U1008" t="str">
        <f>IFERROR(VLOOKUP(I1008,'VALORES VIAJES'!$A$2:$B$24,2,FALSE),"")</f>
        <v/>
      </c>
      <c r="V1008" t="str">
        <f>IFERROR(VLOOKUP(K1008,'VALORES VIAJES'!$A$2:$B$24,2,FALSE),"")</f>
        <v/>
      </c>
      <c r="X1008" s="208">
        <f>SUM(Hoja1[[#This Row],[$ X TIP VEHICUL]:[AGREGADO]])</f>
        <v>0</v>
      </c>
    </row>
    <row r="1009" spans="2:24" hidden="1" x14ac:dyDescent="0.25">
      <c r="B1009" s="189"/>
      <c r="J1009" s="189"/>
      <c r="M1009" s="205"/>
      <c r="S1009" t="str">
        <f>IFERROR(VLOOKUP(E1009,'VALORES VIAJES'!$A$2:$B$13,2,FALSE),"")</f>
        <v/>
      </c>
      <c r="T1009" t="str">
        <f>IFERROR(VLOOKUP(H1009,'VALORES VIAJES'!$A$2:$B$24,2,FALSE),"")</f>
        <v/>
      </c>
      <c r="U1009" t="str">
        <f>IFERROR(VLOOKUP(I1009,'VALORES VIAJES'!$A$2:$B$24,2,FALSE),"")</f>
        <v/>
      </c>
      <c r="V1009" t="str">
        <f>IFERROR(VLOOKUP(K1009,'VALORES VIAJES'!$A$2:$B$24,2,FALSE),"")</f>
        <v/>
      </c>
      <c r="X1009" s="208">
        <f>SUM(Hoja1[[#This Row],[$ X TIP VEHICUL]:[AGREGADO]])</f>
        <v>0</v>
      </c>
    </row>
    <row r="1010" spans="2:24" hidden="1" x14ac:dyDescent="0.25">
      <c r="B1010" s="189"/>
      <c r="J1010" s="189"/>
      <c r="M1010" s="205"/>
      <c r="S1010" t="str">
        <f>IFERROR(VLOOKUP(E1010,'VALORES VIAJES'!$A$2:$B$13,2,FALSE),"")</f>
        <v/>
      </c>
      <c r="T1010" t="str">
        <f>IFERROR(VLOOKUP(H1010,'VALORES VIAJES'!$A$2:$B$24,2,FALSE),"")</f>
        <v/>
      </c>
      <c r="U1010" t="str">
        <f>IFERROR(VLOOKUP(I1010,'VALORES VIAJES'!$A$2:$B$24,2,FALSE),"")</f>
        <v/>
      </c>
      <c r="V1010" t="str">
        <f>IFERROR(VLOOKUP(K1010,'VALORES VIAJES'!$A$2:$B$24,2,FALSE),"")</f>
        <v/>
      </c>
      <c r="X1010" s="208">
        <f>SUM(Hoja1[[#This Row],[$ X TIP VEHICUL]:[AGREGADO]])</f>
        <v>0</v>
      </c>
    </row>
    <row r="1011" spans="2:24" hidden="1" x14ac:dyDescent="0.25">
      <c r="B1011" s="189"/>
      <c r="J1011" s="189"/>
      <c r="M1011" s="205"/>
      <c r="S1011" t="str">
        <f>IFERROR(VLOOKUP(E1011,'VALORES VIAJES'!$A$2:$B$13,2,FALSE),"")</f>
        <v/>
      </c>
      <c r="T1011" t="str">
        <f>IFERROR(VLOOKUP(H1011,'VALORES VIAJES'!$A$2:$B$24,2,FALSE),"")</f>
        <v/>
      </c>
      <c r="U1011" t="str">
        <f>IFERROR(VLOOKUP(I1011,'VALORES VIAJES'!$A$2:$B$24,2,FALSE),"")</f>
        <v/>
      </c>
      <c r="V1011" t="str">
        <f>IFERROR(VLOOKUP(K1011,'VALORES VIAJES'!$A$2:$B$24,2,FALSE),"")</f>
        <v/>
      </c>
      <c r="X1011" s="208">
        <f>SUM(Hoja1[[#This Row],[$ X TIP VEHICUL]:[AGREGADO]])</f>
        <v>0</v>
      </c>
    </row>
    <row r="1012" spans="2:24" hidden="1" x14ac:dyDescent="0.25">
      <c r="B1012" s="189"/>
      <c r="J1012" s="189"/>
      <c r="M1012" s="205"/>
      <c r="S1012" t="str">
        <f>IFERROR(VLOOKUP(E1012,'VALORES VIAJES'!$A$2:$B$13,2,FALSE),"")</f>
        <v/>
      </c>
      <c r="T1012" t="str">
        <f>IFERROR(VLOOKUP(H1012,'VALORES VIAJES'!$A$2:$B$24,2,FALSE),"")</f>
        <v/>
      </c>
      <c r="U1012" t="str">
        <f>IFERROR(VLOOKUP(I1012,'VALORES VIAJES'!$A$2:$B$24,2,FALSE),"")</f>
        <v/>
      </c>
      <c r="V1012" t="str">
        <f>IFERROR(VLOOKUP(K1012,'VALORES VIAJES'!$A$2:$B$24,2,FALSE),"")</f>
        <v/>
      </c>
      <c r="X1012" s="208">
        <f>SUM(Hoja1[[#This Row],[$ X TIP VEHICUL]:[AGREGADO]])</f>
        <v>0</v>
      </c>
    </row>
    <row r="1013" spans="2:24" hidden="1" x14ac:dyDescent="0.25">
      <c r="B1013" s="189"/>
      <c r="J1013" s="189"/>
      <c r="M1013" s="205"/>
      <c r="S1013" t="str">
        <f>IFERROR(VLOOKUP(E1013,'VALORES VIAJES'!$A$2:$B$13,2,FALSE),"")</f>
        <v/>
      </c>
      <c r="T1013" t="str">
        <f>IFERROR(VLOOKUP(H1013,'VALORES VIAJES'!$A$2:$B$24,2,FALSE),"")</f>
        <v/>
      </c>
      <c r="U1013" t="str">
        <f>IFERROR(VLOOKUP(I1013,'VALORES VIAJES'!$A$2:$B$24,2,FALSE),"")</f>
        <v/>
      </c>
      <c r="V1013" t="str">
        <f>IFERROR(VLOOKUP(K1013,'VALORES VIAJES'!$A$2:$B$24,2,FALSE),"")</f>
        <v/>
      </c>
      <c r="X1013" s="208">
        <f>SUM(Hoja1[[#This Row],[$ X TIP VEHICUL]:[AGREGADO]])</f>
        <v>0</v>
      </c>
    </row>
    <row r="1014" spans="2:24" hidden="1" x14ac:dyDescent="0.25">
      <c r="B1014" s="189"/>
      <c r="J1014" s="189"/>
      <c r="M1014" s="205"/>
      <c r="S1014" t="str">
        <f>IFERROR(VLOOKUP(E1014,'VALORES VIAJES'!$A$2:$B$13,2,FALSE),"")</f>
        <v/>
      </c>
      <c r="T1014" t="str">
        <f>IFERROR(VLOOKUP(H1014,'VALORES VIAJES'!$A$2:$B$24,2,FALSE),"")</f>
        <v/>
      </c>
      <c r="U1014" t="str">
        <f>IFERROR(VLOOKUP(I1014,'VALORES VIAJES'!$A$2:$B$24,2,FALSE),"")</f>
        <v/>
      </c>
      <c r="V1014" t="str">
        <f>IFERROR(VLOOKUP(K1014,'VALORES VIAJES'!$A$2:$B$24,2,FALSE),"")</f>
        <v/>
      </c>
      <c r="X1014" s="208">
        <f>SUM(Hoja1[[#This Row],[$ X TIP VEHICUL]:[AGREGADO]])</f>
        <v>0</v>
      </c>
    </row>
    <row r="1015" spans="2:24" hidden="1" x14ac:dyDescent="0.25">
      <c r="B1015" s="189"/>
      <c r="J1015" s="189"/>
      <c r="M1015" s="205"/>
      <c r="S1015" t="str">
        <f>IFERROR(VLOOKUP(E1015,'VALORES VIAJES'!$A$2:$B$13,2,FALSE),"")</f>
        <v/>
      </c>
      <c r="T1015" t="str">
        <f>IFERROR(VLOOKUP(H1015,'VALORES VIAJES'!$A$2:$B$24,2,FALSE),"")</f>
        <v/>
      </c>
      <c r="U1015" t="str">
        <f>IFERROR(VLOOKUP(I1015,'VALORES VIAJES'!$A$2:$B$24,2,FALSE),"")</f>
        <v/>
      </c>
      <c r="V1015" t="str">
        <f>IFERROR(VLOOKUP(K1015,'VALORES VIAJES'!$A$2:$B$24,2,FALSE),"")</f>
        <v/>
      </c>
      <c r="X1015" s="208">
        <f>SUM(Hoja1[[#This Row],[$ X TIP VEHICUL]:[AGREGADO]])</f>
        <v>0</v>
      </c>
    </row>
    <row r="1016" spans="2:24" hidden="1" x14ac:dyDescent="0.25">
      <c r="B1016" s="189"/>
      <c r="J1016" s="189"/>
      <c r="M1016" s="205"/>
      <c r="S1016" t="str">
        <f>IFERROR(VLOOKUP(E1016,'VALORES VIAJES'!$A$2:$B$13,2,FALSE),"")</f>
        <v/>
      </c>
      <c r="T1016" t="str">
        <f>IFERROR(VLOOKUP(H1016,'VALORES VIAJES'!$A$2:$B$24,2,FALSE),"")</f>
        <v/>
      </c>
      <c r="U1016" t="str">
        <f>IFERROR(VLOOKUP(I1016,'VALORES VIAJES'!$A$2:$B$24,2,FALSE),"")</f>
        <v/>
      </c>
      <c r="V1016" t="str">
        <f>IFERROR(VLOOKUP(K1016,'VALORES VIAJES'!$A$2:$B$24,2,FALSE),"")</f>
        <v/>
      </c>
      <c r="X1016" s="208">
        <f>SUM(Hoja1[[#This Row],[$ X TIP VEHICUL]:[AGREGADO]])</f>
        <v>0</v>
      </c>
    </row>
    <row r="1017" spans="2:24" hidden="1" x14ac:dyDescent="0.25">
      <c r="B1017" s="189"/>
      <c r="J1017" s="189"/>
      <c r="M1017" s="205"/>
      <c r="S1017" t="str">
        <f>IFERROR(VLOOKUP(E1017,'VALORES VIAJES'!$A$2:$B$13,2,FALSE),"")</f>
        <v/>
      </c>
      <c r="T1017" t="str">
        <f>IFERROR(VLOOKUP(H1017,'VALORES VIAJES'!$A$2:$B$24,2,FALSE),"")</f>
        <v/>
      </c>
      <c r="U1017" t="str">
        <f>IFERROR(VLOOKUP(I1017,'VALORES VIAJES'!$A$2:$B$24,2,FALSE),"")</f>
        <v/>
      </c>
      <c r="V1017" t="str">
        <f>IFERROR(VLOOKUP(K1017,'VALORES VIAJES'!$A$2:$B$24,2,FALSE),"")</f>
        <v/>
      </c>
      <c r="X1017" s="208">
        <f>SUM(Hoja1[[#This Row],[$ X TIP VEHICUL]:[AGREGADO]])</f>
        <v>0</v>
      </c>
    </row>
    <row r="1018" spans="2:24" hidden="1" x14ac:dyDescent="0.25">
      <c r="B1018" s="189"/>
      <c r="J1018" s="189"/>
      <c r="M1018" s="205"/>
      <c r="S1018" t="str">
        <f>IFERROR(VLOOKUP(E1018,'VALORES VIAJES'!$A$2:$B$13,2,FALSE),"")</f>
        <v/>
      </c>
      <c r="T1018" t="str">
        <f>IFERROR(VLOOKUP(H1018,'VALORES VIAJES'!$A$2:$B$24,2,FALSE),"")</f>
        <v/>
      </c>
      <c r="U1018" t="str">
        <f>IFERROR(VLOOKUP(I1018,'VALORES VIAJES'!$A$2:$B$24,2,FALSE),"")</f>
        <v/>
      </c>
      <c r="V1018" t="str">
        <f>IFERROR(VLOOKUP(K1018,'VALORES VIAJES'!$A$2:$B$24,2,FALSE),"")</f>
        <v/>
      </c>
      <c r="X1018" s="208">
        <f>SUM(Hoja1[[#This Row],[$ X TIP VEHICUL]:[AGREGADO]])</f>
        <v>0</v>
      </c>
    </row>
    <row r="1019" spans="2:24" hidden="1" x14ac:dyDescent="0.25">
      <c r="B1019" s="189"/>
      <c r="J1019" s="189"/>
      <c r="M1019" s="205"/>
      <c r="S1019" t="str">
        <f>IFERROR(VLOOKUP(E1019,'VALORES VIAJES'!$A$2:$B$13,2,FALSE),"")</f>
        <v/>
      </c>
      <c r="T1019" t="str">
        <f>IFERROR(VLOOKUP(H1019,'VALORES VIAJES'!$A$2:$B$24,2,FALSE),"")</f>
        <v/>
      </c>
      <c r="U1019" t="str">
        <f>IFERROR(VLOOKUP(I1019,'VALORES VIAJES'!$A$2:$B$24,2,FALSE),"")</f>
        <v/>
      </c>
      <c r="V1019" t="str">
        <f>IFERROR(VLOOKUP(K1019,'VALORES VIAJES'!$A$2:$B$24,2,FALSE),"")</f>
        <v/>
      </c>
      <c r="X1019" s="208">
        <f>SUM(Hoja1[[#This Row],[$ X TIP VEHICUL]:[AGREGADO]])</f>
        <v>0</v>
      </c>
    </row>
    <row r="1020" spans="2:24" hidden="1" x14ac:dyDescent="0.25">
      <c r="B1020" s="189"/>
      <c r="J1020" s="189"/>
      <c r="M1020" s="205"/>
      <c r="S1020" t="str">
        <f>IFERROR(VLOOKUP(E1020,'VALORES VIAJES'!$A$2:$B$13,2,FALSE),"")</f>
        <v/>
      </c>
      <c r="T1020" t="str">
        <f>IFERROR(VLOOKUP(H1020,'VALORES VIAJES'!$A$2:$B$24,2,FALSE),"")</f>
        <v/>
      </c>
      <c r="U1020" t="str">
        <f>IFERROR(VLOOKUP(I1020,'VALORES VIAJES'!$A$2:$B$24,2,FALSE),"")</f>
        <v/>
      </c>
      <c r="V1020" t="str">
        <f>IFERROR(VLOOKUP(K1020,'VALORES VIAJES'!$A$2:$B$24,2,FALSE),"")</f>
        <v/>
      </c>
      <c r="X1020" s="208">
        <f>SUM(Hoja1[[#This Row],[$ X TIP VEHICUL]:[AGREGADO]])</f>
        <v>0</v>
      </c>
    </row>
    <row r="1021" spans="2:24" hidden="1" x14ac:dyDescent="0.25">
      <c r="B1021" s="189"/>
      <c r="J1021" s="189"/>
      <c r="M1021" s="205"/>
      <c r="S1021" t="str">
        <f>IFERROR(VLOOKUP(E1021,'VALORES VIAJES'!$A$2:$B$13,2,FALSE),"")</f>
        <v/>
      </c>
      <c r="T1021" t="str">
        <f>IFERROR(VLOOKUP(H1021,'VALORES VIAJES'!$A$2:$B$24,2,FALSE),"")</f>
        <v/>
      </c>
      <c r="U1021" t="str">
        <f>IFERROR(VLOOKUP(I1021,'VALORES VIAJES'!$A$2:$B$24,2,FALSE),"")</f>
        <v/>
      </c>
      <c r="V1021" t="str">
        <f>IFERROR(VLOOKUP(K1021,'VALORES VIAJES'!$A$2:$B$24,2,FALSE),"")</f>
        <v/>
      </c>
      <c r="X1021" s="208">
        <f>SUM(Hoja1[[#This Row],[$ X TIP VEHICUL]:[AGREGADO]])</f>
        <v>0</v>
      </c>
    </row>
    <row r="1022" spans="2:24" hidden="1" x14ac:dyDescent="0.25">
      <c r="B1022" s="189"/>
      <c r="J1022" s="189"/>
      <c r="M1022" s="205"/>
      <c r="S1022" t="str">
        <f>IFERROR(VLOOKUP(E1022,'VALORES VIAJES'!$A$2:$B$13,2,FALSE),"")</f>
        <v/>
      </c>
      <c r="T1022" t="str">
        <f>IFERROR(VLOOKUP(H1022,'VALORES VIAJES'!$A$2:$B$24,2,FALSE),"")</f>
        <v/>
      </c>
      <c r="U1022" t="str">
        <f>IFERROR(VLOOKUP(I1022,'VALORES VIAJES'!$A$2:$B$24,2,FALSE),"")</f>
        <v/>
      </c>
      <c r="V1022" t="str">
        <f>IFERROR(VLOOKUP(K1022,'VALORES VIAJES'!$A$2:$B$24,2,FALSE),"")</f>
        <v/>
      </c>
      <c r="X1022" s="208">
        <f>SUM(Hoja1[[#This Row],[$ X TIP VEHICUL]:[AGREGADO]])</f>
        <v>0</v>
      </c>
    </row>
    <row r="1023" spans="2:24" hidden="1" x14ac:dyDescent="0.25">
      <c r="B1023" s="189"/>
      <c r="J1023" s="189"/>
      <c r="M1023" s="205"/>
      <c r="S1023" t="str">
        <f>IFERROR(VLOOKUP(E1023,'VALORES VIAJES'!$A$2:$B$13,2,FALSE),"")</f>
        <v/>
      </c>
      <c r="T1023" t="str">
        <f>IFERROR(VLOOKUP(H1023,'VALORES VIAJES'!$A$2:$B$24,2,FALSE),"")</f>
        <v/>
      </c>
      <c r="U1023" t="str">
        <f>IFERROR(VLOOKUP(I1023,'VALORES VIAJES'!$A$2:$B$24,2,FALSE),"")</f>
        <v/>
      </c>
      <c r="V1023" t="str">
        <f>IFERROR(VLOOKUP(K1023,'VALORES VIAJES'!$A$2:$B$24,2,FALSE),"")</f>
        <v/>
      </c>
      <c r="X1023" s="208">
        <f>SUM(Hoja1[[#This Row],[$ X TIP VEHICUL]:[AGREGADO]])</f>
        <v>0</v>
      </c>
    </row>
    <row r="1024" spans="2:24" hidden="1" x14ac:dyDescent="0.25">
      <c r="B1024" s="189"/>
      <c r="J1024" s="189"/>
      <c r="M1024" s="205"/>
      <c r="S1024" t="str">
        <f>IFERROR(VLOOKUP(E1024,'VALORES VIAJES'!$A$2:$B$13,2,FALSE),"")</f>
        <v/>
      </c>
      <c r="T1024" t="str">
        <f>IFERROR(VLOOKUP(H1024,'VALORES VIAJES'!$A$2:$B$24,2,FALSE),"")</f>
        <v/>
      </c>
      <c r="U1024" t="str">
        <f>IFERROR(VLOOKUP(I1024,'VALORES VIAJES'!$A$2:$B$24,2,FALSE),"")</f>
        <v/>
      </c>
      <c r="V1024" t="str">
        <f>IFERROR(VLOOKUP(K1024,'VALORES VIAJES'!$A$2:$B$24,2,FALSE),"")</f>
        <v/>
      </c>
      <c r="X1024" s="208">
        <f>SUM(Hoja1[[#This Row],[$ X TIP VEHICUL]:[AGREGADO]])</f>
        <v>0</v>
      </c>
    </row>
    <row r="1025" spans="2:24" hidden="1" x14ac:dyDescent="0.25">
      <c r="B1025" s="189"/>
      <c r="J1025" s="189"/>
      <c r="M1025" s="205"/>
      <c r="S1025" t="str">
        <f>IFERROR(VLOOKUP(E1025,'VALORES VIAJES'!$A$2:$B$13,2,FALSE),"")</f>
        <v/>
      </c>
      <c r="T1025" t="str">
        <f>IFERROR(VLOOKUP(H1025,'VALORES VIAJES'!$A$2:$B$24,2,FALSE),"")</f>
        <v/>
      </c>
      <c r="U1025" t="str">
        <f>IFERROR(VLOOKUP(I1025,'VALORES VIAJES'!$A$2:$B$24,2,FALSE),"")</f>
        <v/>
      </c>
      <c r="V1025" t="str">
        <f>IFERROR(VLOOKUP(K1025,'VALORES VIAJES'!$A$2:$B$24,2,FALSE),"")</f>
        <v/>
      </c>
      <c r="X1025" s="208">
        <f>SUM(Hoja1[[#This Row],[$ X TIP VEHICUL]:[AGREGADO]])</f>
        <v>0</v>
      </c>
    </row>
    <row r="1026" spans="2:24" hidden="1" x14ac:dyDescent="0.25">
      <c r="B1026" s="189"/>
      <c r="J1026" s="189"/>
      <c r="M1026" s="205"/>
      <c r="S1026" t="str">
        <f>IFERROR(VLOOKUP(E1026,'VALORES VIAJES'!$A$2:$B$13,2,FALSE),"")</f>
        <v/>
      </c>
      <c r="T1026" t="str">
        <f>IFERROR(VLOOKUP(H1026,'VALORES VIAJES'!$A$2:$B$24,2,FALSE),"")</f>
        <v/>
      </c>
      <c r="U1026" t="str">
        <f>IFERROR(VLOOKUP(I1026,'VALORES VIAJES'!$A$2:$B$24,2,FALSE),"")</f>
        <v/>
      </c>
      <c r="V1026" t="str">
        <f>IFERROR(VLOOKUP(K1026,'VALORES VIAJES'!$A$2:$B$24,2,FALSE),"")</f>
        <v/>
      </c>
      <c r="X1026" s="208">
        <f>SUM(Hoja1[[#This Row],[$ X TIP VEHICUL]:[AGREGADO]])</f>
        <v>0</v>
      </c>
    </row>
    <row r="1027" spans="2:24" hidden="1" x14ac:dyDescent="0.25">
      <c r="B1027" s="189"/>
      <c r="J1027" s="189"/>
      <c r="M1027" s="205"/>
      <c r="S1027" t="str">
        <f>IFERROR(VLOOKUP(E1027,'VALORES VIAJES'!$A$2:$B$13,2,FALSE),"")</f>
        <v/>
      </c>
      <c r="T1027" t="str">
        <f>IFERROR(VLOOKUP(H1027,'VALORES VIAJES'!$A$2:$B$24,2,FALSE),"")</f>
        <v/>
      </c>
      <c r="U1027" t="str">
        <f>IFERROR(VLOOKUP(I1027,'VALORES VIAJES'!$A$2:$B$24,2,FALSE),"")</f>
        <v/>
      </c>
      <c r="V1027" t="str">
        <f>IFERROR(VLOOKUP(K1027,'VALORES VIAJES'!$A$2:$B$24,2,FALSE),"")</f>
        <v/>
      </c>
      <c r="X1027" s="208">
        <f>SUM(Hoja1[[#This Row],[$ X TIP VEHICUL]:[AGREGADO]])</f>
        <v>0</v>
      </c>
    </row>
    <row r="1028" spans="2:24" hidden="1" x14ac:dyDescent="0.25">
      <c r="B1028" s="189"/>
      <c r="J1028" s="189"/>
      <c r="M1028" s="205"/>
      <c r="S1028" t="str">
        <f>IFERROR(VLOOKUP(E1028,'VALORES VIAJES'!$A$2:$B$13,2,FALSE),"")</f>
        <v/>
      </c>
      <c r="T1028" t="str">
        <f>IFERROR(VLOOKUP(H1028,'VALORES VIAJES'!$A$2:$B$24,2,FALSE),"")</f>
        <v/>
      </c>
      <c r="U1028" t="str">
        <f>IFERROR(VLOOKUP(I1028,'VALORES VIAJES'!$A$2:$B$24,2,FALSE),"")</f>
        <v/>
      </c>
      <c r="V1028" t="str">
        <f>IFERROR(VLOOKUP(K1028,'VALORES VIAJES'!$A$2:$B$24,2,FALSE),"")</f>
        <v/>
      </c>
      <c r="X1028" s="208">
        <f>SUM(Hoja1[[#This Row],[$ X TIP VEHICUL]:[AGREGADO]])</f>
        <v>0</v>
      </c>
    </row>
    <row r="1029" spans="2:24" hidden="1" x14ac:dyDescent="0.25">
      <c r="B1029" s="189"/>
      <c r="J1029" s="189"/>
      <c r="M1029" s="205"/>
      <c r="S1029" t="str">
        <f>IFERROR(VLOOKUP(E1029,'VALORES VIAJES'!$A$2:$B$13,2,FALSE),"")</f>
        <v/>
      </c>
      <c r="T1029" t="str">
        <f>IFERROR(VLOOKUP(H1029,'VALORES VIAJES'!$A$2:$B$24,2,FALSE),"")</f>
        <v/>
      </c>
      <c r="U1029" t="str">
        <f>IFERROR(VLOOKUP(I1029,'VALORES VIAJES'!$A$2:$B$24,2,FALSE),"")</f>
        <v/>
      </c>
      <c r="V1029" t="str">
        <f>IFERROR(VLOOKUP(K1029,'VALORES VIAJES'!$A$2:$B$24,2,FALSE),"")</f>
        <v/>
      </c>
      <c r="X1029" s="208">
        <f>SUM(Hoja1[[#This Row],[$ X TIP VEHICUL]:[AGREGADO]])</f>
        <v>0</v>
      </c>
    </row>
    <row r="1030" spans="2:24" hidden="1" x14ac:dyDescent="0.25">
      <c r="B1030" s="189"/>
      <c r="J1030" s="189"/>
      <c r="M1030" s="205"/>
      <c r="S1030" t="str">
        <f>IFERROR(VLOOKUP(E1030,'VALORES VIAJES'!$A$2:$B$13,2,FALSE),"")</f>
        <v/>
      </c>
      <c r="T1030" t="str">
        <f>IFERROR(VLOOKUP(H1030,'VALORES VIAJES'!$A$2:$B$24,2,FALSE),"")</f>
        <v/>
      </c>
      <c r="U1030" t="str">
        <f>IFERROR(VLOOKUP(I1030,'VALORES VIAJES'!$A$2:$B$24,2,FALSE),"")</f>
        <v/>
      </c>
      <c r="V1030" t="str">
        <f>IFERROR(VLOOKUP(K1030,'VALORES VIAJES'!$A$2:$B$24,2,FALSE),"")</f>
        <v/>
      </c>
      <c r="X1030" s="208">
        <f>SUM(Hoja1[[#This Row],[$ X TIP VEHICUL]:[AGREGADO]])</f>
        <v>0</v>
      </c>
    </row>
    <row r="1031" spans="2:24" hidden="1" x14ac:dyDescent="0.25">
      <c r="B1031" s="189"/>
      <c r="J1031" s="189"/>
      <c r="M1031" s="205"/>
      <c r="S1031" t="str">
        <f>IFERROR(VLOOKUP(E1031,'VALORES VIAJES'!$A$2:$B$13,2,FALSE),"")</f>
        <v/>
      </c>
      <c r="T1031" t="str">
        <f>IFERROR(VLOOKUP(H1031,'VALORES VIAJES'!$A$2:$B$24,2,FALSE),"")</f>
        <v/>
      </c>
      <c r="U1031" t="str">
        <f>IFERROR(VLOOKUP(I1031,'VALORES VIAJES'!$A$2:$B$24,2,FALSE),"")</f>
        <v/>
      </c>
      <c r="V1031" t="str">
        <f>IFERROR(VLOOKUP(K1031,'VALORES VIAJES'!$A$2:$B$24,2,FALSE),"")</f>
        <v/>
      </c>
      <c r="X1031" s="208">
        <f>SUM(Hoja1[[#This Row],[$ X TIP VEHICUL]:[AGREGADO]])</f>
        <v>0</v>
      </c>
    </row>
    <row r="1032" spans="2:24" hidden="1" x14ac:dyDescent="0.25">
      <c r="B1032" s="189"/>
      <c r="J1032" s="189"/>
      <c r="M1032" s="205"/>
      <c r="S1032" t="str">
        <f>IFERROR(VLOOKUP(E1032,'VALORES VIAJES'!$A$2:$B$13,2,FALSE),"")</f>
        <v/>
      </c>
      <c r="T1032" t="str">
        <f>IFERROR(VLOOKUP(H1032,'VALORES VIAJES'!$A$2:$B$24,2,FALSE),"")</f>
        <v/>
      </c>
      <c r="U1032" t="str">
        <f>IFERROR(VLOOKUP(I1032,'VALORES VIAJES'!$A$2:$B$24,2,FALSE),"")</f>
        <v/>
      </c>
      <c r="V1032" t="str">
        <f>IFERROR(VLOOKUP(K1032,'VALORES VIAJES'!$A$2:$B$24,2,FALSE),"")</f>
        <v/>
      </c>
      <c r="X1032" s="208">
        <f>SUM(Hoja1[[#This Row],[$ X TIP VEHICUL]:[AGREGADO]])</f>
        <v>0</v>
      </c>
    </row>
    <row r="1033" spans="2:24" hidden="1" x14ac:dyDescent="0.25">
      <c r="B1033" s="189"/>
      <c r="J1033" s="189"/>
      <c r="M1033" s="205"/>
      <c r="S1033" t="str">
        <f>IFERROR(VLOOKUP(E1033,'VALORES VIAJES'!$A$2:$B$13,2,FALSE),"")</f>
        <v/>
      </c>
      <c r="T1033" t="str">
        <f>IFERROR(VLOOKUP(H1033,'VALORES VIAJES'!$A$2:$B$24,2,FALSE),"")</f>
        <v/>
      </c>
      <c r="U1033" t="str">
        <f>IFERROR(VLOOKUP(I1033,'VALORES VIAJES'!$A$2:$B$24,2,FALSE),"")</f>
        <v/>
      </c>
      <c r="V1033" t="str">
        <f>IFERROR(VLOOKUP(K1033,'VALORES VIAJES'!$A$2:$B$24,2,FALSE),"")</f>
        <v/>
      </c>
      <c r="X1033" s="208">
        <f>SUM(Hoja1[[#This Row],[$ X TIP VEHICUL]:[AGREGADO]])</f>
        <v>0</v>
      </c>
    </row>
    <row r="1034" spans="2:24" hidden="1" x14ac:dyDescent="0.25">
      <c r="B1034" s="189"/>
      <c r="J1034" s="189"/>
      <c r="M1034" s="205"/>
      <c r="S1034" t="str">
        <f>IFERROR(VLOOKUP(E1034,'VALORES VIAJES'!$A$2:$B$13,2,FALSE),"")</f>
        <v/>
      </c>
      <c r="T1034" t="str">
        <f>IFERROR(VLOOKUP(H1034,'VALORES VIAJES'!$A$2:$B$24,2,FALSE),"")</f>
        <v/>
      </c>
      <c r="U1034" t="str">
        <f>IFERROR(VLOOKUP(I1034,'VALORES VIAJES'!$A$2:$B$24,2,FALSE),"")</f>
        <v/>
      </c>
      <c r="V1034" t="str">
        <f>IFERROR(VLOOKUP(K1034,'VALORES VIAJES'!$A$2:$B$24,2,FALSE),"")</f>
        <v/>
      </c>
      <c r="X1034" s="208">
        <f>SUM(Hoja1[[#This Row],[$ X TIP VEHICUL]:[AGREGADO]])</f>
        <v>0</v>
      </c>
    </row>
    <row r="1035" spans="2:24" hidden="1" x14ac:dyDescent="0.25">
      <c r="B1035" s="189"/>
      <c r="J1035" s="189"/>
      <c r="M1035" s="205"/>
      <c r="S1035" t="str">
        <f>IFERROR(VLOOKUP(E1035,'VALORES VIAJES'!$A$2:$B$13,2,FALSE),"")</f>
        <v/>
      </c>
      <c r="T1035" t="str">
        <f>IFERROR(VLOOKUP(H1035,'VALORES VIAJES'!$A$2:$B$24,2,FALSE),"")</f>
        <v/>
      </c>
      <c r="U1035" t="str">
        <f>IFERROR(VLOOKUP(I1035,'VALORES VIAJES'!$A$2:$B$24,2,FALSE),"")</f>
        <v/>
      </c>
      <c r="V1035" t="str">
        <f>IFERROR(VLOOKUP(K1035,'VALORES VIAJES'!$A$2:$B$24,2,FALSE),"")</f>
        <v/>
      </c>
      <c r="X1035" s="208">
        <f>SUM(Hoja1[[#This Row],[$ X TIP VEHICUL]:[AGREGADO]])</f>
        <v>0</v>
      </c>
    </row>
    <row r="1036" spans="2:24" hidden="1" x14ac:dyDescent="0.25">
      <c r="B1036" s="189"/>
      <c r="J1036" s="189"/>
      <c r="M1036" s="205"/>
      <c r="S1036" t="str">
        <f>IFERROR(VLOOKUP(E1036,'VALORES VIAJES'!$A$2:$B$13,2,FALSE),"")</f>
        <v/>
      </c>
      <c r="T1036" t="str">
        <f>IFERROR(VLOOKUP(H1036,'VALORES VIAJES'!$A$2:$B$24,2,FALSE),"")</f>
        <v/>
      </c>
      <c r="U1036" t="str">
        <f>IFERROR(VLOOKUP(I1036,'VALORES VIAJES'!$A$2:$B$24,2,FALSE),"")</f>
        <v/>
      </c>
      <c r="V1036" t="str">
        <f>IFERROR(VLOOKUP(K1036,'VALORES VIAJES'!$A$2:$B$24,2,FALSE),"")</f>
        <v/>
      </c>
      <c r="X1036" s="208">
        <f>SUM(Hoja1[[#This Row],[$ X TIP VEHICUL]:[AGREGADO]])</f>
        <v>0</v>
      </c>
    </row>
    <row r="1037" spans="2:24" hidden="1" x14ac:dyDescent="0.25">
      <c r="B1037" s="189"/>
      <c r="J1037" s="189"/>
      <c r="M1037" s="205"/>
      <c r="S1037" t="str">
        <f>IFERROR(VLOOKUP(E1037,'VALORES VIAJES'!$A$2:$B$13,2,FALSE),"")</f>
        <v/>
      </c>
      <c r="T1037" t="str">
        <f>IFERROR(VLOOKUP(H1037,'VALORES VIAJES'!$A$2:$B$24,2,FALSE),"")</f>
        <v/>
      </c>
      <c r="U1037" t="str">
        <f>IFERROR(VLOOKUP(I1037,'VALORES VIAJES'!$A$2:$B$24,2,FALSE),"")</f>
        <v/>
      </c>
      <c r="V1037" t="str">
        <f>IFERROR(VLOOKUP(K1037,'VALORES VIAJES'!$A$2:$B$24,2,FALSE),"")</f>
        <v/>
      </c>
      <c r="X1037" s="208">
        <f>SUM(Hoja1[[#This Row],[$ X TIP VEHICUL]:[AGREGADO]])</f>
        <v>0</v>
      </c>
    </row>
    <row r="1038" spans="2:24" hidden="1" x14ac:dyDescent="0.25">
      <c r="B1038" s="189"/>
      <c r="J1038" s="189"/>
      <c r="M1038" s="205"/>
      <c r="S1038" t="str">
        <f>IFERROR(VLOOKUP(E1038,'VALORES VIAJES'!$A$2:$B$13,2,FALSE),"")</f>
        <v/>
      </c>
      <c r="T1038" t="str">
        <f>IFERROR(VLOOKUP(H1038,'VALORES VIAJES'!$A$2:$B$24,2,FALSE),"")</f>
        <v/>
      </c>
      <c r="U1038" t="str">
        <f>IFERROR(VLOOKUP(I1038,'VALORES VIAJES'!$A$2:$B$24,2,FALSE),"")</f>
        <v/>
      </c>
      <c r="V1038" t="str">
        <f>IFERROR(VLOOKUP(K1038,'VALORES VIAJES'!$A$2:$B$24,2,FALSE),"")</f>
        <v/>
      </c>
      <c r="X1038" s="208">
        <f>SUM(Hoja1[[#This Row],[$ X TIP VEHICUL]:[AGREGADO]])</f>
        <v>0</v>
      </c>
    </row>
    <row r="1039" spans="2:24" hidden="1" x14ac:dyDescent="0.25">
      <c r="B1039" s="189"/>
      <c r="J1039" s="189"/>
      <c r="M1039" s="205"/>
      <c r="S1039" t="str">
        <f>IFERROR(VLOOKUP(E1039,'VALORES VIAJES'!$A$2:$B$13,2,FALSE),"")</f>
        <v/>
      </c>
      <c r="T1039" t="str">
        <f>IFERROR(VLOOKUP(H1039,'VALORES VIAJES'!$A$2:$B$24,2,FALSE),"")</f>
        <v/>
      </c>
      <c r="U1039" t="str">
        <f>IFERROR(VLOOKUP(I1039,'VALORES VIAJES'!$A$2:$B$24,2,FALSE),"")</f>
        <v/>
      </c>
      <c r="V1039" t="str">
        <f>IFERROR(VLOOKUP(K1039,'VALORES VIAJES'!$A$2:$B$24,2,FALSE),"")</f>
        <v/>
      </c>
      <c r="X1039" s="208">
        <f>SUM(Hoja1[[#This Row],[$ X TIP VEHICUL]:[AGREGADO]])</f>
        <v>0</v>
      </c>
    </row>
    <row r="1040" spans="2:24" hidden="1" x14ac:dyDescent="0.25">
      <c r="B1040" s="189"/>
      <c r="J1040" s="189"/>
      <c r="M1040" s="205"/>
      <c r="S1040" t="str">
        <f>IFERROR(VLOOKUP(E1040,'VALORES VIAJES'!$A$2:$B$13,2,FALSE),"")</f>
        <v/>
      </c>
      <c r="T1040" t="str">
        <f>IFERROR(VLOOKUP(H1040,'VALORES VIAJES'!$A$2:$B$24,2,FALSE),"")</f>
        <v/>
      </c>
      <c r="U1040" t="str">
        <f>IFERROR(VLOOKUP(I1040,'VALORES VIAJES'!$A$2:$B$24,2,FALSE),"")</f>
        <v/>
      </c>
      <c r="V1040" t="str">
        <f>IFERROR(VLOOKUP(K1040,'VALORES VIAJES'!$A$2:$B$24,2,FALSE),"")</f>
        <v/>
      </c>
      <c r="X1040" s="208">
        <f>SUM(Hoja1[[#This Row],[$ X TIP VEHICUL]:[AGREGADO]])</f>
        <v>0</v>
      </c>
    </row>
    <row r="1041" spans="2:24" hidden="1" x14ac:dyDescent="0.25">
      <c r="B1041" s="189"/>
      <c r="J1041" s="189"/>
      <c r="M1041" s="205"/>
      <c r="S1041" t="str">
        <f>IFERROR(VLOOKUP(E1041,'VALORES VIAJES'!$A$2:$B$13,2,FALSE),"")</f>
        <v/>
      </c>
      <c r="T1041" t="str">
        <f>IFERROR(VLOOKUP(H1041,'VALORES VIAJES'!$A$2:$B$24,2,FALSE),"")</f>
        <v/>
      </c>
      <c r="U1041" t="str">
        <f>IFERROR(VLOOKUP(I1041,'VALORES VIAJES'!$A$2:$B$24,2,FALSE),"")</f>
        <v/>
      </c>
      <c r="V1041" t="str">
        <f>IFERROR(VLOOKUP(K1041,'VALORES VIAJES'!$A$2:$B$24,2,FALSE),"")</f>
        <v/>
      </c>
      <c r="X1041" s="208">
        <f>SUM(Hoja1[[#This Row],[$ X TIP VEHICUL]:[AGREGADO]])</f>
        <v>0</v>
      </c>
    </row>
    <row r="1042" spans="2:24" hidden="1" x14ac:dyDescent="0.25">
      <c r="B1042" s="189"/>
      <c r="J1042" s="189"/>
      <c r="M1042" s="205"/>
      <c r="S1042" t="str">
        <f>IFERROR(VLOOKUP(E1042,'VALORES VIAJES'!$A$2:$B$13,2,FALSE),"")</f>
        <v/>
      </c>
      <c r="T1042" t="str">
        <f>IFERROR(VLOOKUP(H1042,'VALORES VIAJES'!$A$2:$B$24,2,FALSE),"")</f>
        <v/>
      </c>
      <c r="U1042" t="str">
        <f>IFERROR(VLOOKUP(I1042,'VALORES VIAJES'!$A$2:$B$24,2,FALSE),"")</f>
        <v/>
      </c>
      <c r="V1042" t="str">
        <f>IFERROR(VLOOKUP(K1042,'VALORES VIAJES'!$A$2:$B$24,2,FALSE),"")</f>
        <v/>
      </c>
      <c r="X1042" s="208">
        <f>SUM(Hoja1[[#This Row],[$ X TIP VEHICUL]:[AGREGADO]])</f>
        <v>0</v>
      </c>
    </row>
    <row r="1043" spans="2:24" hidden="1" x14ac:dyDescent="0.25">
      <c r="B1043" s="189"/>
      <c r="J1043" s="189"/>
      <c r="M1043" s="205"/>
      <c r="S1043" t="str">
        <f>IFERROR(VLOOKUP(E1043,'VALORES VIAJES'!$A$2:$B$13,2,FALSE),"")</f>
        <v/>
      </c>
      <c r="T1043" t="str">
        <f>IFERROR(VLOOKUP(H1043,'VALORES VIAJES'!$A$2:$B$24,2,FALSE),"")</f>
        <v/>
      </c>
      <c r="U1043" t="str">
        <f>IFERROR(VLOOKUP(I1043,'VALORES VIAJES'!$A$2:$B$24,2,FALSE),"")</f>
        <v/>
      </c>
      <c r="V1043" t="str">
        <f>IFERROR(VLOOKUP(K1043,'VALORES VIAJES'!$A$2:$B$24,2,FALSE),"")</f>
        <v/>
      </c>
      <c r="X1043" s="208">
        <f>SUM(Hoja1[[#This Row],[$ X TIP VEHICUL]:[AGREGADO]])</f>
        <v>0</v>
      </c>
    </row>
    <row r="1044" spans="2:24" hidden="1" x14ac:dyDescent="0.25">
      <c r="B1044" s="189"/>
      <c r="J1044" s="189"/>
      <c r="M1044" s="205"/>
      <c r="S1044" t="str">
        <f>IFERROR(VLOOKUP(E1044,'VALORES VIAJES'!$A$2:$B$13,2,FALSE),"")</f>
        <v/>
      </c>
      <c r="T1044" t="str">
        <f>IFERROR(VLOOKUP(H1044,'VALORES VIAJES'!$A$2:$B$24,2,FALSE),"")</f>
        <v/>
      </c>
      <c r="U1044" t="str">
        <f>IFERROR(VLOOKUP(I1044,'VALORES VIAJES'!$A$2:$B$24,2,FALSE),"")</f>
        <v/>
      </c>
      <c r="V1044" t="str">
        <f>IFERROR(VLOOKUP(K1044,'VALORES VIAJES'!$A$2:$B$24,2,FALSE),"")</f>
        <v/>
      </c>
      <c r="X1044" s="208">
        <f>SUM(Hoja1[[#This Row],[$ X TIP VEHICUL]:[AGREGADO]])</f>
        <v>0</v>
      </c>
    </row>
    <row r="1045" spans="2:24" hidden="1" x14ac:dyDescent="0.25">
      <c r="B1045" s="189"/>
      <c r="J1045" s="189"/>
      <c r="M1045" s="205"/>
      <c r="S1045" t="str">
        <f>IFERROR(VLOOKUP(E1045,'VALORES VIAJES'!$A$2:$B$13,2,FALSE),"")</f>
        <v/>
      </c>
      <c r="T1045" t="str">
        <f>IFERROR(VLOOKUP(H1045,'VALORES VIAJES'!$A$2:$B$24,2,FALSE),"")</f>
        <v/>
      </c>
      <c r="U1045" t="str">
        <f>IFERROR(VLOOKUP(I1045,'VALORES VIAJES'!$A$2:$B$24,2,FALSE),"")</f>
        <v/>
      </c>
      <c r="V1045" t="str">
        <f>IFERROR(VLOOKUP(K1045,'VALORES VIAJES'!$A$2:$B$24,2,FALSE),"")</f>
        <v/>
      </c>
      <c r="X1045" s="208">
        <f>SUM(Hoja1[[#This Row],[$ X TIP VEHICUL]:[AGREGADO]])</f>
        <v>0</v>
      </c>
    </row>
    <row r="1046" spans="2:24" hidden="1" x14ac:dyDescent="0.25">
      <c r="B1046" s="189"/>
      <c r="J1046" s="189"/>
      <c r="M1046" s="205"/>
      <c r="S1046" t="str">
        <f>IFERROR(VLOOKUP(E1046,'VALORES VIAJES'!$A$2:$B$13,2,FALSE),"")</f>
        <v/>
      </c>
      <c r="T1046" t="str">
        <f>IFERROR(VLOOKUP(H1046,'VALORES VIAJES'!$A$2:$B$24,2,FALSE),"")</f>
        <v/>
      </c>
      <c r="U1046" t="str">
        <f>IFERROR(VLOOKUP(I1046,'VALORES VIAJES'!$A$2:$B$24,2,FALSE),"")</f>
        <v/>
      </c>
      <c r="V1046" t="str">
        <f>IFERROR(VLOOKUP(K1046,'VALORES VIAJES'!$A$2:$B$24,2,FALSE),"")</f>
        <v/>
      </c>
      <c r="X1046" s="208">
        <f>SUM(Hoja1[[#This Row],[$ X TIP VEHICUL]:[AGREGADO]])</f>
        <v>0</v>
      </c>
    </row>
    <row r="1047" spans="2:24" hidden="1" x14ac:dyDescent="0.25">
      <c r="B1047" s="189"/>
      <c r="J1047" s="189"/>
      <c r="M1047" s="205"/>
      <c r="S1047" t="str">
        <f>IFERROR(VLOOKUP(E1047,'VALORES VIAJES'!$A$2:$B$13,2,FALSE),"")</f>
        <v/>
      </c>
      <c r="T1047" t="str">
        <f>IFERROR(VLOOKUP(H1047,'VALORES VIAJES'!$A$2:$B$24,2,FALSE),"")</f>
        <v/>
      </c>
      <c r="U1047" t="str">
        <f>IFERROR(VLOOKUP(I1047,'VALORES VIAJES'!$A$2:$B$24,2,FALSE),"")</f>
        <v/>
      </c>
      <c r="V1047" t="str">
        <f>IFERROR(VLOOKUP(K1047,'VALORES VIAJES'!$A$2:$B$24,2,FALSE),"")</f>
        <v/>
      </c>
      <c r="X1047" s="208">
        <f>SUM(Hoja1[[#This Row],[$ X TIP VEHICUL]:[AGREGADO]])</f>
        <v>0</v>
      </c>
    </row>
    <row r="1048" spans="2:24" hidden="1" x14ac:dyDescent="0.25">
      <c r="B1048" s="189"/>
      <c r="J1048" s="189"/>
      <c r="M1048" s="205"/>
      <c r="S1048" t="str">
        <f>IFERROR(VLOOKUP(E1048,'VALORES VIAJES'!$A$2:$B$13,2,FALSE),"")</f>
        <v/>
      </c>
      <c r="T1048" t="str">
        <f>IFERROR(VLOOKUP(H1048,'VALORES VIAJES'!$A$2:$B$24,2,FALSE),"")</f>
        <v/>
      </c>
      <c r="U1048" t="str">
        <f>IFERROR(VLOOKUP(I1048,'VALORES VIAJES'!$A$2:$B$24,2,FALSE),"")</f>
        <v/>
      </c>
      <c r="V1048" t="str">
        <f>IFERROR(VLOOKUP(K1048,'VALORES VIAJES'!$A$2:$B$24,2,FALSE),"")</f>
        <v/>
      </c>
      <c r="X1048" s="208">
        <f>SUM(Hoja1[[#This Row],[$ X TIP VEHICUL]:[AGREGADO]])</f>
        <v>0</v>
      </c>
    </row>
    <row r="1049" spans="2:24" hidden="1" x14ac:dyDescent="0.25">
      <c r="B1049" s="189"/>
      <c r="J1049" s="189"/>
      <c r="M1049" s="205"/>
      <c r="S1049" t="str">
        <f>IFERROR(VLOOKUP(E1049,'VALORES VIAJES'!$A$2:$B$13,2,FALSE),"")</f>
        <v/>
      </c>
      <c r="T1049" t="str">
        <f>IFERROR(VLOOKUP(H1049,'VALORES VIAJES'!$A$2:$B$24,2,FALSE),"")</f>
        <v/>
      </c>
      <c r="U1049" t="str">
        <f>IFERROR(VLOOKUP(I1049,'VALORES VIAJES'!$A$2:$B$24,2,FALSE),"")</f>
        <v/>
      </c>
      <c r="V1049" t="str">
        <f>IFERROR(VLOOKUP(K1049,'VALORES VIAJES'!$A$2:$B$24,2,FALSE),"")</f>
        <v/>
      </c>
      <c r="X1049" s="208">
        <f>SUM(Hoja1[[#This Row],[$ X TIP VEHICUL]:[AGREGADO]])</f>
        <v>0</v>
      </c>
    </row>
    <row r="1050" spans="2:24" hidden="1" x14ac:dyDescent="0.25">
      <c r="B1050" s="189"/>
      <c r="J1050" s="189"/>
      <c r="M1050" s="205"/>
      <c r="S1050" t="str">
        <f>IFERROR(VLOOKUP(E1050,'VALORES VIAJES'!$A$2:$B$13,2,FALSE),"")</f>
        <v/>
      </c>
      <c r="T1050" t="str">
        <f>IFERROR(VLOOKUP(H1050,'VALORES VIAJES'!$A$2:$B$24,2,FALSE),"")</f>
        <v/>
      </c>
      <c r="U1050" t="str">
        <f>IFERROR(VLOOKUP(I1050,'VALORES VIAJES'!$A$2:$B$24,2,FALSE),"")</f>
        <v/>
      </c>
      <c r="V1050" t="str">
        <f>IFERROR(VLOOKUP(K1050,'VALORES VIAJES'!$A$2:$B$24,2,FALSE),"")</f>
        <v/>
      </c>
      <c r="X1050" s="208">
        <f>SUM(Hoja1[[#This Row],[$ X TIP VEHICUL]:[AGREGADO]])</f>
        <v>0</v>
      </c>
    </row>
    <row r="1051" spans="2:24" hidden="1" x14ac:dyDescent="0.25">
      <c r="B1051" s="189"/>
      <c r="J1051" s="189"/>
      <c r="M1051" s="205"/>
      <c r="S1051" t="str">
        <f>IFERROR(VLOOKUP(E1051,'VALORES VIAJES'!$A$2:$B$13,2,FALSE),"")</f>
        <v/>
      </c>
      <c r="T1051" t="str">
        <f>IFERROR(VLOOKUP(H1051,'VALORES VIAJES'!$A$2:$B$24,2,FALSE),"")</f>
        <v/>
      </c>
      <c r="U1051" t="str">
        <f>IFERROR(VLOOKUP(I1051,'VALORES VIAJES'!$A$2:$B$24,2,FALSE),"")</f>
        <v/>
      </c>
      <c r="V1051" t="str">
        <f>IFERROR(VLOOKUP(K1051,'VALORES VIAJES'!$A$2:$B$24,2,FALSE),"")</f>
        <v/>
      </c>
      <c r="X1051" s="208">
        <f>SUM(Hoja1[[#This Row],[$ X TIP VEHICUL]:[AGREGADO]])</f>
        <v>0</v>
      </c>
    </row>
    <row r="1052" spans="2:24" hidden="1" x14ac:dyDescent="0.25">
      <c r="B1052" s="189"/>
      <c r="J1052" s="189"/>
      <c r="M1052" s="205"/>
      <c r="S1052" t="str">
        <f>IFERROR(VLOOKUP(E1052,'VALORES VIAJES'!$A$2:$B$13,2,FALSE),"")</f>
        <v/>
      </c>
      <c r="T1052" t="str">
        <f>IFERROR(VLOOKUP(H1052,'VALORES VIAJES'!$A$2:$B$24,2,FALSE),"")</f>
        <v/>
      </c>
      <c r="U1052" t="str">
        <f>IFERROR(VLOOKUP(I1052,'VALORES VIAJES'!$A$2:$B$24,2,FALSE),"")</f>
        <v/>
      </c>
      <c r="V1052" t="str">
        <f>IFERROR(VLOOKUP(K1052,'VALORES VIAJES'!$A$2:$B$24,2,FALSE),"")</f>
        <v/>
      </c>
      <c r="X1052" s="208">
        <f>SUM(Hoja1[[#This Row],[$ X TIP VEHICUL]:[AGREGADO]])</f>
        <v>0</v>
      </c>
    </row>
    <row r="1053" spans="2:24" hidden="1" x14ac:dyDescent="0.25">
      <c r="B1053" s="189"/>
      <c r="J1053" s="189"/>
      <c r="M1053" s="205"/>
      <c r="S1053" t="str">
        <f>IFERROR(VLOOKUP(E1053,'VALORES VIAJES'!$A$2:$B$13,2,FALSE),"")</f>
        <v/>
      </c>
      <c r="T1053" t="str">
        <f>IFERROR(VLOOKUP(H1053,'VALORES VIAJES'!$A$2:$B$24,2,FALSE),"")</f>
        <v/>
      </c>
      <c r="U1053" t="str">
        <f>IFERROR(VLOOKUP(I1053,'VALORES VIAJES'!$A$2:$B$24,2,FALSE),"")</f>
        <v/>
      </c>
      <c r="V1053" t="str">
        <f>IFERROR(VLOOKUP(K1053,'VALORES VIAJES'!$A$2:$B$24,2,FALSE),"")</f>
        <v/>
      </c>
      <c r="X1053" s="208">
        <f>SUM(Hoja1[[#This Row],[$ X TIP VEHICUL]:[AGREGADO]])</f>
        <v>0</v>
      </c>
    </row>
    <row r="1054" spans="2:24" hidden="1" x14ac:dyDescent="0.25">
      <c r="B1054" s="189"/>
      <c r="J1054" s="189"/>
      <c r="M1054" s="205"/>
      <c r="S1054" t="str">
        <f>IFERROR(VLOOKUP(E1054,'VALORES VIAJES'!$A$2:$B$13,2,FALSE),"")</f>
        <v/>
      </c>
      <c r="T1054" t="str">
        <f>IFERROR(VLOOKUP(H1054,'VALORES VIAJES'!$A$2:$B$24,2,FALSE),"")</f>
        <v/>
      </c>
      <c r="U1054" t="str">
        <f>IFERROR(VLOOKUP(I1054,'VALORES VIAJES'!$A$2:$B$24,2,FALSE),"")</f>
        <v/>
      </c>
      <c r="V1054" t="str">
        <f>IFERROR(VLOOKUP(K1054,'VALORES VIAJES'!$A$2:$B$24,2,FALSE),"")</f>
        <v/>
      </c>
      <c r="X1054" s="208">
        <f>SUM(Hoja1[[#This Row],[$ X TIP VEHICUL]:[AGREGADO]])</f>
        <v>0</v>
      </c>
    </row>
    <row r="1055" spans="2:24" hidden="1" x14ac:dyDescent="0.25">
      <c r="B1055" s="189"/>
      <c r="J1055" s="189"/>
      <c r="M1055" s="205"/>
      <c r="S1055" t="str">
        <f>IFERROR(VLOOKUP(E1055,'VALORES VIAJES'!$A$2:$B$13,2,FALSE),"")</f>
        <v/>
      </c>
      <c r="T1055" t="str">
        <f>IFERROR(VLOOKUP(H1055,'VALORES VIAJES'!$A$2:$B$24,2,FALSE),"")</f>
        <v/>
      </c>
      <c r="U1055" t="str">
        <f>IFERROR(VLOOKUP(I1055,'VALORES VIAJES'!$A$2:$B$24,2,FALSE),"")</f>
        <v/>
      </c>
      <c r="V1055" t="str">
        <f>IFERROR(VLOOKUP(K1055,'VALORES VIAJES'!$A$2:$B$24,2,FALSE),"")</f>
        <v/>
      </c>
      <c r="X1055" s="208">
        <f>SUM(Hoja1[[#This Row],[$ X TIP VEHICUL]:[AGREGADO]])</f>
        <v>0</v>
      </c>
    </row>
    <row r="1056" spans="2:24" hidden="1" x14ac:dyDescent="0.25">
      <c r="B1056" s="189"/>
      <c r="J1056" s="189"/>
      <c r="M1056" s="205"/>
      <c r="S1056" t="str">
        <f>IFERROR(VLOOKUP(E1056,'VALORES VIAJES'!$A$2:$B$13,2,FALSE),"")</f>
        <v/>
      </c>
      <c r="T1056" t="str">
        <f>IFERROR(VLOOKUP(H1056,'VALORES VIAJES'!$A$2:$B$24,2,FALSE),"")</f>
        <v/>
      </c>
      <c r="U1056" t="str">
        <f>IFERROR(VLOOKUP(I1056,'VALORES VIAJES'!$A$2:$B$24,2,FALSE),"")</f>
        <v/>
      </c>
      <c r="V1056" t="str">
        <f>IFERROR(VLOOKUP(K1056,'VALORES VIAJES'!$A$2:$B$24,2,FALSE),"")</f>
        <v/>
      </c>
      <c r="X1056" s="208">
        <f>SUM(Hoja1[[#This Row],[$ X TIP VEHICUL]:[AGREGADO]])</f>
        <v>0</v>
      </c>
    </row>
    <row r="1057" spans="2:24" hidden="1" x14ac:dyDescent="0.25">
      <c r="B1057" s="189"/>
      <c r="J1057" s="189"/>
      <c r="M1057" s="205"/>
      <c r="S1057" t="str">
        <f>IFERROR(VLOOKUP(E1057,'VALORES VIAJES'!$A$2:$B$13,2,FALSE),"")</f>
        <v/>
      </c>
      <c r="T1057" t="str">
        <f>IFERROR(VLOOKUP(H1057,'VALORES VIAJES'!$A$2:$B$24,2,FALSE),"")</f>
        <v/>
      </c>
      <c r="U1057" t="str">
        <f>IFERROR(VLOOKUP(I1057,'VALORES VIAJES'!$A$2:$B$24,2,FALSE),"")</f>
        <v/>
      </c>
      <c r="V1057" t="str">
        <f>IFERROR(VLOOKUP(K1057,'VALORES VIAJES'!$A$2:$B$24,2,FALSE),"")</f>
        <v/>
      </c>
      <c r="X1057" s="208">
        <f>SUM(Hoja1[[#This Row],[$ X TIP VEHICUL]:[AGREGADO]])</f>
        <v>0</v>
      </c>
    </row>
    <row r="1058" spans="2:24" hidden="1" x14ac:dyDescent="0.25">
      <c r="B1058" s="189"/>
      <c r="J1058" s="189"/>
      <c r="M1058" s="205"/>
      <c r="S1058" t="str">
        <f>IFERROR(VLOOKUP(E1058,'VALORES VIAJES'!$A$2:$B$13,2,FALSE),"")</f>
        <v/>
      </c>
      <c r="T1058" t="str">
        <f>IFERROR(VLOOKUP(H1058,'VALORES VIAJES'!$A$2:$B$24,2,FALSE),"")</f>
        <v/>
      </c>
      <c r="U1058" t="str">
        <f>IFERROR(VLOOKUP(I1058,'VALORES VIAJES'!$A$2:$B$24,2,FALSE),"")</f>
        <v/>
      </c>
      <c r="V1058" t="str">
        <f>IFERROR(VLOOKUP(K1058,'VALORES VIAJES'!$A$2:$B$24,2,FALSE),"")</f>
        <v/>
      </c>
      <c r="X1058" s="208">
        <f>SUM(Hoja1[[#This Row],[$ X TIP VEHICUL]:[AGREGADO]])</f>
        <v>0</v>
      </c>
    </row>
    <row r="1059" spans="2:24" hidden="1" x14ac:dyDescent="0.25">
      <c r="B1059" s="189"/>
      <c r="J1059" s="189"/>
      <c r="M1059" s="205"/>
      <c r="S1059" t="str">
        <f>IFERROR(VLOOKUP(E1059,'VALORES VIAJES'!$A$2:$B$13,2,FALSE),"")</f>
        <v/>
      </c>
      <c r="T1059" t="str">
        <f>IFERROR(VLOOKUP(H1059,'VALORES VIAJES'!$A$2:$B$24,2,FALSE),"")</f>
        <v/>
      </c>
      <c r="U1059" t="str">
        <f>IFERROR(VLOOKUP(I1059,'VALORES VIAJES'!$A$2:$B$24,2,FALSE),"")</f>
        <v/>
      </c>
      <c r="V1059" t="str">
        <f>IFERROR(VLOOKUP(K1059,'VALORES VIAJES'!$A$2:$B$24,2,FALSE),"")</f>
        <v/>
      </c>
      <c r="X1059" s="208">
        <f>SUM(Hoja1[[#This Row],[$ X TIP VEHICUL]:[AGREGADO]])</f>
        <v>0</v>
      </c>
    </row>
    <row r="1060" spans="2:24" hidden="1" x14ac:dyDescent="0.25">
      <c r="B1060" s="189"/>
      <c r="J1060" s="189"/>
      <c r="M1060" s="205"/>
      <c r="S1060" t="str">
        <f>IFERROR(VLOOKUP(E1060,'VALORES VIAJES'!$A$2:$B$13,2,FALSE),"")</f>
        <v/>
      </c>
      <c r="T1060" t="str">
        <f>IFERROR(VLOOKUP(H1060,'VALORES VIAJES'!$A$2:$B$24,2,FALSE),"")</f>
        <v/>
      </c>
      <c r="U1060" t="str">
        <f>IFERROR(VLOOKUP(I1060,'VALORES VIAJES'!$A$2:$B$24,2,FALSE),"")</f>
        <v/>
      </c>
      <c r="V1060" t="str">
        <f>IFERROR(VLOOKUP(K1060,'VALORES VIAJES'!$A$2:$B$24,2,FALSE),"")</f>
        <v/>
      </c>
      <c r="X1060" s="208">
        <f>SUM(Hoja1[[#This Row],[$ X TIP VEHICUL]:[AGREGADO]])</f>
        <v>0</v>
      </c>
    </row>
    <row r="1061" spans="2:24" hidden="1" x14ac:dyDescent="0.25">
      <c r="B1061" s="189"/>
      <c r="J1061" s="189"/>
      <c r="M1061" s="205"/>
      <c r="S1061" t="str">
        <f>IFERROR(VLOOKUP(E1061,'VALORES VIAJES'!$A$2:$B$13,2,FALSE),"")</f>
        <v/>
      </c>
      <c r="T1061" t="str">
        <f>IFERROR(VLOOKUP(H1061,'VALORES VIAJES'!$A$2:$B$24,2,FALSE),"")</f>
        <v/>
      </c>
      <c r="U1061" t="str">
        <f>IFERROR(VLOOKUP(I1061,'VALORES VIAJES'!$A$2:$B$24,2,FALSE),"")</f>
        <v/>
      </c>
      <c r="V1061" t="str">
        <f>IFERROR(VLOOKUP(K1061,'VALORES VIAJES'!$A$2:$B$24,2,FALSE),"")</f>
        <v/>
      </c>
      <c r="X1061" s="208">
        <f>SUM(Hoja1[[#This Row],[$ X TIP VEHICUL]:[AGREGADO]])</f>
        <v>0</v>
      </c>
    </row>
    <row r="1062" spans="2:24" hidden="1" x14ac:dyDescent="0.25">
      <c r="B1062" s="189"/>
      <c r="J1062" s="189"/>
      <c r="M1062" s="205"/>
      <c r="S1062" t="str">
        <f>IFERROR(VLOOKUP(E1062,'VALORES VIAJES'!$A$2:$B$13,2,FALSE),"")</f>
        <v/>
      </c>
      <c r="T1062" t="str">
        <f>IFERROR(VLOOKUP(H1062,'VALORES VIAJES'!$A$2:$B$24,2,FALSE),"")</f>
        <v/>
      </c>
      <c r="U1062" t="str">
        <f>IFERROR(VLOOKUP(I1062,'VALORES VIAJES'!$A$2:$B$24,2,FALSE),"")</f>
        <v/>
      </c>
      <c r="V1062" t="str">
        <f>IFERROR(VLOOKUP(K1062,'VALORES VIAJES'!$A$2:$B$24,2,FALSE),"")</f>
        <v/>
      </c>
      <c r="X1062" s="208">
        <f>SUM(Hoja1[[#This Row],[$ X TIP VEHICUL]:[AGREGADO]])</f>
        <v>0</v>
      </c>
    </row>
    <row r="1063" spans="2:24" hidden="1" x14ac:dyDescent="0.25">
      <c r="B1063" s="189"/>
      <c r="J1063" s="189"/>
      <c r="M1063" s="205"/>
      <c r="S1063" t="str">
        <f>IFERROR(VLOOKUP(E1063,'VALORES VIAJES'!$A$2:$B$13,2,FALSE),"")</f>
        <v/>
      </c>
      <c r="T1063" t="str">
        <f>IFERROR(VLOOKUP(H1063,'VALORES VIAJES'!$A$2:$B$24,2,FALSE),"")</f>
        <v/>
      </c>
      <c r="U1063" t="str">
        <f>IFERROR(VLOOKUP(I1063,'VALORES VIAJES'!$A$2:$B$24,2,FALSE),"")</f>
        <v/>
      </c>
      <c r="V1063" t="str">
        <f>IFERROR(VLOOKUP(K1063,'VALORES VIAJES'!$A$2:$B$24,2,FALSE),"")</f>
        <v/>
      </c>
      <c r="X1063" s="208">
        <f>SUM(Hoja1[[#This Row],[$ X TIP VEHICUL]:[AGREGADO]])</f>
        <v>0</v>
      </c>
    </row>
    <row r="1064" spans="2:24" hidden="1" x14ac:dyDescent="0.25">
      <c r="B1064" s="189"/>
      <c r="J1064" s="189"/>
      <c r="M1064" s="205"/>
      <c r="S1064" t="str">
        <f>IFERROR(VLOOKUP(E1064,'VALORES VIAJES'!$A$2:$B$13,2,FALSE),"")</f>
        <v/>
      </c>
      <c r="T1064" t="str">
        <f>IFERROR(VLOOKUP(H1064,'VALORES VIAJES'!$A$2:$B$24,2,FALSE),"")</f>
        <v/>
      </c>
      <c r="U1064" t="str">
        <f>IFERROR(VLOOKUP(I1064,'VALORES VIAJES'!$A$2:$B$24,2,FALSE),"")</f>
        <v/>
      </c>
      <c r="V1064" t="str">
        <f>IFERROR(VLOOKUP(K1064,'VALORES VIAJES'!$A$2:$B$24,2,FALSE),"")</f>
        <v/>
      </c>
      <c r="X1064" s="208">
        <f>SUM(Hoja1[[#This Row],[$ X TIP VEHICUL]:[AGREGADO]])</f>
        <v>0</v>
      </c>
    </row>
    <row r="1065" spans="2:24" hidden="1" x14ac:dyDescent="0.25">
      <c r="B1065" s="189"/>
      <c r="J1065" s="189"/>
      <c r="M1065" s="205"/>
      <c r="S1065" t="str">
        <f>IFERROR(VLOOKUP(E1065,'VALORES VIAJES'!$A$2:$B$13,2,FALSE),"")</f>
        <v/>
      </c>
      <c r="T1065" t="str">
        <f>IFERROR(VLOOKUP(H1065,'VALORES VIAJES'!$A$2:$B$24,2,FALSE),"")</f>
        <v/>
      </c>
      <c r="U1065" t="str">
        <f>IFERROR(VLOOKUP(I1065,'VALORES VIAJES'!$A$2:$B$24,2,FALSE),"")</f>
        <v/>
      </c>
      <c r="V1065" t="str">
        <f>IFERROR(VLOOKUP(K1065,'VALORES VIAJES'!$A$2:$B$24,2,FALSE),"")</f>
        <v/>
      </c>
      <c r="X1065" s="208">
        <f>SUM(Hoja1[[#This Row],[$ X TIP VEHICUL]:[AGREGADO]])</f>
        <v>0</v>
      </c>
    </row>
    <row r="1066" spans="2:24" hidden="1" x14ac:dyDescent="0.25">
      <c r="B1066" s="189"/>
      <c r="J1066" s="189"/>
      <c r="M1066" s="205"/>
      <c r="S1066" t="str">
        <f>IFERROR(VLOOKUP(E1066,'VALORES VIAJES'!$A$2:$B$13,2,FALSE),"")</f>
        <v/>
      </c>
      <c r="T1066" t="str">
        <f>IFERROR(VLOOKUP(H1066,'VALORES VIAJES'!$A$2:$B$24,2,FALSE),"")</f>
        <v/>
      </c>
      <c r="U1066" t="str">
        <f>IFERROR(VLOOKUP(I1066,'VALORES VIAJES'!$A$2:$B$24,2,FALSE),"")</f>
        <v/>
      </c>
      <c r="V1066" t="str">
        <f>IFERROR(VLOOKUP(K1066,'VALORES VIAJES'!$A$2:$B$24,2,FALSE),"")</f>
        <v/>
      </c>
      <c r="X1066" s="208">
        <f>SUM(Hoja1[[#This Row],[$ X TIP VEHICUL]:[AGREGADO]])</f>
        <v>0</v>
      </c>
    </row>
    <row r="1067" spans="2:24" hidden="1" x14ac:dyDescent="0.25">
      <c r="B1067" s="189"/>
      <c r="J1067" s="189"/>
      <c r="M1067" s="205"/>
      <c r="S1067" t="str">
        <f>IFERROR(VLOOKUP(E1067,'VALORES VIAJES'!$A$2:$B$13,2,FALSE),"")</f>
        <v/>
      </c>
      <c r="T1067" t="str">
        <f>IFERROR(VLOOKUP(H1067,'VALORES VIAJES'!$A$2:$B$24,2,FALSE),"")</f>
        <v/>
      </c>
      <c r="U1067" t="str">
        <f>IFERROR(VLOOKUP(I1067,'VALORES VIAJES'!$A$2:$B$24,2,FALSE),"")</f>
        <v/>
      </c>
      <c r="V1067" t="str">
        <f>IFERROR(VLOOKUP(K1067,'VALORES VIAJES'!$A$2:$B$24,2,FALSE),"")</f>
        <v/>
      </c>
      <c r="X1067" s="208">
        <f>SUM(Hoja1[[#This Row],[$ X TIP VEHICUL]:[AGREGADO]])</f>
        <v>0</v>
      </c>
    </row>
    <row r="1068" spans="2:24" hidden="1" x14ac:dyDescent="0.25">
      <c r="B1068" s="189"/>
      <c r="J1068" s="189"/>
      <c r="M1068" s="205"/>
      <c r="S1068" t="str">
        <f>IFERROR(VLOOKUP(E1068,'VALORES VIAJES'!$A$2:$B$13,2,FALSE),"")</f>
        <v/>
      </c>
      <c r="T1068" t="str">
        <f>IFERROR(VLOOKUP(H1068,'VALORES VIAJES'!$A$2:$B$24,2,FALSE),"")</f>
        <v/>
      </c>
      <c r="U1068" t="str">
        <f>IFERROR(VLOOKUP(I1068,'VALORES VIAJES'!$A$2:$B$24,2,FALSE),"")</f>
        <v/>
      </c>
      <c r="V1068" t="str">
        <f>IFERROR(VLOOKUP(K1068,'VALORES VIAJES'!$A$2:$B$24,2,FALSE),"")</f>
        <v/>
      </c>
      <c r="X1068" s="208">
        <f>SUM(Hoja1[[#This Row],[$ X TIP VEHICUL]:[AGREGADO]])</f>
        <v>0</v>
      </c>
    </row>
    <row r="1069" spans="2:24" hidden="1" x14ac:dyDescent="0.25">
      <c r="B1069" s="189"/>
      <c r="J1069" s="189"/>
      <c r="M1069" s="205"/>
      <c r="S1069" t="str">
        <f>IFERROR(VLOOKUP(E1069,'VALORES VIAJES'!$A$2:$B$13,2,FALSE),"")</f>
        <v/>
      </c>
      <c r="T1069" t="str">
        <f>IFERROR(VLOOKUP(H1069,'VALORES VIAJES'!$A$2:$B$24,2,FALSE),"")</f>
        <v/>
      </c>
      <c r="U1069" t="str">
        <f>IFERROR(VLOOKUP(I1069,'VALORES VIAJES'!$A$2:$B$24,2,FALSE),"")</f>
        <v/>
      </c>
      <c r="V1069" t="str">
        <f>IFERROR(VLOOKUP(K1069,'VALORES VIAJES'!$A$2:$B$24,2,FALSE),"")</f>
        <v/>
      </c>
      <c r="X1069" s="208">
        <f>SUM(Hoja1[[#This Row],[$ X TIP VEHICUL]:[AGREGADO]])</f>
        <v>0</v>
      </c>
    </row>
    <row r="1070" spans="2:24" hidden="1" x14ac:dyDescent="0.25">
      <c r="B1070" s="189"/>
      <c r="J1070" s="189"/>
      <c r="M1070" s="205"/>
      <c r="S1070" t="str">
        <f>IFERROR(VLOOKUP(E1070,'VALORES VIAJES'!$A$2:$B$13,2,FALSE),"")</f>
        <v/>
      </c>
      <c r="T1070" t="str">
        <f>IFERROR(VLOOKUP(H1070,'VALORES VIAJES'!$A$2:$B$24,2,FALSE),"")</f>
        <v/>
      </c>
      <c r="U1070" t="str">
        <f>IFERROR(VLOOKUP(I1070,'VALORES VIAJES'!$A$2:$B$24,2,FALSE),"")</f>
        <v/>
      </c>
      <c r="V1070" t="str">
        <f>IFERROR(VLOOKUP(K1070,'VALORES VIAJES'!$A$2:$B$24,2,FALSE),"")</f>
        <v/>
      </c>
      <c r="X1070" s="208">
        <f>SUM(Hoja1[[#This Row],[$ X TIP VEHICUL]:[AGREGADO]])</f>
        <v>0</v>
      </c>
    </row>
    <row r="1071" spans="2:24" hidden="1" x14ac:dyDescent="0.25">
      <c r="B1071" s="189"/>
      <c r="J1071" s="189"/>
      <c r="M1071" s="205"/>
      <c r="S1071" t="str">
        <f>IFERROR(VLOOKUP(E1071,'VALORES VIAJES'!$A$2:$B$13,2,FALSE),"")</f>
        <v/>
      </c>
      <c r="T1071" t="str">
        <f>IFERROR(VLOOKUP(H1071,'VALORES VIAJES'!$A$2:$B$24,2,FALSE),"")</f>
        <v/>
      </c>
      <c r="U1071" t="str">
        <f>IFERROR(VLOOKUP(I1071,'VALORES VIAJES'!$A$2:$B$24,2,FALSE),"")</f>
        <v/>
      </c>
      <c r="V1071" t="str">
        <f>IFERROR(VLOOKUP(K1071,'VALORES VIAJES'!$A$2:$B$24,2,FALSE),"")</f>
        <v/>
      </c>
      <c r="X1071" s="208">
        <f>SUM(Hoja1[[#This Row],[$ X TIP VEHICUL]:[AGREGADO]])</f>
        <v>0</v>
      </c>
    </row>
    <row r="1072" spans="2:24" hidden="1" x14ac:dyDescent="0.25">
      <c r="B1072" s="189"/>
      <c r="J1072" s="189"/>
      <c r="M1072" s="205"/>
      <c r="S1072" t="str">
        <f>IFERROR(VLOOKUP(E1072,'VALORES VIAJES'!$A$2:$B$13,2,FALSE),"")</f>
        <v/>
      </c>
      <c r="T1072" t="str">
        <f>IFERROR(VLOOKUP(H1072,'VALORES VIAJES'!$A$2:$B$24,2,FALSE),"")</f>
        <v/>
      </c>
      <c r="U1072" t="str">
        <f>IFERROR(VLOOKUP(I1072,'VALORES VIAJES'!$A$2:$B$24,2,FALSE),"")</f>
        <v/>
      </c>
      <c r="V1072" t="str">
        <f>IFERROR(VLOOKUP(K1072,'VALORES VIAJES'!$A$2:$B$24,2,FALSE),"")</f>
        <v/>
      </c>
      <c r="X1072" s="208">
        <f>SUM(Hoja1[[#This Row],[$ X TIP VEHICUL]:[AGREGADO]])</f>
        <v>0</v>
      </c>
    </row>
    <row r="1073" spans="2:24" hidden="1" x14ac:dyDescent="0.25">
      <c r="B1073" s="189"/>
      <c r="J1073" s="189"/>
      <c r="M1073" s="205"/>
      <c r="S1073" t="str">
        <f>IFERROR(VLOOKUP(E1073,'VALORES VIAJES'!$A$2:$B$13,2,FALSE),"")</f>
        <v/>
      </c>
      <c r="T1073" t="str">
        <f>IFERROR(VLOOKUP(H1073,'VALORES VIAJES'!$A$2:$B$24,2,FALSE),"")</f>
        <v/>
      </c>
      <c r="U1073" t="str">
        <f>IFERROR(VLOOKUP(I1073,'VALORES VIAJES'!$A$2:$B$24,2,FALSE),"")</f>
        <v/>
      </c>
      <c r="V1073" t="str">
        <f>IFERROR(VLOOKUP(K1073,'VALORES VIAJES'!$A$2:$B$24,2,FALSE),"")</f>
        <v/>
      </c>
      <c r="X1073" s="208">
        <f>SUM(Hoja1[[#This Row],[$ X TIP VEHICUL]:[AGREGADO]])</f>
        <v>0</v>
      </c>
    </row>
    <row r="1074" spans="2:24" hidden="1" x14ac:dyDescent="0.25">
      <c r="B1074" s="189"/>
      <c r="J1074" s="189"/>
      <c r="M1074" s="205"/>
      <c r="S1074" t="str">
        <f>IFERROR(VLOOKUP(E1074,'VALORES VIAJES'!$A$2:$B$13,2,FALSE),"")</f>
        <v/>
      </c>
      <c r="T1074" t="str">
        <f>IFERROR(VLOOKUP(H1074,'VALORES VIAJES'!$A$2:$B$24,2,FALSE),"")</f>
        <v/>
      </c>
      <c r="U1074" t="str">
        <f>IFERROR(VLOOKUP(I1074,'VALORES VIAJES'!$A$2:$B$24,2,FALSE),"")</f>
        <v/>
      </c>
      <c r="V1074" t="str">
        <f>IFERROR(VLOOKUP(K1074,'VALORES VIAJES'!$A$2:$B$24,2,FALSE),"")</f>
        <v/>
      </c>
      <c r="X1074" s="208">
        <f>SUM(Hoja1[[#This Row],[$ X TIP VEHICUL]:[AGREGADO]])</f>
        <v>0</v>
      </c>
    </row>
    <row r="1075" spans="2:24" hidden="1" x14ac:dyDescent="0.25">
      <c r="B1075" s="189"/>
      <c r="J1075" s="189"/>
      <c r="M1075" s="205"/>
      <c r="S1075" t="str">
        <f>IFERROR(VLOOKUP(E1075,'VALORES VIAJES'!$A$2:$B$13,2,FALSE),"")</f>
        <v/>
      </c>
      <c r="T1075" t="str">
        <f>IFERROR(VLOOKUP(H1075,'VALORES VIAJES'!$A$2:$B$24,2,FALSE),"")</f>
        <v/>
      </c>
      <c r="U1075" t="str">
        <f>IFERROR(VLOOKUP(I1075,'VALORES VIAJES'!$A$2:$B$24,2,FALSE),"")</f>
        <v/>
      </c>
      <c r="V1075" t="str">
        <f>IFERROR(VLOOKUP(K1075,'VALORES VIAJES'!$A$2:$B$24,2,FALSE),"")</f>
        <v/>
      </c>
      <c r="X1075" s="208">
        <f>SUM(Hoja1[[#This Row],[$ X TIP VEHICUL]:[AGREGADO]])</f>
        <v>0</v>
      </c>
    </row>
    <row r="1076" spans="2:24" hidden="1" x14ac:dyDescent="0.25">
      <c r="B1076" s="189"/>
      <c r="J1076" s="189"/>
      <c r="M1076" s="205"/>
      <c r="S1076" t="str">
        <f>IFERROR(VLOOKUP(E1076,'VALORES VIAJES'!$A$2:$B$13,2,FALSE),"")</f>
        <v/>
      </c>
      <c r="T1076" t="str">
        <f>IFERROR(VLOOKUP(H1076,'VALORES VIAJES'!$A$2:$B$24,2,FALSE),"")</f>
        <v/>
      </c>
      <c r="U1076" t="str">
        <f>IFERROR(VLOOKUP(I1076,'VALORES VIAJES'!$A$2:$B$24,2,FALSE),"")</f>
        <v/>
      </c>
      <c r="V1076" t="str">
        <f>IFERROR(VLOOKUP(K1076,'VALORES VIAJES'!$A$2:$B$24,2,FALSE),"")</f>
        <v/>
      </c>
      <c r="X1076" s="208">
        <f>SUM(Hoja1[[#This Row],[$ X TIP VEHICUL]:[AGREGADO]])</f>
        <v>0</v>
      </c>
    </row>
    <row r="1077" spans="2:24" hidden="1" x14ac:dyDescent="0.25">
      <c r="B1077" s="189"/>
      <c r="J1077" s="189"/>
      <c r="M1077" s="205"/>
      <c r="S1077" t="str">
        <f>IFERROR(VLOOKUP(E1077,'VALORES VIAJES'!$A$2:$B$13,2,FALSE),"")</f>
        <v/>
      </c>
      <c r="T1077" t="str">
        <f>IFERROR(VLOOKUP(H1077,'VALORES VIAJES'!$A$2:$B$24,2,FALSE),"")</f>
        <v/>
      </c>
      <c r="U1077" t="str">
        <f>IFERROR(VLOOKUP(I1077,'VALORES VIAJES'!$A$2:$B$24,2,FALSE),"")</f>
        <v/>
      </c>
      <c r="V1077" t="str">
        <f>IFERROR(VLOOKUP(K1077,'VALORES VIAJES'!$A$2:$B$24,2,FALSE),"")</f>
        <v/>
      </c>
      <c r="X1077" s="208">
        <f>SUM(Hoja1[[#This Row],[$ X TIP VEHICUL]:[AGREGADO]])</f>
        <v>0</v>
      </c>
    </row>
    <row r="1078" spans="2:24" hidden="1" x14ac:dyDescent="0.25">
      <c r="B1078" s="189"/>
      <c r="J1078" s="189"/>
      <c r="M1078" s="205"/>
      <c r="S1078" t="str">
        <f>IFERROR(VLOOKUP(E1078,'VALORES VIAJES'!$A$2:$B$13,2,FALSE),"")</f>
        <v/>
      </c>
      <c r="T1078" t="str">
        <f>IFERROR(VLOOKUP(H1078,'VALORES VIAJES'!$A$2:$B$24,2,FALSE),"")</f>
        <v/>
      </c>
      <c r="U1078" t="str">
        <f>IFERROR(VLOOKUP(I1078,'VALORES VIAJES'!$A$2:$B$24,2,FALSE),"")</f>
        <v/>
      </c>
      <c r="V1078" t="str">
        <f>IFERROR(VLOOKUP(K1078,'VALORES VIAJES'!$A$2:$B$24,2,FALSE),"")</f>
        <v/>
      </c>
      <c r="X1078" s="208">
        <f>SUM(Hoja1[[#This Row],[$ X TIP VEHICUL]:[AGREGADO]])</f>
        <v>0</v>
      </c>
    </row>
    <row r="1079" spans="2:24" hidden="1" x14ac:dyDescent="0.25">
      <c r="B1079" s="189"/>
      <c r="J1079" s="189"/>
      <c r="M1079" s="205"/>
      <c r="S1079" t="str">
        <f>IFERROR(VLOOKUP(E1079,'VALORES VIAJES'!$A$2:$B$13,2,FALSE),"")</f>
        <v/>
      </c>
      <c r="T1079" t="str">
        <f>IFERROR(VLOOKUP(H1079,'VALORES VIAJES'!$A$2:$B$24,2,FALSE),"")</f>
        <v/>
      </c>
      <c r="U1079" t="str">
        <f>IFERROR(VLOOKUP(I1079,'VALORES VIAJES'!$A$2:$B$24,2,FALSE),"")</f>
        <v/>
      </c>
      <c r="V1079" t="str">
        <f>IFERROR(VLOOKUP(K1079,'VALORES VIAJES'!$A$2:$B$24,2,FALSE),"")</f>
        <v/>
      </c>
      <c r="X1079" s="208">
        <f>SUM(Hoja1[[#This Row],[$ X TIP VEHICUL]:[AGREGADO]])</f>
        <v>0</v>
      </c>
    </row>
    <row r="1080" spans="2:24" hidden="1" x14ac:dyDescent="0.25">
      <c r="B1080" s="189"/>
      <c r="J1080" s="189"/>
      <c r="M1080" s="205"/>
      <c r="S1080" t="str">
        <f>IFERROR(VLOOKUP(E1080,'VALORES VIAJES'!$A$2:$B$13,2,FALSE),"")</f>
        <v/>
      </c>
      <c r="T1080" t="str">
        <f>IFERROR(VLOOKUP(H1080,'VALORES VIAJES'!$A$2:$B$24,2,FALSE),"")</f>
        <v/>
      </c>
      <c r="U1080" t="str">
        <f>IFERROR(VLOOKUP(I1080,'VALORES VIAJES'!$A$2:$B$24,2,FALSE),"")</f>
        <v/>
      </c>
      <c r="V1080" t="str">
        <f>IFERROR(VLOOKUP(K1080,'VALORES VIAJES'!$A$2:$B$24,2,FALSE),"")</f>
        <v/>
      </c>
      <c r="X1080" s="208">
        <f>SUM(Hoja1[[#This Row],[$ X TIP VEHICUL]:[AGREGADO]])</f>
        <v>0</v>
      </c>
    </row>
    <row r="1081" spans="2:24" hidden="1" x14ac:dyDescent="0.25">
      <c r="B1081" s="189"/>
      <c r="J1081" s="189"/>
      <c r="M1081" s="205"/>
      <c r="S1081" t="str">
        <f>IFERROR(VLOOKUP(E1081,'VALORES VIAJES'!$A$2:$B$13,2,FALSE),"")</f>
        <v/>
      </c>
      <c r="T1081" t="str">
        <f>IFERROR(VLOOKUP(H1081,'VALORES VIAJES'!$A$2:$B$24,2,FALSE),"")</f>
        <v/>
      </c>
      <c r="U1081" t="str">
        <f>IFERROR(VLOOKUP(I1081,'VALORES VIAJES'!$A$2:$B$24,2,FALSE),"")</f>
        <v/>
      </c>
      <c r="V1081" t="str">
        <f>IFERROR(VLOOKUP(K1081,'VALORES VIAJES'!$A$2:$B$24,2,FALSE),"")</f>
        <v/>
      </c>
      <c r="X1081" s="208">
        <f>SUM(Hoja1[[#This Row],[$ X TIP VEHICUL]:[AGREGADO]])</f>
        <v>0</v>
      </c>
    </row>
    <row r="1082" spans="2:24" hidden="1" x14ac:dyDescent="0.25">
      <c r="B1082" s="189"/>
      <c r="J1082" s="189"/>
      <c r="M1082" s="205"/>
      <c r="S1082" t="str">
        <f>IFERROR(VLOOKUP(E1082,'VALORES VIAJES'!$A$2:$B$13,2,FALSE),"")</f>
        <v/>
      </c>
      <c r="T1082" t="str">
        <f>IFERROR(VLOOKUP(H1082,'VALORES VIAJES'!$A$2:$B$24,2,FALSE),"")</f>
        <v/>
      </c>
      <c r="U1082" t="str">
        <f>IFERROR(VLOOKUP(I1082,'VALORES VIAJES'!$A$2:$B$24,2,FALSE),"")</f>
        <v/>
      </c>
      <c r="V1082" t="str">
        <f>IFERROR(VLOOKUP(K1082,'VALORES VIAJES'!$A$2:$B$24,2,FALSE),"")</f>
        <v/>
      </c>
      <c r="X1082" s="208">
        <f>SUM(Hoja1[[#This Row],[$ X TIP VEHICUL]:[AGREGADO]])</f>
        <v>0</v>
      </c>
    </row>
    <row r="1083" spans="2:24" hidden="1" x14ac:dyDescent="0.25">
      <c r="B1083" s="189"/>
      <c r="J1083" s="189"/>
      <c r="M1083" s="205"/>
      <c r="S1083" t="str">
        <f>IFERROR(VLOOKUP(E1083,'VALORES VIAJES'!$A$2:$B$13,2,FALSE),"")</f>
        <v/>
      </c>
      <c r="T1083" t="str">
        <f>IFERROR(VLOOKUP(H1083,'VALORES VIAJES'!$A$2:$B$24,2,FALSE),"")</f>
        <v/>
      </c>
      <c r="U1083" t="str">
        <f>IFERROR(VLOOKUP(I1083,'VALORES VIAJES'!$A$2:$B$24,2,FALSE),"")</f>
        <v/>
      </c>
      <c r="V1083" t="str">
        <f>IFERROR(VLOOKUP(K1083,'VALORES VIAJES'!$A$2:$B$24,2,FALSE),"")</f>
        <v/>
      </c>
      <c r="X1083" s="208">
        <f>SUM(Hoja1[[#This Row],[$ X TIP VEHICUL]:[AGREGADO]])</f>
        <v>0</v>
      </c>
    </row>
    <row r="1084" spans="2:24" hidden="1" x14ac:dyDescent="0.25">
      <c r="B1084" s="189"/>
      <c r="J1084" s="189"/>
      <c r="M1084" s="205"/>
      <c r="S1084" t="str">
        <f>IFERROR(VLOOKUP(E1084,'VALORES VIAJES'!$A$2:$B$13,2,FALSE),"")</f>
        <v/>
      </c>
      <c r="T1084" t="str">
        <f>IFERROR(VLOOKUP(H1084,'VALORES VIAJES'!$A$2:$B$24,2,FALSE),"")</f>
        <v/>
      </c>
      <c r="U1084" t="str">
        <f>IFERROR(VLOOKUP(I1084,'VALORES VIAJES'!$A$2:$B$24,2,FALSE),"")</f>
        <v/>
      </c>
      <c r="V1084" t="str">
        <f>IFERROR(VLOOKUP(K1084,'VALORES VIAJES'!$A$2:$B$24,2,FALSE),"")</f>
        <v/>
      </c>
      <c r="X1084" s="208">
        <f>SUM(Hoja1[[#This Row],[$ X TIP VEHICUL]:[AGREGADO]])</f>
        <v>0</v>
      </c>
    </row>
    <row r="1085" spans="2:24" hidden="1" x14ac:dyDescent="0.25">
      <c r="B1085" s="189"/>
      <c r="J1085" s="189"/>
      <c r="M1085" s="205"/>
      <c r="S1085" t="str">
        <f>IFERROR(VLOOKUP(E1085,'VALORES VIAJES'!$A$2:$B$13,2,FALSE),"")</f>
        <v/>
      </c>
      <c r="T1085" t="str">
        <f>IFERROR(VLOOKUP(H1085,'VALORES VIAJES'!$A$2:$B$24,2,FALSE),"")</f>
        <v/>
      </c>
      <c r="U1085" t="str">
        <f>IFERROR(VLOOKUP(I1085,'VALORES VIAJES'!$A$2:$B$24,2,FALSE),"")</f>
        <v/>
      </c>
      <c r="V1085" t="str">
        <f>IFERROR(VLOOKUP(K1085,'VALORES VIAJES'!$A$2:$B$24,2,FALSE),"")</f>
        <v/>
      </c>
      <c r="X1085" s="208">
        <f>SUM(Hoja1[[#This Row],[$ X TIP VEHICUL]:[AGREGADO]])</f>
        <v>0</v>
      </c>
    </row>
    <row r="1086" spans="2:24" hidden="1" x14ac:dyDescent="0.25">
      <c r="B1086" s="189"/>
      <c r="J1086" s="189"/>
      <c r="M1086" s="205"/>
      <c r="S1086" t="str">
        <f>IFERROR(VLOOKUP(E1086,'VALORES VIAJES'!$A$2:$B$13,2,FALSE),"")</f>
        <v/>
      </c>
      <c r="T1086" t="str">
        <f>IFERROR(VLOOKUP(H1086,'VALORES VIAJES'!$A$2:$B$24,2,FALSE),"")</f>
        <v/>
      </c>
      <c r="U1086" t="str">
        <f>IFERROR(VLOOKUP(I1086,'VALORES VIAJES'!$A$2:$B$24,2,FALSE),"")</f>
        <v/>
      </c>
      <c r="V1086" t="str">
        <f>IFERROR(VLOOKUP(K1086,'VALORES VIAJES'!$A$2:$B$24,2,FALSE),"")</f>
        <v/>
      </c>
      <c r="X1086" s="208">
        <f>SUM(Hoja1[[#This Row],[$ X TIP VEHICUL]:[AGREGADO]])</f>
        <v>0</v>
      </c>
    </row>
    <row r="1087" spans="2:24" hidden="1" x14ac:dyDescent="0.25">
      <c r="B1087" s="189"/>
      <c r="J1087" s="189"/>
      <c r="M1087" s="205"/>
      <c r="S1087" t="str">
        <f>IFERROR(VLOOKUP(E1087,'VALORES VIAJES'!$A$2:$B$13,2,FALSE),"")</f>
        <v/>
      </c>
      <c r="T1087" t="str">
        <f>IFERROR(VLOOKUP(H1087,'VALORES VIAJES'!$A$2:$B$24,2,FALSE),"")</f>
        <v/>
      </c>
      <c r="U1087" t="str">
        <f>IFERROR(VLOOKUP(I1087,'VALORES VIAJES'!$A$2:$B$24,2,FALSE),"")</f>
        <v/>
      </c>
      <c r="V1087" t="str">
        <f>IFERROR(VLOOKUP(K1087,'VALORES VIAJES'!$A$2:$B$24,2,FALSE),"")</f>
        <v/>
      </c>
      <c r="X1087" s="208">
        <f>SUM(Hoja1[[#This Row],[$ X TIP VEHICUL]:[AGREGADO]])</f>
        <v>0</v>
      </c>
    </row>
    <row r="1088" spans="2:24" hidden="1" x14ac:dyDescent="0.25">
      <c r="B1088" s="189"/>
      <c r="J1088" s="189"/>
      <c r="M1088" s="205"/>
      <c r="S1088" t="str">
        <f>IFERROR(VLOOKUP(E1088,'VALORES VIAJES'!$A$2:$B$13,2,FALSE),"")</f>
        <v/>
      </c>
      <c r="T1088" t="str">
        <f>IFERROR(VLOOKUP(H1088,'VALORES VIAJES'!$A$2:$B$24,2,FALSE),"")</f>
        <v/>
      </c>
      <c r="U1088" t="str">
        <f>IFERROR(VLOOKUP(I1088,'VALORES VIAJES'!$A$2:$B$24,2,FALSE),"")</f>
        <v/>
      </c>
      <c r="V1088" t="str">
        <f>IFERROR(VLOOKUP(K1088,'VALORES VIAJES'!$A$2:$B$24,2,FALSE),"")</f>
        <v/>
      </c>
      <c r="X1088" s="208">
        <f>SUM(Hoja1[[#This Row],[$ X TIP VEHICUL]:[AGREGADO]])</f>
        <v>0</v>
      </c>
    </row>
    <row r="1089" spans="2:24" hidden="1" x14ac:dyDescent="0.25">
      <c r="B1089" s="189"/>
      <c r="J1089" s="189"/>
      <c r="M1089" s="205"/>
      <c r="S1089" t="str">
        <f>IFERROR(VLOOKUP(E1089,'VALORES VIAJES'!$A$2:$B$13,2,FALSE),"")</f>
        <v/>
      </c>
      <c r="T1089" t="str">
        <f>IFERROR(VLOOKUP(H1089,'VALORES VIAJES'!$A$2:$B$24,2,FALSE),"")</f>
        <v/>
      </c>
      <c r="U1089" t="str">
        <f>IFERROR(VLOOKUP(I1089,'VALORES VIAJES'!$A$2:$B$24,2,FALSE),"")</f>
        <v/>
      </c>
      <c r="V1089" t="str">
        <f>IFERROR(VLOOKUP(K1089,'VALORES VIAJES'!$A$2:$B$24,2,FALSE),"")</f>
        <v/>
      </c>
      <c r="X1089" s="208">
        <f>SUM(Hoja1[[#This Row],[$ X TIP VEHICUL]:[AGREGADO]])</f>
        <v>0</v>
      </c>
    </row>
    <row r="1090" spans="2:24" hidden="1" x14ac:dyDescent="0.25">
      <c r="B1090" s="189"/>
      <c r="J1090" s="189"/>
      <c r="M1090" s="205"/>
      <c r="S1090" t="str">
        <f>IFERROR(VLOOKUP(E1090,'VALORES VIAJES'!$A$2:$B$13,2,FALSE),"")</f>
        <v/>
      </c>
      <c r="T1090" t="str">
        <f>IFERROR(VLOOKUP(H1090,'VALORES VIAJES'!$A$2:$B$24,2,FALSE),"")</f>
        <v/>
      </c>
      <c r="U1090" t="str">
        <f>IFERROR(VLOOKUP(I1090,'VALORES VIAJES'!$A$2:$B$24,2,FALSE),"")</f>
        <v/>
      </c>
      <c r="V1090" t="str">
        <f>IFERROR(VLOOKUP(K1090,'VALORES VIAJES'!$A$2:$B$24,2,FALSE),"")</f>
        <v/>
      </c>
      <c r="X1090" s="208">
        <f>SUM(Hoja1[[#This Row],[$ X TIP VEHICUL]:[AGREGADO]])</f>
        <v>0</v>
      </c>
    </row>
    <row r="1091" spans="2:24" hidden="1" x14ac:dyDescent="0.25">
      <c r="B1091" s="189"/>
      <c r="J1091" s="189"/>
      <c r="M1091" s="205"/>
      <c r="S1091" t="str">
        <f>IFERROR(VLOOKUP(E1091,'VALORES VIAJES'!$A$2:$B$13,2,FALSE),"")</f>
        <v/>
      </c>
      <c r="T1091" t="str">
        <f>IFERROR(VLOOKUP(H1091,'VALORES VIAJES'!$A$2:$B$24,2,FALSE),"")</f>
        <v/>
      </c>
      <c r="U1091" t="str">
        <f>IFERROR(VLOOKUP(I1091,'VALORES VIAJES'!$A$2:$B$24,2,FALSE),"")</f>
        <v/>
      </c>
      <c r="V1091" t="str">
        <f>IFERROR(VLOOKUP(K1091,'VALORES VIAJES'!$A$2:$B$24,2,FALSE),"")</f>
        <v/>
      </c>
      <c r="X1091" s="208">
        <f>SUM(Hoja1[[#This Row],[$ X TIP VEHICUL]:[AGREGADO]])</f>
        <v>0</v>
      </c>
    </row>
    <row r="1092" spans="2:24" hidden="1" x14ac:dyDescent="0.25">
      <c r="B1092" s="189"/>
      <c r="J1092" s="189"/>
      <c r="M1092" s="205"/>
      <c r="S1092" t="str">
        <f>IFERROR(VLOOKUP(E1092,'VALORES VIAJES'!$A$2:$B$13,2,FALSE),"")</f>
        <v/>
      </c>
      <c r="T1092" t="str">
        <f>IFERROR(VLOOKUP(H1092,'VALORES VIAJES'!$A$2:$B$24,2,FALSE),"")</f>
        <v/>
      </c>
      <c r="U1092" t="str">
        <f>IFERROR(VLOOKUP(I1092,'VALORES VIAJES'!$A$2:$B$24,2,FALSE),"")</f>
        <v/>
      </c>
      <c r="V1092" t="str">
        <f>IFERROR(VLOOKUP(K1092,'VALORES VIAJES'!$A$2:$B$24,2,FALSE),"")</f>
        <v/>
      </c>
      <c r="X1092" s="208">
        <f>SUM(Hoja1[[#This Row],[$ X TIP VEHICUL]:[AGREGADO]])</f>
        <v>0</v>
      </c>
    </row>
    <row r="1093" spans="2:24" hidden="1" x14ac:dyDescent="0.25">
      <c r="B1093" s="189"/>
      <c r="J1093" s="189"/>
      <c r="M1093" s="205"/>
      <c r="S1093" t="str">
        <f>IFERROR(VLOOKUP(E1093,'VALORES VIAJES'!$A$2:$B$13,2,FALSE),"")</f>
        <v/>
      </c>
      <c r="T1093" t="str">
        <f>IFERROR(VLOOKUP(H1093,'VALORES VIAJES'!$A$2:$B$24,2,FALSE),"")</f>
        <v/>
      </c>
      <c r="U1093" t="str">
        <f>IFERROR(VLOOKUP(I1093,'VALORES VIAJES'!$A$2:$B$24,2,FALSE),"")</f>
        <v/>
      </c>
      <c r="V1093" t="str">
        <f>IFERROR(VLOOKUP(K1093,'VALORES VIAJES'!$A$2:$B$24,2,FALSE),"")</f>
        <v/>
      </c>
      <c r="X1093" s="208">
        <f>SUM(Hoja1[[#This Row],[$ X TIP VEHICUL]:[AGREGADO]])</f>
        <v>0</v>
      </c>
    </row>
    <row r="1094" spans="2:24" hidden="1" x14ac:dyDescent="0.25">
      <c r="B1094" s="189"/>
      <c r="J1094" s="189"/>
      <c r="M1094" s="205"/>
      <c r="S1094" t="str">
        <f>IFERROR(VLOOKUP(E1094,'VALORES VIAJES'!$A$2:$B$13,2,FALSE),"")</f>
        <v/>
      </c>
      <c r="T1094" t="str">
        <f>IFERROR(VLOOKUP(H1094,'VALORES VIAJES'!$A$2:$B$24,2,FALSE),"")</f>
        <v/>
      </c>
      <c r="U1094" t="str">
        <f>IFERROR(VLOOKUP(I1094,'VALORES VIAJES'!$A$2:$B$24,2,FALSE),"")</f>
        <v/>
      </c>
      <c r="V1094" t="str">
        <f>IFERROR(VLOOKUP(K1094,'VALORES VIAJES'!$A$2:$B$24,2,FALSE),"")</f>
        <v/>
      </c>
      <c r="X1094" s="208">
        <f>SUM(Hoja1[[#This Row],[$ X TIP VEHICUL]:[AGREGADO]])</f>
        <v>0</v>
      </c>
    </row>
    <row r="1095" spans="2:24" hidden="1" x14ac:dyDescent="0.25">
      <c r="B1095" s="189"/>
      <c r="J1095" s="189"/>
      <c r="M1095" s="205"/>
      <c r="S1095" t="str">
        <f>IFERROR(VLOOKUP(E1095,'VALORES VIAJES'!$A$2:$B$13,2,FALSE),"")</f>
        <v/>
      </c>
      <c r="T1095" t="str">
        <f>IFERROR(VLOOKUP(H1095,'VALORES VIAJES'!$A$2:$B$24,2,FALSE),"")</f>
        <v/>
      </c>
      <c r="U1095" t="str">
        <f>IFERROR(VLOOKUP(I1095,'VALORES VIAJES'!$A$2:$B$24,2,FALSE),"")</f>
        <v/>
      </c>
      <c r="V1095" t="str">
        <f>IFERROR(VLOOKUP(K1095,'VALORES VIAJES'!$A$2:$B$24,2,FALSE),"")</f>
        <v/>
      </c>
      <c r="X1095" s="208">
        <f>SUM(Hoja1[[#This Row],[$ X TIP VEHICUL]:[AGREGADO]])</f>
        <v>0</v>
      </c>
    </row>
    <row r="1096" spans="2:24" hidden="1" x14ac:dyDescent="0.25">
      <c r="B1096" s="189"/>
      <c r="J1096" s="189"/>
      <c r="M1096" s="205"/>
      <c r="S1096" t="str">
        <f>IFERROR(VLOOKUP(E1096,'VALORES VIAJES'!$A$2:$B$13,2,FALSE),"")</f>
        <v/>
      </c>
      <c r="T1096" t="str">
        <f>IFERROR(VLOOKUP(H1096,'VALORES VIAJES'!$A$2:$B$24,2,FALSE),"")</f>
        <v/>
      </c>
      <c r="U1096" t="str">
        <f>IFERROR(VLOOKUP(I1096,'VALORES VIAJES'!$A$2:$B$24,2,FALSE),"")</f>
        <v/>
      </c>
      <c r="V1096" t="str">
        <f>IFERROR(VLOOKUP(K1096,'VALORES VIAJES'!$A$2:$B$24,2,FALSE),"")</f>
        <v/>
      </c>
      <c r="X1096" s="208">
        <f>SUM(Hoja1[[#This Row],[$ X TIP VEHICUL]:[AGREGADO]])</f>
        <v>0</v>
      </c>
    </row>
    <row r="1097" spans="2:24" hidden="1" x14ac:dyDescent="0.25">
      <c r="B1097" s="189"/>
      <c r="J1097" s="189"/>
      <c r="M1097" s="205"/>
      <c r="S1097" t="str">
        <f>IFERROR(VLOOKUP(E1097,'VALORES VIAJES'!$A$2:$B$13,2,FALSE),"")</f>
        <v/>
      </c>
      <c r="T1097" t="str">
        <f>IFERROR(VLOOKUP(H1097,'VALORES VIAJES'!$A$2:$B$24,2,FALSE),"")</f>
        <v/>
      </c>
      <c r="U1097" t="str">
        <f>IFERROR(VLOOKUP(I1097,'VALORES VIAJES'!$A$2:$B$24,2,FALSE),"")</f>
        <v/>
      </c>
      <c r="V1097" t="str">
        <f>IFERROR(VLOOKUP(K1097,'VALORES VIAJES'!$A$2:$B$24,2,FALSE),"")</f>
        <v/>
      </c>
      <c r="X1097" s="208">
        <f>SUM(Hoja1[[#This Row],[$ X TIP VEHICUL]:[AGREGADO]])</f>
        <v>0</v>
      </c>
    </row>
    <row r="1098" spans="2:24" hidden="1" x14ac:dyDescent="0.25">
      <c r="B1098" s="189"/>
      <c r="J1098" s="189"/>
      <c r="M1098" s="205"/>
      <c r="S1098" t="str">
        <f>IFERROR(VLOOKUP(E1098,'VALORES VIAJES'!$A$2:$B$13,2,FALSE),"")</f>
        <v/>
      </c>
      <c r="T1098" t="str">
        <f>IFERROR(VLOOKUP(H1098,'VALORES VIAJES'!$A$2:$B$24,2,FALSE),"")</f>
        <v/>
      </c>
      <c r="U1098" t="str">
        <f>IFERROR(VLOOKUP(I1098,'VALORES VIAJES'!$A$2:$B$24,2,FALSE),"")</f>
        <v/>
      </c>
      <c r="V1098" t="str">
        <f>IFERROR(VLOOKUP(K1098,'VALORES VIAJES'!$A$2:$B$24,2,FALSE),"")</f>
        <v/>
      </c>
      <c r="X1098" s="208">
        <f>SUM(Hoja1[[#This Row],[$ X TIP VEHICUL]:[AGREGADO]])</f>
        <v>0</v>
      </c>
    </row>
    <row r="1099" spans="2:24" hidden="1" x14ac:dyDescent="0.25">
      <c r="B1099" s="189"/>
      <c r="J1099" s="189"/>
      <c r="M1099" s="205"/>
      <c r="S1099" t="str">
        <f>IFERROR(VLOOKUP(E1099,'VALORES VIAJES'!$A$2:$B$13,2,FALSE),"")</f>
        <v/>
      </c>
      <c r="T1099" t="str">
        <f>IFERROR(VLOOKUP(H1099,'VALORES VIAJES'!$A$2:$B$24,2,FALSE),"")</f>
        <v/>
      </c>
      <c r="U1099" t="str">
        <f>IFERROR(VLOOKUP(I1099,'VALORES VIAJES'!$A$2:$B$24,2,FALSE),"")</f>
        <v/>
      </c>
      <c r="V1099" t="str">
        <f>IFERROR(VLOOKUP(K1099,'VALORES VIAJES'!$A$2:$B$24,2,FALSE),"")</f>
        <v/>
      </c>
      <c r="X1099" s="208">
        <f>SUM(Hoja1[[#This Row],[$ X TIP VEHICUL]:[AGREGADO]])</f>
        <v>0</v>
      </c>
    </row>
    <row r="1100" spans="2:24" hidden="1" x14ac:dyDescent="0.25">
      <c r="B1100" s="189"/>
      <c r="J1100" s="189"/>
      <c r="M1100" s="205"/>
      <c r="S1100" t="str">
        <f>IFERROR(VLOOKUP(E1100,'VALORES VIAJES'!$A$2:$B$13,2,FALSE),"")</f>
        <v/>
      </c>
      <c r="T1100" t="str">
        <f>IFERROR(VLOOKUP(H1100,'VALORES VIAJES'!$A$2:$B$24,2,FALSE),"")</f>
        <v/>
      </c>
      <c r="U1100" t="str">
        <f>IFERROR(VLOOKUP(I1100,'VALORES VIAJES'!$A$2:$B$24,2,FALSE),"")</f>
        <v/>
      </c>
      <c r="V1100" t="str">
        <f>IFERROR(VLOOKUP(K1100,'VALORES VIAJES'!$A$2:$B$24,2,FALSE),"")</f>
        <v/>
      </c>
      <c r="X1100" s="208">
        <f>SUM(Hoja1[[#This Row],[$ X TIP VEHICUL]:[AGREGADO]])</f>
        <v>0</v>
      </c>
    </row>
    <row r="1101" spans="2:24" hidden="1" x14ac:dyDescent="0.25">
      <c r="B1101" s="189"/>
      <c r="J1101" s="189"/>
      <c r="M1101" s="205"/>
      <c r="S1101" t="str">
        <f>IFERROR(VLOOKUP(E1101,'VALORES VIAJES'!$A$2:$B$13,2,FALSE),"")</f>
        <v/>
      </c>
      <c r="T1101" t="str">
        <f>IFERROR(VLOOKUP(H1101,'VALORES VIAJES'!$A$2:$B$24,2,FALSE),"")</f>
        <v/>
      </c>
      <c r="U1101" t="str">
        <f>IFERROR(VLOOKUP(I1101,'VALORES VIAJES'!$A$2:$B$24,2,FALSE),"")</f>
        <v/>
      </c>
      <c r="V1101" t="str">
        <f>IFERROR(VLOOKUP(K1101,'VALORES VIAJES'!$A$2:$B$24,2,FALSE),"")</f>
        <v/>
      </c>
      <c r="X1101" s="208">
        <f>SUM(Hoja1[[#This Row],[$ X TIP VEHICUL]:[AGREGADO]])</f>
        <v>0</v>
      </c>
    </row>
    <row r="1102" spans="2:24" hidden="1" x14ac:dyDescent="0.25">
      <c r="B1102" s="189"/>
      <c r="J1102" s="189"/>
      <c r="M1102" s="205"/>
      <c r="S1102" t="str">
        <f>IFERROR(VLOOKUP(E1102,'VALORES VIAJES'!$A$2:$B$13,2,FALSE),"")</f>
        <v/>
      </c>
      <c r="T1102" t="str">
        <f>IFERROR(VLOOKUP(H1102,'VALORES VIAJES'!$A$2:$B$24,2,FALSE),"")</f>
        <v/>
      </c>
      <c r="U1102" t="str">
        <f>IFERROR(VLOOKUP(I1102,'VALORES VIAJES'!$A$2:$B$24,2,FALSE),"")</f>
        <v/>
      </c>
      <c r="V1102" t="str">
        <f>IFERROR(VLOOKUP(K1102,'VALORES VIAJES'!$A$2:$B$24,2,FALSE),"")</f>
        <v/>
      </c>
      <c r="X1102" s="208">
        <f>SUM(Hoja1[[#This Row],[$ X TIP VEHICUL]:[AGREGADO]])</f>
        <v>0</v>
      </c>
    </row>
    <row r="1103" spans="2:24" hidden="1" x14ac:dyDescent="0.25">
      <c r="B1103" s="189"/>
      <c r="J1103" s="189"/>
      <c r="M1103" s="205"/>
      <c r="S1103" t="str">
        <f>IFERROR(VLOOKUP(E1103,'VALORES VIAJES'!$A$2:$B$13,2,FALSE),"")</f>
        <v/>
      </c>
      <c r="T1103" t="str">
        <f>IFERROR(VLOOKUP(H1103,'VALORES VIAJES'!$A$2:$B$24,2,FALSE),"")</f>
        <v/>
      </c>
      <c r="U1103" t="str">
        <f>IFERROR(VLOOKUP(I1103,'VALORES VIAJES'!$A$2:$B$24,2,FALSE),"")</f>
        <v/>
      </c>
      <c r="V1103" t="str">
        <f>IFERROR(VLOOKUP(K1103,'VALORES VIAJES'!$A$2:$B$24,2,FALSE),"")</f>
        <v/>
      </c>
      <c r="X1103" s="208">
        <f>SUM(Hoja1[[#This Row],[$ X TIP VEHICUL]:[AGREGADO]])</f>
        <v>0</v>
      </c>
    </row>
    <row r="1104" spans="2:24" hidden="1" x14ac:dyDescent="0.25">
      <c r="B1104" s="189"/>
      <c r="J1104" s="189"/>
      <c r="M1104" s="205"/>
      <c r="S1104" t="str">
        <f>IFERROR(VLOOKUP(E1104,'VALORES VIAJES'!$A$2:$B$13,2,FALSE),"")</f>
        <v/>
      </c>
      <c r="T1104" t="str">
        <f>IFERROR(VLOOKUP(H1104,'VALORES VIAJES'!$A$2:$B$24,2,FALSE),"")</f>
        <v/>
      </c>
      <c r="U1104" t="str">
        <f>IFERROR(VLOOKUP(I1104,'VALORES VIAJES'!$A$2:$B$24,2,FALSE),"")</f>
        <v/>
      </c>
      <c r="V1104" t="str">
        <f>IFERROR(VLOOKUP(K1104,'VALORES VIAJES'!$A$2:$B$24,2,FALSE),"")</f>
        <v/>
      </c>
      <c r="X1104" s="208">
        <f>SUM(Hoja1[[#This Row],[$ X TIP VEHICUL]:[AGREGADO]])</f>
        <v>0</v>
      </c>
    </row>
    <row r="1105" spans="2:24" hidden="1" x14ac:dyDescent="0.25">
      <c r="B1105" s="189"/>
      <c r="J1105" s="189"/>
      <c r="M1105" s="205"/>
      <c r="S1105" t="str">
        <f>IFERROR(VLOOKUP(E1105,'VALORES VIAJES'!$A$2:$B$13,2,FALSE),"")</f>
        <v/>
      </c>
      <c r="T1105" t="str">
        <f>IFERROR(VLOOKUP(H1105,'VALORES VIAJES'!$A$2:$B$24,2,FALSE),"")</f>
        <v/>
      </c>
      <c r="U1105" t="str">
        <f>IFERROR(VLOOKUP(I1105,'VALORES VIAJES'!$A$2:$B$24,2,FALSE),"")</f>
        <v/>
      </c>
      <c r="V1105" t="str">
        <f>IFERROR(VLOOKUP(K1105,'VALORES VIAJES'!$A$2:$B$24,2,FALSE),"")</f>
        <v/>
      </c>
      <c r="X1105" s="208">
        <f>SUM(Hoja1[[#This Row],[$ X TIP VEHICUL]:[AGREGADO]])</f>
        <v>0</v>
      </c>
    </row>
    <row r="1106" spans="2:24" hidden="1" x14ac:dyDescent="0.25">
      <c r="B1106" s="189"/>
      <c r="J1106" s="189"/>
      <c r="M1106" s="205"/>
      <c r="S1106" t="str">
        <f>IFERROR(VLOOKUP(E1106,'VALORES VIAJES'!$A$2:$B$13,2,FALSE),"")</f>
        <v/>
      </c>
      <c r="T1106" t="str">
        <f>IFERROR(VLOOKUP(H1106,'VALORES VIAJES'!$A$2:$B$24,2,FALSE),"")</f>
        <v/>
      </c>
      <c r="U1106" t="str">
        <f>IFERROR(VLOOKUP(I1106,'VALORES VIAJES'!$A$2:$B$24,2,FALSE),"")</f>
        <v/>
      </c>
      <c r="V1106" t="str">
        <f>IFERROR(VLOOKUP(K1106,'VALORES VIAJES'!$A$2:$B$24,2,FALSE),"")</f>
        <v/>
      </c>
      <c r="X1106" s="208">
        <f>SUM(Hoja1[[#This Row],[$ X TIP VEHICUL]:[AGREGADO]])</f>
        <v>0</v>
      </c>
    </row>
    <row r="1107" spans="2:24" hidden="1" x14ac:dyDescent="0.25">
      <c r="B1107" s="189"/>
      <c r="J1107" s="189"/>
      <c r="M1107" s="205"/>
      <c r="S1107" t="str">
        <f>IFERROR(VLOOKUP(E1107,'VALORES VIAJES'!$A$2:$B$13,2,FALSE),"")</f>
        <v/>
      </c>
      <c r="T1107" t="str">
        <f>IFERROR(VLOOKUP(H1107,'VALORES VIAJES'!$A$2:$B$24,2,FALSE),"")</f>
        <v/>
      </c>
      <c r="U1107" t="str">
        <f>IFERROR(VLOOKUP(I1107,'VALORES VIAJES'!$A$2:$B$24,2,FALSE),"")</f>
        <v/>
      </c>
      <c r="V1107" t="str">
        <f>IFERROR(VLOOKUP(K1107,'VALORES VIAJES'!$A$2:$B$24,2,FALSE),"")</f>
        <v/>
      </c>
      <c r="X1107" s="208">
        <f>SUM(Hoja1[[#This Row],[$ X TIP VEHICUL]:[AGREGADO]])</f>
        <v>0</v>
      </c>
    </row>
    <row r="1108" spans="2:24" hidden="1" x14ac:dyDescent="0.25">
      <c r="B1108" s="189"/>
      <c r="J1108" s="189"/>
      <c r="M1108" s="205"/>
      <c r="S1108" t="str">
        <f>IFERROR(VLOOKUP(E1108,'VALORES VIAJES'!$A$2:$B$13,2,FALSE),"")</f>
        <v/>
      </c>
      <c r="T1108" t="str">
        <f>IFERROR(VLOOKUP(H1108,'VALORES VIAJES'!$A$2:$B$24,2,FALSE),"")</f>
        <v/>
      </c>
      <c r="U1108" t="str">
        <f>IFERROR(VLOOKUP(I1108,'VALORES VIAJES'!$A$2:$B$24,2,FALSE),"")</f>
        <v/>
      </c>
      <c r="V1108" t="str">
        <f>IFERROR(VLOOKUP(K1108,'VALORES VIAJES'!$A$2:$B$24,2,FALSE),"")</f>
        <v/>
      </c>
      <c r="X1108" s="208">
        <f>SUM(Hoja1[[#This Row],[$ X TIP VEHICUL]:[AGREGADO]])</f>
        <v>0</v>
      </c>
    </row>
    <row r="1109" spans="2:24" hidden="1" x14ac:dyDescent="0.25">
      <c r="B1109" s="189"/>
      <c r="J1109" s="189"/>
      <c r="M1109" s="205"/>
      <c r="S1109" t="str">
        <f>IFERROR(VLOOKUP(E1109,'VALORES VIAJES'!$A$2:$B$13,2,FALSE),"")</f>
        <v/>
      </c>
      <c r="T1109" t="str">
        <f>IFERROR(VLOOKUP(H1109,'VALORES VIAJES'!$A$2:$B$24,2,FALSE),"")</f>
        <v/>
      </c>
      <c r="U1109" t="str">
        <f>IFERROR(VLOOKUP(I1109,'VALORES VIAJES'!$A$2:$B$24,2,FALSE),"")</f>
        <v/>
      </c>
      <c r="V1109" t="str">
        <f>IFERROR(VLOOKUP(K1109,'VALORES VIAJES'!$A$2:$B$24,2,FALSE),"")</f>
        <v/>
      </c>
      <c r="X1109" s="208">
        <f>SUM(Hoja1[[#This Row],[$ X TIP VEHICUL]:[AGREGADO]])</f>
        <v>0</v>
      </c>
    </row>
    <row r="1110" spans="2:24" hidden="1" x14ac:dyDescent="0.25">
      <c r="B1110" s="189"/>
      <c r="J1110" s="189"/>
      <c r="M1110" s="205"/>
      <c r="S1110" t="str">
        <f>IFERROR(VLOOKUP(E1110,'VALORES VIAJES'!$A$2:$B$13,2,FALSE),"")</f>
        <v/>
      </c>
      <c r="T1110" t="str">
        <f>IFERROR(VLOOKUP(H1110,'VALORES VIAJES'!$A$2:$B$24,2,FALSE),"")</f>
        <v/>
      </c>
      <c r="U1110" t="str">
        <f>IFERROR(VLOOKUP(I1110,'VALORES VIAJES'!$A$2:$B$24,2,FALSE),"")</f>
        <v/>
      </c>
      <c r="V1110" t="str">
        <f>IFERROR(VLOOKUP(K1110,'VALORES VIAJES'!$A$2:$B$24,2,FALSE),"")</f>
        <v/>
      </c>
      <c r="X1110" s="208">
        <f>SUM(Hoja1[[#This Row],[$ X TIP VEHICUL]:[AGREGADO]])</f>
        <v>0</v>
      </c>
    </row>
    <row r="1111" spans="2:24" hidden="1" x14ac:dyDescent="0.25">
      <c r="B1111" s="189"/>
      <c r="J1111" s="189"/>
      <c r="M1111" s="205"/>
      <c r="S1111" t="str">
        <f>IFERROR(VLOOKUP(E1111,'VALORES VIAJES'!$A$2:$B$13,2,FALSE),"")</f>
        <v/>
      </c>
      <c r="T1111" t="str">
        <f>IFERROR(VLOOKUP(H1111,'VALORES VIAJES'!$A$2:$B$24,2,FALSE),"")</f>
        <v/>
      </c>
      <c r="U1111" t="str">
        <f>IFERROR(VLOOKUP(I1111,'VALORES VIAJES'!$A$2:$B$24,2,FALSE),"")</f>
        <v/>
      </c>
      <c r="V1111" t="str">
        <f>IFERROR(VLOOKUP(K1111,'VALORES VIAJES'!$A$2:$B$24,2,FALSE),"")</f>
        <v/>
      </c>
      <c r="X1111" s="208">
        <f>SUM(Hoja1[[#This Row],[$ X TIP VEHICUL]:[AGREGADO]])</f>
        <v>0</v>
      </c>
    </row>
    <row r="1112" spans="2:24" hidden="1" x14ac:dyDescent="0.25">
      <c r="B1112" s="189"/>
      <c r="J1112" s="189"/>
      <c r="M1112" s="205"/>
      <c r="S1112" t="str">
        <f>IFERROR(VLOOKUP(E1112,'VALORES VIAJES'!$A$2:$B$13,2,FALSE),"")</f>
        <v/>
      </c>
      <c r="T1112" t="str">
        <f>IFERROR(VLOOKUP(H1112,'VALORES VIAJES'!$A$2:$B$24,2,FALSE),"")</f>
        <v/>
      </c>
      <c r="U1112" t="str">
        <f>IFERROR(VLOOKUP(I1112,'VALORES VIAJES'!$A$2:$B$24,2,FALSE),"")</f>
        <v/>
      </c>
      <c r="V1112" t="str">
        <f>IFERROR(VLOOKUP(K1112,'VALORES VIAJES'!$A$2:$B$24,2,FALSE),"")</f>
        <v/>
      </c>
      <c r="X1112" s="208">
        <f>SUM(Hoja1[[#This Row],[$ X TIP VEHICUL]:[AGREGADO]])</f>
        <v>0</v>
      </c>
    </row>
    <row r="1113" spans="2:24" hidden="1" x14ac:dyDescent="0.25">
      <c r="B1113" s="189"/>
      <c r="J1113" s="189"/>
      <c r="M1113" s="205"/>
      <c r="S1113" t="str">
        <f>IFERROR(VLOOKUP(E1113,'VALORES VIAJES'!$A$2:$B$13,2,FALSE),"")</f>
        <v/>
      </c>
      <c r="T1113" t="str">
        <f>IFERROR(VLOOKUP(H1113,'VALORES VIAJES'!$A$2:$B$24,2,FALSE),"")</f>
        <v/>
      </c>
      <c r="U1113" t="str">
        <f>IFERROR(VLOOKUP(I1113,'VALORES VIAJES'!$A$2:$B$24,2,FALSE),"")</f>
        <v/>
      </c>
      <c r="V1113" t="str">
        <f>IFERROR(VLOOKUP(K1113,'VALORES VIAJES'!$A$2:$B$24,2,FALSE),"")</f>
        <v/>
      </c>
      <c r="X1113" s="208">
        <f>SUM(Hoja1[[#This Row],[$ X TIP VEHICUL]:[AGREGADO]])</f>
        <v>0</v>
      </c>
    </row>
    <row r="1114" spans="2:24" hidden="1" x14ac:dyDescent="0.25">
      <c r="B1114" s="189"/>
      <c r="J1114" s="189"/>
      <c r="M1114" s="205"/>
      <c r="S1114" t="str">
        <f>IFERROR(VLOOKUP(E1114,'VALORES VIAJES'!$A$2:$B$13,2,FALSE),"")</f>
        <v/>
      </c>
      <c r="T1114" t="str">
        <f>IFERROR(VLOOKUP(H1114,'VALORES VIAJES'!$A$2:$B$24,2,FALSE),"")</f>
        <v/>
      </c>
      <c r="U1114" t="str">
        <f>IFERROR(VLOOKUP(I1114,'VALORES VIAJES'!$A$2:$B$24,2,FALSE),"")</f>
        <v/>
      </c>
      <c r="V1114" t="str">
        <f>IFERROR(VLOOKUP(K1114,'VALORES VIAJES'!$A$2:$B$24,2,FALSE),"")</f>
        <v/>
      </c>
      <c r="X1114" s="208">
        <f>SUM(Hoja1[[#This Row],[$ X TIP VEHICUL]:[AGREGADO]])</f>
        <v>0</v>
      </c>
    </row>
    <row r="1115" spans="2:24" hidden="1" x14ac:dyDescent="0.25">
      <c r="B1115" s="189"/>
      <c r="J1115" s="189"/>
      <c r="M1115" s="205"/>
      <c r="S1115" t="str">
        <f>IFERROR(VLOOKUP(E1115,'VALORES VIAJES'!$A$2:$B$13,2,FALSE),"")</f>
        <v/>
      </c>
      <c r="T1115" t="str">
        <f>IFERROR(VLOOKUP(H1115,'VALORES VIAJES'!$A$2:$B$24,2,FALSE),"")</f>
        <v/>
      </c>
      <c r="U1115" t="str">
        <f>IFERROR(VLOOKUP(I1115,'VALORES VIAJES'!$A$2:$B$24,2,FALSE),"")</f>
        <v/>
      </c>
      <c r="V1115" t="str">
        <f>IFERROR(VLOOKUP(K1115,'VALORES VIAJES'!$A$2:$B$24,2,FALSE),"")</f>
        <v/>
      </c>
      <c r="X1115" s="208">
        <f>SUM(Hoja1[[#This Row],[$ X TIP VEHICUL]:[AGREGADO]])</f>
        <v>0</v>
      </c>
    </row>
    <row r="1116" spans="2:24" hidden="1" x14ac:dyDescent="0.25">
      <c r="B1116" s="189"/>
      <c r="J1116" s="189"/>
      <c r="M1116" s="205"/>
      <c r="S1116" t="str">
        <f>IFERROR(VLOOKUP(E1116,'VALORES VIAJES'!$A$2:$B$13,2,FALSE),"")</f>
        <v/>
      </c>
      <c r="T1116" t="str">
        <f>IFERROR(VLOOKUP(H1116,'VALORES VIAJES'!$A$2:$B$24,2,FALSE),"")</f>
        <v/>
      </c>
      <c r="U1116" t="str">
        <f>IFERROR(VLOOKUP(I1116,'VALORES VIAJES'!$A$2:$B$24,2,FALSE),"")</f>
        <v/>
      </c>
      <c r="V1116" t="str">
        <f>IFERROR(VLOOKUP(K1116,'VALORES VIAJES'!$A$2:$B$24,2,FALSE),"")</f>
        <v/>
      </c>
      <c r="X1116" s="208">
        <f>SUM(Hoja1[[#This Row],[$ X TIP VEHICUL]:[AGREGADO]])</f>
        <v>0</v>
      </c>
    </row>
    <row r="1117" spans="2:24" hidden="1" x14ac:dyDescent="0.25">
      <c r="B1117" s="189"/>
      <c r="J1117" s="189"/>
      <c r="M1117" s="205"/>
      <c r="S1117" t="str">
        <f>IFERROR(VLOOKUP(E1117,'VALORES VIAJES'!$A$2:$B$13,2,FALSE),"")</f>
        <v/>
      </c>
      <c r="T1117" t="str">
        <f>IFERROR(VLOOKUP(H1117,'VALORES VIAJES'!$A$2:$B$24,2,FALSE),"")</f>
        <v/>
      </c>
      <c r="U1117" t="str">
        <f>IFERROR(VLOOKUP(I1117,'VALORES VIAJES'!$A$2:$B$24,2,FALSE),"")</f>
        <v/>
      </c>
      <c r="V1117" t="str">
        <f>IFERROR(VLOOKUP(K1117,'VALORES VIAJES'!$A$2:$B$24,2,FALSE),"")</f>
        <v/>
      </c>
      <c r="X1117" s="208">
        <f>SUM(Hoja1[[#This Row],[$ X TIP VEHICUL]:[AGREGADO]])</f>
        <v>0</v>
      </c>
    </row>
    <row r="1118" spans="2:24" hidden="1" x14ac:dyDescent="0.25">
      <c r="B1118" s="189"/>
      <c r="J1118" s="189"/>
      <c r="M1118" s="205"/>
      <c r="S1118" t="str">
        <f>IFERROR(VLOOKUP(E1118,'VALORES VIAJES'!$A$2:$B$13,2,FALSE),"")</f>
        <v/>
      </c>
      <c r="T1118" t="str">
        <f>IFERROR(VLOOKUP(H1118,'VALORES VIAJES'!$A$2:$B$24,2,FALSE),"")</f>
        <v/>
      </c>
      <c r="U1118" t="str">
        <f>IFERROR(VLOOKUP(I1118,'VALORES VIAJES'!$A$2:$B$24,2,FALSE),"")</f>
        <v/>
      </c>
      <c r="V1118" t="str">
        <f>IFERROR(VLOOKUP(K1118,'VALORES VIAJES'!$A$2:$B$24,2,FALSE),"")</f>
        <v/>
      </c>
      <c r="X1118" s="208">
        <f>SUM(Hoja1[[#This Row],[$ X TIP VEHICUL]:[AGREGADO]])</f>
        <v>0</v>
      </c>
    </row>
    <row r="1119" spans="2:24" hidden="1" x14ac:dyDescent="0.25">
      <c r="B1119" s="189"/>
      <c r="J1119" s="189"/>
      <c r="M1119" s="205"/>
      <c r="S1119" t="str">
        <f>IFERROR(VLOOKUP(E1119,'VALORES VIAJES'!$A$2:$B$13,2,FALSE),"")</f>
        <v/>
      </c>
      <c r="T1119" t="str">
        <f>IFERROR(VLOOKUP(H1119,'VALORES VIAJES'!$A$2:$B$24,2,FALSE),"")</f>
        <v/>
      </c>
      <c r="U1119" t="str">
        <f>IFERROR(VLOOKUP(I1119,'VALORES VIAJES'!$A$2:$B$24,2,FALSE),"")</f>
        <v/>
      </c>
      <c r="V1119" t="str">
        <f>IFERROR(VLOOKUP(K1119,'VALORES VIAJES'!$A$2:$B$24,2,FALSE),"")</f>
        <v/>
      </c>
      <c r="X1119" s="208">
        <f>SUM(Hoja1[[#This Row],[$ X TIP VEHICUL]:[AGREGADO]])</f>
        <v>0</v>
      </c>
    </row>
    <row r="1120" spans="2:24" hidden="1" x14ac:dyDescent="0.25">
      <c r="B1120" s="189"/>
      <c r="J1120" s="189"/>
      <c r="M1120" s="205"/>
      <c r="S1120" t="str">
        <f>IFERROR(VLOOKUP(E1120,'VALORES VIAJES'!$A$2:$B$13,2,FALSE),"")</f>
        <v/>
      </c>
      <c r="T1120" t="str">
        <f>IFERROR(VLOOKUP(H1120,'VALORES VIAJES'!$A$2:$B$24,2,FALSE),"")</f>
        <v/>
      </c>
      <c r="U1120" t="str">
        <f>IFERROR(VLOOKUP(I1120,'VALORES VIAJES'!$A$2:$B$24,2,FALSE),"")</f>
        <v/>
      </c>
      <c r="V1120" t="str">
        <f>IFERROR(VLOOKUP(K1120,'VALORES VIAJES'!$A$2:$B$24,2,FALSE),"")</f>
        <v/>
      </c>
      <c r="X1120" s="208">
        <f>SUM(Hoja1[[#This Row],[$ X TIP VEHICUL]:[AGREGADO]])</f>
        <v>0</v>
      </c>
    </row>
    <row r="1121" spans="2:24" hidden="1" x14ac:dyDescent="0.25">
      <c r="B1121" s="189"/>
      <c r="J1121" s="189"/>
      <c r="M1121" s="205"/>
      <c r="S1121" t="str">
        <f>IFERROR(VLOOKUP(E1121,'VALORES VIAJES'!$A$2:$B$13,2,FALSE),"")</f>
        <v/>
      </c>
      <c r="T1121" t="str">
        <f>IFERROR(VLOOKUP(H1121,'VALORES VIAJES'!$A$2:$B$24,2,FALSE),"")</f>
        <v/>
      </c>
      <c r="U1121" t="str">
        <f>IFERROR(VLOOKUP(I1121,'VALORES VIAJES'!$A$2:$B$24,2,FALSE),"")</f>
        <v/>
      </c>
      <c r="V1121" t="str">
        <f>IFERROR(VLOOKUP(K1121,'VALORES VIAJES'!$A$2:$B$24,2,FALSE),"")</f>
        <v/>
      </c>
      <c r="X1121" s="208">
        <f>SUM(Hoja1[[#This Row],[$ X TIP VEHICUL]:[AGREGADO]])</f>
        <v>0</v>
      </c>
    </row>
    <row r="1122" spans="2:24" hidden="1" x14ac:dyDescent="0.25">
      <c r="B1122" s="189"/>
      <c r="J1122" s="189"/>
      <c r="M1122" s="205"/>
      <c r="S1122" t="str">
        <f>IFERROR(VLOOKUP(E1122,'VALORES VIAJES'!$A$2:$B$13,2,FALSE),"")</f>
        <v/>
      </c>
      <c r="T1122" t="str">
        <f>IFERROR(VLOOKUP(H1122,'VALORES VIAJES'!$A$2:$B$24,2,FALSE),"")</f>
        <v/>
      </c>
      <c r="U1122" t="str">
        <f>IFERROR(VLOOKUP(I1122,'VALORES VIAJES'!$A$2:$B$24,2,FALSE),"")</f>
        <v/>
      </c>
      <c r="V1122" t="str">
        <f>IFERROR(VLOOKUP(K1122,'VALORES VIAJES'!$A$2:$B$24,2,FALSE),"")</f>
        <v/>
      </c>
      <c r="X1122" s="208">
        <f>SUM(Hoja1[[#This Row],[$ X TIP VEHICUL]:[AGREGADO]])</f>
        <v>0</v>
      </c>
    </row>
    <row r="1123" spans="2:24" hidden="1" x14ac:dyDescent="0.25">
      <c r="B1123" s="189"/>
      <c r="J1123" s="189"/>
      <c r="M1123" s="205"/>
      <c r="S1123" t="str">
        <f>IFERROR(VLOOKUP(E1123,'VALORES VIAJES'!$A$2:$B$13,2,FALSE),"")</f>
        <v/>
      </c>
      <c r="T1123" t="str">
        <f>IFERROR(VLOOKUP(H1123,'VALORES VIAJES'!$A$2:$B$24,2,FALSE),"")</f>
        <v/>
      </c>
      <c r="U1123" t="str">
        <f>IFERROR(VLOOKUP(I1123,'VALORES VIAJES'!$A$2:$B$24,2,FALSE),"")</f>
        <v/>
      </c>
      <c r="V1123" t="str">
        <f>IFERROR(VLOOKUP(K1123,'VALORES VIAJES'!$A$2:$B$24,2,FALSE),"")</f>
        <v/>
      </c>
      <c r="X1123" s="208">
        <f>SUM(Hoja1[[#This Row],[$ X TIP VEHICUL]:[AGREGADO]])</f>
        <v>0</v>
      </c>
    </row>
    <row r="1124" spans="2:24" hidden="1" x14ac:dyDescent="0.25">
      <c r="B1124" s="189"/>
      <c r="J1124" s="189"/>
      <c r="M1124" s="205"/>
      <c r="S1124" t="str">
        <f>IFERROR(VLOOKUP(E1124,'VALORES VIAJES'!$A$2:$B$13,2,FALSE),"")</f>
        <v/>
      </c>
      <c r="T1124" t="str">
        <f>IFERROR(VLOOKUP(H1124,'VALORES VIAJES'!$A$2:$B$24,2,FALSE),"")</f>
        <v/>
      </c>
      <c r="U1124" t="str">
        <f>IFERROR(VLOOKUP(I1124,'VALORES VIAJES'!$A$2:$B$24,2,FALSE),"")</f>
        <v/>
      </c>
      <c r="V1124" t="str">
        <f>IFERROR(VLOOKUP(K1124,'VALORES VIAJES'!$A$2:$B$24,2,FALSE),"")</f>
        <v/>
      </c>
      <c r="X1124" s="208">
        <f>SUM(Hoja1[[#This Row],[$ X TIP VEHICUL]:[AGREGADO]])</f>
        <v>0</v>
      </c>
    </row>
    <row r="1125" spans="2:24" hidden="1" x14ac:dyDescent="0.25">
      <c r="B1125" s="189"/>
      <c r="J1125" s="189"/>
      <c r="M1125" s="205"/>
      <c r="S1125" t="str">
        <f>IFERROR(VLOOKUP(E1125,'VALORES VIAJES'!$A$2:$B$13,2,FALSE),"")</f>
        <v/>
      </c>
      <c r="T1125" t="str">
        <f>IFERROR(VLOOKUP(H1125,'VALORES VIAJES'!$A$2:$B$24,2,FALSE),"")</f>
        <v/>
      </c>
      <c r="U1125" t="str">
        <f>IFERROR(VLOOKUP(I1125,'VALORES VIAJES'!$A$2:$B$24,2,FALSE),"")</f>
        <v/>
      </c>
      <c r="V1125" t="str">
        <f>IFERROR(VLOOKUP(K1125,'VALORES VIAJES'!$A$2:$B$24,2,FALSE),"")</f>
        <v/>
      </c>
      <c r="X1125" s="208">
        <f>SUM(Hoja1[[#This Row],[$ X TIP VEHICUL]:[AGREGADO]])</f>
        <v>0</v>
      </c>
    </row>
    <row r="1126" spans="2:24" hidden="1" x14ac:dyDescent="0.25">
      <c r="B1126" s="189"/>
      <c r="J1126" s="189"/>
      <c r="M1126" s="205"/>
      <c r="S1126" t="str">
        <f>IFERROR(VLOOKUP(E1126,'VALORES VIAJES'!$A$2:$B$13,2,FALSE),"")</f>
        <v/>
      </c>
      <c r="T1126" t="str">
        <f>IFERROR(VLOOKUP(H1126,'VALORES VIAJES'!$A$2:$B$24,2,FALSE),"")</f>
        <v/>
      </c>
      <c r="U1126" t="str">
        <f>IFERROR(VLOOKUP(I1126,'VALORES VIAJES'!$A$2:$B$24,2,FALSE),"")</f>
        <v/>
      </c>
      <c r="V1126" t="str">
        <f>IFERROR(VLOOKUP(K1126,'VALORES VIAJES'!$A$2:$B$24,2,FALSE),"")</f>
        <v/>
      </c>
      <c r="X1126" s="208">
        <f>SUM(Hoja1[[#This Row],[$ X TIP VEHICUL]:[AGREGADO]])</f>
        <v>0</v>
      </c>
    </row>
    <row r="1127" spans="2:24" hidden="1" x14ac:dyDescent="0.25">
      <c r="B1127" s="189"/>
      <c r="J1127" s="189"/>
      <c r="M1127" s="205"/>
      <c r="S1127" t="str">
        <f>IFERROR(VLOOKUP(E1127,'VALORES VIAJES'!$A$2:$B$13,2,FALSE),"")</f>
        <v/>
      </c>
      <c r="T1127" t="str">
        <f>IFERROR(VLOOKUP(H1127,'VALORES VIAJES'!$A$2:$B$24,2,FALSE),"")</f>
        <v/>
      </c>
      <c r="U1127" t="str">
        <f>IFERROR(VLOOKUP(I1127,'VALORES VIAJES'!$A$2:$B$24,2,FALSE),"")</f>
        <v/>
      </c>
      <c r="V1127" t="str">
        <f>IFERROR(VLOOKUP(K1127,'VALORES VIAJES'!$A$2:$B$24,2,FALSE),"")</f>
        <v/>
      </c>
      <c r="X1127" s="208">
        <f>SUM(Hoja1[[#This Row],[$ X TIP VEHICUL]:[AGREGADO]])</f>
        <v>0</v>
      </c>
    </row>
    <row r="1128" spans="2:24" hidden="1" x14ac:dyDescent="0.25">
      <c r="B1128" s="189"/>
      <c r="J1128" s="189"/>
      <c r="M1128" s="205"/>
      <c r="S1128" t="str">
        <f>IFERROR(VLOOKUP(E1128,'VALORES VIAJES'!$A$2:$B$13,2,FALSE),"")</f>
        <v/>
      </c>
      <c r="T1128" t="str">
        <f>IFERROR(VLOOKUP(H1128,'VALORES VIAJES'!$A$2:$B$24,2,FALSE),"")</f>
        <v/>
      </c>
      <c r="U1128" t="str">
        <f>IFERROR(VLOOKUP(I1128,'VALORES VIAJES'!$A$2:$B$24,2,FALSE),"")</f>
        <v/>
      </c>
      <c r="V1128" t="str">
        <f>IFERROR(VLOOKUP(K1128,'VALORES VIAJES'!$A$2:$B$24,2,FALSE),"")</f>
        <v/>
      </c>
      <c r="X1128" s="208">
        <f>SUM(Hoja1[[#This Row],[$ X TIP VEHICUL]:[AGREGADO]])</f>
        <v>0</v>
      </c>
    </row>
    <row r="1129" spans="2:24" hidden="1" x14ac:dyDescent="0.25">
      <c r="B1129" s="189"/>
      <c r="J1129" s="189"/>
      <c r="M1129" s="205"/>
      <c r="S1129" t="str">
        <f>IFERROR(VLOOKUP(E1129,'VALORES VIAJES'!$A$2:$B$13,2,FALSE),"")</f>
        <v/>
      </c>
      <c r="T1129" t="str">
        <f>IFERROR(VLOOKUP(H1129,'VALORES VIAJES'!$A$2:$B$24,2,FALSE),"")</f>
        <v/>
      </c>
      <c r="U1129" t="str">
        <f>IFERROR(VLOOKUP(I1129,'VALORES VIAJES'!$A$2:$B$24,2,FALSE),"")</f>
        <v/>
      </c>
      <c r="V1129" t="str">
        <f>IFERROR(VLOOKUP(K1129,'VALORES VIAJES'!$A$2:$B$24,2,FALSE),"")</f>
        <v/>
      </c>
      <c r="X1129" s="208">
        <f>SUM(Hoja1[[#This Row],[$ X TIP VEHICUL]:[AGREGADO]])</f>
        <v>0</v>
      </c>
    </row>
    <row r="1130" spans="2:24" hidden="1" x14ac:dyDescent="0.25">
      <c r="B1130" s="189"/>
      <c r="J1130" s="189"/>
      <c r="M1130" s="205"/>
      <c r="S1130" t="str">
        <f>IFERROR(VLOOKUP(E1130,'VALORES VIAJES'!$A$2:$B$13,2,FALSE),"")</f>
        <v/>
      </c>
      <c r="T1130" t="str">
        <f>IFERROR(VLOOKUP(H1130,'VALORES VIAJES'!$A$2:$B$24,2,FALSE),"")</f>
        <v/>
      </c>
      <c r="U1130" t="str">
        <f>IFERROR(VLOOKUP(I1130,'VALORES VIAJES'!$A$2:$B$24,2,FALSE),"")</f>
        <v/>
      </c>
      <c r="V1130" t="str">
        <f>IFERROR(VLOOKUP(K1130,'VALORES VIAJES'!$A$2:$B$24,2,FALSE),"")</f>
        <v/>
      </c>
      <c r="X1130" s="208">
        <f>SUM(Hoja1[[#This Row],[$ X TIP VEHICUL]:[AGREGADO]])</f>
        <v>0</v>
      </c>
    </row>
    <row r="1131" spans="2:24" hidden="1" x14ac:dyDescent="0.25">
      <c r="B1131" s="189"/>
      <c r="J1131" s="189"/>
      <c r="M1131" s="205"/>
      <c r="S1131" t="str">
        <f>IFERROR(VLOOKUP(E1131,'VALORES VIAJES'!$A$2:$B$13,2,FALSE),"")</f>
        <v/>
      </c>
      <c r="T1131" t="str">
        <f>IFERROR(VLOOKUP(H1131,'VALORES VIAJES'!$A$2:$B$24,2,FALSE),"")</f>
        <v/>
      </c>
      <c r="U1131" t="str">
        <f>IFERROR(VLOOKUP(I1131,'VALORES VIAJES'!$A$2:$B$24,2,FALSE),"")</f>
        <v/>
      </c>
      <c r="V1131" t="str">
        <f>IFERROR(VLOOKUP(K1131,'VALORES VIAJES'!$A$2:$B$24,2,FALSE),"")</f>
        <v/>
      </c>
      <c r="X1131" s="208">
        <f>SUM(Hoja1[[#This Row],[$ X TIP VEHICUL]:[AGREGADO]])</f>
        <v>0</v>
      </c>
    </row>
    <row r="1132" spans="2:24" hidden="1" x14ac:dyDescent="0.25">
      <c r="B1132" s="189"/>
      <c r="J1132" s="189"/>
      <c r="M1132" s="205"/>
      <c r="S1132" t="str">
        <f>IFERROR(VLOOKUP(E1132,'VALORES VIAJES'!$A$2:$B$13,2,FALSE),"")</f>
        <v/>
      </c>
      <c r="T1132" t="str">
        <f>IFERROR(VLOOKUP(H1132,'VALORES VIAJES'!$A$2:$B$24,2,FALSE),"")</f>
        <v/>
      </c>
      <c r="U1132" t="str">
        <f>IFERROR(VLOOKUP(I1132,'VALORES VIAJES'!$A$2:$B$24,2,FALSE),"")</f>
        <v/>
      </c>
      <c r="V1132" t="str">
        <f>IFERROR(VLOOKUP(K1132,'VALORES VIAJES'!$A$2:$B$24,2,FALSE),"")</f>
        <v/>
      </c>
      <c r="X1132" s="208">
        <f>SUM(Hoja1[[#This Row],[$ X TIP VEHICUL]:[AGREGADO]])</f>
        <v>0</v>
      </c>
    </row>
    <row r="1133" spans="2:24" hidden="1" x14ac:dyDescent="0.25">
      <c r="B1133" s="189"/>
      <c r="J1133" s="189"/>
      <c r="M1133" s="205"/>
      <c r="S1133" t="str">
        <f>IFERROR(VLOOKUP(E1133,'VALORES VIAJES'!$A$2:$B$13,2,FALSE),"")</f>
        <v/>
      </c>
      <c r="T1133" t="str">
        <f>IFERROR(VLOOKUP(H1133,'VALORES VIAJES'!$A$2:$B$24,2,FALSE),"")</f>
        <v/>
      </c>
      <c r="U1133" t="str">
        <f>IFERROR(VLOOKUP(I1133,'VALORES VIAJES'!$A$2:$B$24,2,FALSE),"")</f>
        <v/>
      </c>
      <c r="V1133" t="str">
        <f>IFERROR(VLOOKUP(K1133,'VALORES VIAJES'!$A$2:$B$24,2,FALSE),"")</f>
        <v/>
      </c>
      <c r="X1133" s="208">
        <f>SUM(Hoja1[[#This Row],[$ X TIP VEHICUL]:[AGREGADO]])</f>
        <v>0</v>
      </c>
    </row>
    <row r="1134" spans="2:24" hidden="1" x14ac:dyDescent="0.25">
      <c r="B1134" s="189"/>
      <c r="J1134" s="189"/>
      <c r="M1134" s="205"/>
      <c r="S1134" t="str">
        <f>IFERROR(VLOOKUP(E1134,'VALORES VIAJES'!$A$2:$B$13,2,FALSE),"")</f>
        <v/>
      </c>
      <c r="T1134" t="str">
        <f>IFERROR(VLOOKUP(H1134,'VALORES VIAJES'!$A$2:$B$24,2,FALSE),"")</f>
        <v/>
      </c>
      <c r="U1134" t="str">
        <f>IFERROR(VLOOKUP(I1134,'VALORES VIAJES'!$A$2:$B$24,2,FALSE),"")</f>
        <v/>
      </c>
      <c r="V1134" t="str">
        <f>IFERROR(VLOOKUP(K1134,'VALORES VIAJES'!$A$2:$B$24,2,FALSE),"")</f>
        <v/>
      </c>
      <c r="X1134" s="208">
        <f>SUM(Hoja1[[#This Row],[$ X TIP VEHICUL]:[AGREGADO]])</f>
        <v>0</v>
      </c>
    </row>
    <row r="1135" spans="2:24" hidden="1" x14ac:dyDescent="0.25">
      <c r="B1135" s="189"/>
      <c r="J1135" s="189"/>
      <c r="M1135" s="205"/>
      <c r="S1135" t="str">
        <f>IFERROR(VLOOKUP(E1135,'VALORES VIAJES'!$A$2:$B$13,2,FALSE),"")</f>
        <v/>
      </c>
      <c r="T1135" t="str">
        <f>IFERROR(VLOOKUP(H1135,'VALORES VIAJES'!$A$2:$B$24,2,FALSE),"")</f>
        <v/>
      </c>
      <c r="U1135" t="str">
        <f>IFERROR(VLOOKUP(I1135,'VALORES VIAJES'!$A$2:$B$24,2,FALSE),"")</f>
        <v/>
      </c>
      <c r="V1135" t="str">
        <f>IFERROR(VLOOKUP(K1135,'VALORES VIAJES'!$A$2:$B$24,2,FALSE),"")</f>
        <v/>
      </c>
      <c r="X1135" s="208">
        <f>SUM(Hoja1[[#This Row],[$ X TIP VEHICUL]:[AGREGADO]])</f>
        <v>0</v>
      </c>
    </row>
    <row r="1136" spans="2:24" hidden="1" x14ac:dyDescent="0.25">
      <c r="B1136" s="189"/>
      <c r="J1136" s="189"/>
      <c r="M1136" s="205"/>
      <c r="S1136" t="str">
        <f>IFERROR(VLOOKUP(E1136,'VALORES VIAJES'!$A$2:$B$13,2,FALSE),"")</f>
        <v/>
      </c>
      <c r="T1136" t="str">
        <f>IFERROR(VLOOKUP(H1136,'VALORES VIAJES'!$A$2:$B$24,2,FALSE),"")</f>
        <v/>
      </c>
      <c r="U1136" t="str">
        <f>IFERROR(VLOOKUP(I1136,'VALORES VIAJES'!$A$2:$B$24,2,FALSE),"")</f>
        <v/>
      </c>
      <c r="V1136" t="str">
        <f>IFERROR(VLOOKUP(K1136,'VALORES VIAJES'!$A$2:$B$24,2,FALSE),"")</f>
        <v/>
      </c>
      <c r="X1136" s="208">
        <f>SUM(Hoja1[[#This Row],[$ X TIP VEHICUL]:[AGREGADO]])</f>
        <v>0</v>
      </c>
    </row>
    <row r="1137" spans="2:24" hidden="1" x14ac:dyDescent="0.25">
      <c r="B1137" s="189"/>
      <c r="J1137" s="189"/>
      <c r="M1137" s="205"/>
      <c r="S1137" t="str">
        <f>IFERROR(VLOOKUP(E1137,'VALORES VIAJES'!$A$2:$B$13,2,FALSE),"")</f>
        <v/>
      </c>
      <c r="T1137" t="str">
        <f>IFERROR(VLOOKUP(H1137,'VALORES VIAJES'!$A$2:$B$24,2,FALSE),"")</f>
        <v/>
      </c>
      <c r="U1137" t="str">
        <f>IFERROR(VLOOKUP(I1137,'VALORES VIAJES'!$A$2:$B$24,2,FALSE),"")</f>
        <v/>
      </c>
      <c r="V1137" t="str">
        <f>IFERROR(VLOOKUP(K1137,'VALORES VIAJES'!$A$2:$B$24,2,FALSE),"")</f>
        <v/>
      </c>
      <c r="X1137" s="208">
        <f>SUM(Hoja1[[#This Row],[$ X TIP VEHICUL]:[AGREGADO]])</f>
        <v>0</v>
      </c>
    </row>
    <row r="1138" spans="2:24" hidden="1" x14ac:dyDescent="0.25">
      <c r="B1138" s="189"/>
      <c r="J1138" s="189"/>
      <c r="M1138" s="205"/>
      <c r="S1138" t="str">
        <f>IFERROR(VLOOKUP(E1138,'VALORES VIAJES'!$A$2:$B$13,2,FALSE),"")</f>
        <v/>
      </c>
      <c r="T1138" t="str">
        <f>IFERROR(VLOOKUP(H1138,'VALORES VIAJES'!$A$2:$B$24,2,FALSE),"")</f>
        <v/>
      </c>
      <c r="U1138" t="str">
        <f>IFERROR(VLOOKUP(I1138,'VALORES VIAJES'!$A$2:$B$24,2,FALSE),"")</f>
        <v/>
      </c>
      <c r="V1138" t="str">
        <f>IFERROR(VLOOKUP(K1138,'VALORES VIAJES'!$A$2:$B$24,2,FALSE),"")</f>
        <v/>
      </c>
      <c r="X1138" s="208">
        <f>SUM(Hoja1[[#This Row],[$ X TIP VEHICUL]:[AGREGADO]])</f>
        <v>0</v>
      </c>
    </row>
    <row r="1139" spans="2:24" hidden="1" x14ac:dyDescent="0.25">
      <c r="B1139" s="189"/>
      <c r="J1139" s="189"/>
      <c r="M1139" s="205"/>
      <c r="S1139" t="str">
        <f>IFERROR(VLOOKUP(E1139,'VALORES VIAJES'!$A$2:$B$13,2,FALSE),"")</f>
        <v/>
      </c>
      <c r="T1139" t="str">
        <f>IFERROR(VLOOKUP(H1139,'VALORES VIAJES'!$A$2:$B$24,2,FALSE),"")</f>
        <v/>
      </c>
      <c r="U1139" t="str">
        <f>IFERROR(VLOOKUP(I1139,'VALORES VIAJES'!$A$2:$B$24,2,FALSE),"")</f>
        <v/>
      </c>
      <c r="V1139" t="str">
        <f>IFERROR(VLOOKUP(K1139,'VALORES VIAJES'!$A$2:$B$24,2,FALSE),"")</f>
        <v/>
      </c>
      <c r="X1139" s="208">
        <f>SUM(Hoja1[[#This Row],[$ X TIP VEHICUL]:[AGREGADO]])</f>
        <v>0</v>
      </c>
    </row>
    <row r="1140" spans="2:24" hidden="1" x14ac:dyDescent="0.25">
      <c r="B1140" s="189"/>
      <c r="J1140" s="189"/>
      <c r="M1140" s="205"/>
      <c r="S1140" t="str">
        <f>IFERROR(VLOOKUP(E1140,'VALORES VIAJES'!$A$2:$B$13,2,FALSE),"")</f>
        <v/>
      </c>
      <c r="T1140" t="str">
        <f>IFERROR(VLOOKUP(H1140,'VALORES VIAJES'!$A$2:$B$24,2,FALSE),"")</f>
        <v/>
      </c>
      <c r="U1140" t="str">
        <f>IFERROR(VLOOKUP(I1140,'VALORES VIAJES'!$A$2:$B$24,2,FALSE),"")</f>
        <v/>
      </c>
      <c r="V1140" t="str">
        <f>IFERROR(VLOOKUP(K1140,'VALORES VIAJES'!$A$2:$B$24,2,FALSE),"")</f>
        <v/>
      </c>
      <c r="X1140" s="208">
        <f>SUM(Hoja1[[#This Row],[$ X TIP VEHICUL]:[AGREGADO]])</f>
        <v>0</v>
      </c>
    </row>
    <row r="1141" spans="2:24" hidden="1" x14ac:dyDescent="0.25">
      <c r="B1141" s="189"/>
      <c r="J1141" s="189"/>
      <c r="M1141" s="205"/>
      <c r="S1141" t="str">
        <f>IFERROR(VLOOKUP(E1141,'VALORES VIAJES'!$A$2:$B$13,2,FALSE),"")</f>
        <v/>
      </c>
      <c r="T1141" t="str">
        <f>IFERROR(VLOOKUP(H1141,'VALORES VIAJES'!$A$2:$B$24,2,FALSE),"")</f>
        <v/>
      </c>
      <c r="U1141" t="str">
        <f>IFERROR(VLOOKUP(I1141,'VALORES VIAJES'!$A$2:$B$24,2,FALSE),"")</f>
        <v/>
      </c>
      <c r="V1141" t="str">
        <f>IFERROR(VLOOKUP(K1141,'VALORES VIAJES'!$A$2:$B$24,2,FALSE),"")</f>
        <v/>
      </c>
      <c r="X1141" s="208">
        <f>SUM(Hoja1[[#This Row],[$ X TIP VEHICUL]:[AGREGADO]])</f>
        <v>0</v>
      </c>
    </row>
    <row r="1142" spans="2:24" hidden="1" x14ac:dyDescent="0.25">
      <c r="B1142" s="189"/>
      <c r="J1142" s="189"/>
      <c r="M1142" s="205"/>
      <c r="S1142" t="str">
        <f>IFERROR(VLOOKUP(E1142,'VALORES VIAJES'!$A$2:$B$13,2,FALSE),"")</f>
        <v/>
      </c>
      <c r="T1142" t="str">
        <f>IFERROR(VLOOKUP(H1142,'VALORES VIAJES'!$A$2:$B$24,2,FALSE),"")</f>
        <v/>
      </c>
      <c r="U1142" t="str">
        <f>IFERROR(VLOOKUP(I1142,'VALORES VIAJES'!$A$2:$B$24,2,FALSE),"")</f>
        <v/>
      </c>
      <c r="V1142" t="str">
        <f>IFERROR(VLOOKUP(K1142,'VALORES VIAJES'!$A$2:$B$24,2,FALSE),"")</f>
        <v/>
      </c>
      <c r="X1142" s="208">
        <f>SUM(Hoja1[[#This Row],[$ X TIP VEHICUL]:[AGREGADO]])</f>
        <v>0</v>
      </c>
    </row>
    <row r="1143" spans="2:24" hidden="1" x14ac:dyDescent="0.25">
      <c r="B1143" s="189"/>
      <c r="J1143" s="189"/>
      <c r="M1143" s="205"/>
      <c r="S1143" t="str">
        <f>IFERROR(VLOOKUP(E1143,'VALORES VIAJES'!$A$2:$B$13,2,FALSE),"")</f>
        <v/>
      </c>
      <c r="T1143" t="str">
        <f>IFERROR(VLOOKUP(H1143,'VALORES VIAJES'!$A$2:$B$24,2,FALSE),"")</f>
        <v/>
      </c>
      <c r="U1143" t="str">
        <f>IFERROR(VLOOKUP(I1143,'VALORES VIAJES'!$A$2:$B$24,2,FALSE),"")</f>
        <v/>
      </c>
      <c r="V1143" t="str">
        <f>IFERROR(VLOOKUP(K1143,'VALORES VIAJES'!$A$2:$B$24,2,FALSE),"")</f>
        <v/>
      </c>
      <c r="X1143" s="208">
        <f>SUM(Hoja1[[#This Row],[$ X TIP VEHICUL]:[AGREGADO]])</f>
        <v>0</v>
      </c>
    </row>
    <row r="1144" spans="2:24" hidden="1" x14ac:dyDescent="0.25">
      <c r="B1144" s="189"/>
      <c r="J1144" s="189"/>
      <c r="M1144" s="205"/>
      <c r="S1144" t="str">
        <f>IFERROR(VLOOKUP(E1144,'VALORES VIAJES'!$A$2:$B$13,2,FALSE),"")</f>
        <v/>
      </c>
      <c r="T1144" t="str">
        <f>IFERROR(VLOOKUP(H1144,'VALORES VIAJES'!$A$2:$B$24,2,FALSE),"")</f>
        <v/>
      </c>
      <c r="U1144" t="str">
        <f>IFERROR(VLOOKUP(I1144,'VALORES VIAJES'!$A$2:$B$24,2,FALSE),"")</f>
        <v/>
      </c>
      <c r="V1144" t="str">
        <f>IFERROR(VLOOKUP(K1144,'VALORES VIAJES'!$A$2:$B$24,2,FALSE),"")</f>
        <v/>
      </c>
      <c r="X1144" s="208">
        <f>SUM(Hoja1[[#This Row],[$ X TIP VEHICUL]:[AGREGADO]])</f>
        <v>0</v>
      </c>
    </row>
    <row r="1145" spans="2:24" hidden="1" x14ac:dyDescent="0.25">
      <c r="B1145" s="189"/>
      <c r="J1145" s="189"/>
      <c r="M1145" s="205"/>
      <c r="S1145" t="str">
        <f>IFERROR(VLOOKUP(E1145,'VALORES VIAJES'!$A$2:$B$13,2,FALSE),"")</f>
        <v/>
      </c>
      <c r="T1145" t="str">
        <f>IFERROR(VLOOKUP(H1145,'VALORES VIAJES'!$A$2:$B$24,2,FALSE),"")</f>
        <v/>
      </c>
      <c r="U1145" t="str">
        <f>IFERROR(VLOOKUP(I1145,'VALORES VIAJES'!$A$2:$B$24,2,FALSE),"")</f>
        <v/>
      </c>
      <c r="V1145" t="str">
        <f>IFERROR(VLOOKUP(K1145,'VALORES VIAJES'!$A$2:$B$24,2,FALSE),"")</f>
        <v/>
      </c>
      <c r="X1145" s="208">
        <f>SUM(Hoja1[[#This Row],[$ X TIP VEHICUL]:[AGREGADO]])</f>
        <v>0</v>
      </c>
    </row>
    <row r="1146" spans="2:24" hidden="1" x14ac:dyDescent="0.25">
      <c r="B1146" s="189"/>
      <c r="J1146" s="189"/>
      <c r="M1146" s="205"/>
      <c r="S1146" t="str">
        <f>IFERROR(VLOOKUP(E1146,'VALORES VIAJES'!$A$2:$B$13,2,FALSE),"")</f>
        <v/>
      </c>
      <c r="T1146" t="str">
        <f>IFERROR(VLOOKUP(H1146,'VALORES VIAJES'!$A$2:$B$24,2,FALSE),"")</f>
        <v/>
      </c>
      <c r="U1146" t="str">
        <f>IFERROR(VLOOKUP(I1146,'VALORES VIAJES'!$A$2:$B$24,2,FALSE),"")</f>
        <v/>
      </c>
      <c r="V1146" t="str">
        <f>IFERROR(VLOOKUP(K1146,'VALORES VIAJES'!$A$2:$B$24,2,FALSE),"")</f>
        <v/>
      </c>
      <c r="X1146" s="208">
        <f>SUM(Hoja1[[#This Row],[$ X TIP VEHICUL]:[AGREGADO]])</f>
        <v>0</v>
      </c>
    </row>
    <row r="1147" spans="2:24" hidden="1" x14ac:dyDescent="0.25">
      <c r="B1147" s="189"/>
      <c r="J1147" s="189"/>
      <c r="M1147" s="205"/>
      <c r="S1147" t="str">
        <f>IFERROR(VLOOKUP(E1147,'VALORES VIAJES'!$A$2:$B$13,2,FALSE),"")</f>
        <v/>
      </c>
      <c r="T1147" t="str">
        <f>IFERROR(VLOOKUP(H1147,'VALORES VIAJES'!$A$2:$B$24,2,FALSE),"")</f>
        <v/>
      </c>
      <c r="U1147" t="str">
        <f>IFERROR(VLOOKUP(I1147,'VALORES VIAJES'!$A$2:$B$24,2,FALSE),"")</f>
        <v/>
      </c>
      <c r="V1147" t="str">
        <f>IFERROR(VLOOKUP(K1147,'VALORES VIAJES'!$A$2:$B$24,2,FALSE),"")</f>
        <v/>
      </c>
      <c r="X1147" s="208">
        <f>SUM(Hoja1[[#This Row],[$ X TIP VEHICUL]:[AGREGADO]])</f>
        <v>0</v>
      </c>
    </row>
    <row r="1148" spans="2:24" hidden="1" x14ac:dyDescent="0.25">
      <c r="B1148" s="189"/>
      <c r="J1148" s="189"/>
      <c r="M1148" s="205"/>
      <c r="S1148" t="str">
        <f>IFERROR(VLOOKUP(E1148,'VALORES VIAJES'!$A$2:$B$13,2,FALSE),"")</f>
        <v/>
      </c>
      <c r="T1148" t="str">
        <f>IFERROR(VLOOKUP(H1148,'VALORES VIAJES'!$A$2:$B$24,2,FALSE),"")</f>
        <v/>
      </c>
      <c r="U1148" t="str">
        <f>IFERROR(VLOOKUP(I1148,'VALORES VIAJES'!$A$2:$B$24,2,FALSE),"")</f>
        <v/>
      </c>
      <c r="V1148" t="str">
        <f>IFERROR(VLOOKUP(K1148,'VALORES VIAJES'!$A$2:$B$24,2,FALSE),"")</f>
        <v/>
      </c>
      <c r="X1148" s="208">
        <f>SUM(Hoja1[[#This Row],[$ X TIP VEHICUL]:[AGREGADO]])</f>
        <v>0</v>
      </c>
    </row>
    <row r="1149" spans="2:24" hidden="1" x14ac:dyDescent="0.25">
      <c r="B1149" s="189"/>
      <c r="J1149" s="189"/>
      <c r="M1149" s="205"/>
      <c r="S1149" t="str">
        <f>IFERROR(VLOOKUP(E1149,'VALORES VIAJES'!$A$2:$B$13,2,FALSE),"")</f>
        <v/>
      </c>
      <c r="T1149" t="str">
        <f>IFERROR(VLOOKUP(H1149,'VALORES VIAJES'!$A$2:$B$24,2,FALSE),"")</f>
        <v/>
      </c>
      <c r="U1149" t="str">
        <f>IFERROR(VLOOKUP(I1149,'VALORES VIAJES'!$A$2:$B$24,2,FALSE),"")</f>
        <v/>
      </c>
      <c r="V1149" t="str">
        <f>IFERROR(VLOOKUP(K1149,'VALORES VIAJES'!$A$2:$B$24,2,FALSE),"")</f>
        <v/>
      </c>
      <c r="X1149" s="208">
        <f>SUM(Hoja1[[#This Row],[$ X TIP VEHICUL]:[AGREGADO]])</f>
        <v>0</v>
      </c>
    </row>
    <row r="1150" spans="2:24" hidden="1" x14ac:dyDescent="0.25">
      <c r="B1150" s="189"/>
      <c r="J1150" s="189"/>
      <c r="M1150" s="205"/>
      <c r="S1150" t="str">
        <f>IFERROR(VLOOKUP(E1150,'VALORES VIAJES'!$A$2:$B$13,2,FALSE),"")</f>
        <v/>
      </c>
      <c r="T1150" t="str">
        <f>IFERROR(VLOOKUP(H1150,'VALORES VIAJES'!$A$2:$B$24,2,FALSE),"")</f>
        <v/>
      </c>
      <c r="U1150" t="str">
        <f>IFERROR(VLOOKUP(I1150,'VALORES VIAJES'!$A$2:$B$24,2,FALSE),"")</f>
        <v/>
      </c>
      <c r="V1150" t="str">
        <f>IFERROR(VLOOKUP(K1150,'VALORES VIAJES'!$A$2:$B$24,2,FALSE),"")</f>
        <v/>
      </c>
      <c r="X1150" s="208">
        <f>SUM(Hoja1[[#This Row],[$ X TIP VEHICUL]:[AGREGADO]])</f>
        <v>0</v>
      </c>
    </row>
    <row r="1151" spans="2:24" hidden="1" x14ac:dyDescent="0.25">
      <c r="B1151" s="189"/>
      <c r="J1151" s="189"/>
      <c r="M1151" s="205"/>
      <c r="S1151" t="str">
        <f>IFERROR(VLOOKUP(E1151,'VALORES VIAJES'!$A$2:$B$13,2,FALSE),"")</f>
        <v/>
      </c>
      <c r="T1151" t="str">
        <f>IFERROR(VLOOKUP(H1151,'VALORES VIAJES'!$A$2:$B$24,2,FALSE),"")</f>
        <v/>
      </c>
      <c r="U1151" t="str">
        <f>IFERROR(VLOOKUP(I1151,'VALORES VIAJES'!$A$2:$B$24,2,FALSE),"")</f>
        <v/>
      </c>
      <c r="V1151" t="str">
        <f>IFERROR(VLOOKUP(K1151,'VALORES VIAJES'!$A$2:$B$24,2,FALSE),"")</f>
        <v/>
      </c>
      <c r="X1151" s="208">
        <f>SUM(Hoja1[[#This Row],[$ X TIP VEHICUL]:[AGREGADO]])</f>
        <v>0</v>
      </c>
    </row>
    <row r="1152" spans="2:24" hidden="1" x14ac:dyDescent="0.25">
      <c r="B1152" s="189"/>
      <c r="J1152" s="189"/>
      <c r="M1152" s="205"/>
      <c r="S1152" t="str">
        <f>IFERROR(VLOOKUP(E1152,'VALORES VIAJES'!$A$2:$B$13,2,FALSE),"")</f>
        <v/>
      </c>
      <c r="T1152" t="str">
        <f>IFERROR(VLOOKUP(H1152,'VALORES VIAJES'!$A$2:$B$24,2,FALSE),"")</f>
        <v/>
      </c>
      <c r="U1152" t="str">
        <f>IFERROR(VLOOKUP(I1152,'VALORES VIAJES'!$A$2:$B$24,2,FALSE),"")</f>
        <v/>
      </c>
      <c r="V1152" t="str">
        <f>IFERROR(VLOOKUP(K1152,'VALORES VIAJES'!$A$2:$B$24,2,FALSE),"")</f>
        <v/>
      </c>
      <c r="X1152" s="208">
        <f>SUM(Hoja1[[#This Row],[$ X TIP VEHICUL]:[AGREGADO]])</f>
        <v>0</v>
      </c>
    </row>
    <row r="1153" spans="2:24" hidden="1" x14ac:dyDescent="0.25">
      <c r="B1153" s="189"/>
      <c r="J1153" s="189"/>
      <c r="M1153" s="205"/>
      <c r="S1153" t="str">
        <f>IFERROR(VLOOKUP(E1153,'VALORES VIAJES'!$A$2:$B$13,2,FALSE),"")</f>
        <v/>
      </c>
      <c r="T1153" t="str">
        <f>IFERROR(VLOOKUP(H1153,'VALORES VIAJES'!$A$2:$B$24,2,FALSE),"")</f>
        <v/>
      </c>
      <c r="U1153" t="str">
        <f>IFERROR(VLOOKUP(I1153,'VALORES VIAJES'!$A$2:$B$24,2,FALSE),"")</f>
        <v/>
      </c>
      <c r="V1153" t="str">
        <f>IFERROR(VLOOKUP(K1153,'VALORES VIAJES'!$A$2:$B$24,2,FALSE),"")</f>
        <v/>
      </c>
      <c r="X1153" s="208">
        <f>SUM(Hoja1[[#This Row],[$ X TIP VEHICUL]:[AGREGADO]])</f>
        <v>0</v>
      </c>
    </row>
    <row r="1154" spans="2:24" hidden="1" x14ac:dyDescent="0.25">
      <c r="B1154" s="189"/>
      <c r="J1154" s="189"/>
      <c r="M1154" s="205"/>
      <c r="S1154" t="str">
        <f>IFERROR(VLOOKUP(E1154,'VALORES VIAJES'!$A$2:$B$13,2,FALSE),"")</f>
        <v/>
      </c>
      <c r="T1154" t="str">
        <f>IFERROR(VLOOKUP(H1154,'VALORES VIAJES'!$A$2:$B$24,2,FALSE),"")</f>
        <v/>
      </c>
      <c r="U1154" t="str">
        <f>IFERROR(VLOOKUP(I1154,'VALORES VIAJES'!$A$2:$B$24,2,FALSE),"")</f>
        <v/>
      </c>
      <c r="V1154" t="str">
        <f>IFERROR(VLOOKUP(K1154,'VALORES VIAJES'!$A$2:$B$24,2,FALSE),"")</f>
        <v/>
      </c>
      <c r="X1154" s="208">
        <f>SUM(Hoja1[[#This Row],[$ X TIP VEHICUL]:[AGREGADO]])</f>
        <v>0</v>
      </c>
    </row>
    <row r="1155" spans="2:24" hidden="1" x14ac:dyDescent="0.25">
      <c r="B1155" s="189"/>
      <c r="J1155" s="189"/>
      <c r="M1155" s="205"/>
      <c r="S1155" t="str">
        <f>IFERROR(VLOOKUP(E1155,'VALORES VIAJES'!$A$2:$B$13,2,FALSE),"")</f>
        <v/>
      </c>
      <c r="T1155" t="str">
        <f>IFERROR(VLOOKUP(H1155,'VALORES VIAJES'!$A$2:$B$24,2,FALSE),"")</f>
        <v/>
      </c>
      <c r="U1155" t="str">
        <f>IFERROR(VLOOKUP(I1155,'VALORES VIAJES'!$A$2:$B$24,2,FALSE),"")</f>
        <v/>
      </c>
      <c r="V1155" t="str">
        <f>IFERROR(VLOOKUP(K1155,'VALORES VIAJES'!$A$2:$B$24,2,FALSE),"")</f>
        <v/>
      </c>
      <c r="X1155" s="208">
        <f>SUM(Hoja1[[#This Row],[$ X TIP VEHICUL]:[AGREGADO]])</f>
        <v>0</v>
      </c>
    </row>
    <row r="1156" spans="2:24" hidden="1" x14ac:dyDescent="0.25">
      <c r="B1156" s="189"/>
      <c r="J1156" s="189"/>
      <c r="M1156" s="205"/>
      <c r="S1156" t="str">
        <f>IFERROR(VLOOKUP(E1156,'VALORES VIAJES'!$A$2:$B$13,2,FALSE),"")</f>
        <v/>
      </c>
      <c r="T1156" t="str">
        <f>IFERROR(VLOOKUP(H1156,'VALORES VIAJES'!$A$2:$B$24,2,FALSE),"")</f>
        <v/>
      </c>
      <c r="U1156" t="str">
        <f>IFERROR(VLOOKUP(I1156,'VALORES VIAJES'!$A$2:$B$24,2,FALSE),"")</f>
        <v/>
      </c>
      <c r="V1156" t="str">
        <f>IFERROR(VLOOKUP(K1156,'VALORES VIAJES'!$A$2:$B$24,2,FALSE),"")</f>
        <v/>
      </c>
      <c r="X1156" s="208">
        <f>SUM(Hoja1[[#This Row],[$ X TIP VEHICUL]:[AGREGADO]])</f>
        <v>0</v>
      </c>
    </row>
    <row r="1157" spans="2:24" hidden="1" x14ac:dyDescent="0.25">
      <c r="B1157" s="189"/>
      <c r="J1157" s="189"/>
      <c r="M1157" s="205"/>
      <c r="S1157" t="str">
        <f>IFERROR(VLOOKUP(E1157,'VALORES VIAJES'!$A$2:$B$13,2,FALSE),"")</f>
        <v/>
      </c>
      <c r="T1157" t="str">
        <f>IFERROR(VLOOKUP(H1157,'VALORES VIAJES'!$A$2:$B$24,2,FALSE),"")</f>
        <v/>
      </c>
      <c r="U1157" t="str">
        <f>IFERROR(VLOOKUP(I1157,'VALORES VIAJES'!$A$2:$B$24,2,FALSE),"")</f>
        <v/>
      </c>
      <c r="V1157" t="str">
        <f>IFERROR(VLOOKUP(K1157,'VALORES VIAJES'!$A$2:$B$24,2,FALSE),"")</f>
        <v/>
      </c>
      <c r="X1157" s="208">
        <f>SUM(Hoja1[[#This Row],[$ X TIP VEHICUL]:[AGREGADO]])</f>
        <v>0</v>
      </c>
    </row>
    <row r="1158" spans="2:24" hidden="1" x14ac:dyDescent="0.25">
      <c r="B1158" s="189"/>
      <c r="J1158" s="189"/>
      <c r="M1158" s="205"/>
      <c r="S1158" t="str">
        <f>IFERROR(VLOOKUP(E1158,'VALORES VIAJES'!$A$2:$B$13,2,FALSE),"")</f>
        <v/>
      </c>
      <c r="T1158" t="str">
        <f>IFERROR(VLOOKUP(H1158,'VALORES VIAJES'!$A$2:$B$24,2,FALSE),"")</f>
        <v/>
      </c>
      <c r="U1158" t="str">
        <f>IFERROR(VLOOKUP(I1158,'VALORES VIAJES'!$A$2:$B$24,2,FALSE),"")</f>
        <v/>
      </c>
      <c r="V1158" t="str">
        <f>IFERROR(VLOOKUP(K1158,'VALORES VIAJES'!$A$2:$B$24,2,FALSE),"")</f>
        <v/>
      </c>
      <c r="X1158" s="208">
        <f>SUM(Hoja1[[#This Row],[$ X TIP VEHICUL]:[AGREGADO]])</f>
        <v>0</v>
      </c>
    </row>
    <row r="1159" spans="2:24" hidden="1" x14ac:dyDescent="0.25">
      <c r="B1159" s="189"/>
      <c r="J1159" s="189"/>
      <c r="M1159" s="205"/>
      <c r="S1159" t="str">
        <f>IFERROR(VLOOKUP(E1159,'VALORES VIAJES'!$A$2:$B$13,2,FALSE),"")</f>
        <v/>
      </c>
      <c r="T1159" t="str">
        <f>IFERROR(VLOOKUP(H1159,'VALORES VIAJES'!$A$2:$B$24,2,FALSE),"")</f>
        <v/>
      </c>
      <c r="U1159" t="str">
        <f>IFERROR(VLOOKUP(I1159,'VALORES VIAJES'!$A$2:$B$24,2,FALSE),"")</f>
        <v/>
      </c>
      <c r="V1159" t="str">
        <f>IFERROR(VLOOKUP(K1159,'VALORES VIAJES'!$A$2:$B$24,2,FALSE),"")</f>
        <v/>
      </c>
      <c r="X1159" s="208">
        <f>SUM(Hoja1[[#This Row],[$ X TIP VEHICUL]:[AGREGADO]])</f>
        <v>0</v>
      </c>
    </row>
    <row r="1160" spans="2:24" hidden="1" x14ac:dyDescent="0.25">
      <c r="B1160" s="189"/>
      <c r="J1160" s="189"/>
      <c r="M1160" s="205"/>
      <c r="S1160" t="str">
        <f>IFERROR(VLOOKUP(E1160,'VALORES VIAJES'!$A$2:$B$13,2,FALSE),"")</f>
        <v/>
      </c>
      <c r="T1160" t="str">
        <f>IFERROR(VLOOKUP(H1160,'VALORES VIAJES'!$A$2:$B$24,2,FALSE),"")</f>
        <v/>
      </c>
      <c r="U1160" t="str">
        <f>IFERROR(VLOOKUP(I1160,'VALORES VIAJES'!$A$2:$B$24,2,FALSE),"")</f>
        <v/>
      </c>
      <c r="V1160" t="str">
        <f>IFERROR(VLOOKUP(K1160,'VALORES VIAJES'!$A$2:$B$24,2,FALSE),"")</f>
        <v/>
      </c>
      <c r="X1160" s="208">
        <f>SUM(Hoja1[[#This Row],[$ X TIP VEHICUL]:[AGREGADO]])</f>
        <v>0</v>
      </c>
    </row>
    <row r="1161" spans="2:24" hidden="1" x14ac:dyDescent="0.25">
      <c r="B1161" s="189"/>
      <c r="J1161" s="189"/>
      <c r="M1161" s="205"/>
      <c r="S1161" t="str">
        <f>IFERROR(VLOOKUP(E1161,'VALORES VIAJES'!$A$2:$B$13,2,FALSE),"")</f>
        <v/>
      </c>
      <c r="T1161" t="str">
        <f>IFERROR(VLOOKUP(H1161,'VALORES VIAJES'!$A$2:$B$24,2,FALSE),"")</f>
        <v/>
      </c>
      <c r="U1161" t="str">
        <f>IFERROR(VLOOKUP(I1161,'VALORES VIAJES'!$A$2:$B$24,2,FALSE),"")</f>
        <v/>
      </c>
      <c r="V1161" t="str">
        <f>IFERROR(VLOOKUP(K1161,'VALORES VIAJES'!$A$2:$B$24,2,FALSE),"")</f>
        <v/>
      </c>
      <c r="X1161" s="208">
        <f>SUM(Hoja1[[#This Row],[$ X TIP VEHICUL]:[AGREGADO]])</f>
        <v>0</v>
      </c>
    </row>
    <row r="1162" spans="2:24" hidden="1" x14ac:dyDescent="0.25">
      <c r="B1162" s="189"/>
      <c r="J1162" s="189"/>
      <c r="M1162" s="205"/>
      <c r="S1162" t="str">
        <f>IFERROR(VLOOKUP(E1162,'VALORES VIAJES'!$A$2:$B$13,2,FALSE),"")</f>
        <v/>
      </c>
      <c r="T1162" t="str">
        <f>IFERROR(VLOOKUP(H1162,'VALORES VIAJES'!$A$2:$B$24,2,FALSE),"")</f>
        <v/>
      </c>
      <c r="U1162" t="str">
        <f>IFERROR(VLOOKUP(I1162,'VALORES VIAJES'!$A$2:$B$24,2,FALSE),"")</f>
        <v/>
      </c>
      <c r="V1162" t="str">
        <f>IFERROR(VLOOKUP(K1162,'VALORES VIAJES'!$A$2:$B$24,2,FALSE),"")</f>
        <v/>
      </c>
      <c r="X1162" s="208">
        <f>SUM(Hoja1[[#This Row],[$ X TIP VEHICUL]:[AGREGADO]])</f>
        <v>0</v>
      </c>
    </row>
    <row r="1163" spans="2:24" hidden="1" x14ac:dyDescent="0.25">
      <c r="B1163" s="189"/>
      <c r="J1163" s="189"/>
      <c r="M1163" s="205"/>
      <c r="S1163" t="str">
        <f>IFERROR(VLOOKUP(E1163,'VALORES VIAJES'!$A$2:$B$13,2,FALSE),"")</f>
        <v/>
      </c>
      <c r="T1163" t="str">
        <f>IFERROR(VLOOKUP(H1163,'VALORES VIAJES'!$A$2:$B$24,2,FALSE),"")</f>
        <v/>
      </c>
      <c r="U1163" t="str">
        <f>IFERROR(VLOOKUP(I1163,'VALORES VIAJES'!$A$2:$B$24,2,FALSE),"")</f>
        <v/>
      </c>
      <c r="V1163" t="str">
        <f>IFERROR(VLOOKUP(K1163,'VALORES VIAJES'!$A$2:$B$24,2,FALSE),"")</f>
        <v/>
      </c>
      <c r="X1163" s="208">
        <f>SUM(Hoja1[[#This Row],[$ X TIP VEHICUL]:[AGREGADO]])</f>
        <v>0</v>
      </c>
    </row>
    <row r="1164" spans="2:24" hidden="1" x14ac:dyDescent="0.25">
      <c r="B1164" s="189"/>
      <c r="J1164" s="189"/>
      <c r="M1164" s="205"/>
      <c r="S1164" t="str">
        <f>IFERROR(VLOOKUP(E1164,'VALORES VIAJES'!$A$2:$B$13,2,FALSE),"")</f>
        <v/>
      </c>
      <c r="T1164" t="str">
        <f>IFERROR(VLOOKUP(H1164,'VALORES VIAJES'!$A$2:$B$24,2,FALSE),"")</f>
        <v/>
      </c>
      <c r="U1164" t="str">
        <f>IFERROR(VLOOKUP(I1164,'VALORES VIAJES'!$A$2:$B$24,2,FALSE),"")</f>
        <v/>
      </c>
      <c r="V1164" t="str">
        <f>IFERROR(VLOOKUP(K1164,'VALORES VIAJES'!$A$2:$B$24,2,FALSE),"")</f>
        <v/>
      </c>
      <c r="X1164" s="208">
        <f>SUM(Hoja1[[#This Row],[$ X TIP VEHICUL]:[AGREGADO]])</f>
        <v>0</v>
      </c>
    </row>
    <row r="1165" spans="2:24" hidden="1" x14ac:dyDescent="0.25">
      <c r="B1165" s="189"/>
      <c r="J1165" s="189"/>
      <c r="M1165" s="205"/>
      <c r="S1165" t="str">
        <f>IFERROR(VLOOKUP(E1165,'VALORES VIAJES'!$A$2:$B$13,2,FALSE),"")</f>
        <v/>
      </c>
      <c r="T1165" t="str">
        <f>IFERROR(VLOOKUP(H1165,'VALORES VIAJES'!$A$2:$B$24,2,FALSE),"")</f>
        <v/>
      </c>
      <c r="U1165" t="str">
        <f>IFERROR(VLOOKUP(I1165,'VALORES VIAJES'!$A$2:$B$24,2,FALSE),"")</f>
        <v/>
      </c>
      <c r="V1165" t="str">
        <f>IFERROR(VLOOKUP(K1165,'VALORES VIAJES'!$A$2:$B$24,2,FALSE),"")</f>
        <v/>
      </c>
      <c r="X1165" s="208">
        <f>SUM(Hoja1[[#This Row],[$ X TIP VEHICUL]:[AGREGADO]])</f>
        <v>0</v>
      </c>
    </row>
    <row r="1166" spans="2:24" hidden="1" x14ac:dyDescent="0.25">
      <c r="B1166" s="189"/>
      <c r="J1166" s="189"/>
      <c r="M1166" s="205"/>
      <c r="S1166" t="str">
        <f>IFERROR(VLOOKUP(E1166,'VALORES VIAJES'!$A$2:$B$13,2,FALSE),"")</f>
        <v/>
      </c>
      <c r="T1166" t="str">
        <f>IFERROR(VLOOKUP(H1166,'VALORES VIAJES'!$A$2:$B$24,2,FALSE),"")</f>
        <v/>
      </c>
      <c r="U1166" t="str">
        <f>IFERROR(VLOOKUP(I1166,'VALORES VIAJES'!$A$2:$B$24,2,FALSE),"")</f>
        <v/>
      </c>
      <c r="V1166" t="str">
        <f>IFERROR(VLOOKUP(K1166,'VALORES VIAJES'!$A$2:$B$24,2,FALSE),"")</f>
        <v/>
      </c>
      <c r="X1166" s="208">
        <f>SUM(Hoja1[[#This Row],[$ X TIP VEHICUL]:[AGREGADO]])</f>
        <v>0</v>
      </c>
    </row>
    <row r="1167" spans="2:24" hidden="1" x14ac:dyDescent="0.25">
      <c r="B1167" s="189"/>
      <c r="J1167" s="189"/>
      <c r="M1167" s="205"/>
      <c r="S1167" t="str">
        <f>IFERROR(VLOOKUP(E1167,'VALORES VIAJES'!$A$2:$B$13,2,FALSE),"")</f>
        <v/>
      </c>
      <c r="T1167" t="str">
        <f>IFERROR(VLOOKUP(H1167,'VALORES VIAJES'!$A$2:$B$24,2,FALSE),"")</f>
        <v/>
      </c>
      <c r="U1167" t="str">
        <f>IFERROR(VLOOKUP(I1167,'VALORES VIAJES'!$A$2:$B$24,2,FALSE),"")</f>
        <v/>
      </c>
      <c r="V1167" t="str">
        <f>IFERROR(VLOOKUP(K1167,'VALORES VIAJES'!$A$2:$B$24,2,FALSE),"")</f>
        <v/>
      </c>
      <c r="X1167" s="208">
        <f>SUM(Hoja1[[#This Row],[$ X TIP VEHICUL]:[AGREGADO]])</f>
        <v>0</v>
      </c>
    </row>
    <row r="1168" spans="2:24" hidden="1" x14ac:dyDescent="0.25">
      <c r="B1168" s="189"/>
      <c r="J1168" s="189"/>
      <c r="M1168" s="205"/>
      <c r="S1168" t="str">
        <f>IFERROR(VLOOKUP(E1168,'VALORES VIAJES'!$A$2:$B$13,2,FALSE),"")</f>
        <v/>
      </c>
      <c r="T1168" t="str">
        <f>IFERROR(VLOOKUP(H1168,'VALORES VIAJES'!$A$2:$B$24,2,FALSE),"")</f>
        <v/>
      </c>
      <c r="U1168" t="str">
        <f>IFERROR(VLOOKUP(I1168,'VALORES VIAJES'!$A$2:$B$24,2,FALSE),"")</f>
        <v/>
      </c>
      <c r="V1168" t="str">
        <f>IFERROR(VLOOKUP(K1168,'VALORES VIAJES'!$A$2:$B$24,2,FALSE),"")</f>
        <v/>
      </c>
      <c r="X1168" s="208">
        <f>SUM(Hoja1[[#This Row],[$ X TIP VEHICUL]:[AGREGADO]])</f>
        <v>0</v>
      </c>
    </row>
    <row r="1169" spans="2:24" hidden="1" x14ac:dyDescent="0.25">
      <c r="B1169" s="189"/>
      <c r="J1169" s="189"/>
      <c r="M1169" s="205"/>
      <c r="S1169" t="str">
        <f>IFERROR(VLOOKUP(E1169,'VALORES VIAJES'!$A$2:$B$13,2,FALSE),"")</f>
        <v/>
      </c>
      <c r="T1169" t="str">
        <f>IFERROR(VLOOKUP(H1169,'VALORES VIAJES'!$A$2:$B$24,2,FALSE),"")</f>
        <v/>
      </c>
      <c r="U1169" t="str">
        <f>IFERROR(VLOOKUP(I1169,'VALORES VIAJES'!$A$2:$B$24,2,FALSE),"")</f>
        <v/>
      </c>
      <c r="V1169" t="str">
        <f>IFERROR(VLOOKUP(K1169,'VALORES VIAJES'!$A$2:$B$24,2,FALSE),"")</f>
        <v/>
      </c>
      <c r="X1169" s="208">
        <f>SUM(Hoja1[[#This Row],[$ X TIP VEHICUL]:[AGREGADO]])</f>
        <v>0</v>
      </c>
    </row>
    <row r="1170" spans="2:24" hidden="1" x14ac:dyDescent="0.25">
      <c r="B1170" s="189"/>
      <c r="J1170" s="189"/>
      <c r="M1170" s="205"/>
      <c r="S1170" t="str">
        <f>IFERROR(VLOOKUP(E1170,'VALORES VIAJES'!$A$2:$B$13,2,FALSE),"")</f>
        <v/>
      </c>
      <c r="T1170" t="str">
        <f>IFERROR(VLOOKUP(H1170,'VALORES VIAJES'!$A$2:$B$24,2,FALSE),"")</f>
        <v/>
      </c>
      <c r="U1170" t="str">
        <f>IFERROR(VLOOKUP(I1170,'VALORES VIAJES'!$A$2:$B$24,2,FALSE),"")</f>
        <v/>
      </c>
      <c r="V1170" t="str">
        <f>IFERROR(VLOOKUP(K1170,'VALORES VIAJES'!$A$2:$B$24,2,FALSE),"")</f>
        <v/>
      </c>
      <c r="X1170" s="208">
        <f>SUM(Hoja1[[#This Row],[$ X TIP VEHICUL]:[AGREGADO]])</f>
        <v>0</v>
      </c>
    </row>
    <row r="1171" spans="2:24" hidden="1" x14ac:dyDescent="0.25">
      <c r="B1171" s="189"/>
      <c r="J1171" s="189"/>
      <c r="M1171" s="205"/>
      <c r="S1171" t="str">
        <f>IFERROR(VLOOKUP(E1171,'VALORES VIAJES'!$A$2:$B$13,2,FALSE),"")</f>
        <v/>
      </c>
      <c r="T1171" t="str">
        <f>IFERROR(VLOOKUP(H1171,'VALORES VIAJES'!$A$2:$B$24,2,FALSE),"")</f>
        <v/>
      </c>
      <c r="U1171" t="str">
        <f>IFERROR(VLOOKUP(I1171,'VALORES VIAJES'!$A$2:$B$24,2,FALSE),"")</f>
        <v/>
      </c>
      <c r="V1171" t="str">
        <f>IFERROR(VLOOKUP(K1171,'VALORES VIAJES'!$A$2:$B$24,2,FALSE),"")</f>
        <v/>
      </c>
      <c r="X1171" s="208">
        <f>SUM(Hoja1[[#This Row],[$ X TIP VEHICUL]:[AGREGADO]])</f>
        <v>0</v>
      </c>
    </row>
    <row r="1172" spans="2:24" hidden="1" x14ac:dyDescent="0.25">
      <c r="B1172" s="189"/>
      <c r="J1172" s="189"/>
      <c r="M1172" s="205"/>
      <c r="S1172" t="str">
        <f>IFERROR(VLOOKUP(E1172,'VALORES VIAJES'!$A$2:$B$13,2,FALSE),"")</f>
        <v/>
      </c>
      <c r="T1172" t="str">
        <f>IFERROR(VLOOKUP(H1172,'VALORES VIAJES'!$A$2:$B$24,2,FALSE),"")</f>
        <v/>
      </c>
      <c r="U1172" t="str">
        <f>IFERROR(VLOOKUP(I1172,'VALORES VIAJES'!$A$2:$B$24,2,FALSE),"")</f>
        <v/>
      </c>
      <c r="V1172" t="str">
        <f>IFERROR(VLOOKUP(K1172,'VALORES VIAJES'!$A$2:$B$24,2,FALSE),"")</f>
        <v/>
      </c>
      <c r="X1172" s="208">
        <f>SUM(Hoja1[[#This Row],[$ X TIP VEHICUL]:[AGREGADO]])</f>
        <v>0</v>
      </c>
    </row>
    <row r="1173" spans="2:24" hidden="1" x14ac:dyDescent="0.25">
      <c r="B1173" s="189"/>
      <c r="J1173" s="189"/>
      <c r="M1173" s="205"/>
      <c r="S1173" t="str">
        <f>IFERROR(VLOOKUP(E1173,'VALORES VIAJES'!$A$2:$B$13,2,FALSE),"")</f>
        <v/>
      </c>
      <c r="T1173" t="str">
        <f>IFERROR(VLOOKUP(H1173,'VALORES VIAJES'!$A$2:$B$24,2,FALSE),"")</f>
        <v/>
      </c>
      <c r="U1173" t="str">
        <f>IFERROR(VLOOKUP(I1173,'VALORES VIAJES'!$A$2:$B$24,2,FALSE),"")</f>
        <v/>
      </c>
      <c r="V1173" t="str">
        <f>IFERROR(VLOOKUP(K1173,'VALORES VIAJES'!$A$2:$B$24,2,FALSE),"")</f>
        <v/>
      </c>
      <c r="X1173" s="208">
        <f>SUM(Hoja1[[#This Row],[$ X TIP VEHICUL]:[AGREGADO]])</f>
        <v>0</v>
      </c>
    </row>
    <row r="1174" spans="2:24" hidden="1" x14ac:dyDescent="0.25">
      <c r="B1174" s="189"/>
      <c r="J1174" s="189"/>
      <c r="M1174" s="205"/>
      <c r="S1174" t="str">
        <f>IFERROR(VLOOKUP(E1174,'VALORES VIAJES'!$A$2:$B$13,2,FALSE),"")</f>
        <v/>
      </c>
      <c r="T1174" t="str">
        <f>IFERROR(VLOOKUP(H1174,'VALORES VIAJES'!$A$2:$B$24,2,FALSE),"")</f>
        <v/>
      </c>
      <c r="U1174" t="str">
        <f>IFERROR(VLOOKUP(I1174,'VALORES VIAJES'!$A$2:$B$24,2,FALSE),"")</f>
        <v/>
      </c>
      <c r="V1174" t="str">
        <f>IFERROR(VLOOKUP(K1174,'VALORES VIAJES'!$A$2:$B$24,2,FALSE),"")</f>
        <v/>
      </c>
      <c r="X1174" s="208">
        <f>SUM(Hoja1[[#This Row],[$ X TIP VEHICUL]:[AGREGADO]])</f>
        <v>0</v>
      </c>
    </row>
    <row r="1175" spans="2:24" hidden="1" x14ac:dyDescent="0.25">
      <c r="B1175" s="189"/>
      <c r="J1175" s="189"/>
      <c r="M1175" s="205"/>
      <c r="S1175" t="str">
        <f>IFERROR(VLOOKUP(E1175,'VALORES VIAJES'!$A$2:$B$13,2,FALSE),"")</f>
        <v/>
      </c>
      <c r="T1175" t="str">
        <f>IFERROR(VLOOKUP(H1175,'VALORES VIAJES'!$A$2:$B$24,2,FALSE),"")</f>
        <v/>
      </c>
      <c r="U1175" t="str">
        <f>IFERROR(VLOOKUP(I1175,'VALORES VIAJES'!$A$2:$B$24,2,FALSE),"")</f>
        <v/>
      </c>
      <c r="V1175" t="str">
        <f>IFERROR(VLOOKUP(K1175,'VALORES VIAJES'!$A$2:$B$24,2,FALSE),"")</f>
        <v/>
      </c>
      <c r="X1175" s="208">
        <f>SUM(Hoja1[[#This Row],[$ X TIP VEHICUL]:[AGREGADO]])</f>
        <v>0</v>
      </c>
    </row>
    <row r="1176" spans="2:24" hidden="1" x14ac:dyDescent="0.25">
      <c r="B1176" s="189"/>
      <c r="J1176" s="189"/>
      <c r="M1176" s="205"/>
      <c r="S1176" t="str">
        <f>IFERROR(VLOOKUP(E1176,'VALORES VIAJES'!$A$2:$B$13,2,FALSE),"")</f>
        <v/>
      </c>
      <c r="T1176" t="str">
        <f>IFERROR(VLOOKUP(H1176,'VALORES VIAJES'!$A$2:$B$24,2,FALSE),"")</f>
        <v/>
      </c>
      <c r="U1176" t="str">
        <f>IFERROR(VLOOKUP(I1176,'VALORES VIAJES'!$A$2:$B$24,2,FALSE),"")</f>
        <v/>
      </c>
      <c r="V1176" t="str">
        <f>IFERROR(VLOOKUP(K1176,'VALORES VIAJES'!$A$2:$B$24,2,FALSE),"")</f>
        <v/>
      </c>
      <c r="X1176" s="208">
        <f>SUM(Hoja1[[#This Row],[$ X TIP VEHICUL]:[AGREGADO]])</f>
        <v>0</v>
      </c>
    </row>
    <row r="1177" spans="2:24" hidden="1" x14ac:dyDescent="0.25">
      <c r="B1177" s="189"/>
      <c r="J1177" s="189"/>
      <c r="M1177" s="205"/>
      <c r="S1177" t="str">
        <f>IFERROR(VLOOKUP(E1177,'VALORES VIAJES'!$A$2:$B$13,2,FALSE),"")</f>
        <v/>
      </c>
      <c r="T1177" t="str">
        <f>IFERROR(VLOOKUP(H1177,'VALORES VIAJES'!$A$2:$B$24,2,FALSE),"")</f>
        <v/>
      </c>
      <c r="U1177" t="str">
        <f>IFERROR(VLOOKUP(I1177,'VALORES VIAJES'!$A$2:$B$24,2,FALSE),"")</f>
        <v/>
      </c>
      <c r="V1177" t="str">
        <f>IFERROR(VLOOKUP(K1177,'VALORES VIAJES'!$A$2:$B$24,2,FALSE),"")</f>
        <v/>
      </c>
      <c r="X1177" s="208">
        <f>SUM(Hoja1[[#This Row],[$ X TIP VEHICUL]:[AGREGADO]])</f>
        <v>0</v>
      </c>
    </row>
    <row r="1178" spans="2:24" hidden="1" x14ac:dyDescent="0.25">
      <c r="B1178" s="189"/>
      <c r="J1178" s="189"/>
      <c r="M1178" s="205"/>
      <c r="S1178" t="str">
        <f>IFERROR(VLOOKUP(E1178,'VALORES VIAJES'!$A$2:$B$13,2,FALSE),"")</f>
        <v/>
      </c>
      <c r="T1178" t="str">
        <f>IFERROR(VLOOKUP(H1178,'VALORES VIAJES'!$A$2:$B$24,2,FALSE),"")</f>
        <v/>
      </c>
      <c r="U1178" t="str">
        <f>IFERROR(VLOOKUP(I1178,'VALORES VIAJES'!$A$2:$B$24,2,FALSE),"")</f>
        <v/>
      </c>
      <c r="V1178" t="str">
        <f>IFERROR(VLOOKUP(K1178,'VALORES VIAJES'!$A$2:$B$24,2,FALSE),"")</f>
        <v/>
      </c>
      <c r="X1178" s="208">
        <f>SUM(Hoja1[[#This Row],[$ X TIP VEHICUL]:[AGREGADO]])</f>
        <v>0</v>
      </c>
    </row>
    <row r="1179" spans="2:24" hidden="1" x14ac:dyDescent="0.25">
      <c r="B1179" s="189"/>
      <c r="J1179" s="189"/>
      <c r="M1179" s="205"/>
      <c r="S1179" t="str">
        <f>IFERROR(VLOOKUP(E1179,'VALORES VIAJES'!$A$2:$B$13,2,FALSE),"")</f>
        <v/>
      </c>
      <c r="T1179" t="str">
        <f>IFERROR(VLOOKUP(H1179,'VALORES VIAJES'!$A$2:$B$24,2,FALSE),"")</f>
        <v/>
      </c>
      <c r="U1179" t="str">
        <f>IFERROR(VLOOKUP(I1179,'VALORES VIAJES'!$A$2:$B$24,2,FALSE),"")</f>
        <v/>
      </c>
      <c r="V1179" t="str">
        <f>IFERROR(VLOOKUP(K1179,'VALORES VIAJES'!$A$2:$B$24,2,FALSE),"")</f>
        <v/>
      </c>
      <c r="X1179" s="208">
        <f>SUM(Hoja1[[#This Row],[$ X TIP VEHICUL]:[AGREGADO]])</f>
        <v>0</v>
      </c>
    </row>
    <row r="1180" spans="2:24" hidden="1" x14ac:dyDescent="0.25">
      <c r="B1180" s="189"/>
      <c r="J1180" s="189"/>
      <c r="M1180" s="205"/>
      <c r="S1180" t="str">
        <f>IFERROR(VLOOKUP(E1180,'VALORES VIAJES'!$A$2:$B$13,2,FALSE),"")</f>
        <v/>
      </c>
      <c r="T1180" t="str">
        <f>IFERROR(VLOOKUP(H1180,'VALORES VIAJES'!$A$2:$B$24,2,FALSE),"")</f>
        <v/>
      </c>
      <c r="U1180" t="str">
        <f>IFERROR(VLOOKUP(I1180,'VALORES VIAJES'!$A$2:$B$24,2,FALSE),"")</f>
        <v/>
      </c>
      <c r="V1180" t="str">
        <f>IFERROR(VLOOKUP(K1180,'VALORES VIAJES'!$A$2:$B$24,2,FALSE),"")</f>
        <v/>
      </c>
      <c r="X1180" s="208">
        <f>SUM(Hoja1[[#This Row],[$ X TIP VEHICUL]:[AGREGADO]])</f>
        <v>0</v>
      </c>
    </row>
    <row r="1181" spans="2:24" hidden="1" x14ac:dyDescent="0.25">
      <c r="B1181" s="189"/>
      <c r="J1181" s="189"/>
      <c r="M1181" s="205"/>
      <c r="S1181" t="str">
        <f>IFERROR(VLOOKUP(E1181,'VALORES VIAJES'!$A$2:$B$13,2,FALSE),"")</f>
        <v/>
      </c>
      <c r="T1181" t="str">
        <f>IFERROR(VLOOKUP(H1181,'VALORES VIAJES'!$A$2:$B$24,2,FALSE),"")</f>
        <v/>
      </c>
      <c r="U1181" t="str">
        <f>IFERROR(VLOOKUP(I1181,'VALORES VIAJES'!$A$2:$B$24,2,FALSE),"")</f>
        <v/>
      </c>
      <c r="V1181" t="str">
        <f>IFERROR(VLOOKUP(K1181,'VALORES VIAJES'!$A$2:$B$24,2,FALSE),"")</f>
        <v/>
      </c>
      <c r="X1181" s="208">
        <f>SUM(Hoja1[[#This Row],[$ X TIP VEHICUL]:[AGREGADO]])</f>
        <v>0</v>
      </c>
    </row>
    <row r="1182" spans="2:24" hidden="1" x14ac:dyDescent="0.25">
      <c r="B1182" s="189"/>
      <c r="J1182" s="189"/>
      <c r="M1182" s="205"/>
      <c r="S1182" t="str">
        <f>IFERROR(VLOOKUP(E1182,'VALORES VIAJES'!$A$2:$B$13,2,FALSE),"")</f>
        <v/>
      </c>
      <c r="T1182" t="str">
        <f>IFERROR(VLOOKUP(H1182,'VALORES VIAJES'!$A$2:$B$24,2,FALSE),"")</f>
        <v/>
      </c>
      <c r="U1182" t="str">
        <f>IFERROR(VLOOKUP(I1182,'VALORES VIAJES'!$A$2:$B$24,2,FALSE),"")</f>
        <v/>
      </c>
      <c r="V1182" t="str">
        <f>IFERROR(VLOOKUP(K1182,'VALORES VIAJES'!$A$2:$B$24,2,FALSE),"")</f>
        <v/>
      </c>
      <c r="X1182" s="208">
        <f>SUM(Hoja1[[#This Row],[$ X TIP VEHICUL]:[AGREGADO]])</f>
        <v>0</v>
      </c>
    </row>
    <row r="1183" spans="2:24" hidden="1" x14ac:dyDescent="0.25">
      <c r="B1183" s="189"/>
      <c r="J1183" s="189"/>
      <c r="M1183" s="205"/>
      <c r="S1183" t="str">
        <f>IFERROR(VLOOKUP(E1183,'VALORES VIAJES'!$A$2:$B$13,2,FALSE),"")</f>
        <v/>
      </c>
      <c r="T1183" t="str">
        <f>IFERROR(VLOOKUP(H1183,'VALORES VIAJES'!$A$2:$B$24,2,FALSE),"")</f>
        <v/>
      </c>
      <c r="U1183" t="str">
        <f>IFERROR(VLOOKUP(I1183,'VALORES VIAJES'!$A$2:$B$24,2,FALSE),"")</f>
        <v/>
      </c>
      <c r="V1183" t="str">
        <f>IFERROR(VLOOKUP(K1183,'VALORES VIAJES'!$A$2:$B$24,2,FALSE),"")</f>
        <v/>
      </c>
      <c r="X1183" s="208">
        <f>SUM(Hoja1[[#This Row],[$ X TIP VEHICUL]:[AGREGADO]])</f>
        <v>0</v>
      </c>
    </row>
    <row r="1184" spans="2:24" hidden="1" x14ac:dyDescent="0.25">
      <c r="B1184" s="189"/>
      <c r="J1184" s="189"/>
      <c r="M1184" s="205"/>
      <c r="S1184" t="str">
        <f>IFERROR(VLOOKUP(E1184,'VALORES VIAJES'!$A$2:$B$13,2,FALSE),"")</f>
        <v/>
      </c>
      <c r="T1184" t="str">
        <f>IFERROR(VLOOKUP(H1184,'VALORES VIAJES'!$A$2:$B$24,2,FALSE),"")</f>
        <v/>
      </c>
      <c r="U1184" t="str">
        <f>IFERROR(VLOOKUP(I1184,'VALORES VIAJES'!$A$2:$B$24,2,FALSE),"")</f>
        <v/>
      </c>
      <c r="V1184" t="str">
        <f>IFERROR(VLOOKUP(K1184,'VALORES VIAJES'!$A$2:$B$24,2,FALSE),"")</f>
        <v/>
      </c>
      <c r="X1184" s="208">
        <f>SUM(Hoja1[[#This Row],[$ X TIP VEHICUL]:[AGREGADO]])</f>
        <v>0</v>
      </c>
    </row>
    <row r="1185" spans="2:24" hidden="1" x14ac:dyDescent="0.25">
      <c r="B1185" s="189"/>
      <c r="J1185" s="189"/>
      <c r="M1185" s="205"/>
      <c r="S1185" t="str">
        <f>IFERROR(VLOOKUP(E1185,'VALORES VIAJES'!$A$2:$B$13,2,FALSE),"")</f>
        <v/>
      </c>
      <c r="T1185" t="str">
        <f>IFERROR(VLOOKUP(H1185,'VALORES VIAJES'!$A$2:$B$24,2,FALSE),"")</f>
        <v/>
      </c>
      <c r="U1185" t="str">
        <f>IFERROR(VLOOKUP(I1185,'VALORES VIAJES'!$A$2:$B$24,2,FALSE),"")</f>
        <v/>
      </c>
      <c r="V1185" t="str">
        <f>IFERROR(VLOOKUP(K1185,'VALORES VIAJES'!$A$2:$B$24,2,FALSE),"")</f>
        <v/>
      </c>
      <c r="X1185" s="208">
        <f>SUM(Hoja1[[#This Row],[$ X TIP VEHICUL]:[AGREGADO]])</f>
        <v>0</v>
      </c>
    </row>
    <row r="1186" spans="2:24" hidden="1" x14ac:dyDescent="0.25">
      <c r="B1186" s="189"/>
      <c r="J1186" s="189"/>
      <c r="M1186" s="205"/>
      <c r="S1186" t="str">
        <f>IFERROR(VLOOKUP(E1186,'VALORES VIAJES'!$A$2:$B$13,2,FALSE),"")</f>
        <v/>
      </c>
      <c r="T1186" t="str">
        <f>IFERROR(VLOOKUP(H1186,'VALORES VIAJES'!$A$2:$B$24,2,FALSE),"")</f>
        <v/>
      </c>
      <c r="U1186" t="str">
        <f>IFERROR(VLOOKUP(I1186,'VALORES VIAJES'!$A$2:$B$24,2,FALSE),"")</f>
        <v/>
      </c>
      <c r="V1186" t="str">
        <f>IFERROR(VLOOKUP(K1186,'VALORES VIAJES'!$A$2:$B$24,2,FALSE),"")</f>
        <v/>
      </c>
      <c r="X1186" s="208">
        <f>SUM(Hoja1[[#This Row],[$ X TIP VEHICUL]:[AGREGADO]])</f>
        <v>0</v>
      </c>
    </row>
    <row r="1187" spans="2:24" hidden="1" x14ac:dyDescent="0.25">
      <c r="B1187" s="189"/>
      <c r="J1187" s="189"/>
      <c r="M1187" s="205"/>
      <c r="S1187" t="str">
        <f>IFERROR(VLOOKUP(E1187,'VALORES VIAJES'!$A$2:$B$13,2,FALSE),"")</f>
        <v/>
      </c>
      <c r="T1187" t="str">
        <f>IFERROR(VLOOKUP(H1187,'VALORES VIAJES'!$A$2:$B$24,2,FALSE),"")</f>
        <v/>
      </c>
      <c r="U1187" t="str">
        <f>IFERROR(VLOOKUP(I1187,'VALORES VIAJES'!$A$2:$B$24,2,FALSE),"")</f>
        <v/>
      </c>
      <c r="V1187" t="str">
        <f>IFERROR(VLOOKUP(K1187,'VALORES VIAJES'!$A$2:$B$24,2,FALSE),"")</f>
        <v/>
      </c>
      <c r="X1187" s="208">
        <f>SUM(Hoja1[[#This Row],[$ X TIP VEHICUL]:[AGREGADO]])</f>
        <v>0</v>
      </c>
    </row>
    <row r="1188" spans="2:24" hidden="1" x14ac:dyDescent="0.25">
      <c r="B1188" s="189"/>
      <c r="J1188" s="189"/>
      <c r="M1188" s="205"/>
      <c r="S1188" t="str">
        <f>IFERROR(VLOOKUP(E1188,'VALORES VIAJES'!$A$2:$B$13,2,FALSE),"")</f>
        <v/>
      </c>
      <c r="T1188" t="str">
        <f>IFERROR(VLOOKUP(H1188,'VALORES VIAJES'!$A$2:$B$24,2,FALSE),"")</f>
        <v/>
      </c>
      <c r="U1188" t="str">
        <f>IFERROR(VLOOKUP(I1188,'VALORES VIAJES'!$A$2:$B$24,2,FALSE),"")</f>
        <v/>
      </c>
      <c r="V1188" t="str">
        <f>IFERROR(VLOOKUP(K1188,'VALORES VIAJES'!$A$2:$B$24,2,FALSE),"")</f>
        <v/>
      </c>
      <c r="X1188" s="208">
        <f>SUM(Hoja1[[#This Row],[$ X TIP VEHICUL]:[AGREGADO]])</f>
        <v>0</v>
      </c>
    </row>
    <row r="1189" spans="2:24" hidden="1" x14ac:dyDescent="0.25">
      <c r="B1189" s="189"/>
      <c r="J1189" s="189"/>
      <c r="M1189" s="205"/>
      <c r="S1189" t="str">
        <f>IFERROR(VLOOKUP(E1189,'VALORES VIAJES'!$A$2:$B$13,2,FALSE),"")</f>
        <v/>
      </c>
      <c r="T1189" t="str">
        <f>IFERROR(VLOOKUP(H1189,'VALORES VIAJES'!$A$2:$B$24,2,FALSE),"")</f>
        <v/>
      </c>
      <c r="U1189" t="str">
        <f>IFERROR(VLOOKUP(I1189,'VALORES VIAJES'!$A$2:$B$24,2,FALSE),"")</f>
        <v/>
      </c>
      <c r="V1189" t="str">
        <f>IFERROR(VLOOKUP(K1189,'VALORES VIAJES'!$A$2:$B$24,2,FALSE),"")</f>
        <v/>
      </c>
      <c r="X1189" s="208">
        <f>SUM(Hoja1[[#This Row],[$ X TIP VEHICUL]:[AGREGADO]])</f>
        <v>0</v>
      </c>
    </row>
    <row r="1190" spans="2:24" hidden="1" x14ac:dyDescent="0.25">
      <c r="B1190" s="189"/>
      <c r="J1190" s="189"/>
      <c r="M1190" s="205"/>
      <c r="S1190" t="str">
        <f>IFERROR(VLOOKUP(E1190,'VALORES VIAJES'!$A$2:$B$13,2,FALSE),"")</f>
        <v/>
      </c>
      <c r="T1190" t="str">
        <f>IFERROR(VLOOKUP(H1190,'VALORES VIAJES'!$A$2:$B$24,2,FALSE),"")</f>
        <v/>
      </c>
      <c r="U1190" t="str">
        <f>IFERROR(VLOOKUP(I1190,'VALORES VIAJES'!$A$2:$B$24,2,FALSE),"")</f>
        <v/>
      </c>
      <c r="V1190" t="str">
        <f>IFERROR(VLOOKUP(K1190,'VALORES VIAJES'!$A$2:$B$24,2,FALSE),"")</f>
        <v/>
      </c>
      <c r="X1190" s="208">
        <f>SUM(Hoja1[[#This Row],[$ X TIP VEHICUL]:[AGREGADO]])</f>
        <v>0</v>
      </c>
    </row>
    <row r="1191" spans="2:24" hidden="1" x14ac:dyDescent="0.25">
      <c r="B1191" s="189"/>
      <c r="J1191" s="189"/>
      <c r="M1191" s="205"/>
      <c r="S1191" t="str">
        <f>IFERROR(VLOOKUP(E1191,'VALORES VIAJES'!$A$2:$B$13,2,FALSE),"")</f>
        <v/>
      </c>
      <c r="T1191" t="str">
        <f>IFERROR(VLOOKUP(H1191,'VALORES VIAJES'!$A$2:$B$24,2,FALSE),"")</f>
        <v/>
      </c>
      <c r="U1191" t="str">
        <f>IFERROR(VLOOKUP(I1191,'VALORES VIAJES'!$A$2:$B$24,2,FALSE),"")</f>
        <v/>
      </c>
      <c r="V1191" t="str">
        <f>IFERROR(VLOOKUP(K1191,'VALORES VIAJES'!$A$2:$B$24,2,FALSE),"")</f>
        <v/>
      </c>
      <c r="X1191" s="208">
        <f>SUM(Hoja1[[#This Row],[$ X TIP VEHICUL]:[AGREGADO]])</f>
        <v>0</v>
      </c>
    </row>
    <row r="1192" spans="2:24" hidden="1" x14ac:dyDescent="0.25">
      <c r="B1192" s="189"/>
      <c r="J1192" s="189"/>
      <c r="M1192" s="205"/>
      <c r="S1192" t="str">
        <f>IFERROR(VLOOKUP(E1192,'VALORES VIAJES'!$A$2:$B$13,2,FALSE),"")</f>
        <v/>
      </c>
      <c r="T1192" t="str">
        <f>IFERROR(VLOOKUP(H1192,'VALORES VIAJES'!$A$2:$B$24,2,FALSE),"")</f>
        <v/>
      </c>
      <c r="U1192" t="str">
        <f>IFERROR(VLOOKUP(I1192,'VALORES VIAJES'!$A$2:$B$24,2,FALSE),"")</f>
        <v/>
      </c>
      <c r="V1192" t="str">
        <f>IFERROR(VLOOKUP(K1192,'VALORES VIAJES'!$A$2:$B$24,2,FALSE),"")</f>
        <v/>
      </c>
      <c r="X1192" s="208">
        <f>SUM(Hoja1[[#This Row],[$ X TIP VEHICUL]:[AGREGADO]])</f>
        <v>0</v>
      </c>
    </row>
    <row r="1193" spans="2:24" hidden="1" x14ac:dyDescent="0.25">
      <c r="B1193" s="189"/>
      <c r="J1193" s="189"/>
      <c r="M1193" s="205"/>
      <c r="S1193" t="str">
        <f>IFERROR(VLOOKUP(E1193,'VALORES VIAJES'!$A$2:$B$13,2,FALSE),"")</f>
        <v/>
      </c>
      <c r="T1193" t="str">
        <f>IFERROR(VLOOKUP(H1193,'VALORES VIAJES'!$A$2:$B$24,2,FALSE),"")</f>
        <v/>
      </c>
      <c r="U1193" t="str">
        <f>IFERROR(VLOOKUP(I1193,'VALORES VIAJES'!$A$2:$B$24,2,FALSE),"")</f>
        <v/>
      </c>
      <c r="V1193" t="str">
        <f>IFERROR(VLOOKUP(K1193,'VALORES VIAJES'!$A$2:$B$24,2,FALSE),"")</f>
        <v/>
      </c>
      <c r="X1193" s="208">
        <f>SUM(Hoja1[[#This Row],[$ X TIP VEHICUL]:[AGREGADO]])</f>
        <v>0</v>
      </c>
    </row>
    <row r="1194" spans="2:24" hidden="1" x14ac:dyDescent="0.25">
      <c r="B1194" s="189"/>
      <c r="J1194" s="189"/>
      <c r="M1194" s="205"/>
      <c r="S1194" t="str">
        <f>IFERROR(VLOOKUP(E1194,'VALORES VIAJES'!$A$2:$B$13,2,FALSE),"")</f>
        <v/>
      </c>
      <c r="T1194" t="str">
        <f>IFERROR(VLOOKUP(H1194,'VALORES VIAJES'!$A$2:$B$24,2,FALSE),"")</f>
        <v/>
      </c>
      <c r="U1194" t="str">
        <f>IFERROR(VLOOKUP(I1194,'VALORES VIAJES'!$A$2:$B$24,2,FALSE),"")</f>
        <v/>
      </c>
      <c r="V1194" t="str">
        <f>IFERROR(VLOOKUP(K1194,'VALORES VIAJES'!$A$2:$B$24,2,FALSE),"")</f>
        <v/>
      </c>
      <c r="X1194" s="208">
        <f>SUM(Hoja1[[#This Row],[$ X TIP VEHICUL]:[AGREGADO]])</f>
        <v>0</v>
      </c>
    </row>
    <row r="1195" spans="2:24" hidden="1" x14ac:dyDescent="0.25">
      <c r="B1195" s="189"/>
      <c r="J1195" s="189"/>
      <c r="M1195" s="205"/>
      <c r="S1195" t="str">
        <f>IFERROR(VLOOKUP(E1195,'VALORES VIAJES'!$A$2:$B$13,2,FALSE),"")</f>
        <v/>
      </c>
      <c r="T1195" t="str">
        <f>IFERROR(VLOOKUP(H1195,'VALORES VIAJES'!$A$2:$B$24,2,FALSE),"")</f>
        <v/>
      </c>
      <c r="U1195" t="str">
        <f>IFERROR(VLOOKUP(I1195,'VALORES VIAJES'!$A$2:$B$24,2,FALSE),"")</f>
        <v/>
      </c>
      <c r="V1195" t="str">
        <f>IFERROR(VLOOKUP(K1195,'VALORES VIAJES'!$A$2:$B$24,2,FALSE),"")</f>
        <v/>
      </c>
      <c r="X1195" s="208">
        <f>SUM(Hoja1[[#This Row],[$ X TIP VEHICUL]:[AGREGADO]])</f>
        <v>0</v>
      </c>
    </row>
    <row r="1196" spans="2:24" hidden="1" x14ac:dyDescent="0.25">
      <c r="B1196" s="189"/>
      <c r="J1196" s="189"/>
      <c r="M1196" s="205"/>
      <c r="S1196" t="str">
        <f>IFERROR(VLOOKUP(E1196,'VALORES VIAJES'!$A$2:$B$13,2,FALSE),"")</f>
        <v/>
      </c>
      <c r="T1196" t="str">
        <f>IFERROR(VLOOKUP(H1196,'VALORES VIAJES'!$A$2:$B$24,2,FALSE),"")</f>
        <v/>
      </c>
      <c r="U1196" t="str">
        <f>IFERROR(VLOOKUP(I1196,'VALORES VIAJES'!$A$2:$B$24,2,FALSE),"")</f>
        <v/>
      </c>
      <c r="V1196" t="str">
        <f>IFERROR(VLOOKUP(K1196,'VALORES VIAJES'!$A$2:$B$24,2,FALSE),"")</f>
        <v/>
      </c>
      <c r="X1196" s="208">
        <f>SUM(Hoja1[[#This Row],[$ X TIP VEHICUL]:[AGREGADO]])</f>
        <v>0</v>
      </c>
    </row>
    <row r="1197" spans="2:24" hidden="1" x14ac:dyDescent="0.25">
      <c r="B1197" s="189"/>
      <c r="J1197" s="189"/>
      <c r="M1197" s="205"/>
      <c r="S1197" t="str">
        <f>IFERROR(VLOOKUP(E1197,'VALORES VIAJES'!$A$2:$B$13,2,FALSE),"")</f>
        <v/>
      </c>
      <c r="T1197" t="str">
        <f>IFERROR(VLOOKUP(H1197,'VALORES VIAJES'!$A$2:$B$24,2,FALSE),"")</f>
        <v/>
      </c>
      <c r="U1197" t="str">
        <f>IFERROR(VLOOKUP(I1197,'VALORES VIAJES'!$A$2:$B$24,2,FALSE),"")</f>
        <v/>
      </c>
      <c r="V1197" t="str">
        <f>IFERROR(VLOOKUP(K1197,'VALORES VIAJES'!$A$2:$B$24,2,FALSE),"")</f>
        <v/>
      </c>
      <c r="X1197" s="208">
        <f>SUM(Hoja1[[#This Row],[$ X TIP VEHICUL]:[AGREGADO]])</f>
        <v>0</v>
      </c>
    </row>
    <row r="1198" spans="2:24" hidden="1" x14ac:dyDescent="0.25">
      <c r="B1198" s="189"/>
      <c r="J1198" s="189"/>
      <c r="M1198" s="205"/>
      <c r="S1198" t="str">
        <f>IFERROR(VLOOKUP(E1198,'VALORES VIAJES'!$A$2:$B$13,2,FALSE),"")</f>
        <v/>
      </c>
      <c r="T1198" t="str">
        <f>IFERROR(VLOOKUP(H1198,'VALORES VIAJES'!$A$2:$B$24,2,FALSE),"")</f>
        <v/>
      </c>
      <c r="U1198" t="str">
        <f>IFERROR(VLOOKUP(I1198,'VALORES VIAJES'!$A$2:$B$24,2,FALSE),"")</f>
        <v/>
      </c>
      <c r="V1198" t="str">
        <f>IFERROR(VLOOKUP(K1198,'VALORES VIAJES'!$A$2:$B$24,2,FALSE),"")</f>
        <v/>
      </c>
      <c r="X1198" s="208">
        <f>SUM(Hoja1[[#This Row],[$ X TIP VEHICUL]:[AGREGADO]])</f>
        <v>0</v>
      </c>
    </row>
    <row r="1199" spans="2:24" hidden="1" x14ac:dyDescent="0.25">
      <c r="B1199" s="189"/>
      <c r="J1199" s="189"/>
      <c r="M1199" s="205"/>
      <c r="S1199" t="str">
        <f>IFERROR(VLOOKUP(E1199,'VALORES VIAJES'!$A$2:$B$13,2,FALSE),"")</f>
        <v/>
      </c>
      <c r="T1199" t="str">
        <f>IFERROR(VLOOKUP(H1199,'VALORES VIAJES'!$A$2:$B$24,2,FALSE),"")</f>
        <v/>
      </c>
      <c r="U1199" t="str">
        <f>IFERROR(VLOOKUP(I1199,'VALORES VIAJES'!$A$2:$B$24,2,FALSE),"")</f>
        <v/>
      </c>
      <c r="V1199" t="str">
        <f>IFERROR(VLOOKUP(K1199,'VALORES VIAJES'!$A$2:$B$24,2,FALSE),"")</f>
        <v/>
      </c>
      <c r="X1199" s="208">
        <f>SUM(Hoja1[[#This Row],[$ X TIP VEHICUL]:[AGREGADO]])</f>
        <v>0</v>
      </c>
    </row>
    <row r="1200" spans="2:24" hidden="1" x14ac:dyDescent="0.25">
      <c r="B1200" s="189"/>
      <c r="J1200" s="189"/>
      <c r="M1200" s="205"/>
      <c r="S1200" t="str">
        <f>IFERROR(VLOOKUP(E1200,'VALORES VIAJES'!$A$2:$B$13,2,FALSE),"")</f>
        <v/>
      </c>
      <c r="T1200" t="str">
        <f>IFERROR(VLOOKUP(H1200,'VALORES VIAJES'!$A$2:$B$24,2,FALSE),"")</f>
        <v/>
      </c>
      <c r="U1200" t="str">
        <f>IFERROR(VLOOKUP(I1200,'VALORES VIAJES'!$A$2:$B$24,2,FALSE),"")</f>
        <v/>
      </c>
      <c r="V1200" t="str">
        <f>IFERROR(VLOOKUP(K1200,'VALORES VIAJES'!$A$2:$B$24,2,FALSE),"")</f>
        <v/>
      </c>
      <c r="X1200" s="208">
        <f>SUM(Hoja1[[#This Row],[$ X TIP VEHICUL]:[AGREGADO]])</f>
        <v>0</v>
      </c>
    </row>
    <row r="1201" spans="2:24" hidden="1" x14ac:dyDescent="0.25">
      <c r="B1201" s="189"/>
      <c r="J1201" s="189"/>
      <c r="M1201" s="205"/>
      <c r="S1201" t="str">
        <f>IFERROR(VLOOKUP(E1201,'VALORES VIAJES'!$A$2:$B$13,2,FALSE),"")</f>
        <v/>
      </c>
      <c r="T1201" t="str">
        <f>IFERROR(VLOOKUP(H1201,'VALORES VIAJES'!$A$2:$B$24,2,FALSE),"")</f>
        <v/>
      </c>
      <c r="U1201" t="str">
        <f>IFERROR(VLOOKUP(I1201,'VALORES VIAJES'!$A$2:$B$24,2,FALSE),"")</f>
        <v/>
      </c>
      <c r="V1201" t="str">
        <f>IFERROR(VLOOKUP(K1201,'VALORES VIAJES'!$A$2:$B$24,2,FALSE),"")</f>
        <v/>
      </c>
      <c r="X1201" s="208">
        <f>SUM(Hoja1[[#This Row],[$ X TIP VEHICUL]:[AGREGADO]])</f>
        <v>0</v>
      </c>
    </row>
    <row r="1202" spans="2:24" hidden="1" x14ac:dyDescent="0.25">
      <c r="B1202" s="189"/>
      <c r="J1202" s="189"/>
      <c r="M1202" s="205"/>
      <c r="S1202" t="str">
        <f>IFERROR(VLOOKUP(E1202,'VALORES VIAJES'!$A$2:$B$13,2,FALSE),"")</f>
        <v/>
      </c>
      <c r="T1202" t="str">
        <f>IFERROR(VLOOKUP(H1202,'VALORES VIAJES'!$A$2:$B$24,2,FALSE),"")</f>
        <v/>
      </c>
      <c r="U1202" t="str">
        <f>IFERROR(VLOOKUP(I1202,'VALORES VIAJES'!$A$2:$B$24,2,FALSE),"")</f>
        <v/>
      </c>
      <c r="V1202" t="str">
        <f>IFERROR(VLOOKUP(K1202,'VALORES VIAJES'!$A$2:$B$24,2,FALSE),"")</f>
        <v/>
      </c>
      <c r="X1202" s="208">
        <f>SUM(Hoja1[[#This Row],[$ X TIP VEHICUL]:[AGREGADO]])</f>
        <v>0</v>
      </c>
    </row>
    <row r="1203" spans="2:24" hidden="1" x14ac:dyDescent="0.25">
      <c r="B1203" s="189"/>
      <c r="J1203" s="189"/>
      <c r="M1203" s="205"/>
      <c r="S1203" t="str">
        <f>IFERROR(VLOOKUP(E1203,'VALORES VIAJES'!$A$2:$B$13,2,FALSE),"")</f>
        <v/>
      </c>
      <c r="T1203" t="str">
        <f>IFERROR(VLOOKUP(H1203,'VALORES VIAJES'!$A$2:$B$24,2,FALSE),"")</f>
        <v/>
      </c>
      <c r="U1203" t="str">
        <f>IFERROR(VLOOKUP(I1203,'VALORES VIAJES'!$A$2:$B$24,2,FALSE),"")</f>
        <v/>
      </c>
      <c r="V1203" t="str">
        <f>IFERROR(VLOOKUP(K1203,'VALORES VIAJES'!$A$2:$B$24,2,FALSE),"")</f>
        <v/>
      </c>
      <c r="X1203" s="208">
        <f>SUM(Hoja1[[#This Row],[$ X TIP VEHICUL]:[AGREGADO]])</f>
        <v>0</v>
      </c>
    </row>
    <row r="1204" spans="2:24" hidden="1" x14ac:dyDescent="0.25">
      <c r="B1204" s="189"/>
      <c r="J1204" s="189"/>
      <c r="M1204" s="205"/>
      <c r="S1204" t="str">
        <f>IFERROR(VLOOKUP(E1204,'VALORES VIAJES'!$A$2:$B$13,2,FALSE),"")</f>
        <v/>
      </c>
      <c r="T1204" t="str">
        <f>IFERROR(VLOOKUP(H1204,'VALORES VIAJES'!$A$2:$B$24,2,FALSE),"")</f>
        <v/>
      </c>
      <c r="U1204" t="str">
        <f>IFERROR(VLOOKUP(I1204,'VALORES VIAJES'!$A$2:$B$24,2,FALSE),"")</f>
        <v/>
      </c>
      <c r="V1204" t="str">
        <f>IFERROR(VLOOKUP(K1204,'VALORES VIAJES'!$A$2:$B$24,2,FALSE),"")</f>
        <v/>
      </c>
      <c r="X1204" s="208">
        <f>SUM(Hoja1[[#This Row],[$ X TIP VEHICUL]:[AGREGADO]])</f>
        <v>0</v>
      </c>
    </row>
    <row r="1205" spans="2:24" hidden="1" x14ac:dyDescent="0.25">
      <c r="B1205" s="189"/>
      <c r="J1205" s="189"/>
      <c r="M1205" s="205"/>
      <c r="S1205" t="str">
        <f>IFERROR(VLOOKUP(E1205,'VALORES VIAJES'!$A$2:$B$13,2,FALSE),"")</f>
        <v/>
      </c>
      <c r="T1205" t="str">
        <f>IFERROR(VLOOKUP(H1205,'VALORES VIAJES'!$A$2:$B$24,2,FALSE),"")</f>
        <v/>
      </c>
      <c r="U1205" t="str">
        <f>IFERROR(VLOOKUP(I1205,'VALORES VIAJES'!$A$2:$B$24,2,FALSE),"")</f>
        <v/>
      </c>
      <c r="V1205" t="str">
        <f>IFERROR(VLOOKUP(K1205,'VALORES VIAJES'!$A$2:$B$24,2,FALSE),"")</f>
        <v/>
      </c>
      <c r="X1205" s="208">
        <f>SUM(Hoja1[[#This Row],[$ X TIP VEHICUL]:[AGREGADO]])</f>
        <v>0</v>
      </c>
    </row>
    <row r="1206" spans="2:24" hidden="1" x14ac:dyDescent="0.25">
      <c r="B1206" s="189"/>
      <c r="J1206" s="189"/>
      <c r="M1206" s="205"/>
      <c r="S1206" t="str">
        <f>IFERROR(VLOOKUP(E1206,'VALORES VIAJES'!$A$2:$B$13,2,FALSE),"")</f>
        <v/>
      </c>
      <c r="T1206" t="str">
        <f>IFERROR(VLOOKUP(H1206,'VALORES VIAJES'!$A$2:$B$24,2,FALSE),"")</f>
        <v/>
      </c>
      <c r="U1206" t="str">
        <f>IFERROR(VLOOKUP(I1206,'VALORES VIAJES'!$A$2:$B$24,2,FALSE),"")</f>
        <v/>
      </c>
      <c r="V1206" t="str">
        <f>IFERROR(VLOOKUP(K1206,'VALORES VIAJES'!$A$2:$B$24,2,FALSE),"")</f>
        <v/>
      </c>
      <c r="X1206" s="208">
        <f>SUM(Hoja1[[#This Row],[$ X TIP VEHICUL]:[AGREGADO]])</f>
        <v>0</v>
      </c>
    </row>
    <row r="1207" spans="2:24" hidden="1" x14ac:dyDescent="0.25">
      <c r="B1207" s="189"/>
      <c r="J1207" s="189"/>
      <c r="M1207" s="205"/>
      <c r="S1207" t="str">
        <f>IFERROR(VLOOKUP(E1207,'VALORES VIAJES'!$A$2:$B$13,2,FALSE),"")</f>
        <v/>
      </c>
      <c r="T1207" t="str">
        <f>IFERROR(VLOOKUP(H1207,'VALORES VIAJES'!$A$2:$B$24,2,FALSE),"")</f>
        <v/>
      </c>
      <c r="U1207" t="str">
        <f>IFERROR(VLOOKUP(I1207,'VALORES VIAJES'!$A$2:$B$24,2,FALSE),"")</f>
        <v/>
      </c>
      <c r="V1207" t="str">
        <f>IFERROR(VLOOKUP(K1207,'VALORES VIAJES'!$A$2:$B$24,2,FALSE),"")</f>
        <v/>
      </c>
      <c r="X1207" s="208">
        <f>SUM(Hoja1[[#This Row],[$ X TIP VEHICUL]:[AGREGADO]])</f>
        <v>0</v>
      </c>
    </row>
    <row r="1208" spans="2:24" hidden="1" x14ac:dyDescent="0.25">
      <c r="B1208" s="189"/>
      <c r="J1208" s="189"/>
      <c r="M1208" s="205"/>
      <c r="S1208" t="str">
        <f>IFERROR(VLOOKUP(E1208,'VALORES VIAJES'!$A$2:$B$13,2,FALSE),"")</f>
        <v/>
      </c>
      <c r="T1208" t="str">
        <f>IFERROR(VLOOKUP(H1208,'VALORES VIAJES'!$A$2:$B$24,2,FALSE),"")</f>
        <v/>
      </c>
      <c r="U1208" t="str">
        <f>IFERROR(VLOOKUP(I1208,'VALORES VIAJES'!$A$2:$B$24,2,FALSE),"")</f>
        <v/>
      </c>
      <c r="V1208" t="str">
        <f>IFERROR(VLOOKUP(K1208,'VALORES VIAJES'!$A$2:$B$24,2,FALSE),"")</f>
        <v/>
      </c>
      <c r="X1208" s="208">
        <f>SUM(Hoja1[[#This Row],[$ X TIP VEHICUL]:[AGREGADO]])</f>
        <v>0</v>
      </c>
    </row>
    <row r="1209" spans="2:24" hidden="1" x14ac:dyDescent="0.25">
      <c r="B1209" s="189"/>
      <c r="J1209" s="189"/>
      <c r="M1209" s="205"/>
      <c r="S1209" t="str">
        <f>IFERROR(VLOOKUP(E1209,'VALORES VIAJES'!$A$2:$B$13,2,FALSE),"")</f>
        <v/>
      </c>
      <c r="T1209" t="str">
        <f>IFERROR(VLOOKUP(H1209,'VALORES VIAJES'!$A$2:$B$24,2,FALSE),"")</f>
        <v/>
      </c>
      <c r="U1209" t="str">
        <f>IFERROR(VLOOKUP(I1209,'VALORES VIAJES'!$A$2:$B$24,2,FALSE),"")</f>
        <v/>
      </c>
      <c r="V1209" t="str">
        <f>IFERROR(VLOOKUP(K1209,'VALORES VIAJES'!$A$2:$B$24,2,FALSE),"")</f>
        <v/>
      </c>
      <c r="X1209" s="208">
        <f>SUM(Hoja1[[#This Row],[$ X TIP VEHICUL]:[AGREGADO]])</f>
        <v>0</v>
      </c>
    </row>
    <row r="1210" spans="2:24" hidden="1" x14ac:dyDescent="0.25">
      <c r="B1210" s="189"/>
      <c r="J1210" s="189"/>
      <c r="M1210" s="205"/>
      <c r="S1210" t="str">
        <f>IFERROR(VLOOKUP(E1210,'VALORES VIAJES'!$A$2:$B$13,2,FALSE),"")</f>
        <v/>
      </c>
      <c r="T1210" t="str">
        <f>IFERROR(VLOOKUP(H1210,'VALORES VIAJES'!$A$2:$B$24,2,FALSE),"")</f>
        <v/>
      </c>
      <c r="U1210" t="str">
        <f>IFERROR(VLOOKUP(I1210,'VALORES VIAJES'!$A$2:$B$24,2,FALSE),"")</f>
        <v/>
      </c>
      <c r="V1210" t="str">
        <f>IFERROR(VLOOKUP(K1210,'VALORES VIAJES'!$A$2:$B$24,2,FALSE),"")</f>
        <v/>
      </c>
      <c r="X1210" s="208">
        <f>SUM(Hoja1[[#This Row],[$ X TIP VEHICUL]:[AGREGADO]])</f>
        <v>0</v>
      </c>
    </row>
    <row r="1211" spans="2:24" hidden="1" x14ac:dyDescent="0.25">
      <c r="B1211" s="189"/>
      <c r="J1211" s="189"/>
      <c r="M1211" s="205"/>
      <c r="S1211" t="str">
        <f>IFERROR(VLOOKUP(E1211,'VALORES VIAJES'!$A$2:$B$13,2,FALSE),"")</f>
        <v/>
      </c>
      <c r="T1211" t="str">
        <f>IFERROR(VLOOKUP(H1211,'VALORES VIAJES'!$A$2:$B$24,2,FALSE),"")</f>
        <v/>
      </c>
      <c r="U1211" t="str">
        <f>IFERROR(VLOOKUP(I1211,'VALORES VIAJES'!$A$2:$B$24,2,FALSE),"")</f>
        <v/>
      </c>
      <c r="V1211" t="str">
        <f>IFERROR(VLOOKUP(K1211,'VALORES VIAJES'!$A$2:$B$24,2,FALSE),"")</f>
        <v/>
      </c>
      <c r="X1211" s="208">
        <f>SUM(Hoja1[[#This Row],[$ X TIP VEHICUL]:[AGREGADO]])</f>
        <v>0</v>
      </c>
    </row>
    <row r="1212" spans="2:24" hidden="1" x14ac:dyDescent="0.25">
      <c r="B1212" s="189"/>
      <c r="J1212" s="189"/>
      <c r="M1212" s="205"/>
      <c r="S1212" t="str">
        <f>IFERROR(VLOOKUP(E1212,'VALORES VIAJES'!$A$2:$B$13,2,FALSE),"")</f>
        <v/>
      </c>
      <c r="T1212" t="str">
        <f>IFERROR(VLOOKUP(H1212,'VALORES VIAJES'!$A$2:$B$24,2,FALSE),"")</f>
        <v/>
      </c>
      <c r="U1212" t="str">
        <f>IFERROR(VLOOKUP(I1212,'VALORES VIAJES'!$A$2:$B$24,2,FALSE),"")</f>
        <v/>
      </c>
      <c r="V1212" t="str">
        <f>IFERROR(VLOOKUP(K1212,'VALORES VIAJES'!$A$2:$B$24,2,FALSE),"")</f>
        <v/>
      </c>
      <c r="X1212" s="208">
        <f>SUM(Hoja1[[#This Row],[$ X TIP VEHICUL]:[AGREGADO]])</f>
        <v>0</v>
      </c>
    </row>
    <row r="1213" spans="2:24" hidden="1" x14ac:dyDescent="0.25">
      <c r="B1213" s="189"/>
      <c r="J1213" s="189"/>
      <c r="M1213" s="205"/>
      <c r="S1213" t="str">
        <f>IFERROR(VLOOKUP(E1213,'VALORES VIAJES'!$A$2:$B$13,2,FALSE),"")</f>
        <v/>
      </c>
      <c r="T1213" t="str">
        <f>IFERROR(VLOOKUP(H1213,'VALORES VIAJES'!$A$2:$B$24,2,FALSE),"")</f>
        <v/>
      </c>
      <c r="U1213" t="str">
        <f>IFERROR(VLOOKUP(I1213,'VALORES VIAJES'!$A$2:$B$24,2,FALSE),"")</f>
        <v/>
      </c>
      <c r="V1213" t="str">
        <f>IFERROR(VLOOKUP(K1213,'VALORES VIAJES'!$A$2:$B$24,2,FALSE),"")</f>
        <v/>
      </c>
      <c r="X1213" s="208">
        <f>SUM(Hoja1[[#This Row],[$ X TIP VEHICUL]:[AGREGADO]])</f>
        <v>0</v>
      </c>
    </row>
    <row r="1214" spans="2:24" hidden="1" x14ac:dyDescent="0.25">
      <c r="B1214" s="189"/>
      <c r="J1214" s="189"/>
      <c r="M1214" s="205"/>
      <c r="S1214" t="str">
        <f>IFERROR(VLOOKUP(E1214,'VALORES VIAJES'!$A$2:$B$13,2,FALSE),"")</f>
        <v/>
      </c>
      <c r="T1214" t="str">
        <f>IFERROR(VLOOKUP(H1214,'VALORES VIAJES'!$A$2:$B$24,2,FALSE),"")</f>
        <v/>
      </c>
      <c r="U1214" t="str">
        <f>IFERROR(VLOOKUP(I1214,'VALORES VIAJES'!$A$2:$B$24,2,FALSE),"")</f>
        <v/>
      </c>
      <c r="V1214" t="str">
        <f>IFERROR(VLOOKUP(K1214,'VALORES VIAJES'!$A$2:$B$24,2,FALSE),"")</f>
        <v/>
      </c>
      <c r="X1214" s="208">
        <f>SUM(Hoja1[[#This Row],[$ X TIP VEHICUL]:[AGREGADO]])</f>
        <v>0</v>
      </c>
    </row>
    <row r="1215" spans="2:24" hidden="1" x14ac:dyDescent="0.25">
      <c r="B1215" s="189"/>
      <c r="J1215" s="189"/>
      <c r="M1215" s="205"/>
      <c r="S1215" t="str">
        <f>IFERROR(VLOOKUP(E1215,'VALORES VIAJES'!$A$2:$B$13,2,FALSE),"")</f>
        <v/>
      </c>
      <c r="T1215" t="str">
        <f>IFERROR(VLOOKUP(H1215,'VALORES VIAJES'!$A$2:$B$24,2,FALSE),"")</f>
        <v/>
      </c>
      <c r="U1215" t="str">
        <f>IFERROR(VLOOKUP(I1215,'VALORES VIAJES'!$A$2:$B$24,2,FALSE),"")</f>
        <v/>
      </c>
      <c r="V1215" t="str">
        <f>IFERROR(VLOOKUP(K1215,'VALORES VIAJES'!$A$2:$B$24,2,FALSE),"")</f>
        <v/>
      </c>
      <c r="X1215" s="208">
        <f>SUM(Hoja1[[#This Row],[$ X TIP VEHICUL]:[AGREGADO]])</f>
        <v>0</v>
      </c>
    </row>
    <row r="1216" spans="2:24" hidden="1" x14ac:dyDescent="0.25">
      <c r="B1216" s="189"/>
      <c r="J1216" s="189"/>
      <c r="M1216" s="205"/>
      <c r="S1216" t="str">
        <f>IFERROR(VLOOKUP(E1216,'VALORES VIAJES'!$A$2:$B$13,2,FALSE),"")</f>
        <v/>
      </c>
      <c r="T1216" t="str">
        <f>IFERROR(VLOOKUP(H1216,'VALORES VIAJES'!$A$2:$B$24,2,FALSE),"")</f>
        <v/>
      </c>
      <c r="U1216" t="str">
        <f>IFERROR(VLOOKUP(I1216,'VALORES VIAJES'!$A$2:$B$24,2,FALSE),"")</f>
        <v/>
      </c>
      <c r="V1216" t="str">
        <f>IFERROR(VLOOKUP(K1216,'VALORES VIAJES'!$A$2:$B$24,2,FALSE),"")</f>
        <v/>
      </c>
      <c r="X1216" s="208">
        <f>SUM(Hoja1[[#This Row],[$ X TIP VEHICUL]:[AGREGADO]])</f>
        <v>0</v>
      </c>
    </row>
    <row r="1217" spans="2:24" hidden="1" x14ac:dyDescent="0.25">
      <c r="B1217" s="189"/>
      <c r="J1217" s="189"/>
      <c r="M1217" s="205"/>
      <c r="S1217" t="str">
        <f>IFERROR(VLOOKUP(E1217,'VALORES VIAJES'!$A$2:$B$13,2,FALSE),"")</f>
        <v/>
      </c>
      <c r="T1217" t="str">
        <f>IFERROR(VLOOKUP(H1217,'VALORES VIAJES'!$A$2:$B$24,2,FALSE),"")</f>
        <v/>
      </c>
      <c r="U1217" t="str">
        <f>IFERROR(VLOOKUP(I1217,'VALORES VIAJES'!$A$2:$B$24,2,FALSE),"")</f>
        <v/>
      </c>
      <c r="V1217" t="str">
        <f>IFERROR(VLOOKUP(K1217,'VALORES VIAJES'!$A$2:$B$24,2,FALSE),"")</f>
        <v/>
      </c>
      <c r="X1217" s="208">
        <f>SUM(Hoja1[[#This Row],[$ X TIP VEHICUL]:[AGREGADO]])</f>
        <v>0</v>
      </c>
    </row>
    <row r="1218" spans="2:24" hidden="1" x14ac:dyDescent="0.25">
      <c r="B1218" s="189"/>
      <c r="J1218" s="189"/>
      <c r="M1218" s="205"/>
      <c r="S1218" t="str">
        <f>IFERROR(VLOOKUP(E1218,'VALORES VIAJES'!$A$2:$B$13,2,FALSE),"")</f>
        <v/>
      </c>
      <c r="T1218" t="str">
        <f>IFERROR(VLOOKUP(H1218,'VALORES VIAJES'!$A$2:$B$24,2,FALSE),"")</f>
        <v/>
      </c>
      <c r="U1218" t="str">
        <f>IFERROR(VLOOKUP(I1218,'VALORES VIAJES'!$A$2:$B$24,2,FALSE),"")</f>
        <v/>
      </c>
      <c r="V1218" t="str">
        <f>IFERROR(VLOOKUP(K1218,'VALORES VIAJES'!$A$2:$B$24,2,FALSE),"")</f>
        <v/>
      </c>
      <c r="X1218" s="208">
        <f>SUM(Hoja1[[#This Row],[$ X TIP VEHICUL]:[AGREGADO]])</f>
        <v>0</v>
      </c>
    </row>
    <row r="1219" spans="2:24" hidden="1" x14ac:dyDescent="0.25">
      <c r="B1219" s="189"/>
      <c r="J1219" s="189"/>
      <c r="M1219" s="205"/>
      <c r="S1219" t="str">
        <f>IFERROR(VLOOKUP(E1219,'VALORES VIAJES'!$A$2:$B$13,2,FALSE),"")</f>
        <v/>
      </c>
      <c r="T1219" t="str">
        <f>IFERROR(VLOOKUP(H1219,'VALORES VIAJES'!$A$2:$B$24,2,FALSE),"")</f>
        <v/>
      </c>
      <c r="U1219" t="str">
        <f>IFERROR(VLOOKUP(I1219,'VALORES VIAJES'!$A$2:$B$24,2,FALSE),"")</f>
        <v/>
      </c>
      <c r="V1219" t="str">
        <f>IFERROR(VLOOKUP(K1219,'VALORES VIAJES'!$A$2:$B$24,2,FALSE),"")</f>
        <v/>
      </c>
      <c r="X1219" s="208">
        <f>SUM(Hoja1[[#This Row],[$ X TIP VEHICUL]:[AGREGADO]])</f>
        <v>0</v>
      </c>
    </row>
    <row r="1220" spans="2:24" hidden="1" x14ac:dyDescent="0.25">
      <c r="B1220" s="189"/>
      <c r="J1220" s="189"/>
      <c r="M1220" s="205"/>
      <c r="S1220" t="str">
        <f>IFERROR(VLOOKUP(E1220,'VALORES VIAJES'!$A$2:$B$13,2,FALSE),"")</f>
        <v/>
      </c>
      <c r="T1220" t="str">
        <f>IFERROR(VLOOKUP(H1220,'VALORES VIAJES'!$A$2:$B$24,2,FALSE),"")</f>
        <v/>
      </c>
      <c r="U1220" t="str">
        <f>IFERROR(VLOOKUP(I1220,'VALORES VIAJES'!$A$2:$B$24,2,FALSE),"")</f>
        <v/>
      </c>
      <c r="V1220" t="str">
        <f>IFERROR(VLOOKUP(K1220,'VALORES VIAJES'!$A$2:$B$24,2,FALSE),"")</f>
        <v/>
      </c>
      <c r="X1220" s="208">
        <f>SUM(Hoja1[[#This Row],[$ X TIP VEHICUL]:[AGREGADO]])</f>
        <v>0</v>
      </c>
    </row>
    <row r="1221" spans="2:24" hidden="1" x14ac:dyDescent="0.25">
      <c r="B1221" s="189"/>
      <c r="J1221" s="189"/>
      <c r="M1221" s="205"/>
      <c r="S1221" t="str">
        <f>IFERROR(VLOOKUP(E1221,'VALORES VIAJES'!$A$2:$B$13,2,FALSE),"")</f>
        <v/>
      </c>
      <c r="T1221" t="str">
        <f>IFERROR(VLOOKUP(H1221,'VALORES VIAJES'!$A$2:$B$24,2,FALSE),"")</f>
        <v/>
      </c>
      <c r="U1221" t="str">
        <f>IFERROR(VLOOKUP(I1221,'VALORES VIAJES'!$A$2:$B$24,2,FALSE),"")</f>
        <v/>
      </c>
      <c r="V1221" t="str">
        <f>IFERROR(VLOOKUP(K1221,'VALORES VIAJES'!$A$2:$B$24,2,FALSE),"")</f>
        <v/>
      </c>
      <c r="X1221" s="208">
        <f>SUM(Hoja1[[#This Row],[$ X TIP VEHICUL]:[AGREGADO]])</f>
        <v>0</v>
      </c>
    </row>
    <row r="1222" spans="2:24" hidden="1" x14ac:dyDescent="0.25">
      <c r="B1222" s="189"/>
      <c r="J1222" s="189"/>
      <c r="M1222" s="205"/>
      <c r="S1222" t="str">
        <f>IFERROR(VLOOKUP(E1222,'VALORES VIAJES'!$A$2:$B$13,2,FALSE),"")</f>
        <v/>
      </c>
      <c r="T1222" t="str">
        <f>IFERROR(VLOOKUP(H1222,'VALORES VIAJES'!$A$2:$B$24,2,FALSE),"")</f>
        <v/>
      </c>
      <c r="U1222" t="str">
        <f>IFERROR(VLOOKUP(I1222,'VALORES VIAJES'!$A$2:$B$24,2,FALSE),"")</f>
        <v/>
      </c>
      <c r="V1222" t="str">
        <f>IFERROR(VLOOKUP(K1222,'VALORES VIAJES'!$A$2:$B$24,2,FALSE),"")</f>
        <v/>
      </c>
      <c r="X1222" s="208">
        <f>SUM(Hoja1[[#This Row],[$ X TIP VEHICUL]:[AGREGADO]])</f>
        <v>0</v>
      </c>
    </row>
    <row r="1223" spans="2:24" hidden="1" x14ac:dyDescent="0.25">
      <c r="B1223" s="189"/>
      <c r="J1223" s="189"/>
      <c r="M1223" s="205"/>
      <c r="S1223" t="str">
        <f>IFERROR(VLOOKUP(E1223,'VALORES VIAJES'!$A$2:$B$13,2,FALSE),"")</f>
        <v/>
      </c>
      <c r="T1223" t="str">
        <f>IFERROR(VLOOKUP(H1223,'VALORES VIAJES'!$A$2:$B$24,2,FALSE),"")</f>
        <v/>
      </c>
      <c r="U1223" t="str">
        <f>IFERROR(VLOOKUP(I1223,'VALORES VIAJES'!$A$2:$B$24,2,FALSE),"")</f>
        <v/>
      </c>
      <c r="V1223" t="str">
        <f>IFERROR(VLOOKUP(K1223,'VALORES VIAJES'!$A$2:$B$24,2,FALSE),"")</f>
        <v/>
      </c>
      <c r="X1223" s="208">
        <f>SUM(Hoja1[[#This Row],[$ X TIP VEHICUL]:[AGREGADO]])</f>
        <v>0</v>
      </c>
    </row>
    <row r="1224" spans="2:24" hidden="1" x14ac:dyDescent="0.25">
      <c r="B1224" s="189"/>
      <c r="J1224" s="189"/>
      <c r="M1224" s="205"/>
      <c r="S1224" t="str">
        <f>IFERROR(VLOOKUP(E1224,'VALORES VIAJES'!$A$2:$B$13,2,FALSE),"")</f>
        <v/>
      </c>
      <c r="T1224" t="str">
        <f>IFERROR(VLOOKUP(H1224,'VALORES VIAJES'!$A$2:$B$24,2,FALSE),"")</f>
        <v/>
      </c>
      <c r="U1224" t="str">
        <f>IFERROR(VLOOKUP(I1224,'VALORES VIAJES'!$A$2:$B$24,2,FALSE),"")</f>
        <v/>
      </c>
      <c r="V1224" t="str">
        <f>IFERROR(VLOOKUP(K1224,'VALORES VIAJES'!$A$2:$B$24,2,FALSE),"")</f>
        <v/>
      </c>
      <c r="X1224" s="208">
        <f>SUM(Hoja1[[#This Row],[$ X TIP VEHICUL]:[AGREGADO]])</f>
        <v>0</v>
      </c>
    </row>
    <row r="1225" spans="2:24" hidden="1" x14ac:dyDescent="0.25">
      <c r="B1225" s="189"/>
      <c r="J1225" s="189"/>
      <c r="M1225" s="205"/>
      <c r="S1225" t="str">
        <f>IFERROR(VLOOKUP(E1225,'VALORES VIAJES'!$A$2:$B$13,2,FALSE),"")</f>
        <v/>
      </c>
      <c r="T1225" t="str">
        <f>IFERROR(VLOOKUP(H1225,'VALORES VIAJES'!$A$2:$B$24,2,FALSE),"")</f>
        <v/>
      </c>
      <c r="U1225" t="str">
        <f>IFERROR(VLOOKUP(I1225,'VALORES VIAJES'!$A$2:$B$24,2,FALSE),"")</f>
        <v/>
      </c>
      <c r="V1225" t="str">
        <f>IFERROR(VLOOKUP(K1225,'VALORES VIAJES'!$A$2:$B$24,2,FALSE),"")</f>
        <v/>
      </c>
      <c r="X1225" s="208">
        <f>SUM(Hoja1[[#This Row],[$ X TIP VEHICUL]:[AGREGADO]])</f>
        <v>0</v>
      </c>
    </row>
    <row r="1226" spans="2:24" hidden="1" x14ac:dyDescent="0.25">
      <c r="B1226" s="189"/>
      <c r="J1226" s="189"/>
      <c r="M1226" s="205"/>
      <c r="S1226" t="str">
        <f>IFERROR(VLOOKUP(E1226,'VALORES VIAJES'!$A$2:$B$13,2,FALSE),"")</f>
        <v/>
      </c>
      <c r="T1226" t="str">
        <f>IFERROR(VLOOKUP(H1226,'VALORES VIAJES'!$A$2:$B$24,2,FALSE),"")</f>
        <v/>
      </c>
      <c r="U1226" t="str">
        <f>IFERROR(VLOOKUP(I1226,'VALORES VIAJES'!$A$2:$B$24,2,FALSE),"")</f>
        <v/>
      </c>
      <c r="V1226" t="str">
        <f>IFERROR(VLOOKUP(K1226,'VALORES VIAJES'!$A$2:$B$24,2,FALSE),"")</f>
        <v/>
      </c>
      <c r="X1226" s="208">
        <f>SUM(Hoja1[[#This Row],[$ X TIP VEHICUL]:[AGREGADO]])</f>
        <v>0</v>
      </c>
    </row>
    <row r="1227" spans="2:24" hidden="1" x14ac:dyDescent="0.25">
      <c r="B1227" s="189"/>
      <c r="J1227" s="189"/>
      <c r="M1227" s="205"/>
      <c r="S1227" t="str">
        <f>IFERROR(VLOOKUP(E1227,'VALORES VIAJES'!$A$2:$B$13,2,FALSE),"")</f>
        <v/>
      </c>
      <c r="T1227" t="str">
        <f>IFERROR(VLOOKUP(H1227,'VALORES VIAJES'!$A$2:$B$24,2,FALSE),"")</f>
        <v/>
      </c>
      <c r="U1227" t="str">
        <f>IFERROR(VLOOKUP(I1227,'VALORES VIAJES'!$A$2:$B$24,2,FALSE),"")</f>
        <v/>
      </c>
      <c r="V1227" t="str">
        <f>IFERROR(VLOOKUP(K1227,'VALORES VIAJES'!$A$2:$B$24,2,FALSE),"")</f>
        <v/>
      </c>
      <c r="X1227" s="208">
        <f>SUM(Hoja1[[#This Row],[$ X TIP VEHICUL]:[AGREGADO]])</f>
        <v>0</v>
      </c>
    </row>
    <row r="1228" spans="2:24" hidden="1" x14ac:dyDescent="0.25">
      <c r="B1228" s="189"/>
      <c r="J1228" s="189"/>
      <c r="M1228" s="205"/>
      <c r="S1228" t="str">
        <f>IFERROR(VLOOKUP(E1228,'VALORES VIAJES'!$A$2:$B$13,2,FALSE),"")</f>
        <v/>
      </c>
      <c r="T1228" t="str">
        <f>IFERROR(VLOOKUP(H1228,'VALORES VIAJES'!$A$2:$B$24,2,FALSE),"")</f>
        <v/>
      </c>
      <c r="U1228" t="str">
        <f>IFERROR(VLOOKUP(I1228,'VALORES VIAJES'!$A$2:$B$24,2,FALSE),"")</f>
        <v/>
      </c>
      <c r="V1228" t="str">
        <f>IFERROR(VLOOKUP(K1228,'VALORES VIAJES'!$A$2:$B$24,2,FALSE),"")</f>
        <v/>
      </c>
      <c r="X1228" s="208">
        <f>SUM(Hoja1[[#This Row],[$ X TIP VEHICUL]:[AGREGADO]])</f>
        <v>0</v>
      </c>
    </row>
    <row r="1229" spans="2:24" hidden="1" x14ac:dyDescent="0.25">
      <c r="B1229" s="189"/>
      <c r="J1229" s="189"/>
      <c r="M1229" s="205"/>
      <c r="S1229" t="str">
        <f>IFERROR(VLOOKUP(E1229,'VALORES VIAJES'!$A$2:$B$13,2,FALSE),"")</f>
        <v/>
      </c>
      <c r="T1229" t="str">
        <f>IFERROR(VLOOKUP(H1229,'VALORES VIAJES'!$A$2:$B$24,2,FALSE),"")</f>
        <v/>
      </c>
      <c r="U1229" t="str">
        <f>IFERROR(VLOOKUP(I1229,'VALORES VIAJES'!$A$2:$B$24,2,FALSE),"")</f>
        <v/>
      </c>
      <c r="V1229" t="str">
        <f>IFERROR(VLOOKUP(K1229,'VALORES VIAJES'!$A$2:$B$24,2,FALSE),"")</f>
        <v/>
      </c>
      <c r="X1229" s="208">
        <f>SUM(Hoja1[[#This Row],[$ X TIP VEHICUL]:[AGREGADO]])</f>
        <v>0</v>
      </c>
    </row>
    <row r="1230" spans="2:24" hidden="1" x14ac:dyDescent="0.25">
      <c r="B1230" s="189"/>
      <c r="J1230" s="189"/>
      <c r="M1230" s="205"/>
      <c r="S1230" t="str">
        <f>IFERROR(VLOOKUP(E1230,'VALORES VIAJES'!$A$2:$B$13,2,FALSE),"")</f>
        <v/>
      </c>
      <c r="T1230" t="str">
        <f>IFERROR(VLOOKUP(H1230,'VALORES VIAJES'!$A$2:$B$24,2,FALSE),"")</f>
        <v/>
      </c>
      <c r="U1230" t="str">
        <f>IFERROR(VLOOKUP(I1230,'VALORES VIAJES'!$A$2:$B$24,2,FALSE),"")</f>
        <v/>
      </c>
      <c r="V1230" t="str">
        <f>IFERROR(VLOOKUP(K1230,'VALORES VIAJES'!$A$2:$B$24,2,FALSE),"")</f>
        <v/>
      </c>
      <c r="X1230" s="208">
        <f>SUM(Hoja1[[#This Row],[$ X TIP VEHICUL]:[AGREGADO]])</f>
        <v>0</v>
      </c>
    </row>
    <row r="1231" spans="2:24" hidden="1" x14ac:dyDescent="0.25">
      <c r="B1231" s="189"/>
      <c r="J1231" s="189"/>
      <c r="M1231" s="205"/>
      <c r="S1231" t="str">
        <f>IFERROR(VLOOKUP(E1231,'VALORES VIAJES'!$A$2:$B$13,2,FALSE),"")</f>
        <v/>
      </c>
      <c r="T1231" t="str">
        <f>IFERROR(VLOOKUP(H1231,'VALORES VIAJES'!$A$2:$B$24,2,FALSE),"")</f>
        <v/>
      </c>
      <c r="U1231" t="str">
        <f>IFERROR(VLOOKUP(I1231,'VALORES VIAJES'!$A$2:$B$24,2,FALSE),"")</f>
        <v/>
      </c>
      <c r="V1231" t="str">
        <f>IFERROR(VLOOKUP(K1231,'VALORES VIAJES'!$A$2:$B$24,2,FALSE),"")</f>
        <v/>
      </c>
      <c r="X1231" s="208">
        <f>SUM(Hoja1[[#This Row],[$ X TIP VEHICUL]:[AGREGADO]])</f>
        <v>0</v>
      </c>
    </row>
    <row r="1232" spans="2:24" hidden="1" x14ac:dyDescent="0.25">
      <c r="B1232" s="189"/>
      <c r="J1232" s="189"/>
      <c r="M1232" s="205"/>
      <c r="S1232" t="str">
        <f>IFERROR(VLOOKUP(E1232,'VALORES VIAJES'!$A$2:$B$13,2,FALSE),"")</f>
        <v/>
      </c>
      <c r="T1232" t="str">
        <f>IFERROR(VLOOKUP(H1232,'VALORES VIAJES'!$A$2:$B$24,2,FALSE),"")</f>
        <v/>
      </c>
      <c r="U1232" t="str">
        <f>IFERROR(VLOOKUP(I1232,'VALORES VIAJES'!$A$2:$B$24,2,FALSE),"")</f>
        <v/>
      </c>
      <c r="V1232" t="str">
        <f>IFERROR(VLOOKUP(K1232,'VALORES VIAJES'!$A$2:$B$24,2,FALSE),"")</f>
        <v/>
      </c>
      <c r="X1232" s="208">
        <f>SUM(Hoja1[[#This Row],[$ X TIP VEHICUL]:[AGREGADO]])</f>
        <v>0</v>
      </c>
    </row>
    <row r="1233" spans="2:24" hidden="1" x14ac:dyDescent="0.25">
      <c r="B1233" s="189"/>
      <c r="J1233" s="189"/>
      <c r="M1233" s="205"/>
      <c r="S1233" t="str">
        <f>IFERROR(VLOOKUP(E1233,'VALORES VIAJES'!$A$2:$B$13,2,FALSE),"")</f>
        <v/>
      </c>
      <c r="T1233" t="str">
        <f>IFERROR(VLOOKUP(H1233,'VALORES VIAJES'!$A$2:$B$24,2,FALSE),"")</f>
        <v/>
      </c>
      <c r="U1233" t="str">
        <f>IFERROR(VLOOKUP(I1233,'VALORES VIAJES'!$A$2:$B$24,2,FALSE),"")</f>
        <v/>
      </c>
      <c r="V1233" t="str">
        <f>IFERROR(VLOOKUP(K1233,'VALORES VIAJES'!$A$2:$B$24,2,FALSE),"")</f>
        <v/>
      </c>
      <c r="X1233" s="208">
        <f>SUM(Hoja1[[#This Row],[$ X TIP VEHICUL]:[AGREGADO]])</f>
        <v>0</v>
      </c>
    </row>
    <row r="1234" spans="2:24" hidden="1" x14ac:dyDescent="0.25">
      <c r="B1234" s="189"/>
      <c r="J1234" s="189"/>
      <c r="M1234" s="205"/>
      <c r="S1234" t="str">
        <f>IFERROR(VLOOKUP(E1234,'VALORES VIAJES'!$A$2:$B$13,2,FALSE),"")</f>
        <v/>
      </c>
      <c r="T1234" t="str">
        <f>IFERROR(VLOOKUP(H1234,'VALORES VIAJES'!$A$2:$B$24,2,FALSE),"")</f>
        <v/>
      </c>
      <c r="U1234" t="str">
        <f>IFERROR(VLOOKUP(I1234,'VALORES VIAJES'!$A$2:$B$24,2,FALSE),"")</f>
        <v/>
      </c>
      <c r="V1234" t="str">
        <f>IFERROR(VLOOKUP(K1234,'VALORES VIAJES'!$A$2:$B$24,2,FALSE),"")</f>
        <v/>
      </c>
      <c r="X1234" s="208">
        <f>SUM(Hoja1[[#This Row],[$ X TIP VEHICUL]:[AGREGADO]])</f>
        <v>0</v>
      </c>
    </row>
    <row r="1235" spans="2:24" hidden="1" x14ac:dyDescent="0.25">
      <c r="B1235" s="189"/>
      <c r="J1235" s="189"/>
      <c r="M1235" s="205"/>
      <c r="S1235" t="str">
        <f>IFERROR(VLOOKUP(E1235,'VALORES VIAJES'!$A$2:$B$13,2,FALSE),"")</f>
        <v/>
      </c>
      <c r="T1235" t="str">
        <f>IFERROR(VLOOKUP(H1235,'VALORES VIAJES'!$A$2:$B$24,2,FALSE),"")</f>
        <v/>
      </c>
      <c r="U1235" t="str">
        <f>IFERROR(VLOOKUP(I1235,'VALORES VIAJES'!$A$2:$B$24,2,FALSE),"")</f>
        <v/>
      </c>
      <c r="V1235" t="str">
        <f>IFERROR(VLOOKUP(K1235,'VALORES VIAJES'!$A$2:$B$24,2,FALSE),"")</f>
        <v/>
      </c>
      <c r="X1235" s="208">
        <f>SUM(Hoja1[[#This Row],[$ X TIP VEHICUL]:[AGREGADO]])</f>
        <v>0</v>
      </c>
    </row>
    <row r="1236" spans="2:24" hidden="1" x14ac:dyDescent="0.25">
      <c r="B1236" s="189"/>
      <c r="J1236" s="189"/>
      <c r="M1236" s="205"/>
      <c r="S1236" t="str">
        <f>IFERROR(VLOOKUP(E1236,'VALORES VIAJES'!$A$2:$B$13,2,FALSE),"")</f>
        <v/>
      </c>
      <c r="T1236" t="str">
        <f>IFERROR(VLOOKUP(H1236,'VALORES VIAJES'!$A$2:$B$24,2,FALSE),"")</f>
        <v/>
      </c>
      <c r="U1236" t="str">
        <f>IFERROR(VLOOKUP(I1236,'VALORES VIAJES'!$A$2:$B$24,2,FALSE),"")</f>
        <v/>
      </c>
      <c r="V1236" t="str">
        <f>IFERROR(VLOOKUP(K1236,'VALORES VIAJES'!$A$2:$B$24,2,FALSE),"")</f>
        <v/>
      </c>
      <c r="X1236" s="208">
        <f>SUM(Hoja1[[#This Row],[$ X TIP VEHICUL]:[AGREGADO]])</f>
        <v>0</v>
      </c>
    </row>
    <row r="1237" spans="2:24" hidden="1" x14ac:dyDescent="0.25">
      <c r="B1237" s="189"/>
      <c r="J1237" s="189"/>
      <c r="M1237" s="205"/>
      <c r="S1237" t="str">
        <f>IFERROR(VLOOKUP(E1237,'VALORES VIAJES'!$A$2:$B$13,2,FALSE),"")</f>
        <v/>
      </c>
      <c r="T1237" t="str">
        <f>IFERROR(VLOOKUP(H1237,'VALORES VIAJES'!$A$2:$B$24,2,FALSE),"")</f>
        <v/>
      </c>
      <c r="U1237" t="str">
        <f>IFERROR(VLOOKUP(I1237,'VALORES VIAJES'!$A$2:$B$24,2,FALSE),"")</f>
        <v/>
      </c>
      <c r="V1237" t="str">
        <f>IFERROR(VLOOKUP(K1237,'VALORES VIAJES'!$A$2:$B$24,2,FALSE),"")</f>
        <v/>
      </c>
      <c r="X1237" s="208">
        <f>SUM(Hoja1[[#This Row],[$ X TIP VEHICUL]:[AGREGADO]])</f>
        <v>0</v>
      </c>
    </row>
    <row r="1238" spans="2:24" hidden="1" x14ac:dyDescent="0.25">
      <c r="B1238" s="189"/>
      <c r="J1238" s="189"/>
      <c r="M1238" s="205"/>
      <c r="S1238" t="str">
        <f>IFERROR(VLOOKUP(E1238,'VALORES VIAJES'!$A$2:$B$13,2,FALSE),"")</f>
        <v/>
      </c>
      <c r="T1238" t="str">
        <f>IFERROR(VLOOKUP(H1238,'VALORES VIAJES'!$A$2:$B$24,2,FALSE),"")</f>
        <v/>
      </c>
      <c r="U1238" t="str">
        <f>IFERROR(VLOOKUP(I1238,'VALORES VIAJES'!$A$2:$B$24,2,FALSE),"")</f>
        <v/>
      </c>
      <c r="V1238" t="str">
        <f>IFERROR(VLOOKUP(K1238,'VALORES VIAJES'!$A$2:$B$24,2,FALSE),"")</f>
        <v/>
      </c>
      <c r="X1238" s="208">
        <f>SUM(Hoja1[[#This Row],[$ X TIP VEHICUL]:[AGREGADO]])</f>
        <v>0</v>
      </c>
    </row>
    <row r="1239" spans="2:24" hidden="1" x14ac:dyDescent="0.25">
      <c r="B1239" s="189"/>
      <c r="J1239" s="189"/>
      <c r="M1239" s="205"/>
      <c r="S1239" t="str">
        <f>IFERROR(VLOOKUP(E1239,'VALORES VIAJES'!$A$2:$B$13,2,FALSE),"")</f>
        <v/>
      </c>
      <c r="T1239" t="str">
        <f>IFERROR(VLOOKUP(H1239,'VALORES VIAJES'!$A$2:$B$24,2,FALSE),"")</f>
        <v/>
      </c>
      <c r="U1239" t="str">
        <f>IFERROR(VLOOKUP(I1239,'VALORES VIAJES'!$A$2:$B$24,2,FALSE),"")</f>
        <v/>
      </c>
      <c r="V1239" t="str">
        <f>IFERROR(VLOOKUP(K1239,'VALORES VIAJES'!$A$2:$B$24,2,FALSE),"")</f>
        <v/>
      </c>
      <c r="X1239" s="208">
        <f>SUM(Hoja1[[#This Row],[$ X TIP VEHICUL]:[AGREGADO]])</f>
        <v>0</v>
      </c>
    </row>
    <row r="1240" spans="2:24" hidden="1" x14ac:dyDescent="0.25">
      <c r="B1240" s="189"/>
      <c r="J1240" s="189"/>
      <c r="M1240" s="205"/>
      <c r="S1240" t="str">
        <f>IFERROR(VLOOKUP(E1240,'VALORES VIAJES'!$A$2:$B$13,2,FALSE),"")</f>
        <v/>
      </c>
      <c r="T1240" t="str">
        <f>IFERROR(VLOOKUP(H1240,'VALORES VIAJES'!$A$2:$B$24,2,FALSE),"")</f>
        <v/>
      </c>
      <c r="U1240" t="str">
        <f>IFERROR(VLOOKUP(I1240,'VALORES VIAJES'!$A$2:$B$24,2,FALSE),"")</f>
        <v/>
      </c>
      <c r="V1240" t="str">
        <f>IFERROR(VLOOKUP(K1240,'VALORES VIAJES'!$A$2:$B$24,2,FALSE),"")</f>
        <v/>
      </c>
      <c r="X1240" s="208">
        <f>SUM(Hoja1[[#This Row],[$ X TIP VEHICUL]:[AGREGADO]])</f>
        <v>0</v>
      </c>
    </row>
    <row r="1241" spans="2:24" hidden="1" x14ac:dyDescent="0.25">
      <c r="B1241" s="189"/>
      <c r="J1241" s="189"/>
      <c r="M1241" s="205"/>
      <c r="S1241" t="str">
        <f>IFERROR(VLOOKUP(E1241,'VALORES VIAJES'!$A$2:$B$13,2,FALSE),"")</f>
        <v/>
      </c>
      <c r="T1241" t="str">
        <f>IFERROR(VLOOKUP(H1241,'VALORES VIAJES'!$A$2:$B$24,2,FALSE),"")</f>
        <v/>
      </c>
      <c r="U1241" t="str">
        <f>IFERROR(VLOOKUP(I1241,'VALORES VIAJES'!$A$2:$B$24,2,FALSE),"")</f>
        <v/>
      </c>
      <c r="V1241" t="str">
        <f>IFERROR(VLOOKUP(K1241,'VALORES VIAJES'!$A$2:$B$24,2,FALSE),"")</f>
        <v/>
      </c>
      <c r="X1241" s="208">
        <f>SUM(Hoja1[[#This Row],[$ X TIP VEHICUL]:[AGREGADO]])</f>
        <v>0</v>
      </c>
    </row>
    <row r="1242" spans="2:24" hidden="1" x14ac:dyDescent="0.25">
      <c r="B1242" s="189"/>
      <c r="J1242" s="189"/>
      <c r="M1242" s="205"/>
      <c r="S1242" t="str">
        <f>IFERROR(VLOOKUP(E1242,'VALORES VIAJES'!$A$2:$B$13,2,FALSE),"")</f>
        <v/>
      </c>
      <c r="T1242" t="str">
        <f>IFERROR(VLOOKUP(H1242,'VALORES VIAJES'!$A$2:$B$24,2,FALSE),"")</f>
        <v/>
      </c>
      <c r="U1242" t="str">
        <f>IFERROR(VLOOKUP(I1242,'VALORES VIAJES'!$A$2:$B$24,2,FALSE),"")</f>
        <v/>
      </c>
      <c r="V1242" t="str">
        <f>IFERROR(VLOOKUP(K1242,'VALORES VIAJES'!$A$2:$B$24,2,FALSE),"")</f>
        <v/>
      </c>
      <c r="X1242" s="208">
        <f>SUM(Hoja1[[#This Row],[$ X TIP VEHICUL]:[AGREGADO]])</f>
        <v>0</v>
      </c>
    </row>
    <row r="1243" spans="2:24" hidden="1" x14ac:dyDescent="0.25">
      <c r="B1243" s="189"/>
      <c r="J1243" s="189"/>
      <c r="M1243" s="205"/>
      <c r="S1243" t="str">
        <f>IFERROR(VLOOKUP(E1243,'VALORES VIAJES'!$A$2:$B$13,2,FALSE),"")</f>
        <v/>
      </c>
      <c r="T1243" t="str">
        <f>IFERROR(VLOOKUP(H1243,'VALORES VIAJES'!$A$2:$B$24,2,FALSE),"")</f>
        <v/>
      </c>
      <c r="U1243" t="str">
        <f>IFERROR(VLOOKUP(I1243,'VALORES VIAJES'!$A$2:$B$24,2,FALSE),"")</f>
        <v/>
      </c>
      <c r="V1243" t="str">
        <f>IFERROR(VLOOKUP(K1243,'VALORES VIAJES'!$A$2:$B$24,2,FALSE),"")</f>
        <v/>
      </c>
      <c r="X1243" s="208">
        <f>SUM(Hoja1[[#This Row],[$ X TIP VEHICUL]:[AGREGADO]])</f>
        <v>0</v>
      </c>
    </row>
    <row r="1244" spans="2:24" hidden="1" x14ac:dyDescent="0.25">
      <c r="B1244" s="189"/>
      <c r="J1244" s="189"/>
      <c r="M1244" s="205"/>
      <c r="S1244" t="str">
        <f>IFERROR(VLOOKUP(E1244,'VALORES VIAJES'!$A$2:$B$13,2,FALSE),"")</f>
        <v/>
      </c>
      <c r="T1244" t="str">
        <f>IFERROR(VLOOKUP(H1244,'VALORES VIAJES'!$A$2:$B$24,2,FALSE),"")</f>
        <v/>
      </c>
      <c r="U1244" t="str">
        <f>IFERROR(VLOOKUP(I1244,'VALORES VIAJES'!$A$2:$B$24,2,FALSE),"")</f>
        <v/>
      </c>
      <c r="V1244" t="str">
        <f>IFERROR(VLOOKUP(K1244,'VALORES VIAJES'!$A$2:$B$24,2,FALSE),"")</f>
        <v/>
      </c>
      <c r="X1244" s="208">
        <f>SUM(Hoja1[[#This Row],[$ X TIP VEHICUL]:[AGREGADO]])</f>
        <v>0</v>
      </c>
    </row>
    <row r="1245" spans="2:24" hidden="1" x14ac:dyDescent="0.25">
      <c r="B1245" s="189"/>
      <c r="J1245" s="189"/>
      <c r="M1245" s="205"/>
      <c r="S1245" t="str">
        <f>IFERROR(VLOOKUP(E1245,'VALORES VIAJES'!$A$2:$B$13,2,FALSE),"")</f>
        <v/>
      </c>
      <c r="T1245" t="str">
        <f>IFERROR(VLOOKUP(H1245,'VALORES VIAJES'!$A$2:$B$24,2,FALSE),"")</f>
        <v/>
      </c>
      <c r="U1245" t="str">
        <f>IFERROR(VLOOKUP(I1245,'VALORES VIAJES'!$A$2:$B$24,2,FALSE),"")</f>
        <v/>
      </c>
      <c r="V1245" t="str">
        <f>IFERROR(VLOOKUP(K1245,'VALORES VIAJES'!$A$2:$B$24,2,FALSE),"")</f>
        <v/>
      </c>
      <c r="X1245" s="208">
        <f>SUM(Hoja1[[#This Row],[$ X TIP VEHICUL]:[AGREGADO]])</f>
        <v>0</v>
      </c>
    </row>
    <row r="1246" spans="2:24" hidden="1" x14ac:dyDescent="0.25">
      <c r="B1246" s="189"/>
      <c r="J1246" s="189"/>
      <c r="M1246" s="205"/>
      <c r="S1246" t="str">
        <f>IFERROR(VLOOKUP(E1246,'VALORES VIAJES'!$A$2:$B$13,2,FALSE),"")</f>
        <v/>
      </c>
      <c r="T1246" t="str">
        <f>IFERROR(VLOOKUP(H1246,'VALORES VIAJES'!$A$2:$B$24,2,FALSE),"")</f>
        <v/>
      </c>
      <c r="U1246" t="str">
        <f>IFERROR(VLOOKUP(I1246,'VALORES VIAJES'!$A$2:$B$24,2,FALSE),"")</f>
        <v/>
      </c>
      <c r="V1246" t="str">
        <f>IFERROR(VLOOKUP(K1246,'VALORES VIAJES'!$A$2:$B$24,2,FALSE),"")</f>
        <v/>
      </c>
      <c r="X1246" s="208">
        <f>SUM(Hoja1[[#This Row],[$ X TIP VEHICUL]:[AGREGADO]])</f>
        <v>0</v>
      </c>
    </row>
    <row r="1247" spans="2:24" hidden="1" x14ac:dyDescent="0.25">
      <c r="B1247" s="189"/>
      <c r="J1247" s="189"/>
      <c r="M1247" s="205"/>
      <c r="S1247" t="str">
        <f>IFERROR(VLOOKUP(E1247,'VALORES VIAJES'!$A$2:$B$13,2,FALSE),"")</f>
        <v/>
      </c>
      <c r="T1247" t="str">
        <f>IFERROR(VLOOKUP(H1247,'VALORES VIAJES'!$A$2:$B$24,2,FALSE),"")</f>
        <v/>
      </c>
      <c r="U1247" t="str">
        <f>IFERROR(VLOOKUP(I1247,'VALORES VIAJES'!$A$2:$B$24,2,FALSE),"")</f>
        <v/>
      </c>
      <c r="V1247" t="str">
        <f>IFERROR(VLOOKUP(K1247,'VALORES VIAJES'!$A$2:$B$24,2,FALSE),"")</f>
        <v/>
      </c>
      <c r="X1247" s="208">
        <f>SUM(Hoja1[[#This Row],[$ X TIP VEHICUL]:[AGREGADO]])</f>
        <v>0</v>
      </c>
    </row>
    <row r="1248" spans="2:24" hidden="1" x14ac:dyDescent="0.25">
      <c r="B1248" s="189"/>
      <c r="J1248" s="189"/>
      <c r="M1248" s="205"/>
      <c r="S1248" t="str">
        <f>IFERROR(VLOOKUP(E1248,'VALORES VIAJES'!$A$2:$B$13,2,FALSE),"")</f>
        <v/>
      </c>
      <c r="T1248" t="str">
        <f>IFERROR(VLOOKUP(H1248,'VALORES VIAJES'!$A$2:$B$24,2,FALSE),"")</f>
        <v/>
      </c>
      <c r="U1248" t="str">
        <f>IFERROR(VLOOKUP(I1248,'VALORES VIAJES'!$A$2:$B$24,2,FALSE),"")</f>
        <v/>
      </c>
      <c r="V1248" t="str">
        <f>IFERROR(VLOOKUP(K1248,'VALORES VIAJES'!$A$2:$B$24,2,FALSE),"")</f>
        <v/>
      </c>
      <c r="X1248" s="208">
        <f>SUM(Hoja1[[#This Row],[$ X TIP VEHICUL]:[AGREGADO]])</f>
        <v>0</v>
      </c>
    </row>
    <row r="1249" spans="2:24" hidden="1" x14ac:dyDescent="0.25">
      <c r="B1249" s="189"/>
      <c r="J1249" s="189"/>
      <c r="M1249" s="205"/>
      <c r="S1249" t="str">
        <f>IFERROR(VLOOKUP(E1249,'VALORES VIAJES'!$A$2:$B$13,2,FALSE),"")</f>
        <v/>
      </c>
      <c r="T1249" t="str">
        <f>IFERROR(VLOOKUP(H1249,'VALORES VIAJES'!$A$2:$B$24,2,FALSE),"")</f>
        <v/>
      </c>
      <c r="U1249" t="str">
        <f>IFERROR(VLOOKUP(I1249,'VALORES VIAJES'!$A$2:$B$24,2,FALSE),"")</f>
        <v/>
      </c>
      <c r="V1249" t="str">
        <f>IFERROR(VLOOKUP(K1249,'VALORES VIAJES'!$A$2:$B$24,2,FALSE),"")</f>
        <v/>
      </c>
      <c r="X1249" s="208">
        <f>SUM(Hoja1[[#This Row],[$ X TIP VEHICUL]:[AGREGADO]])</f>
        <v>0</v>
      </c>
    </row>
    <row r="1250" spans="2:24" hidden="1" x14ac:dyDescent="0.25">
      <c r="B1250" s="189"/>
      <c r="J1250" s="189"/>
      <c r="M1250" s="205"/>
      <c r="S1250" t="str">
        <f>IFERROR(VLOOKUP(E1250,'VALORES VIAJES'!$A$2:$B$13,2,FALSE),"")</f>
        <v/>
      </c>
      <c r="T1250" t="str">
        <f>IFERROR(VLOOKUP(H1250,'VALORES VIAJES'!$A$2:$B$24,2,FALSE),"")</f>
        <v/>
      </c>
      <c r="U1250" t="str">
        <f>IFERROR(VLOOKUP(I1250,'VALORES VIAJES'!$A$2:$B$24,2,FALSE),"")</f>
        <v/>
      </c>
      <c r="V1250" t="str">
        <f>IFERROR(VLOOKUP(K1250,'VALORES VIAJES'!$A$2:$B$24,2,FALSE),"")</f>
        <v/>
      </c>
      <c r="X1250" s="208">
        <f>SUM(Hoja1[[#This Row],[$ X TIP VEHICUL]:[AGREGADO]])</f>
        <v>0</v>
      </c>
    </row>
    <row r="1251" spans="2:24" hidden="1" x14ac:dyDescent="0.25">
      <c r="B1251" s="189"/>
      <c r="J1251" s="189"/>
      <c r="M1251" s="205"/>
      <c r="S1251" t="str">
        <f>IFERROR(VLOOKUP(E1251,'VALORES VIAJES'!$A$2:$B$13,2,FALSE),"")</f>
        <v/>
      </c>
      <c r="T1251" t="str">
        <f>IFERROR(VLOOKUP(H1251,'VALORES VIAJES'!$A$2:$B$24,2,FALSE),"")</f>
        <v/>
      </c>
      <c r="U1251" t="str">
        <f>IFERROR(VLOOKUP(I1251,'VALORES VIAJES'!$A$2:$B$24,2,FALSE),"")</f>
        <v/>
      </c>
      <c r="V1251" t="str">
        <f>IFERROR(VLOOKUP(K1251,'VALORES VIAJES'!$A$2:$B$24,2,FALSE),"")</f>
        <v/>
      </c>
      <c r="X1251" s="208">
        <f>SUM(Hoja1[[#This Row],[$ X TIP VEHICUL]:[AGREGADO]])</f>
        <v>0</v>
      </c>
    </row>
    <row r="1252" spans="2:24" hidden="1" x14ac:dyDescent="0.25">
      <c r="B1252" s="189"/>
      <c r="J1252" s="189"/>
      <c r="M1252" s="205"/>
      <c r="S1252" t="str">
        <f>IFERROR(VLOOKUP(E1252,'VALORES VIAJES'!$A$2:$B$13,2,FALSE),"")</f>
        <v/>
      </c>
      <c r="T1252" t="str">
        <f>IFERROR(VLOOKUP(H1252,'VALORES VIAJES'!$A$2:$B$24,2,FALSE),"")</f>
        <v/>
      </c>
      <c r="U1252" t="str">
        <f>IFERROR(VLOOKUP(I1252,'VALORES VIAJES'!$A$2:$B$24,2,FALSE),"")</f>
        <v/>
      </c>
      <c r="V1252" t="str">
        <f>IFERROR(VLOOKUP(K1252,'VALORES VIAJES'!$A$2:$B$24,2,FALSE),"")</f>
        <v/>
      </c>
      <c r="X1252" s="208">
        <f>SUM(Hoja1[[#This Row],[$ X TIP VEHICUL]:[AGREGADO]])</f>
        <v>0</v>
      </c>
    </row>
    <row r="1253" spans="2:24" hidden="1" x14ac:dyDescent="0.25">
      <c r="B1253" s="189"/>
      <c r="J1253" s="189"/>
      <c r="M1253" s="205"/>
      <c r="S1253" t="str">
        <f>IFERROR(VLOOKUP(E1253,'VALORES VIAJES'!$A$2:$B$13,2,FALSE),"")</f>
        <v/>
      </c>
      <c r="T1253" t="str">
        <f>IFERROR(VLOOKUP(H1253,'VALORES VIAJES'!$A$2:$B$24,2,FALSE),"")</f>
        <v/>
      </c>
      <c r="U1253" t="str">
        <f>IFERROR(VLOOKUP(I1253,'VALORES VIAJES'!$A$2:$B$24,2,FALSE),"")</f>
        <v/>
      </c>
      <c r="V1253" t="str">
        <f>IFERROR(VLOOKUP(K1253,'VALORES VIAJES'!$A$2:$B$24,2,FALSE),"")</f>
        <v/>
      </c>
      <c r="X1253" s="208">
        <f>SUM(Hoja1[[#This Row],[$ X TIP VEHICUL]:[AGREGADO]])</f>
        <v>0</v>
      </c>
    </row>
    <row r="1254" spans="2:24" hidden="1" x14ac:dyDescent="0.25">
      <c r="B1254" s="189"/>
      <c r="J1254" s="189"/>
      <c r="M1254" s="205"/>
      <c r="S1254" t="str">
        <f>IFERROR(VLOOKUP(E1254,'VALORES VIAJES'!$A$2:$B$13,2,FALSE),"")</f>
        <v/>
      </c>
      <c r="T1254" t="str">
        <f>IFERROR(VLOOKUP(H1254,'VALORES VIAJES'!$A$2:$B$24,2,FALSE),"")</f>
        <v/>
      </c>
      <c r="U1254" t="str">
        <f>IFERROR(VLOOKUP(I1254,'VALORES VIAJES'!$A$2:$B$24,2,FALSE),"")</f>
        <v/>
      </c>
      <c r="V1254" t="str">
        <f>IFERROR(VLOOKUP(K1254,'VALORES VIAJES'!$A$2:$B$24,2,FALSE),"")</f>
        <v/>
      </c>
      <c r="X1254" s="208">
        <f>SUM(Hoja1[[#This Row],[$ X TIP VEHICUL]:[AGREGADO]])</f>
        <v>0</v>
      </c>
    </row>
    <row r="1255" spans="2:24" hidden="1" x14ac:dyDescent="0.25">
      <c r="B1255" s="189"/>
      <c r="J1255" s="189"/>
      <c r="M1255" s="205"/>
      <c r="S1255" t="str">
        <f>IFERROR(VLOOKUP(E1255,'VALORES VIAJES'!$A$2:$B$13,2,FALSE),"")</f>
        <v/>
      </c>
      <c r="T1255" t="str">
        <f>IFERROR(VLOOKUP(H1255,'VALORES VIAJES'!$A$2:$B$24,2,FALSE),"")</f>
        <v/>
      </c>
      <c r="U1255" t="str">
        <f>IFERROR(VLOOKUP(I1255,'VALORES VIAJES'!$A$2:$B$24,2,FALSE),"")</f>
        <v/>
      </c>
      <c r="V1255" t="str">
        <f>IFERROR(VLOOKUP(K1255,'VALORES VIAJES'!$A$2:$B$24,2,FALSE),"")</f>
        <v/>
      </c>
      <c r="X1255" s="208">
        <f>SUM(Hoja1[[#This Row],[$ X TIP VEHICUL]:[AGREGADO]])</f>
        <v>0</v>
      </c>
    </row>
    <row r="1256" spans="2:24" hidden="1" x14ac:dyDescent="0.25">
      <c r="B1256" s="189"/>
      <c r="J1256" s="189"/>
      <c r="M1256" s="205"/>
      <c r="S1256" t="str">
        <f>IFERROR(VLOOKUP(E1256,'VALORES VIAJES'!$A$2:$B$13,2,FALSE),"")</f>
        <v/>
      </c>
      <c r="T1256" t="str">
        <f>IFERROR(VLOOKUP(H1256,'VALORES VIAJES'!$A$2:$B$24,2,FALSE),"")</f>
        <v/>
      </c>
      <c r="U1256" t="str">
        <f>IFERROR(VLOOKUP(I1256,'VALORES VIAJES'!$A$2:$B$24,2,FALSE),"")</f>
        <v/>
      </c>
      <c r="V1256" t="str">
        <f>IFERROR(VLOOKUP(K1256,'VALORES VIAJES'!$A$2:$B$24,2,FALSE),"")</f>
        <v/>
      </c>
      <c r="X1256" s="208">
        <f>SUM(Hoja1[[#This Row],[$ X TIP VEHICUL]:[AGREGADO]])</f>
        <v>0</v>
      </c>
    </row>
    <row r="1257" spans="2:24" hidden="1" x14ac:dyDescent="0.25">
      <c r="B1257" s="189"/>
      <c r="J1257" s="189"/>
      <c r="M1257" s="205"/>
      <c r="S1257" t="str">
        <f>IFERROR(VLOOKUP(E1257,'VALORES VIAJES'!$A$2:$B$13,2,FALSE),"")</f>
        <v/>
      </c>
      <c r="T1257" t="str">
        <f>IFERROR(VLOOKUP(H1257,'VALORES VIAJES'!$A$2:$B$24,2,FALSE),"")</f>
        <v/>
      </c>
      <c r="U1257" t="str">
        <f>IFERROR(VLOOKUP(I1257,'VALORES VIAJES'!$A$2:$B$24,2,FALSE),"")</f>
        <v/>
      </c>
      <c r="V1257" t="str">
        <f>IFERROR(VLOOKUP(K1257,'VALORES VIAJES'!$A$2:$B$24,2,FALSE),"")</f>
        <v/>
      </c>
      <c r="X1257" s="208">
        <f>SUM(Hoja1[[#This Row],[$ X TIP VEHICUL]:[AGREGADO]])</f>
        <v>0</v>
      </c>
    </row>
    <row r="1258" spans="2:24" hidden="1" x14ac:dyDescent="0.25">
      <c r="B1258" s="189"/>
      <c r="J1258" s="189"/>
      <c r="M1258" s="205"/>
      <c r="S1258" t="str">
        <f>IFERROR(VLOOKUP(E1258,'VALORES VIAJES'!$A$2:$B$13,2,FALSE),"")</f>
        <v/>
      </c>
      <c r="T1258" t="str">
        <f>IFERROR(VLOOKUP(H1258,'VALORES VIAJES'!$A$2:$B$24,2,FALSE),"")</f>
        <v/>
      </c>
      <c r="U1258" t="str">
        <f>IFERROR(VLOOKUP(I1258,'VALORES VIAJES'!$A$2:$B$24,2,FALSE),"")</f>
        <v/>
      </c>
      <c r="V1258" t="str">
        <f>IFERROR(VLOOKUP(K1258,'VALORES VIAJES'!$A$2:$B$24,2,FALSE),"")</f>
        <v/>
      </c>
      <c r="X1258" s="208">
        <f>SUM(Hoja1[[#This Row],[$ X TIP VEHICUL]:[AGREGADO]])</f>
        <v>0</v>
      </c>
    </row>
    <row r="1259" spans="2:24" hidden="1" x14ac:dyDescent="0.25">
      <c r="B1259" s="189"/>
      <c r="J1259" s="189"/>
      <c r="M1259" s="205"/>
      <c r="S1259" t="str">
        <f>IFERROR(VLOOKUP(E1259,'VALORES VIAJES'!$A$2:$B$13,2,FALSE),"")</f>
        <v/>
      </c>
      <c r="T1259" t="str">
        <f>IFERROR(VLOOKUP(H1259,'VALORES VIAJES'!$A$2:$B$24,2,FALSE),"")</f>
        <v/>
      </c>
      <c r="U1259" t="str">
        <f>IFERROR(VLOOKUP(I1259,'VALORES VIAJES'!$A$2:$B$24,2,FALSE),"")</f>
        <v/>
      </c>
      <c r="V1259" t="str">
        <f>IFERROR(VLOOKUP(K1259,'VALORES VIAJES'!$A$2:$B$24,2,FALSE),"")</f>
        <v/>
      </c>
      <c r="X1259" s="208">
        <f>SUM(Hoja1[[#This Row],[$ X TIP VEHICUL]:[AGREGADO]])</f>
        <v>0</v>
      </c>
    </row>
    <row r="1260" spans="2:24" hidden="1" x14ac:dyDescent="0.25">
      <c r="B1260" s="189"/>
      <c r="J1260" s="189"/>
      <c r="M1260" s="205"/>
      <c r="S1260" t="str">
        <f>IFERROR(VLOOKUP(E1260,'VALORES VIAJES'!$A$2:$B$13,2,FALSE),"")</f>
        <v/>
      </c>
      <c r="T1260" t="str">
        <f>IFERROR(VLOOKUP(H1260,'VALORES VIAJES'!$A$2:$B$24,2,FALSE),"")</f>
        <v/>
      </c>
      <c r="U1260" t="str">
        <f>IFERROR(VLOOKUP(I1260,'VALORES VIAJES'!$A$2:$B$24,2,FALSE),"")</f>
        <v/>
      </c>
      <c r="V1260" t="str">
        <f>IFERROR(VLOOKUP(K1260,'VALORES VIAJES'!$A$2:$B$24,2,FALSE),"")</f>
        <v/>
      </c>
      <c r="X1260" s="208">
        <f>SUM(Hoja1[[#This Row],[$ X TIP VEHICUL]:[AGREGADO]])</f>
        <v>0</v>
      </c>
    </row>
    <row r="1261" spans="2:24" hidden="1" x14ac:dyDescent="0.25">
      <c r="B1261" s="189"/>
      <c r="J1261" s="189"/>
      <c r="M1261" s="205"/>
      <c r="S1261" t="str">
        <f>IFERROR(VLOOKUP(E1261,'VALORES VIAJES'!$A$2:$B$13,2,FALSE),"")</f>
        <v/>
      </c>
      <c r="T1261" t="str">
        <f>IFERROR(VLOOKUP(H1261,'VALORES VIAJES'!$A$2:$B$24,2,FALSE),"")</f>
        <v/>
      </c>
      <c r="U1261" t="str">
        <f>IFERROR(VLOOKUP(I1261,'VALORES VIAJES'!$A$2:$B$24,2,FALSE),"")</f>
        <v/>
      </c>
      <c r="V1261" t="str">
        <f>IFERROR(VLOOKUP(K1261,'VALORES VIAJES'!$A$2:$B$24,2,FALSE),"")</f>
        <v/>
      </c>
      <c r="X1261" s="208">
        <f>SUM(Hoja1[[#This Row],[$ X TIP VEHICUL]:[AGREGADO]])</f>
        <v>0</v>
      </c>
    </row>
    <row r="1262" spans="2:24" hidden="1" x14ac:dyDescent="0.25">
      <c r="B1262" s="189"/>
      <c r="J1262" s="189"/>
      <c r="M1262" s="205"/>
      <c r="S1262" t="str">
        <f>IFERROR(VLOOKUP(E1262,'VALORES VIAJES'!$A$2:$B$13,2,FALSE),"")</f>
        <v/>
      </c>
      <c r="T1262" t="str">
        <f>IFERROR(VLOOKUP(H1262,'VALORES VIAJES'!$A$2:$B$24,2,FALSE),"")</f>
        <v/>
      </c>
      <c r="U1262" t="str">
        <f>IFERROR(VLOOKUP(I1262,'VALORES VIAJES'!$A$2:$B$24,2,FALSE),"")</f>
        <v/>
      </c>
      <c r="V1262" t="str">
        <f>IFERROR(VLOOKUP(K1262,'VALORES VIAJES'!$A$2:$B$24,2,FALSE),"")</f>
        <v/>
      </c>
      <c r="X1262" s="208">
        <f>SUM(Hoja1[[#This Row],[$ X TIP VEHICUL]:[AGREGADO]])</f>
        <v>0</v>
      </c>
    </row>
    <row r="1263" spans="2:24" hidden="1" x14ac:dyDescent="0.25">
      <c r="B1263" s="189"/>
      <c r="J1263" s="189"/>
      <c r="M1263" s="205"/>
      <c r="S1263" t="str">
        <f>IFERROR(VLOOKUP(E1263,'VALORES VIAJES'!$A$2:$B$13,2,FALSE),"")</f>
        <v/>
      </c>
      <c r="T1263" t="str">
        <f>IFERROR(VLOOKUP(H1263,'VALORES VIAJES'!$A$2:$B$24,2,FALSE),"")</f>
        <v/>
      </c>
      <c r="U1263" t="str">
        <f>IFERROR(VLOOKUP(I1263,'VALORES VIAJES'!$A$2:$B$24,2,FALSE),"")</f>
        <v/>
      </c>
      <c r="V1263" t="str">
        <f>IFERROR(VLOOKUP(K1263,'VALORES VIAJES'!$A$2:$B$24,2,FALSE),"")</f>
        <v/>
      </c>
      <c r="X1263" s="208">
        <f>SUM(Hoja1[[#This Row],[$ X TIP VEHICUL]:[AGREGADO]])</f>
        <v>0</v>
      </c>
    </row>
    <row r="1264" spans="2:24" hidden="1" x14ac:dyDescent="0.25">
      <c r="B1264" s="189"/>
      <c r="J1264" s="189"/>
      <c r="M1264" s="205"/>
      <c r="S1264" t="str">
        <f>IFERROR(VLOOKUP(E1264,'VALORES VIAJES'!$A$2:$B$13,2,FALSE),"")</f>
        <v/>
      </c>
      <c r="T1264" t="str">
        <f>IFERROR(VLOOKUP(H1264,'VALORES VIAJES'!$A$2:$B$24,2,FALSE),"")</f>
        <v/>
      </c>
      <c r="U1264" t="str">
        <f>IFERROR(VLOOKUP(I1264,'VALORES VIAJES'!$A$2:$B$24,2,FALSE),"")</f>
        <v/>
      </c>
      <c r="V1264" t="str">
        <f>IFERROR(VLOOKUP(K1264,'VALORES VIAJES'!$A$2:$B$24,2,FALSE),"")</f>
        <v/>
      </c>
      <c r="X1264" s="208">
        <f>SUM(Hoja1[[#This Row],[$ X TIP VEHICUL]:[AGREGADO]])</f>
        <v>0</v>
      </c>
    </row>
    <row r="1265" spans="2:24" hidden="1" x14ac:dyDescent="0.25">
      <c r="B1265" s="189"/>
      <c r="J1265" s="189"/>
      <c r="M1265" s="205"/>
      <c r="S1265" t="str">
        <f>IFERROR(VLOOKUP(E1265,'VALORES VIAJES'!$A$2:$B$13,2,FALSE),"")</f>
        <v/>
      </c>
      <c r="T1265" t="str">
        <f>IFERROR(VLOOKUP(H1265,'VALORES VIAJES'!$A$2:$B$24,2,FALSE),"")</f>
        <v/>
      </c>
      <c r="U1265" t="str">
        <f>IFERROR(VLOOKUP(I1265,'VALORES VIAJES'!$A$2:$B$24,2,FALSE),"")</f>
        <v/>
      </c>
      <c r="V1265" t="str">
        <f>IFERROR(VLOOKUP(K1265,'VALORES VIAJES'!$A$2:$B$24,2,FALSE),"")</f>
        <v/>
      </c>
      <c r="X1265" s="208">
        <f>SUM(Hoja1[[#This Row],[$ X TIP VEHICUL]:[AGREGADO]])</f>
        <v>0</v>
      </c>
    </row>
    <row r="1266" spans="2:24" hidden="1" x14ac:dyDescent="0.25">
      <c r="B1266" s="189"/>
      <c r="J1266" s="189"/>
      <c r="M1266" s="205"/>
      <c r="S1266" t="str">
        <f>IFERROR(VLOOKUP(E1266,'VALORES VIAJES'!$A$2:$B$13,2,FALSE),"")</f>
        <v/>
      </c>
      <c r="T1266" t="str">
        <f>IFERROR(VLOOKUP(H1266,'VALORES VIAJES'!$A$2:$B$24,2,FALSE),"")</f>
        <v/>
      </c>
      <c r="U1266" t="str">
        <f>IFERROR(VLOOKUP(I1266,'VALORES VIAJES'!$A$2:$B$24,2,FALSE),"")</f>
        <v/>
      </c>
      <c r="V1266" t="str">
        <f>IFERROR(VLOOKUP(K1266,'VALORES VIAJES'!$A$2:$B$24,2,FALSE),"")</f>
        <v/>
      </c>
      <c r="X1266" s="208">
        <f>SUM(Hoja1[[#This Row],[$ X TIP VEHICUL]:[AGREGADO]])</f>
        <v>0</v>
      </c>
    </row>
    <row r="1267" spans="2:24" hidden="1" x14ac:dyDescent="0.25">
      <c r="B1267" s="189"/>
      <c r="J1267" s="189"/>
      <c r="M1267" s="205"/>
      <c r="S1267" t="str">
        <f>IFERROR(VLOOKUP(E1267,'VALORES VIAJES'!$A$2:$B$13,2,FALSE),"")</f>
        <v/>
      </c>
      <c r="T1267" t="str">
        <f>IFERROR(VLOOKUP(H1267,'VALORES VIAJES'!$A$2:$B$24,2,FALSE),"")</f>
        <v/>
      </c>
      <c r="U1267" t="str">
        <f>IFERROR(VLOOKUP(I1267,'VALORES VIAJES'!$A$2:$B$24,2,FALSE),"")</f>
        <v/>
      </c>
      <c r="V1267" t="str">
        <f>IFERROR(VLOOKUP(K1267,'VALORES VIAJES'!$A$2:$B$24,2,FALSE),"")</f>
        <v/>
      </c>
      <c r="X1267" s="208">
        <f>SUM(Hoja1[[#This Row],[$ X TIP VEHICUL]:[AGREGADO]])</f>
        <v>0</v>
      </c>
    </row>
    <row r="1268" spans="2:24" hidden="1" x14ac:dyDescent="0.25">
      <c r="B1268" s="189"/>
      <c r="J1268" s="189"/>
      <c r="M1268" s="205"/>
      <c r="S1268" t="str">
        <f>IFERROR(VLOOKUP(E1268,'VALORES VIAJES'!$A$2:$B$13,2,FALSE),"")</f>
        <v/>
      </c>
      <c r="T1268" t="str">
        <f>IFERROR(VLOOKUP(H1268,'VALORES VIAJES'!$A$2:$B$24,2,FALSE),"")</f>
        <v/>
      </c>
      <c r="U1268" t="str">
        <f>IFERROR(VLOOKUP(I1268,'VALORES VIAJES'!$A$2:$B$24,2,FALSE),"")</f>
        <v/>
      </c>
      <c r="V1268" t="str">
        <f>IFERROR(VLOOKUP(K1268,'VALORES VIAJES'!$A$2:$B$24,2,FALSE),"")</f>
        <v/>
      </c>
      <c r="X1268" s="208">
        <f>SUM(Hoja1[[#This Row],[$ X TIP VEHICUL]:[AGREGADO]])</f>
        <v>0</v>
      </c>
    </row>
    <row r="1269" spans="2:24" hidden="1" x14ac:dyDescent="0.25">
      <c r="B1269" s="189"/>
      <c r="J1269" s="189"/>
      <c r="M1269" s="205"/>
      <c r="S1269" t="str">
        <f>IFERROR(VLOOKUP(E1269,'VALORES VIAJES'!$A$2:$B$13,2,FALSE),"")</f>
        <v/>
      </c>
      <c r="T1269" t="str">
        <f>IFERROR(VLOOKUP(H1269,'VALORES VIAJES'!$A$2:$B$24,2,FALSE),"")</f>
        <v/>
      </c>
      <c r="U1269" t="str">
        <f>IFERROR(VLOOKUP(I1269,'VALORES VIAJES'!$A$2:$B$24,2,FALSE),"")</f>
        <v/>
      </c>
      <c r="V1269" t="str">
        <f>IFERROR(VLOOKUP(K1269,'VALORES VIAJES'!$A$2:$B$24,2,FALSE),"")</f>
        <v/>
      </c>
      <c r="X1269" s="208">
        <f>SUM(Hoja1[[#This Row],[$ X TIP VEHICUL]:[AGREGADO]])</f>
        <v>0</v>
      </c>
    </row>
    <row r="1270" spans="2:24" hidden="1" x14ac:dyDescent="0.25">
      <c r="B1270" s="189"/>
      <c r="J1270" s="189"/>
      <c r="M1270" s="205"/>
      <c r="S1270" t="str">
        <f>IFERROR(VLOOKUP(E1270,'VALORES VIAJES'!$A$2:$B$13,2,FALSE),"")</f>
        <v/>
      </c>
      <c r="T1270" t="str">
        <f>IFERROR(VLOOKUP(H1270,'VALORES VIAJES'!$A$2:$B$24,2,FALSE),"")</f>
        <v/>
      </c>
      <c r="U1270" t="str">
        <f>IFERROR(VLOOKUP(I1270,'VALORES VIAJES'!$A$2:$B$24,2,FALSE),"")</f>
        <v/>
      </c>
      <c r="V1270" t="str">
        <f>IFERROR(VLOOKUP(K1270,'VALORES VIAJES'!$A$2:$B$24,2,FALSE),"")</f>
        <v/>
      </c>
      <c r="X1270" s="208">
        <f>SUM(Hoja1[[#This Row],[$ X TIP VEHICUL]:[AGREGADO]])</f>
        <v>0</v>
      </c>
    </row>
    <row r="1271" spans="2:24" hidden="1" x14ac:dyDescent="0.25">
      <c r="B1271" s="189"/>
      <c r="J1271" s="189"/>
      <c r="M1271" s="205"/>
      <c r="S1271" t="str">
        <f>IFERROR(VLOOKUP(E1271,'VALORES VIAJES'!$A$2:$B$13,2,FALSE),"")</f>
        <v/>
      </c>
      <c r="T1271" t="str">
        <f>IFERROR(VLOOKUP(H1271,'VALORES VIAJES'!$A$2:$B$24,2,FALSE),"")</f>
        <v/>
      </c>
      <c r="U1271" t="str">
        <f>IFERROR(VLOOKUP(I1271,'VALORES VIAJES'!$A$2:$B$24,2,FALSE),"")</f>
        <v/>
      </c>
      <c r="V1271" t="str">
        <f>IFERROR(VLOOKUP(K1271,'VALORES VIAJES'!$A$2:$B$24,2,FALSE),"")</f>
        <v/>
      </c>
      <c r="X1271" s="208">
        <f>SUM(Hoja1[[#This Row],[$ X TIP VEHICUL]:[AGREGADO]])</f>
        <v>0</v>
      </c>
    </row>
    <row r="1272" spans="2:24" hidden="1" x14ac:dyDescent="0.25">
      <c r="B1272" s="189"/>
      <c r="J1272" s="189"/>
      <c r="M1272" s="205"/>
      <c r="S1272" t="str">
        <f>IFERROR(VLOOKUP(E1272,'VALORES VIAJES'!$A$2:$B$13,2,FALSE),"")</f>
        <v/>
      </c>
      <c r="T1272" t="str">
        <f>IFERROR(VLOOKUP(H1272,'VALORES VIAJES'!$A$2:$B$24,2,FALSE),"")</f>
        <v/>
      </c>
      <c r="U1272" t="str">
        <f>IFERROR(VLOOKUP(I1272,'VALORES VIAJES'!$A$2:$B$24,2,FALSE),"")</f>
        <v/>
      </c>
      <c r="V1272" t="str">
        <f>IFERROR(VLOOKUP(K1272,'VALORES VIAJES'!$A$2:$B$24,2,FALSE),"")</f>
        <v/>
      </c>
      <c r="X1272" s="208">
        <f>SUM(Hoja1[[#This Row],[$ X TIP VEHICUL]:[AGREGADO]])</f>
        <v>0</v>
      </c>
    </row>
    <row r="1273" spans="2:24" hidden="1" x14ac:dyDescent="0.25">
      <c r="B1273" s="189"/>
      <c r="J1273" s="189"/>
      <c r="M1273" s="205"/>
      <c r="S1273" t="str">
        <f>IFERROR(VLOOKUP(E1273,'VALORES VIAJES'!$A$2:$B$13,2,FALSE),"")</f>
        <v/>
      </c>
      <c r="T1273" t="str">
        <f>IFERROR(VLOOKUP(H1273,'VALORES VIAJES'!$A$2:$B$24,2,FALSE),"")</f>
        <v/>
      </c>
      <c r="U1273" t="str">
        <f>IFERROR(VLOOKUP(I1273,'VALORES VIAJES'!$A$2:$B$24,2,FALSE),"")</f>
        <v/>
      </c>
      <c r="V1273" t="str">
        <f>IFERROR(VLOOKUP(K1273,'VALORES VIAJES'!$A$2:$B$24,2,FALSE),"")</f>
        <v/>
      </c>
      <c r="X1273" s="208">
        <f>SUM(Hoja1[[#This Row],[$ X TIP VEHICUL]:[AGREGADO]])</f>
        <v>0</v>
      </c>
    </row>
    <row r="1274" spans="2:24" hidden="1" x14ac:dyDescent="0.25">
      <c r="B1274" s="189"/>
      <c r="J1274" s="189"/>
      <c r="M1274" s="205"/>
      <c r="S1274" t="str">
        <f>IFERROR(VLOOKUP(E1274,'VALORES VIAJES'!$A$2:$B$13,2,FALSE),"")</f>
        <v/>
      </c>
      <c r="T1274" t="str">
        <f>IFERROR(VLOOKUP(H1274,'VALORES VIAJES'!$A$2:$B$24,2,FALSE),"")</f>
        <v/>
      </c>
      <c r="U1274" t="str">
        <f>IFERROR(VLOOKUP(I1274,'VALORES VIAJES'!$A$2:$B$24,2,FALSE),"")</f>
        <v/>
      </c>
      <c r="V1274" t="str">
        <f>IFERROR(VLOOKUP(K1274,'VALORES VIAJES'!$A$2:$B$24,2,FALSE),"")</f>
        <v/>
      </c>
      <c r="X1274" s="208">
        <f>SUM(Hoja1[[#This Row],[$ X TIP VEHICUL]:[AGREGADO]])</f>
        <v>0</v>
      </c>
    </row>
    <row r="1275" spans="2:24" hidden="1" x14ac:dyDescent="0.25">
      <c r="B1275" s="189"/>
      <c r="J1275" s="189"/>
      <c r="M1275" s="205"/>
      <c r="S1275" t="str">
        <f>IFERROR(VLOOKUP(E1275,'VALORES VIAJES'!$A$2:$B$13,2,FALSE),"")</f>
        <v/>
      </c>
      <c r="T1275" t="str">
        <f>IFERROR(VLOOKUP(H1275,'VALORES VIAJES'!$A$2:$B$24,2,FALSE),"")</f>
        <v/>
      </c>
      <c r="U1275" t="str">
        <f>IFERROR(VLOOKUP(I1275,'VALORES VIAJES'!$A$2:$B$24,2,FALSE),"")</f>
        <v/>
      </c>
      <c r="V1275" t="str">
        <f>IFERROR(VLOOKUP(K1275,'VALORES VIAJES'!$A$2:$B$24,2,FALSE),"")</f>
        <v/>
      </c>
      <c r="X1275" s="208">
        <f>SUM(Hoja1[[#This Row],[$ X TIP VEHICUL]:[AGREGADO]])</f>
        <v>0</v>
      </c>
    </row>
    <row r="1276" spans="2:24" hidden="1" x14ac:dyDescent="0.25">
      <c r="B1276" s="189"/>
      <c r="J1276" s="189"/>
      <c r="M1276" s="205"/>
      <c r="S1276" t="str">
        <f>IFERROR(VLOOKUP(E1276,'VALORES VIAJES'!$A$2:$B$13,2,FALSE),"")</f>
        <v/>
      </c>
      <c r="T1276" t="str">
        <f>IFERROR(VLOOKUP(H1276,'VALORES VIAJES'!$A$2:$B$24,2,FALSE),"")</f>
        <v/>
      </c>
      <c r="U1276" t="str">
        <f>IFERROR(VLOOKUP(I1276,'VALORES VIAJES'!$A$2:$B$24,2,FALSE),"")</f>
        <v/>
      </c>
      <c r="V1276" t="str">
        <f>IFERROR(VLOOKUP(K1276,'VALORES VIAJES'!$A$2:$B$24,2,FALSE),"")</f>
        <v/>
      </c>
      <c r="X1276" s="208">
        <f>SUM(Hoja1[[#This Row],[$ X TIP VEHICUL]:[AGREGADO]])</f>
        <v>0</v>
      </c>
    </row>
    <row r="1277" spans="2:24" hidden="1" x14ac:dyDescent="0.25">
      <c r="B1277" s="189"/>
      <c r="J1277" s="189"/>
      <c r="M1277" s="205"/>
      <c r="S1277" t="str">
        <f>IFERROR(VLOOKUP(E1277,'VALORES VIAJES'!$A$2:$B$13,2,FALSE),"")</f>
        <v/>
      </c>
      <c r="T1277" t="str">
        <f>IFERROR(VLOOKUP(H1277,'VALORES VIAJES'!$A$2:$B$24,2,FALSE),"")</f>
        <v/>
      </c>
      <c r="U1277" t="str">
        <f>IFERROR(VLOOKUP(I1277,'VALORES VIAJES'!$A$2:$B$24,2,FALSE),"")</f>
        <v/>
      </c>
      <c r="V1277" t="str">
        <f>IFERROR(VLOOKUP(K1277,'VALORES VIAJES'!$A$2:$B$24,2,FALSE),"")</f>
        <v/>
      </c>
      <c r="X1277" s="208">
        <f>SUM(Hoja1[[#This Row],[$ X TIP VEHICUL]:[AGREGADO]])</f>
        <v>0</v>
      </c>
    </row>
    <row r="1278" spans="2:24" hidden="1" x14ac:dyDescent="0.25">
      <c r="B1278" s="189"/>
      <c r="J1278" s="189"/>
      <c r="M1278" s="205"/>
      <c r="S1278" t="str">
        <f>IFERROR(VLOOKUP(E1278,'VALORES VIAJES'!$A$2:$B$13,2,FALSE),"")</f>
        <v/>
      </c>
      <c r="T1278" t="str">
        <f>IFERROR(VLOOKUP(H1278,'VALORES VIAJES'!$A$2:$B$24,2,FALSE),"")</f>
        <v/>
      </c>
      <c r="U1278" t="str">
        <f>IFERROR(VLOOKUP(I1278,'VALORES VIAJES'!$A$2:$B$24,2,FALSE),"")</f>
        <v/>
      </c>
      <c r="V1278" t="str">
        <f>IFERROR(VLOOKUP(K1278,'VALORES VIAJES'!$A$2:$B$24,2,FALSE),"")</f>
        <v/>
      </c>
      <c r="X1278" s="208">
        <f>SUM(Hoja1[[#This Row],[$ X TIP VEHICUL]:[AGREGADO]])</f>
        <v>0</v>
      </c>
    </row>
    <row r="1279" spans="2:24" hidden="1" x14ac:dyDescent="0.25">
      <c r="B1279" s="189"/>
      <c r="J1279" s="189"/>
      <c r="M1279" s="205"/>
      <c r="S1279" t="str">
        <f>IFERROR(VLOOKUP(E1279,'VALORES VIAJES'!$A$2:$B$13,2,FALSE),"")</f>
        <v/>
      </c>
      <c r="T1279" t="str">
        <f>IFERROR(VLOOKUP(H1279,'VALORES VIAJES'!$A$2:$B$24,2,FALSE),"")</f>
        <v/>
      </c>
      <c r="U1279" t="str">
        <f>IFERROR(VLOOKUP(I1279,'VALORES VIAJES'!$A$2:$B$24,2,FALSE),"")</f>
        <v/>
      </c>
      <c r="V1279" t="str">
        <f>IFERROR(VLOOKUP(K1279,'VALORES VIAJES'!$A$2:$B$24,2,FALSE),"")</f>
        <v/>
      </c>
      <c r="X1279" s="208">
        <f>SUM(Hoja1[[#This Row],[$ X TIP VEHICUL]:[AGREGADO]])</f>
        <v>0</v>
      </c>
    </row>
    <row r="1280" spans="2:24" hidden="1" x14ac:dyDescent="0.25">
      <c r="B1280" s="189"/>
      <c r="J1280" s="189"/>
      <c r="M1280" s="205"/>
      <c r="S1280" t="str">
        <f>IFERROR(VLOOKUP(E1280,'VALORES VIAJES'!$A$2:$B$13,2,FALSE),"")</f>
        <v/>
      </c>
      <c r="T1280" t="str">
        <f>IFERROR(VLOOKUP(H1280,'VALORES VIAJES'!$A$2:$B$24,2,FALSE),"")</f>
        <v/>
      </c>
      <c r="U1280" t="str">
        <f>IFERROR(VLOOKUP(I1280,'VALORES VIAJES'!$A$2:$B$24,2,FALSE),"")</f>
        <v/>
      </c>
      <c r="V1280" t="str">
        <f>IFERROR(VLOOKUP(K1280,'VALORES VIAJES'!$A$2:$B$24,2,FALSE),"")</f>
        <v/>
      </c>
      <c r="X1280" s="208">
        <f>SUM(Hoja1[[#This Row],[$ X TIP VEHICUL]:[AGREGADO]])</f>
        <v>0</v>
      </c>
    </row>
    <row r="1281" spans="2:24" hidden="1" x14ac:dyDescent="0.25">
      <c r="B1281" s="189"/>
      <c r="J1281" s="189"/>
      <c r="M1281" s="205"/>
      <c r="S1281" t="str">
        <f>IFERROR(VLOOKUP(E1281,'VALORES VIAJES'!$A$2:$B$13,2,FALSE),"")</f>
        <v/>
      </c>
      <c r="T1281" t="str">
        <f>IFERROR(VLOOKUP(H1281,'VALORES VIAJES'!$A$2:$B$24,2,FALSE),"")</f>
        <v/>
      </c>
      <c r="U1281" t="str">
        <f>IFERROR(VLOOKUP(I1281,'VALORES VIAJES'!$A$2:$B$24,2,FALSE),"")</f>
        <v/>
      </c>
      <c r="V1281" t="str">
        <f>IFERROR(VLOOKUP(K1281,'VALORES VIAJES'!$A$2:$B$24,2,FALSE),"")</f>
        <v/>
      </c>
      <c r="X1281" s="208">
        <f>SUM(Hoja1[[#This Row],[$ X TIP VEHICUL]:[AGREGADO]])</f>
        <v>0</v>
      </c>
    </row>
    <row r="1282" spans="2:24" hidden="1" x14ac:dyDescent="0.25">
      <c r="B1282" s="189"/>
      <c r="J1282" s="189"/>
      <c r="M1282" s="205"/>
      <c r="S1282" t="str">
        <f>IFERROR(VLOOKUP(E1282,'VALORES VIAJES'!$A$2:$B$13,2,FALSE),"")</f>
        <v/>
      </c>
      <c r="T1282" t="str">
        <f>IFERROR(VLOOKUP(H1282,'VALORES VIAJES'!$A$2:$B$24,2,FALSE),"")</f>
        <v/>
      </c>
      <c r="U1282" t="str">
        <f>IFERROR(VLOOKUP(I1282,'VALORES VIAJES'!$A$2:$B$24,2,FALSE),"")</f>
        <v/>
      </c>
      <c r="V1282" t="str">
        <f>IFERROR(VLOOKUP(K1282,'VALORES VIAJES'!$A$2:$B$24,2,FALSE),"")</f>
        <v/>
      </c>
      <c r="X1282" s="208">
        <f>SUM(Hoja1[[#This Row],[$ X TIP VEHICUL]:[AGREGADO]])</f>
        <v>0</v>
      </c>
    </row>
    <row r="1283" spans="2:24" hidden="1" x14ac:dyDescent="0.25">
      <c r="B1283" s="189"/>
      <c r="J1283" s="189"/>
      <c r="M1283" s="205"/>
      <c r="S1283" t="str">
        <f>IFERROR(VLOOKUP(E1283,'VALORES VIAJES'!$A$2:$B$13,2,FALSE),"")</f>
        <v/>
      </c>
      <c r="T1283" t="str">
        <f>IFERROR(VLOOKUP(H1283,'VALORES VIAJES'!$A$2:$B$24,2,FALSE),"")</f>
        <v/>
      </c>
      <c r="U1283" t="str">
        <f>IFERROR(VLOOKUP(I1283,'VALORES VIAJES'!$A$2:$B$24,2,FALSE),"")</f>
        <v/>
      </c>
      <c r="V1283" t="str">
        <f>IFERROR(VLOOKUP(K1283,'VALORES VIAJES'!$A$2:$B$24,2,FALSE),"")</f>
        <v/>
      </c>
      <c r="X1283" s="208">
        <f>SUM(Hoja1[[#This Row],[$ X TIP VEHICUL]:[AGREGADO]])</f>
        <v>0</v>
      </c>
    </row>
    <row r="1284" spans="2:24" hidden="1" x14ac:dyDescent="0.25">
      <c r="B1284" s="189"/>
      <c r="J1284" s="189"/>
      <c r="M1284" s="205"/>
      <c r="S1284" t="str">
        <f>IFERROR(VLOOKUP(E1284,'VALORES VIAJES'!$A$2:$B$13,2,FALSE),"")</f>
        <v/>
      </c>
      <c r="T1284" t="str">
        <f>IFERROR(VLOOKUP(H1284,'VALORES VIAJES'!$A$2:$B$24,2,FALSE),"")</f>
        <v/>
      </c>
      <c r="U1284" t="str">
        <f>IFERROR(VLOOKUP(I1284,'VALORES VIAJES'!$A$2:$B$24,2,FALSE),"")</f>
        <v/>
      </c>
      <c r="V1284" t="str">
        <f>IFERROR(VLOOKUP(K1284,'VALORES VIAJES'!$A$2:$B$24,2,FALSE),"")</f>
        <v/>
      </c>
      <c r="X1284" s="208">
        <f>SUM(Hoja1[[#This Row],[$ X TIP VEHICUL]:[AGREGADO]])</f>
        <v>0</v>
      </c>
    </row>
    <row r="1285" spans="2:24" hidden="1" x14ac:dyDescent="0.25">
      <c r="B1285" s="189"/>
      <c r="J1285" s="189"/>
      <c r="M1285" s="205"/>
      <c r="S1285" t="str">
        <f>IFERROR(VLOOKUP(E1285,'VALORES VIAJES'!$A$2:$B$13,2,FALSE),"")</f>
        <v/>
      </c>
      <c r="T1285" t="str">
        <f>IFERROR(VLOOKUP(H1285,'VALORES VIAJES'!$A$2:$B$24,2,FALSE),"")</f>
        <v/>
      </c>
      <c r="U1285" t="str">
        <f>IFERROR(VLOOKUP(I1285,'VALORES VIAJES'!$A$2:$B$24,2,FALSE),"")</f>
        <v/>
      </c>
      <c r="V1285" t="str">
        <f>IFERROR(VLOOKUP(K1285,'VALORES VIAJES'!$A$2:$B$24,2,FALSE),"")</f>
        <v/>
      </c>
      <c r="X1285" s="208">
        <f>SUM(Hoja1[[#This Row],[$ X TIP VEHICUL]:[AGREGADO]])</f>
        <v>0</v>
      </c>
    </row>
    <row r="1286" spans="2:24" hidden="1" x14ac:dyDescent="0.25">
      <c r="B1286" s="189"/>
      <c r="J1286" s="189"/>
      <c r="M1286" s="205"/>
      <c r="S1286" t="str">
        <f>IFERROR(VLOOKUP(E1286,'VALORES VIAJES'!$A$2:$B$13,2,FALSE),"")</f>
        <v/>
      </c>
      <c r="T1286" t="str">
        <f>IFERROR(VLOOKUP(H1286,'VALORES VIAJES'!$A$2:$B$24,2,FALSE),"")</f>
        <v/>
      </c>
      <c r="U1286" t="str">
        <f>IFERROR(VLOOKUP(I1286,'VALORES VIAJES'!$A$2:$B$24,2,FALSE),"")</f>
        <v/>
      </c>
      <c r="V1286" t="str">
        <f>IFERROR(VLOOKUP(K1286,'VALORES VIAJES'!$A$2:$B$24,2,FALSE),"")</f>
        <v/>
      </c>
      <c r="X1286" s="208">
        <f>SUM(Hoja1[[#This Row],[$ X TIP VEHICUL]:[AGREGADO]])</f>
        <v>0</v>
      </c>
    </row>
    <row r="1287" spans="2:24" hidden="1" x14ac:dyDescent="0.25">
      <c r="B1287" s="189"/>
      <c r="J1287" s="189"/>
      <c r="M1287" s="205"/>
      <c r="S1287" t="str">
        <f>IFERROR(VLOOKUP(E1287,'VALORES VIAJES'!$A$2:$B$13,2,FALSE),"")</f>
        <v/>
      </c>
      <c r="T1287" t="str">
        <f>IFERROR(VLOOKUP(H1287,'VALORES VIAJES'!$A$2:$B$24,2,FALSE),"")</f>
        <v/>
      </c>
      <c r="U1287" t="str">
        <f>IFERROR(VLOOKUP(I1287,'VALORES VIAJES'!$A$2:$B$24,2,FALSE),"")</f>
        <v/>
      </c>
      <c r="V1287" t="str">
        <f>IFERROR(VLOOKUP(K1287,'VALORES VIAJES'!$A$2:$B$24,2,FALSE),"")</f>
        <v/>
      </c>
      <c r="X1287" s="208">
        <f>SUM(Hoja1[[#This Row],[$ X TIP VEHICUL]:[AGREGADO]])</f>
        <v>0</v>
      </c>
    </row>
    <row r="1288" spans="2:24" hidden="1" x14ac:dyDescent="0.25">
      <c r="B1288" s="189"/>
      <c r="J1288" s="189"/>
      <c r="M1288" s="205"/>
      <c r="S1288" t="str">
        <f>IFERROR(VLOOKUP(E1288,'VALORES VIAJES'!$A$2:$B$13,2,FALSE),"")</f>
        <v/>
      </c>
      <c r="T1288" t="str">
        <f>IFERROR(VLOOKUP(H1288,'VALORES VIAJES'!$A$2:$B$24,2,FALSE),"")</f>
        <v/>
      </c>
      <c r="U1288" t="str">
        <f>IFERROR(VLOOKUP(I1288,'VALORES VIAJES'!$A$2:$B$24,2,FALSE),"")</f>
        <v/>
      </c>
      <c r="V1288" t="str">
        <f>IFERROR(VLOOKUP(K1288,'VALORES VIAJES'!$A$2:$B$24,2,FALSE),"")</f>
        <v/>
      </c>
      <c r="X1288" s="208">
        <f>SUM(Hoja1[[#This Row],[$ X TIP VEHICUL]:[AGREGADO]])</f>
        <v>0</v>
      </c>
    </row>
    <row r="1289" spans="2:24" hidden="1" x14ac:dyDescent="0.25">
      <c r="B1289" s="189"/>
      <c r="J1289" s="189"/>
      <c r="M1289" s="205"/>
      <c r="S1289" t="str">
        <f>IFERROR(VLOOKUP(E1289,'VALORES VIAJES'!$A$2:$B$13,2,FALSE),"")</f>
        <v/>
      </c>
      <c r="T1289" t="str">
        <f>IFERROR(VLOOKUP(H1289,'VALORES VIAJES'!$A$2:$B$24,2,FALSE),"")</f>
        <v/>
      </c>
      <c r="U1289" t="str">
        <f>IFERROR(VLOOKUP(I1289,'VALORES VIAJES'!$A$2:$B$24,2,FALSE),"")</f>
        <v/>
      </c>
      <c r="V1289" t="str">
        <f>IFERROR(VLOOKUP(K1289,'VALORES VIAJES'!$A$2:$B$24,2,FALSE),"")</f>
        <v/>
      </c>
      <c r="X1289" s="208">
        <f>SUM(Hoja1[[#This Row],[$ X TIP VEHICUL]:[AGREGADO]])</f>
        <v>0</v>
      </c>
    </row>
    <row r="1290" spans="2:24" hidden="1" x14ac:dyDescent="0.25">
      <c r="B1290" s="189"/>
      <c r="J1290" s="189"/>
      <c r="M1290" s="205"/>
      <c r="S1290" t="str">
        <f>IFERROR(VLOOKUP(E1290,'VALORES VIAJES'!$A$2:$B$13,2,FALSE),"")</f>
        <v/>
      </c>
      <c r="T1290" t="str">
        <f>IFERROR(VLOOKUP(H1290,'VALORES VIAJES'!$A$2:$B$24,2,FALSE),"")</f>
        <v/>
      </c>
      <c r="U1290" t="str">
        <f>IFERROR(VLOOKUP(I1290,'VALORES VIAJES'!$A$2:$B$24,2,FALSE),"")</f>
        <v/>
      </c>
      <c r="V1290" t="str">
        <f>IFERROR(VLOOKUP(K1290,'VALORES VIAJES'!$A$2:$B$24,2,FALSE),"")</f>
        <v/>
      </c>
      <c r="X1290" s="208">
        <f>SUM(Hoja1[[#This Row],[$ X TIP VEHICUL]:[AGREGADO]])</f>
        <v>0</v>
      </c>
    </row>
    <row r="1291" spans="2:24" hidden="1" x14ac:dyDescent="0.25">
      <c r="B1291" s="189"/>
      <c r="J1291" s="189"/>
      <c r="M1291" s="205"/>
      <c r="S1291" t="str">
        <f>IFERROR(VLOOKUP(E1291,'VALORES VIAJES'!$A$2:$B$13,2,FALSE),"")</f>
        <v/>
      </c>
      <c r="T1291" t="str">
        <f>IFERROR(VLOOKUP(H1291,'VALORES VIAJES'!$A$2:$B$24,2,FALSE),"")</f>
        <v/>
      </c>
      <c r="U1291" t="str">
        <f>IFERROR(VLOOKUP(I1291,'VALORES VIAJES'!$A$2:$B$24,2,FALSE),"")</f>
        <v/>
      </c>
      <c r="V1291" t="str">
        <f>IFERROR(VLOOKUP(K1291,'VALORES VIAJES'!$A$2:$B$24,2,FALSE),"")</f>
        <v/>
      </c>
      <c r="X1291" s="208">
        <f>SUM(Hoja1[[#This Row],[$ X TIP VEHICUL]:[AGREGADO]])</f>
        <v>0</v>
      </c>
    </row>
    <row r="1292" spans="2:24" hidden="1" x14ac:dyDescent="0.25">
      <c r="B1292" s="189"/>
      <c r="J1292" s="189"/>
      <c r="M1292" s="205"/>
      <c r="S1292" t="str">
        <f>IFERROR(VLOOKUP(E1292,'VALORES VIAJES'!$A$2:$B$13,2,FALSE),"")</f>
        <v/>
      </c>
      <c r="T1292" t="str">
        <f>IFERROR(VLOOKUP(H1292,'VALORES VIAJES'!$A$2:$B$24,2,FALSE),"")</f>
        <v/>
      </c>
      <c r="U1292" t="str">
        <f>IFERROR(VLOOKUP(I1292,'VALORES VIAJES'!$A$2:$B$24,2,FALSE),"")</f>
        <v/>
      </c>
      <c r="V1292" t="str">
        <f>IFERROR(VLOOKUP(K1292,'VALORES VIAJES'!$A$2:$B$24,2,FALSE),"")</f>
        <v/>
      </c>
      <c r="X1292" s="208">
        <f>SUM(Hoja1[[#This Row],[$ X TIP VEHICUL]:[AGREGADO]])</f>
        <v>0</v>
      </c>
    </row>
    <row r="1293" spans="2:24" hidden="1" x14ac:dyDescent="0.25">
      <c r="B1293" s="189"/>
      <c r="J1293" s="189"/>
      <c r="M1293" s="205"/>
      <c r="S1293" t="str">
        <f>IFERROR(VLOOKUP(E1293,'VALORES VIAJES'!$A$2:$B$13,2,FALSE),"")</f>
        <v/>
      </c>
      <c r="T1293" t="str">
        <f>IFERROR(VLOOKUP(H1293,'VALORES VIAJES'!$A$2:$B$24,2,FALSE),"")</f>
        <v/>
      </c>
      <c r="U1293" t="str">
        <f>IFERROR(VLOOKUP(I1293,'VALORES VIAJES'!$A$2:$B$24,2,FALSE),"")</f>
        <v/>
      </c>
      <c r="V1293" t="str">
        <f>IFERROR(VLOOKUP(K1293,'VALORES VIAJES'!$A$2:$B$24,2,FALSE),"")</f>
        <v/>
      </c>
      <c r="X1293" s="208">
        <f>SUM(Hoja1[[#This Row],[$ X TIP VEHICUL]:[AGREGADO]])</f>
        <v>0</v>
      </c>
    </row>
    <row r="1294" spans="2:24" hidden="1" x14ac:dyDescent="0.25">
      <c r="B1294" s="189"/>
      <c r="J1294" s="189"/>
      <c r="M1294" s="205"/>
      <c r="S1294" t="str">
        <f>IFERROR(VLOOKUP(E1294,'VALORES VIAJES'!$A$2:$B$13,2,FALSE),"")</f>
        <v/>
      </c>
      <c r="T1294" t="str">
        <f>IFERROR(VLOOKUP(H1294,'VALORES VIAJES'!$A$2:$B$24,2,FALSE),"")</f>
        <v/>
      </c>
      <c r="U1294" t="str">
        <f>IFERROR(VLOOKUP(I1294,'VALORES VIAJES'!$A$2:$B$24,2,FALSE),"")</f>
        <v/>
      </c>
      <c r="V1294" t="str">
        <f>IFERROR(VLOOKUP(K1294,'VALORES VIAJES'!$A$2:$B$24,2,FALSE),"")</f>
        <v/>
      </c>
      <c r="X1294" s="208">
        <f>SUM(Hoja1[[#This Row],[$ X TIP VEHICUL]:[AGREGADO]])</f>
        <v>0</v>
      </c>
    </row>
    <row r="1295" spans="2:24" hidden="1" x14ac:dyDescent="0.25">
      <c r="B1295" s="189"/>
      <c r="J1295" s="189"/>
      <c r="M1295" s="205"/>
      <c r="S1295" t="str">
        <f>IFERROR(VLOOKUP(E1295,'VALORES VIAJES'!$A$2:$B$13,2,FALSE),"")</f>
        <v/>
      </c>
      <c r="T1295" t="str">
        <f>IFERROR(VLOOKUP(H1295,'VALORES VIAJES'!$A$2:$B$24,2,FALSE),"")</f>
        <v/>
      </c>
      <c r="U1295" t="str">
        <f>IFERROR(VLOOKUP(I1295,'VALORES VIAJES'!$A$2:$B$24,2,FALSE),"")</f>
        <v/>
      </c>
      <c r="V1295" t="str">
        <f>IFERROR(VLOOKUP(K1295,'VALORES VIAJES'!$A$2:$B$24,2,FALSE),"")</f>
        <v/>
      </c>
      <c r="X1295" s="208">
        <f>SUM(Hoja1[[#This Row],[$ X TIP VEHICUL]:[AGREGADO]])</f>
        <v>0</v>
      </c>
    </row>
    <row r="1296" spans="2:24" hidden="1" x14ac:dyDescent="0.25">
      <c r="B1296" s="189"/>
      <c r="J1296" s="189"/>
      <c r="M1296" s="205"/>
      <c r="S1296" t="str">
        <f>IFERROR(VLOOKUP(E1296,'VALORES VIAJES'!$A$2:$B$13,2,FALSE),"")</f>
        <v/>
      </c>
      <c r="T1296" t="str">
        <f>IFERROR(VLOOKUP(H1296,'VALORES VIAJES'!$A$2:$B$24,2,FALSE),"")</f>
        <v/>
      </c>
      <c r="U1296" t="str">
        <f>IFERROR(VLOOKUP(I1296,'VALORES VIAJES'!$A$2:$B$24,2,FALSE),"")</f>
        <v/>
      </c>
      <c r="V1296" t="str">
        <f>IFERROR(VLOOKUP(K1296,'VALORES VIAJES'!$A$2:$B$24,2,FALSE),"")</f>
        <v/>
      </c>
      <c r="X1296" s="208">
        <f>SUM(Hoja1[[#This Row],[$ X TIP VEHICUL]:[AGREGADO]])</f>
        <v>0</v>
      </c>
    </row>
    <row r="1297" spans="2:24" hidden="1" x14ac:dyDescent="0.25">
      <c r="B1297" s="189"/>
      <c r="J1297" s="189"/>
      <c r="M1297" s="205"/>
      <c r="S1297" t="str">
        <f>IFERROR(VLOOKUP(E1297,'VALORES VIAJES'!$A$2:$B$13,2,FALSE),"")</f>
        <v/>
      </c>
      <c r="T1297" t="str">
        <f>IFERROR(VLOOKUP(H1297,'VALORES VIAJES'!$A$2:$B$24,2,FALSE),"")</f>
        <v/>
      </c>
      <c r="U1297" t="str">
        <f>IFERROR(VLOOKUP(I1297,'VALORES VIAJES'!$A$2:$B$24,2,FALSE),"")</f>
        <v/>
      </c>
      <c r="V1297" t="str">
        <f>IFERROR(VLOOKUP(K1297,'VALORES VIAJES'!$A$2:$B$24,2,FALSE),"")</f>
        <v/>
      </c>
      <c r="X1297" s="208">
        <f>SUM(Hoja1[[#This Row],[$ X TIP VEHICUL]:[AGREGADO]])</f>
        <v>0</v>
      </c>
    </row>
    <row r="1298" spans="2:24" hidden="1" x14ac:dyDescent="0.25">
      <c r="B1298" s="189"/>
      <c r="J1298" s="189"/>
      <c r="M1298" s="205"/>
      <c r="S1298" t="str">
        <f>IFERROR(VLOOKUP(E1298,'VALORES VIAJES'!$A$2:$B$13,2,FALSE),"")</f>
        <v/>
      </c>
      <c r="T1298" t="str">
        <f>IFERROR(VLOOKUP(H1298,'VALORES VIAJES'!$A$2:$B$24,2,FALSE),"")</f>
        <v/>
      </c>
      <c r="U1298" t="str">
        <f>IFERROR(VLOOKUP(I1298,'VALORES VIAJES'!$A$2:$B$24,2,FALSE),"")</f>
        <v/>
      </c>
      <c r="V1298" t="str">
        <f>IFERROR(VLOOKUP(K1298,'VALORES VIAJES'!$A$2:$B$24,2,FALSE),"")</f>
        <v/>
      </c>
      <c r="X1298" s="208">
        <f>SUM(Hoja1[[#This Row],[$ X TIP VEHICUL]:[AGREGADO]])</f>
        <v>0</v>
      </c>
    </row>
    <row r="1299" spans="2:24" hidden="1" x14ac:dyDescent="0.25">
      <c r="B1299" s="189"/>
      <c r="J1299" s="189"/>
      <c r="M1299" s="205"/>
      <c r="S1299" t="str">
        <f>IFERROR(VLOOKUP(E1299,'VALORES VIAJES'!$A$2:$B$13,2,FALSE),"")</f>
        <v/>
      </c>
      <c r="T1299" t="str">
        <f>IFERROR(VLOOKUP(H1299,'VALORES VIAJES'!$A$2:$B$24,2,FALSE),"")</f>
        <v/>
      </c>
      <c r="U1299" t="str">
        <f>IFERROR(VLOOKUP(I1299,'VALORES VIAJES'!$A$2:$B$24,2,FALSE),"")</f>
        <v/>
      </c>
      <c r="V1299" t="str">
        <f>IFERROR(VLOOKUP(K1299,'VALORES VIAJES'!$A$2:$B$24,2,FALSE),"")</f>
        <v/>
      </c>
      <c r="X1299" s="208">
        <f>SUM(Hoja1[[#This Row],[$ X TIP VEHICUL]:[AGREGADO]])</f>
        <v>0</v>
      </c>
    </row>
    <row r="1300" spans="2:24" hidden="1" x14ac:dyDescent="0.25">
      <c r="B1300" s="189"/>
      <c r="J1300" s="189"/>
      <c r="M1300" s="205"/>
      <c r="S1300" t="str">
        <f>IFERROR(VLOOKUP(E1300,'VALORES VIAJES'!$A$2:$B$13,2,FALSE),"")</f>
        <v/>
      </c>
      <c r="T1300" t="str">
        <f>IFERROR(VLOOKUP(H1300,'VALORES VIAJES'!$A$2:$B$24,2,FALSE),"")</f>
        <v/>
      </c>
      <c r="U1300" t="str">
        <f>IFERROR(VLOOKUP(I1300,'VALORES VIAJES'!$A$2:$B$24,2,FALSE),"")</f>
        <v/>
      </c>
      <c r="V1300" t="str">
        <f>IFERROR(VLOOKUP(K1300,'VALORES VIAJES'!$A$2:$B$24,2,FALSE),"")</f>
        <v/>
      </c>
      <c r="X1300" s="208">
        <f>SUM(Hoja1[[#This Row],[$ X TIP VEHICUL]:[AGREGADO]])</f>
        <v>0</v>
      </c>
    </row>
    <row r="1301" spans="2:24" hidden="1" x14ac:dyDescent="0.25">
      <c r="B1301" s="189"/>
      <c r="J1301" s="189"/>
      <c r="M1301" s="205"/>
      <c r="S1301" t="str">
        <f>IFERROR(VLOOKUP(E1301,'VALORES VIAJES'!$A$2:$B$13,2,FALSE),"")</f>
        <v/>
      </c>
      <c r="T1301" t="str">
        <f>IFERROR(VLOOKUP(H1301,'VALORES VIAJES'!$A$2:$B$24,2,FALSE),"")</f>
        <v/>
      </c>
      <c r="U1301" t="str">
        <f>IFERROR(VLOOKUP(I1301,'VALORES VIAJES'!$A$2:$B$24,2,FALSE),"")</f>
        <v/>
      </c>
      <c r="V1301" t="str">
        <f>IFERROR(VLOOKUP(K1301,'VALORES VIAJES'!$A$2:$B$24,2,FALSE),"")</f>
        <v/>
      </c>
      <c r="X1301" s="208">
        <f>SUM(Hoja1[[#This Row],[$ X TIP VEHICUL]:[AGREGADO]])</f>
        <v>0</v>
      </c>
    </row>
    <row r="1302" spans="2:24" hidden="1" x14ac:dyDescent="0.25">
      <c r="B1302" s="189"/>
      <c r="J1302" s="189"/>
      <c r="M1302" s="205"/>
      <c r="S1302" t="str">
        <f>IFERROR(VLOOKUP(E1302,'VALORES VIAJES'!$A$2:$B$13,2,FALSE),"")</f>
        <v/>
      </c>
      <c r="T1302" t="str">
        <f>IFERROR(VLOOKUP(H1302,'VALORES VIAJES'!$A$2:$B$24,2,FALSE),"")</f>
        <v/>
      </c>
      <c r="U1302" t="str">
        <f>IFERROR(VLOOKUP(I1302,'VALORES VIAJES'!$A$2:$B$24,2,FALSE),"")</f>
        <v/>
      </c>
      <c r="V1302" t="str">
        <f>IFERROR(VLOOKUP(K1302,'VALORES VIAJES'!$A$2:$B$24,2,FALSE),"")</f>
        <v/>
      </c>
      <c r="X1302" s="208">
        <f>SUM(Hoja1[[#This Row],[$ X TIP VEHICUL]:[AGREGADO]])</f>
        <v>0</v>
      </c>
    </row>
    <row r="1303" spans="2:24" hidden="1" x14ac:dyDescent="0.25">
      <c r="B1303" s="189"/>
      <c r="J1303" s="189"/>
      <c r="M1303" s="205"/>
      <c r="S1303" t="str">
        <f>IFERROR(VLOOKUP(E1303,'VALORES VIAJES'!$A$2:$B$13,2,FALSE),"")</f>
        <v/>
      </c>
      <c r="T1303" t="str">
        <f>IFERROR(VLOOKUP(H1303,'VALORES VIAJES'!$A$2:$B$24,2,FALSE),"")</f>
        <v/>
      </c>
      <c r="U1303" t="str">
        <f>IFERROR(VLOOKUP(I1303,'VALORES VIAJES'!$A$2:$B$24,2,FALSE),"")</f>
        <v/>
      </c>
      <c r="V1303" t="str">
        <f>IFERROR(VLOOKUP(K1303,'VALORES VIAJES'!$A$2:$B$24,2,FALSE),"")</f>
        <v/>
      </c>
      <c r="X1303" s="208">
        <f>SUM(Hoja1[[#This Row],[$ X TIP VEHICUL]:[AGREGADO]])</f>
        <v>0</v>
      </c>
    </row>
    <row r="1304" spans="2:24" hidden="1" x14ac:dyDescent="0.25">
      <c r="B1304" s="189"/>
      <c r="J1304" s="189"/>
      <c r="M1304" s="205"/>
      <c r="S1304" t="str">
        <f>IFERROR(VLOOKUP(E1304,'VALORES VIAJES'!$A$2:$B$13,2,FALSE),"")</f>
        <v/>
      </c>
      <c r="T1304" t="str">
        <f>IFERROR(VLOOKUP(H1304,'VALORES VIAJES'!$A$2:$B$24,2,FALSE),"")</f>
        <v/>
      </c>
      <c r="U1304" t="str">
        <f>IFERROR(VLOOKUP(I1304,'VALORES VIAJES'!$A$2:$B$24,2,FALSE),"")</f>
        <v/>
      </c>
      <c r="V1304" t="str">
        <f>IFERROR(VLOOKUP(K1304,'VALORES VIAJES'!$A$2:$B$24,2,FALSE),"")</f>
        <v/>
      </c>
      <c r="X1304" s="208">
        <f>SUM(Hoja1[[#This Row],[$ X TIP VEHICUL]:[AGREGADO]])</f>
        <v>0</v>
      </c>
    </row>
    <row r="1305" spans="2:24" hidden="1" x14ac:dyDescent="0.25">
      <c r="B1305" s="189"/>
      <c r="J1305" s="189"/>
      <c r="M1305" s="205"/>
      <c r="S1305" t="str">
        <f>IFERROR(VLOOKUP(E1305,'VALORES VIAJES'!$A$2:$B$13,2,FALSE),"")</f>
        <v/>
      </c>
      <c r="T1305" t="str">
        <f>IFERROR(VLOOKUP(H1305,'VALORES VIAJES'!$A$2:$B$24,2,FALSE),"")</f>
        <v/>
      </c>
      <c r="U1305" t="str">
        <f>IFERROR(VLOOKUP(I1305,'VALORES VIAJES'!$A$2:$B$24,2,FALSE),"")</f>
        <v/>
      </c>
      <c r="V1305" t="str">
        <f>IFERROR(VLOOKUP(K1305,'VALORES VIAJES'!$A$2:$B$24,2,FALSE),"")</f>
        <v/>
      </c>
      <c r="X1305" s="208">
        <f>SUM(Hoja1[[#This Row],[$ X TIP VEHICUL]:[AGREGADO]])</f>
        <v>0</v>
      </c>
    </row>
    <row r="1306" spans="2:24" hidden="1" x14ac:dyDescent="0.25">
      <c r="B1306" s="189"/>
      <c r="J1306" s="189"/>
      <c r="M1306" s="205"/>
      <c r="S1306" t="str">
        <f>IFERROR(VLOOKUP(E1306,'VALORES VIAJES'!$A$2:$B$13,2,FALSE),"")</f>
        <v/>
      </c>
      <c r="T1306" t="str">
        <f>IFERROR(VLOOKUP(H1306,'VALORES VIAJES'!$A$2:$B$24,2,FALSE),"")</f>
        <v/>
      </c>
      <c r="U1306" t="str">
        <f>IFERROR(VLOOKUP(I1306,'VALORES VIAJES'!$A$2:$B$24,2,FALSE),"")</f>
        <v/>
      </c>
      <c r="V1306" t="str">
        <f>IFERROR(VLOOKUP(K1306,'VALORES VIAJES'!$A$2:$B$24,2,FALSE),"")</f>
        <v/>
      </c>
      <c r="X1306" s="208">
        <f>SUM(Hoja1[[#This Row],[$ X TIP VEHICUL]:[AGREGADO]])</f>
        <v>0</v>
      </c>
    </row>
    <row r="1307" spans="2:24" hidden="1" x14ac:dyDescent="0.25">
      <c r="B1307" s="189"/>
      <c r="J1307" s="189"/>
      <c r="M1307" s="205"/>
      <c r="S1307" t="str">
        <f>IFERROR(VLOOKUP(E1307,'VALORES VIAJES'!$A$2:$B$13,2,FALSE),"")</f>
        <v/>
      </c>
      <c r="T1307" t="str">
        <f>IFERROR(VLOOKUP(H1307,'VALORES VIAJES'!$A$2:$B$24,2,FALSE),"")</f>
        <v/>
      </c>
      <c r="U1307" t="str">
        <f>IFERROR(VLOOKUP(I1307,'VALORES VIAJES'!$A$2:$B$24,2,FALSE),"")</f>
        <v/>
      </c>
      <c r="V1307" t="str">
        <f>IFERROR(VLOOKUP(K1307,'VALORES VIAJES'!$A$2:$B$24,2,FALSE),"")</f>
        <v/>
      </c>
      <c r="X1307" s="208">
        <f>SUM(Hoja1[[#This Row],[$ X TIP VEHICUL]:[AGREGADO]])</f>
        <v>0</v>
      </c>
    </row>
    <row r="1308" spans="2:24" hidden="1" x14ac:dyDescent="0.25">
      <c r="B1308" s="189"/>
      <c r="J1308" s="189"/>
      <c r="M1308" s="205"/>
      <c r="S1308" t="str">
        <f>IFERROR(VLOOKUP(E1308,'VALORES VIAJES'!$A$2:$B$13,2,FALSE),"")</f>
        <v/>
      </c>
      <c r="T1308" t="str">
        <f>IFERROR(VLOOKUP(H1308,'VALORES VIAJES'!$A$2:$B$24,2,FALSE),"")</f>
        <v/>
      </c>
      <c r="U1308" t="str">
        <f>IFERROR(VLOOKUP(I1308,'VALORES VIAJES'!$A$2:$B$24,2,FALSE),"")</f>
        <v/>
      </c>
      <c r="V1308" t="str">
        <f>IFERROR(VLOOKUP(K1308,'VALORES VIAJES'!$A$2:$B$24,2,FALSE),"")</f>
        <v/>
      </c>
      <c r="X1308" s="208">
        <f>SUM(Hoja1[[#This Row],[$ X TIP VEHICUL]:[AGREGADO]])</f>
        <v>0</v>
      </c>
    </row>
    <row r="1309" spans="2:24" hidden="1" x14ac:dyDescent="0.25">
      <c r="B1309" s="189"/>
      <c r="J1309" s="189"/>
      <c r="M1309" s="205"/>
      <c r="S1309" t="str">
        <f>IFERROR(VLOOKUP(E1309,'VALORES VIAJES'!$A$2:$B$13,2,FALSE),"")</f>
        <v/>
      </c>
      <c r="T1309" t="str">
        <f>IFERROR(VLOOKUP(H1309,'VALORES VIAJES'!$A$2:$B$24,2,FALSE),"")</f>
        <v/>
      </c>
      <c r="U1309" t="str">
        <f>IFERROR(VLOOKUP(I1309,'VALORES VIAJES'!$A$2:$B$24,2,FALSE),"")</f>
        <v/>
      </c>
      <c r="V1309" t="str">
        <f>IFERROR(VLOOKUP(K1309,'VALORES VIAJES'!$A$2:$B$24,2,FALSE),"")</f>
        <v/>
      </c>
      <c r="X1309" s="208">
        <f>SUM(Hoja1[[#This Row],[$ X TIP VEHICUL]:[AGREGADO]])</f>
        <v>0</v>
      </c>
    </row>
    <row r="1310" spans="2:24" hidden="1" x14ac:dyDescent="0.25">
      <c r="B1310" s="189"/>
      <c r="J1310" s="189"/>
      <c r="M1310" s="205"/>
      <c r="S1310" t="str">
        <f>IFERROR(VLOOKUP(E1310,'VALORES VIAJES'!$A$2:$B$13,2,FALSE),"")</f>
        <v/>
      </c>
      <c r="T1310" t="str">
        <f>IFERROR(VLOOKUP(H1310,'VALORES VIAJES'!$A$2:$B$24,2,FALSE),"")</f>
        <v/>
      </c>
      <c r="U1310" t="str">
        <f>IFERROR(VLOOKUP(I1310,'VALORES VIAJES'!$A$2:$B$24,2,FALSE),"")</f>
        <v/>
      </c>
      <c r="V1310" t="str">
        <f>IFERROR(VLOOKUP(K1310,'VALORES VIAJES'!$A$2:$B$24,2,FALSE),"")</f>
        <v/>
      </c>
      <c r="X1310" s="208">
        <f>SUM(Hoja1[[#This Row],[$ X TIP VEHICUL]:[AGREGADO]])</f>
        <v>0</v>
      </c>
    </row>
    <row r="1311" spans="2:24" hidden="1" x14ac:dyDescent="0.25">
      <c r="B1311" s="189"/>
      <c r="J1311" s="189"/>
      <c r="M1311" s="205"/>
      <c r="S1311" t="str">
        <f>IFERROR(VLOOKUP(E1311,'VALORES VIAJES'!$A$2:$B$13,2,FALSE),"")</f>
        <v/>
      </c>
      <c r="T1311" t="str">
        <f>IFERROR(VLOOKUP(H1311,'VALORES VIAJES'!$A$2:$B$24,2,FALSE),"")</f>
        <v/>
      </c>
      <c r="U1311" t="str">
        <f>IFERROR(VLOOKUP(I1311,'VALORES VIAJES'!$A$2:$B$24,2,FALSE),"")</f>
        <v/>
      </c>
      <c r="V1311" t="str">
        <f>IFERROR(VLOOKUP(K1311,'VALORES VIAJES'!$A$2:$B$24,2,FALSE),"")</f>
        <v/>
      </c>
      <c r="X1311" s="208">
        <f>SUM(Hoja1[[#This Row],[$ X TIP VEHICUL]:[AGREGADO]])</f>
        <v>0</v>
      </c>
    </row>
    <row r="1312" spans="2:24" hidden="1" x14ac:dyDescent="0.25">
      <c r="B1312" s="189"/>
      <c r="J1312" s="189"/>
      <c r="M1312" s="205"/>
      <c r="S1312" t="str">
        <f>IFERROR(VLOOKUP(E1312,'VALORES VIAJES'!$A$2:$B$13,2,FALSE),"")</f>
        <v/>
      </c>
      <c r="T1312" t="str">
        <f>IFERROR(VLOOKUP(H1312,'VALORES VIAJES'!$A$2:$B$24,2,FALSE),"")</f>
        <v/>
      </c>
      <c r="U1312" t="str">
        <f>IFERROR(VLOOKUP(I1312,'VALORES VIAJES'!$A$2:$B$24,2,FALSE),"")</f>
        <v/>
      </c>
      <c r="V1312" t="str">
        <f>IFERROR(VLOOKUP(K1312,'VALORES VIAJES'!$A$2:$B$24,2,FALSE),"")</f>
        <v/>
      </c>
      <c r="X1312" s="208">
        <f>SUM(Hoja1[[#This Row],[$ X TIP VEHICUL]:[AGREGADO]])</f>
        <v>0</v>
      </c>
    </row>
    <row r="1313" spans="2:24" hidden="1" x14ac:dyDescent="0.25">
      <c r="B1313" s="189"/>
      <c r="J1313" s="189"/>
      <c r="M1313" s="205"/>
      <c r="S1313" t="str">
        <f>IFERROR(VLOOKUP(E1313,'VALORES VIAJES'!$A$2:$B$13,2,FALSE),"")</f>
        <v/>
      </c>
      <c r="T1313" t="str">
        <f>IFERROR(VLOOKUP(H1313,'VALORES VIAJES'!$A$2:$B$24,2,FALSE),"")</f>
        <v/>
      </c>
      <c r="U1313" t="str">
        <f>IFERROR(VLOOKUP(I1313,'VALORES VIAJES'!$A$2:$B$24,2,FALSE),"")</f>
        <v/>
      </c>
      <c r="V1313" t="str">
        <f>IFERROR(VLOOKUP(K1313,'VALORES VIAJES'!$A$2:$B$24,2,FALSE),"")</f>
        <v/>
      </c>
      <c r="X1313" s="208">
        <f>SUM(Hoja1[[#This Row],[$ X TIP VEHICUL]:[AGREGADO]])</f>
        <v>0</v>
      </c>
    </row>
    <row r="1314" spans="2:24" hidden="1" x14ac:dyDescent="0.25">
      <c r="B1314" s="189"/>
      <c r="J1314" s="189"/>
      <c r="M1314" s="205"/>
      <c r="S1314" t="str">
        <f>IFERROR(VLOOKUP(E1314,'VALORES VIAJES'!$A$2:$B$13,2,FALSE),"")</f>
        <v/>
      </c>
      <c r="T1314" t="str">
        <f>IFERROR(VLOOKUP(H1314,'VALORES VIAJES'!$A$2:$B$24,2,FALSE),"")</f>
        <v/>
      </c>
      <c r="U1314" t="str">
        <f>IFERROR(VLOOKUP(I1314,'VALORES VIAJES'!$A$2:$B$24,2,FALSE),"")</f>
        <v/>
      </c>
      <c r="V1314" t="str">
        <f>IFERROR(VLOOKUP(K1314,'VALORES VIAJES'!$A$2:$B$24,2,FALSE),"")</f>
        <v/>
      </c>
      <c r="X1314" s="208">
        <f>SUM(Hoja1[[#This Row],[$ X TIP VEHICUL]:[AGREGADO]])</f>
        <v>0</v>
      </c>
    </row>
    <row r="1315" spans="2:24" hidden="1" x14ac:dyDescent="0.25">
      <c r="B1315" s="189"/>
      <c r="J1315" s="189"/>
      <c r="M1315" s="205"/>
      <c r="S1315" t="str">
        <f>IFERROR(VLOOKUP(E1315,'VALORES VIAJES'!$A$2:$B$13,2,FALSE),"")</f>
        <v/>
      </c>
      <c r="T1315" t="str">
        <f>IFERROR(VLOOKUP(H1315,'VALORES VIAJES'!$A$2:$B$24,2,FALSE),"")</f>
        <v/>
      </c>
      <c r="U1315" t="str">
        <f>IFERROR(VLOOKUP(I1315,'VALORES VIAJES'!$A$2:$B$24,2,FALSE),"")</f>
        <v/>
      </c>
      <c r="V1315" t="str">
        <f>IFERROR(VLOOKUP(K1315,'VALORES VIAJES'!$A$2:$B$24,2,FALSE),"")</f>
        <v/>
      </c>
      <c r="X1315" s="208">
        <f>SUM(Hoja1[[#This Row],[$ X TIP VEHICUL]:[AGREGADO]])</f>
        <v>0</v>
      </c>
    </row>
    <row r="1316" spans="2:24" hidden="1" x14ac:dyDescent="0.25">
      <c r="B1316" s="189"/>
      <c r="J1316" s="189"/>
      <c r="M1316" s="205"/>
      <c r="S1316" t="str">
        <f>IFERROR(VLOOKUP(E1316,'VALORES VIAJES'!$A$2:$B$13,2,FALSE),"")</f>
        <v/>
      </c>
      <c r="T1316" t="str">
        <f>IFERROR(VLOOKUP(H1316,'VALORES VIAJES'!$A$2:$B$24,2,FALSE),"")</f>
        <v/>
      </c>
      <c r="U1316" t="str">
        <f>IFERROR(VLOOKUP(I1316,'VALORES VIAJES'!$A$2:$B$24,2,FALSE),"")</f>
        <v/>
      </c>
      <c r="V1316" t="str">
        <f>IFERROR(VLOOKUP(K1316,'VALORES VIAJES'!$A$2:$B$24,2,FALSE),"")</f>
        <v/>
      </c>
      <c r="X1316" s="208">
        <f>SUM(Hoja1[[#This Row],[$ X TIP VEHICUL]:[AGREGADO]])</f>
        <v>0</v>
      </c>
    </row>
    <row r="1317" spans="2:24" hidden="1" x14ac:dyDescent="0.25">
      <c r="B1317" s="189"/>
      <c r="J1317" s="189"/>
      <c r="M1317" s="205"/>
      <c r="S1317" t="str">
        <f>IFERROR(VLOOKUP(E1317,'VALORES VIAJES'!$A$2:$B$13,2,FALSE),"")</f>
        <v/>
      </c>
      <c r="T1317" t="str">
        <f>IFERROR(VLOOKUP(H1317,'VALORES VIAJES'!$A$2:$B$24,2,FALSE),"")</f>
        <v/>
      </c>
      <c r="U1317" t="str">
        <f>IFERROR(VLOOKUP(I1317,'VALORES VIAJES'!$A$2:$B$24,2,FALSE),"")</f>
        <v/>
      </c>
      <c r="V1317" t="str">
        <f>IFERROR(VLOOKUP(K1317,'VALORES VIAJES'!$A$2:$B$24,2,FALSE),"")</f>
        <v/>
      </c>
      <c r="X1317" s="208">
        <f>SUM(Hoja1[[#This Row],[$ X TIP VEHICUL]:[AGREGADO]])</f>
        <v>0</v>
      </c>
    </row>
    <row r="1318" spans="2:24" hidden="1" x14ac:dyDescent="0.25">
      <c r="B1318" s="189"/>
      <c r="J1318" s="189"/>
      <c r="M1318" s="205"/>
      <c r="S1318" t="str">
        <f>IFERROR(VLOOKUP(E1318,'VALORES VIAJES'!$A$2:$B$13,2,FALSE),"")</f>
        <v/>
      </c>
      <c r="T1318" t="str">
        <f>IFERROR(VLOOKUP(H1318,'VALORES VIAJES'!$A$2:$B$24,2,FALSE),"")</f>
        <v/>
      </c>
      <c r="U1318" t="str">
        <f>IFERROR(VLOOKUP(I1318,'VALORES VIAJES'!$A$2:$B$24,2,FALSE),"")</f>
        <v/>
      </c>
      <c r="V1318" t="str">
        <f>IFERROR(VLOOKUP(K1318,'VALORES VIAJES'!$A$2:$B$24,2,FALSE),"")</f>
        <v/>
      </c>
      <c r="X1318" s="208">
        <f>SUM(Hoja1[[#This Row],[$ X TIP VEHICUL]:[AGREGADO]])</f>
        <v>0</v>
      </c>
    </row>
    <row r="1319" spans="2:24" hidden="1" x14ac:dyDescent="0.25">
      <c r="B1319" s="189"/>
      <c r="J1319" s="189"/>
      <c r="M1319" s="205"/>
      <c r="S1319" t="str">
        <f>IFERROR(VLOOKUP(E1319,'VALORES VIAJES'!$A$2:$B$13,2,FALSE),"")</f>
        <v/>
      </c>
      <c r="T1319" t="str">
        <f>IFERROR(VLOOKUP(H1319,'VALORES VIAJES'!$A$2:$B$24,2,FALSE),"")</f>
        <v/>
      </c>
      <c r="U1319" t="str">
        <f>IFERROR(VLOOKUP(I1319,'VALORES VIAJES'!$A$2:$B$24,2,FALSE),"")</f>
        <v/>
      </c>
      <c r="V1319" t="str">
        <f>IFERROR(VLOOKUP(K1319,'VALORES VIAJES'!$A$2:$B$24,2,FALSE),"")</f>
        <v/>
      </c>
      <c r="X1319" s="208">
        <f>SUM(Hoja1[[#This Row],[$ X TIP VEHICUL]:[AGREGADO]])</f>
        <v>0</v>
      </c>
    </row>
    <row r="1320" spans="2:24" hidden="1" x14ac:dyDescent="0.25">
      <c r="B1320" s="189"/>
      <c r="J1320" s="189"/>
      <c r="M1320" s="205"/>
      <c r="S1320" t="str">
        <f>IFERROR(VLOOKUP(E1320,'VALORES VIAJES'!$A$2:$B$13,2,FALSE),"")</f>
        <v/>
      </c>
      <c r="T1320" t="str">
        <f>IFERROR(VLOOKUP(H1320,'VALORES VIAJES'!$A$2:$B$24,2,FALSE),"")</f>
        <v/>
      </c>
      <c r="U1320" t="str">
        <f>IFERROR(VLOOKUP(I1320,'VALORES VIAJES'!$A$2:$B$24,2,FALSE),"")</f>
        <v/>
      </c>
      <c r="V1320" t="str">
        <f>IFERROR(VLOOKUP(K1320,'VALORES VIAJES'!$A$2:$B$24,2,FALSE),"")</f>
        <v/>
      </c>
      <c r="X1320" s="208">
        <f>SUM(Hoja1[[#This Row],[$ X TIP VEHICUL]:[AGREGADO]])</f>
        <v>0</v>
      </c>
    </row>
    <row r="1321" spans="2:24" hidden="1" x14ac:dyDescent="0.25">
      <c r="B1321" s="189"/>
      <c r="J1321" s="189"/>
      <c r="M1321" s="205"/>
      <c r="S1321" t="str">
        <f>IFERROR(VLOOKUP(E1321,'VALORES VIAJES'!$A$2:$B$13,2,FALSE),"")</f>
        <v/>
      </c>
      <c r="T1321" t="str">
        <f>IFERROR(VLOOKUP(H1321,'VALORES VIAJES'!$A$2:$B$24,2,FALSE),"")</f>
        <v/>
      </c>
      <c r="U1321" t="str">
        <f>IFERROR(VLOOKUP(I1321,'VALORES VIAJES'!$A$2:$B$24,2,FALSE),"")</f>
        <v/>
      </c>
      <c r="V1321" t="str">
        <f>IFERROR(VLOOKUP(K1321,'VALORES VIAJES'!$A$2:$B$24,2,FALSE),"")</f>
        <v/>
      </c>
      <c r="X1321" s="208">
        <f>SUM(Hoja1[[#This Row],[$ X TIP VEHICUL]:[AGREGADO]])</f>
        <v>0</v>
      </c>
    </row>
    <row r="1322" spans="2:24" hidden="1" x14ac:dyDescent="0.25">
      <c r="B1322" s="189"/>
      <c r="J1322" s="189"/>
      <c r="M1322" s="205"/>
      <c r="S1322" t="str">
        <f>IFERROR(VLOOKUP(E1322,'VALORES VIAJES'!$A$2:$B$13,2,FALSE),"")</f>
        <v/>
      </c>
      <c r="T1322" t="str">
        <f>IFERROR(VLOOKUP(H1322,'VALORES VIAJES'!$A$2:$B$24,2,FALSE),"")</f>
        <v/>
      </c>
      <c r="U1322" t="str">
        <f>IFERROR(VLOOKUP(I1322,'VALORES VIAJES'!$A$2:$B$24,2,FALSE),"")</f>
        <v/>
      </c>
      <c r="V1322" t="str">
        <f>IFERROR(VLOOKUP(K1322,'VALORES VIAJES'!$A$2:$B$24,2,FALSE),"")</f>
        <v/>
      </c>
      <c r="X1322" s="208">
        <f>SUM(Hoja1[[#This Row],[$ X TIP VEHICUL]:[AGREGADO]])</f>
        <v>0</v>
      </c>
    </row>
    <row r="1323" spans="2:24" hidden="1" x14ac:dyDescent="0.25">
      <c r="B1323" s="189"/>
      <c r="J1323" s="189"/>
      <c r="M1323" s="205"/>
      <c r="S1323" t="str">
        <f>IFERROR(VLOOKUP(E1323,'VALORES VIAJES'!$A$2:$B$13,2,FALSE),"")</f>
        <v/>
      </c>
      <c r="T1323" t="str">
        <f>IFERROR(VLOOKUP(H1323,'VALORES VIAJES'!$A$2:$B$24,2,FALSE),"")</f>
        <v/>
      </c>
      <c r="U1323" t="str">
        <f>IFERROR(VLOOKUP(I1323,'VALORES VIAJES'!$A$2:$B$24,2,FALSE),"")</f>
        <v/>
      </c>
      <c r="V1323" t="str">
        <f>IFERROR(VLOOKUP(K1323,'VALORES VIAJES'!$A$2:$B$24,2,FALSE),"")</f>
        <v/>
      </c>
      <c r="X1323" s="208">
        <f>SUM(Hoja1[[#This Row],[$ X TIP VEHICUL]:[AGREGADO]])</f>
        <v>0</v>
      </c>
    </row>
    <row r="1324" spans="2:24" hidden="1" x14ac:dyDescent="0.25">
      <c r="B1324" s="189"/>
      <c r="J1324" s="189"/>
      <c r="M1324" s="205"/>
      <c r="S1324" t="str">
        <f>IFERROR(VLOOKUP(E1324,'VALORES VIAJES'!$A$2:$B$13,2,FALSE),"")</f>
        <v/>
      </c>
      <c r="T1324" t="str">
        <f>IFERROR(VLOOKUP(H1324,'VALORES VIAJES'!$A$2:$B$24,2,FALSE),"")</f>
        <v/>
      </c>
      <c r="U1324" t="str">
        <f>IFERROR(VLOOKUP(I1324,'VALORES VIAJES'!$A$2:$B$24,2,FALSE),"")</f>
        <v/>
      </c>
      <c r="V1324" t="str">
        <f>IFERROR(VLOOKUP(K1324,'VALORES VIAJES'!$A$2:$B$24,2,FALSE),"")</f>
        <v/>
      </c>
      <c r="X1324" s="208">
        <f>SUM(Hoja1[[#This Row],[$ X TIP VEHICUL]:[AGREGADO]])</f>
        <v>0</v>
      </c>
    </row>
    <row r="1325" spans="2:24" hidden="1" x14ac:dyDescent="0.25">
      <c r="B1325" s="189"/>
      <c r="J1325" s="189"/>
      <c r="M1325" s="205"/>
      <c r="S1325" t="str">
        <f>IFERROR(VLOOKUP(E1325,'VALORES VIAJES'!$A$2:$B$13,2,FALSE),"")</f>
        <v/>
      </c>
      <c r="T1325" t="str">
        <f>IFERROR(VLOOKUP(H1325,'VALORES VIAJES'!$A$2:$B$24,2,FALSE),"")</f>
        <v/>
      </c>
      <c r="U1325" t="str">
        <f>IFERROR(VLOOKUP(I1325,'VALORES VIAJES'!$A$2:$B$24,2,FALSE),"")</f>
        <v/>
      </c>
      <c r="V1325" t="str">
        <f>IFERROR(VLOOKUP(K1325,'VALORES VIAJES'!$A$2:$B$24,2,FALSE),"")</f>
        <v/>
      </c>
      <c r="X1325" s="208">
        <f>SUM(Hoja1[[#This Row],[$ X TIP VEHICUL]:[AGREGADO]])</f>
        <v>0</v>
      </c>
    </row>
    <row r="1326" spans="2:24" hidden="1" x14ac:dyDescent="0.25">
      <c r="B1326" s="189"/>
      <c r="J1326" s="189"/>
      <c r="M1326" s="205"/>
      <c r="S1326" t="str">
        <f>IFERROR(VLOOKUP(E1326,'VALORES VIAJES'!$A$2:$B$13,2,FALSE),"")</f>
        <v/>
      </c>
      <c r="T1326" t="str">
        <f>IFERROR(VLOOKUP(H1326,'VALORES VIAJES'!$A$2:$B$24,2,FALSE),"")</f>
        <v/>
      </c>
      <c r="U1326" t="str">
        <f>IFERROR(VLOOKUP(I1326,'VALORES VIAJES'!$A$2:$B$24,2,FALSE),"")</f>
        <v/>
      </c>
      <c r="V1326" t="str">
        <f>IFERROR(VLOOKUP(K1326,'VALORES VIAJES'!$A$2:$B$24,2,FALSE),"")</f>
        <v/>
      </c>
      <c r="X1326" s="208">
        <f>SUM(Hoja1[[#This Row],[$ X TIP VEHICUL]:[AGREGADO]])</f>
        <v>0</v>
      </c>
    </row>
    <row r="1327" spans="2:24" hidden="1" x14ac:dyDescent="0.25">
      <c r="B1327" s="189"/>
      <c r="J1327" s="189"/>
      <c r="M1327" s="205"/>
      <c r="S1327" t="str">
        <f>IFERROR(VLOOKUP(E1327,'VALORES VIAJES'!$A$2:$B$13,2,FALSE),"")</f>
        <v/>
      </c>
      <c r="T1327" t="str">
        <f>IFERROR(VLOOKUP(H1327,'VALORES VIAJES'!$A$2:$B$24,2,FALSE),"")</f>
        <v/>
      </c>
      <c r="U1327" t="str">
        <f>IFERROR(VLOOKUP(I1327,'VALORES VIAJES'!$A$2:$B$24,2,FALSE),"")</f>
        <v/>
      </c>
      <c r="V1327" t="str">
        <f>IFERROR(VLOOKUP(K1327,'VALORES VIAJES'!$A$2:$B$24,2,FALSE),"")</f>
        <v/>
      </c>
      <c r="X1327" s="208">
        <f>SUM(Hoja1[[#This Row],[$ X TIP VEHICUL]:[AGREGADO]])</f>
        <v>0</v>
      </c>
    </row>
    <row r="1328" spans="2:24" hidden="1" x14ac:dyDescent="0.25">
      <c r="B1328" s="189"/>
      <c r="J1328" s="189"/>
      <c r="M1328" s="205"/>
      <c r="S1328" t="str">
        <f>IFERROR(VLOOKUP(E1328,'VALORES VIAJES'!$A$2:$B$13,2,FALSE),"")</f>
        <v/>
      </c>
      <c r="T1328" t="str">
        <f>IFERROR(VLOOKUP(H1328,'VALORES VIAJES'!$A$2:$B$24,2,FALSE),"")</f>
        <v/>
      </c>
      <c r="U1328" t="str">
        <f>IFERROR(VLOOKUP(I1328,'VALORES VIAJES'!$A$2:$B$24,2,FALSE),"")</f>
        <v/>
      </c>
      <c r="V1328" t="str">
        <f>IFERROR(VLOOKUP(K1328,'VALORES VIAJES'!$A$2:$B$24,2,FALSE),"")</f>
        <v/>
      </c>
      <c r="X1328" s="208">
        <f>SUM(Hoja1[[#This Row],[$ X TIP VEHICUL]:[AGREGADO]])</f>
        <v>0</v>
      </c>
    </row>
    <row r="1329" spans="2:24" hidden="1" x14ac:dyDescent="0.25">
      <c r="B1329" s="189"/>
      <c r="J1329" s="189"/>
      <c r="M1329" s="205"/>
      <c r="S1329" t="str">
        <f>IFERROR(VLOOKUP(E1329,'VALORES VIAJES'!$A$2:$B$13,2,FALSE),"")</f>
        <v/>
      </c>
      <c r="T1329" t="str">
        <f>IFERROR(VLOOKUP(H1329,'VALORES VIAJES'!$A$2:$B$24,2,FALSE),"")</f>
        <v/>
      </c>
      <c r="U1329" t="str">
        <f>IFERROR(VLOOKUP(I1329,'VALORES VIAJES'!$A$2:$B$24,2,FALSE),"")</f>
        <v/>
      </c>
      <c r="V1329" t="str">
        <f>IFERROR(VLOOKUP(K1329,'VALORES VIAJES'!$A$2:$B$24,2,FALSE),"")</f>
        <v/>
      </c>
      <c r="X1329" s="208">
        <f>SUM(Hoja1[[#This Row],[$ X TIP VEHICUL]:[AGREGADO]])</f>
        <v>0</v>
      </c>
    </row>
    <row r="1330" spans="2:24" hidden="1" x14ac:dyDescent="0.25">
      <c r="B1330" s="189"/>
      <c r="J1330" s="189"/>
      <c r="M1330" s="205"/>
      <c r="S1330" t="str">
        <f>IFERROR(VLOOKUP(E1330,'VALORES VIAJES'!$A$2:$B$13,2,FALSE),"")</f>
        <v/>
      </c>
      <c r="T1330" t="str">
        <f>IFERROR(VLOOKUP(H1330,'VALORES VIAJES'!$A$2:$B$24,2,FALSE),"")</f>
        <v/>
      </c>
      <c r="U1330" t="str">
        <f>IFERROR(VLOOKUP(I1330,'VALORES VIAJES'!$A$2:$B$24,2,FALSE),"")</f>
        <v/>
      </c>
      <c r="V1330" t="str">
        <f>IFERROR(VLOOKUP(K1330,'VALORES VIAJES'!$A$2:$B$24,2,FALSE),"")</f>
        <v/>
      </c>
      <c r="X1330" s="208">
        <f>SUM(Hoja1[[#This Row],[$ X TIP VEHICUL]:[AGREGADO]])</f>
        <v>0</v>
      </c>
    </row>
    <row r="1331" spans="2:24" hidden="1" x14ac:dyDescent="0.25">
      <c r="B1331" s="189"/>
      <c r="J1331" s="189"/>
      <c r="M1331" s="205"/>
      <c r="S1331" t="str">
        <f>IFERROR(VLOOKUP(E1331,'VALORES VIAJES'!$A$2:$B$13,2,FALSE),"")</f>
        <v/>
      </c>
      <c r="T1331" t="str">
        <f>IFERROR(VLOOKUP(H1331,'VALORES VIAJES'!$A$2:$B$24,2,FALSE),"")</f>
        <v/>
      </c>
      <c r="U1331" t="str">
        <f>IFERROR(VLOOKUP(I1331,'VALORES VIAJES'!$A$2:$B$24,2,FALSE),"")</f>
        <v/>
      </c>
      <c r="V1331" t="str">
        <f>IFERROR(VLOOKUP(K1331,'VALORES VIAJES'!$A$2:$B$24,2,FALSE),"")</f>
        <v/>
      </c>
      <c r="X1331" s="208">
        <f>SUM(Hoja1[[#This Row],[$ X TIP VEHICUL]:[AGREGADO]])</f>
        <v>0</v>
      </c>
    </row>
    <row r="1332" spans="2:24" hidden="1" x14ac:dyDescent="0.25">
      <c r="B1332" s="189"/>
      <c r="J1332" s="189"/>
      <c r="M1332" s="205"/>
      <c r="S1332" t="str">
        <f>IFERROR(VLOOKUP(E1332,'VALORES VIAJES'!$A$2:$B$13,2,FALSE),"")</f>
        <v/>
      </c>
      <c r="T1332" t="str">
        <f>IFERROR(VLOOKUP(H1332,'VALORES VIAJES'!$A$2:$B$24,2,FALSE),"")</f>
        <v/>
      </c>
      <c r="U1332" t="str">
        <f>IFERROR(VLOOKUP(I1332,'VALORES VIAJES'!$A$2:$B$24,2,FALSE),"")</f>
        <v/>
      </c>
      <c r="V1332" t="str">
        <f>IFERROR(VLOOKUP(K1332,'VALORES VIAJES'!$A$2:$B$24,2,FALSE),"")</f>
        <v/>
      </c>
      <c r="X1332" s="208">
        <f>SUM(Hoja1[[#This Row],[$ X TIP VEHICUL]:[AGREGADO]])</f>
        <v>0</v>
      </c>
    </row>
    <row r="1333" spans="2:24" hidden="1" x14ac:dyDescent="0.25">
      <c r="B1333" s="189"/>
      <c r="J1333" s="189"/>
      <c r="M1333" s="205"/>
      <c r="S1333" t="str">
        <f>IFERROR(VLOOKUP(E1333,'VALORES VIAJES'!$A$2:$B$13,2,FALSE),"")</f>
        <v/>
      </c>
      <c r="T1333" t="str">
        <f>IFERROR(VLOOKUP(H1333,'VALORES VIAJES'!$A$2:$B$24,2,FALSE),"")</f>
        <v/>
      </c>
      <c r="U1333" t="str">
        <f>IFERROR(VLOOKUP(I1333,'VALORES VIAJES'!$A$2:$B$24,2,FALSE),"")</f>
        <v/>
      </c>
      <c r="V1333" t="str">
        <f>IFERROR(VLOOKUP(K1333,'VALORES VIAJES'!$A$2:$B$24,2,FALSE),"")</f>
        <v/>
      </c>
      <c r="X1333" s="208">
        <f>SUM(Hoja1[[#This Row],[$ X TIP VEHICUL]:[AGREGADO]])</f>
        <v>0</v>
      </c>
    </row>
    <row r="1334" spans="2:24" hidden="1" x14ac:dyDescent="0.25">
      <c r="B1334" s="189"/>
      <c r="J1334" s="189"/>
      <c r="M1334" s="205"/>
      <c r="S1334" t="str">
        <f>IFERROR(VLOOKUP(E1334,'VALORES VIAJES'!$A$2:$B$13,2,FALSE),"")</f>
        <v/>
      </c>
      <c r="T1334" t="str">
        <f>IFERROR(VLOOKUP(H1334,'VALORES VIAJES'!$A$2:$B$24,2,FALSE),"")</f>
        <v/>
      </c>
      <c r="U1334" t="str">
        <f>IFERROR(VLOOKUP(I1334,'VALORES VIAJES'!$A$2:$B$24,2,FALSE),"")</f>
        <v/>
      </c>
      <c r="V1334" t="str">
        <f>IFERROR(VLOOKUP(K1334,'VALORES VIAJES'!$A$2:$B$24,2,FALSE),"")</f>
        <v/>
      </c>
      <c r="X1334" s="208">
        <f>SUM(Hoja1[[#This Row],[$ X TIP VEHICUL]:[AGREGADO]])</f>
        <v>0</v>
      </c>
    </row>
    <row r="1335" spans="2:24" hidden="1" x14ac:dyDescent="0.25">
      <c r="B1335" s="189"/>
      <c r="J1335" s="189"/>
      <c r="M1335" s="205"/>
      <c r="S1335" t="str">
        <f>IFERROR(VLOOKUP(E1335,'VALORES VIAJES'!$A$2:$B$13,2,FALSE),"")</f>
        <v/>
      </c>
      <c r="T1335" t="str">
        <f>IFERROR(VLOOKUP(H1335,'VALORES VIAJES'!$A$2:$B$24,2,FALSE),"")</f>
        <v/>
      </c>
      <c r="U1335" t="str">
        <f>IFERROR(VLOOKUP(I1335,'VALORES VIAJES'!$A$2:$B$24,2,FALSE),"")</f>
        <v/>
      </c>
      <c r="V1335" t="str">
        <f>IFERROR(VLOOKUP(K1335,'VALORES VIAJES'!$A$2:$B$24,2,FALSE),"")</f>
        <v/>
      </c>
      <c r="X1335" s="208">
        <f>SUM(Hoja1[[#This Row],[$ X TIP VEHICUL]:[AGREGADO]])</f>
        <v>0</v>
      </c>
    </row>
    <row r="1336" spans="2:24" hidden="1" x14ac:dyDescent="0.25">
      <c r="B1336" s="189"/>
      <c r="J1336" s="189"/>
      <c r="M1336" s="205"/>
      <c r="S1336" t="str">
        <f>IFERROR(VLOOKUP(E1336,'VALORES VIAJES'!$A$2:$B$13,2,FALSE),"")</f>
        <v/>
      </c>
      <c r="T1336" t="str">
        <f>IFERROR(VLOOKUP(H1336,'VALORES VIAJES'!$A$2:$B$24,2,FALSE),"")</f>
        <v/>
      </c>
      <c r="U1336" t="str">
        <f>IFERROR(VLOOKUP(I1336,'VALORES VIAJES'!$A$2:$B$24,2,FALSE),"")</f>
        <v/>
      </c>
      <c r="V1336" t="str">
        <f>IFERROR(VLOOKUP(K1336,'VALORES VIAJES'!$A$2:$B$24,2,FALSE),"")</f>
        <v/>
      </c>
      <c r="X1336" s="208">
        <f>SUM(Hoja1[[#This Row],[$ X TIP VEHICUL]:[AGREGADO]])</f>
        <v>0</v>
      </c>
    </row>
    <row r="1337" spans="2:24" hidden="1" x14ac:dyDescent="0.25">
      <c r="B1337" s="189"/>
      <c r="J1337" s="189"/>
      <c r="M1337" s="205"/>
      <c r="S1337" t="str">
        <f>IFERROR(VLOOKUP(E1337,'VALORES VIAJES'!$A$2:$B$13,2,FALSE),"")</f>
        <v/>
      </c>
      <c r="T1337" t="str">
        <f>IFERROR(VLOOKUP(H1337,'VALORES VIAJES'!$A$2:$B$24,2,FALSE),"")</f>
        <v/>
      </c>
      <c r="U1337" t="str">
        <f>IFERROR(VLOOKUP(I1337,'VALORES VIAJES'!$A$2:$B$24,2,FALSE),"")</f>
        <v/>
      </c>
      <c r="V1337" t="str">
        <f>IFERROR(VLOOKUP(K1337,'VALORES VIAJES'!$A$2:$B$24,2,FALSE),"")</f>
        <v/>
      </c>
      <c r="X1337" s="208">
        <f>SUM(Hoja1[[#This Row],[$ X TIP VEHICUL]:[AGREGADO]])</f>
        <v>0</v>
      </c>
    </row>
    <row r="1338" spans="2:24" hidden="1" x14ac:dyDescent="0.25">
      <c r="B1338" s="189"/>
      <c r="J1338" s="189"/>
      <c r="M1338" s="205"/>
      <c r="S1338" t="str">
        <f>IFERROR(VLOOKUP(E1338,'VALORES VIAJES'!$A$2:$B$13,2,FALSE),"")</f>
        <v/>
      </c>
      <c r="T1338" t="str">
        <f>IFERROR(VLOOKUP(H1338,'VALORES VIAJES'!$A$2:$B$24,2,FALSE),"")</f>
        <v/>
      </c>
      <c r="U1338" t="str">
        <f>IFERROR(VLOOKUP(I1338,'VALORES VIAJES'!$A$2:$B$24,2,FALSE),"")</f>
        <v/>
      </c>
      <c r="V1338" t="str">
        <f>IFERROR(VLOOKUP(K1338,'VALORES VIAJES'!$A$2:$B$24,2,FALSE),"")</f>
        <v/>
      </c>
      <c r="X1338" s="208">
        <f>SUM(Hoja1[[#This Row],[$ X TIP VEHICUL]:[AGREGADO]])</f>
        <v>0</v>
      </c>
    </row>
    <row r="1339" spans="2:24" hidden="1" x14ac:dyDescent="0.25">
      <c r="B1339" s="189"/>
      <c r="J1339" s="189"/>
      <c r="M1339" s="205"/>
      <c r="S1339" t="str">
        <f>IFERROR(VLOOKUP(E1339,'VALORES VIAJES'!$A$2:$B$13,2,FALSE),"")</f>
        <v/>
      </c>
      <c r="T1339" t="str">
        <f>IFERROR(VLOOKUP(H1339,'VALORES VIAJES'!$A$2:$B$24,2,FALSE),"")</f>
        <v/>
      </c>
      <c r="U1339" t="str">
        <f>IFERROR(VLOOKUP(I1339,'VALORES VIAJES'!$A$2:$B$24,2,FALSE),"")</f>
        <v/>
      </c>
      <c r="V1339" t="str">
        <f>IFERROR(VLOOKUP(K1339,'VALORES VIAJES'!$A$2:$B$24,2,FALSE),"")</f>
        <v/>
      </c>
      <c r="X1339" s="208">
        <f>SUM(Hoja1[[#This Row],[$ X TIP VEHICUL]:[AGREGADO]])</f>
        <v>0</v>
      </c>
    </row>
    <row r="1340" spans="2:24" hidden="1" x14ac:dyDescent="0.25">
      <c r="B1340" s="189"/>
      <c r="J1340" s="189"/>
      <c r="M1340" s="205"/>
      <c r="S1340" t="str">
        <f>IFERROR(VLOOKUP(E1340,'VALORES VIAJES'!$A$2:$B$13,2,FALSE),"")</f>
        <v/>
      </c>
      <c r="T1340" t="str">
        <f>IFERROR(VLOOKUP(H1340,'VALORES VIAJES'!$A$2:$B$24,2,FALSE),"")</f>
        <v/>
      </c>
      <c r="U1340" t="str">
        <f>IFERROR(VLOOKUP(I1340,'VALORES VIAJES'!$A$2:$B$24,2,FALSE),"")</f>
        <v/>
      </c>
      <c r="V1340" t="str">
        <f>IFERROR(VLOOKUP(K1340,'VALORES VIAJES'!$A$2:$B$24,2,FALSE),"")</f>
        <v/>
      </c>
      <c r="X1340" s="208">
        <f>SUM(Hoja1[[#This Row],[$ X TIP VEHICUL]:[AGREGADO]])</f>
        <v>0</v>
      </c>
    </row>
    <row r="1341" spans="2:24" hidden="1" x14ac:dyDescent="0.25">
      <c r="B1341" s="189"/>
      <c r="J1341" s="189"/>
      <c r="M1341" s="205"/>
      <c r="S1341" t="str">
        <f>IFERROR(VLOOKUP(E1341,'VALORES VIAJES'!$A$2:$B$13,2,FALSE),"")</f>
        <v/>
      </c>
      <c r="T1341" t="str">
        <f>IFERROR(VLOOKUP(H1341,'VALORES VIAJES'!$A$2:$B$24,2,FALSE),"")</f>
        <v/>
      </c>
      <c r="U1341" t="str">
        <f>IFERROR(VLOOKUP(I1341,'VALORES VIAJES'!$A$2:$B$24,2,FALSE),"")</f>
        <v/>
      </c>
      <c r="V1341" t="str">
        <f>IFERROR(VLOOKUP(K1341,'VALORES VIAJES'!$A$2:$B$24,2,FALSE),"")</f>
        <v/>
      </c>
      <c r="X1341" s="208">
        <f>SUM(Hoja1[[#This Row],[$ X TIP VEHICUL]:[AGREGADO]])</f>
        <v>0</v>
      </c>
    </row>
    <row r="1342" spans="2:24" hidden="1" x14ac:dyDescent="0.25">
      <c r="B1342" s="189"/>
      <c r="J1342" s="189"/>
      <c r="M1342" s="205"/>
      <c r="S1342" t="str">
        <f>IFERROR(VLOOKUP(E1342,'VALORES VIAJES'!$A$2:$B$13,2,FALSE),"")</f>
        <v/>
      </c>
      <c r="T1342" t="str">
        <f>IFERROR(VLOOKUP(H1342,'VALORES VIAJES'!$A$2:$B$24,2,FALSE),"")</f>
        <v/>
      </c>
      <c r="U1342" t="str">
        <f>IFERROR(VLOOKUP(I1342,'VALORES VIAJES'!$A$2:$B$24,2,FALSE),"")</f>
        <v/>
      </c>
      <c r="V1342" t="str">
        <f>IFERROR(VLOOKUP(K1342,'VALORES VIAJES'!$A$2:$B$24,2,FALSE),"")</f>
        <v/>
      </c>
      <c r="X1342" s="208">
        <f>SUM(Hoja1[[#This Row],[$ X TIP VEHICUL]:[AGREGADO]])</f>
        <v>0</v>
      </c>
    </row>
    <row r="1343" spans="2:24" hidden="1" x14ac:dyDescent="0.25">
      <c r="B1343" s="189"/>
      <c r="J1343" s="189"/>
      <c r="M1343" s="205"/>
      <c r="S1343" t="str">
        <f>IFERROR(VLOOKUP(E1343,'VALORES VIAJES'!$A$2:$B$13,2,FALSE),"")</f>
        <v/>
      </c>
      <c r="T1343" t="str">
        <f>IFERROR(VLOOKUP(H1343,'VALORES VIAJES'!$A$2:$B$24,2,FALSE),"")</f>
        <v/>
      </c>
      <c r="U1343" t="str">
        <f>IFERROR(VLOOKUP(I1343,'VALORES VIAJES'!$A$2:$B$24,2,FALSE),"")</f>
        <v/>
      </c>
      <c r="V1343" t="str">
        <f>IFERROR(VLOOKUP(K1343,'VALORES VIAJES'!$A$2:$B$24,2,FALSE),"")</f>
        <v/>
      </c>
      <c r="X1343" s="208">
        <f>SUM(Hoja1[[#This Row],[$ X TIP VEHICUL]:[AGREGADO]])</f>
        <v>0</v>
      </c>
    </row>
    <row r="1344" spans="2:24" hidden="1" x14ac:dyDescent="0.25">
      <c r="B1344" s="189"/>
      <c r="J1344" s="189"/>
      <c r="M1344" s="205"/>
      <c r="S1344" t="str">
        <f>IFERROR(VLOOKUP(E1344,'VALORES VIAJES'!$A$2:$B$13,2,FALSE),"")</f>
        <v/>
      </c>
      <c r="T1344" t="str">
        <f>IFERROR(VLOOKUP(H1344,'VALORES VIAJES'!$A$2:$B$24,2,FALSE),"")</f>
        <v/>
      </c>
      <c r="U1344" t="str">
        <f>IFERROR(VLOOKUP(I1344,'VALORES VIAJES'!$A$2:$B$24,2,FALSE),"")</f>
        <v/>
      </c>
      <c r="V1344" t="str">
        <f>IFERROR(VLOOKUP(K1344,'VALORES VIAJES'!$A$2:$B$24,2,FALSE),"")</f>
        <v/>
      </c>
      <c r="X1344" s="208">
        <f>SUM(Hoja1[[#This Row],[$ X TIP VEHICUL]:[AGREGADO]])</f>
        <v>0</v>
      </c>
    </row>
    <row r="1345" spans="2:24" hidden="1" x14ac:dyDescent="0.25">
      <c r="B1345" s="189"/>
      <c r="J1345" s="189"/>
      <c r="M1345" s="205"/>
      <c r="S1345" t="str">
        <f>IFERROR(VLOOKUP(E1345,'VALORES VIAJES'!$A$2:$B$13,2,FALSE),"")</f>
        <v/>
      </c>
      <c r="T1345" t="str">
        <f>IFERROR(VLOOKUP(H1345,'VALORES VIAJES'!$A$2:$B$24,2,FALSE),"")</f>
        <v/>
      </c>
      <c r="U1345" t="str">
        <f>IFERROR(VLOOKUP(I1345,'VALORES VIAJES'!$A$2:$B$24,2,FALSE),"")</f>
        <v/>
      </c>
      <c r="V1345" t="str">
        <f>IFERROR(VLOOKUP(K1345,'VALORES VIAJES'!$A$2:$B$24,2,FALSE),"")</f>
        <v/>
      </c>
      <c r="X1345" s="208">
        <f>SUM(Hoja1[[#This Row],[$ X TIP VEHICUL]:[AGREGADO]])</f>
        <v>0</v>
      </c>
    </row>
    <row r="1346" spans="2:24" hidden="1" x14ac:dyDescent="0.25">
      <c r="B1346" s="189"/>
      <c r="J1346" s="189"/>
      <c r="M1346" s="205"/>
      <c r="S1346" t="str">
        <f>IFERROR(VLOOKUP(E1346,'VALORES VIAJES'!$A$2:$B$13,2,FALSE),"")</f>
        <v/>
      </c>
      <c r="T1346" t="str">
        <f>IFERROR(VLOOKUP(H1346,'VALORES VIAJES'!$A$2:$B$24,2,FALSE),"")</f>
        <v/>
      </c>
      <c r="U1346" t="str">
        <f>IFERROR(VLOOKUP(I1346,'VALORES VIAJES'!$A$2:$B$24,2,FALSE),"")</f>
        <v/>
      </c>
      <c r="V1346" t="str">
        <f>IFERROR(VLOOKUP(K1346,'VALORES VIAJES'!$A$2:$B$24,2,FALSE),"")</f>
        <v/>
      </c>
      <c r="X1346" s="208">
        <f>SUM(Hoja1[[#This Row],[$ X TIP VEHICUL]:[AGREGADO]])</f>
        <v>0</v>
      </c>
    </row>
    <row r="1347" spans="2:24" hidden="1" x14ac:dyDescent="0.25">
      <c r="B1347" s="189"/>
      <c r="J1347" s="189"/>
      <c r="M1347" s="205"/>
      <c r="S1347" t="str">
        <f>IFERROR(VLOOKUP(E1347,'VALORES VIAJES'!$A$2:$B$13,2,FALSE),"")</f>
        <v/>
      </c>
      <c r="T1347" t="str">
        <f>IFERROR(VLOOKUP(H1347,'VALORES VIAJES'!$A$2:$B$24,2,FALSE),"")</f>
        <v/>
      </c>
      <c r="U1347" t="str">
        <f>IFERROR(VLOOKUP(I1347,'VALORES VIAJES'!$A$2:$B$24,2,FALSE),"")</f>
        <v/>
      </c>
      <c r="V1347" t="str">
        <f>IFERROR(VLOOKUP(K1347,'VALORES VIAJES'!$A$2:$B$24,2,FALSE),"")</f>
        <v/>
      </c>
      <c r="X1347" s="208">
        <f>SUM(Hoja1[[#This Row],[$ X TIP VEHICUL]:[AGREGADO]])</f>
        <v>0</v>
      </c>
    </row>
    <row r="1348" spans="2:24" hidden="1" x14ac:dyDescent="0.25">
      <c r="B1348" s="189"/>
      <c r="J1348" s="189"/>
      <c r="M1348" s="205"/>
      <c r="S1348" t="str">
        <f>IFERROR(VLOOKUP(E1348,'VALORES VIAJES'!$A$2:$B$13,2,FALSE),"")</f>
        <v/>
      </c>
      <c r="T1348" t="str">
        <f>IFERROR(VLOOKUP(H1348,'VALORES VIAJES'!$A$2:$B$24,2,FALSE),"")</f>
        <v/>
      </c>
      <c r="U1348" t="str">
        <f>IFERROR(VLOOKUP(I1348,'VALORES VIAJES'!$A$2:$B$24,2,FALSE),"")</f>
        <v/>
      </c>
      <c r="V1348" t="str">
        <f>IFERROR(VLOOKUP(K1348,'VALORES VIAJES'!$A$2:$B$24,2,FALSE),"")</f>
        <v/>
      </c>
      <c r="X1348" s="208">
        <f>SUM(Hoja1[[#This Row],[$ X TIP VEHICUL]:[AGREGADO]])</f>
        <v>0</v>
      </c>
    </row>
    <row r="1349" spans="2:24" hidden="1" x14ac:dyDescent="0.25">
      <c r="B1349" s="189"/>
      <c r="J1349" s="189"/>
      <c r="M1349" s="205"/>
      <c r="S1349" t="str">
        <f>IFERROR(VLOOKUP(E1349,'VALORES VIAJES'!$A$2:$B$13,2,FALSE),"")</f>
        <v/>
      </c>
      <c r="T1349" t="str">
        <f>IFERROR(VLOOKUP(H1349,'VALORES VIAJES'!$A$2:$B$24,2,FALSE),"")</f>
        <v/>
      </c>
      <c r="U1349" t="str">
        <f>IFERROR(VLOOKUP(I1349,'VALORES VIAJES'!$A$2:$B$24,2,FALSE),"")</f>
        <v/>
      </c>
      <c r="V1349" t="str">
        <f>IFERROR(VLOOKUP(K1349,'VALORES VIAJES'!$A$2:$B$24,2,FALSE),"")</f>
        <v/>
      </c>
      <c r="X1349" s="208">
        <f>SUM(Hoja1[[#This Row],[$ X TIP VEHICUL]:[AGREGADO]])</f>
        <v>0</v>
      </c>
    </row>
    <row r="1350" spans="2:24" hidden="1" x14ac:dyDescent="0.25">
      <c r="B1350" s="189"/>
      <c r="J1350" s="189"/>
      <c r="M1350" s="205"/>
      <c r="S1350" t="str">
        <f>IFERROR(VLOOKUP(E1350,'VALORES VIAJES'!$A$2:$B$13,2,FALSE),"")</f>
        <v/>
      </c>
      <c r="T1350" t="str">
        <f>IFERROR(VLOOKUP(H1350,'VALORES VIAJES'!$A$2:$B$24,2,FALSE),"")</f>
        <v/>
      </c>
      <c r="U1350" t="str">
        <f>IFERROR(VLOOKUP(I1350,'VALORES VIAJES'!$A$2:$B$24,2,FALSE),"")</f>
        <v/>
      </c>
      <c r="V1350" t="str">
        <f>IFERROR(VLOOKUP(K1350,'VALORES VIAJES'!$A$2:$B$24,2,FALSE),"")</f>
        <v/>
      </c>
      <c r="X1350" s="208">
        <f>SUM(Hoja1[[#This Row],[$ X TIP VEHICUL]:[AGREGADO]])</f>
        <v>0</v>
      </c>
    </row>
    <row r="1351" spans="2:24" hidden="1" x14ac:dyDescent="0.25">
      <c r="B1351" s="189"/>
      <c r="J1351" s="189"/>
      <c r="M1351" s="205"/>
      <c r="S1351" t="str">
        <f>IFERROR(VLOOKUP(E1351,'VALORES VIAJES'!$A$2:$B$13,2,FALSE),"")</f>
        <v/>
      </c>
      <c r="T1351" t="str">
        <f>IFERROR(VLOOKUP(H1351,'VALORES VIAJES'!$A$2:$B$24,2,FALSE),"")</f>
        <v/>
      </c>
      <c r="U1351" t="str">
        <f>IFERROR(VLOOKUP(I1351,'VALORES VIAJES'!$A$2:$B$24,2,FALSE),"")</f>
        <v/>
      </c>
      <c r="V1351" t="str">
        <f>IFERROR(VLOOKUP(K1351,'VALORES VIAJES'!$A$2:$B$24,2,FALSE),"")</f>
        <v/>
      </c>
      <c r="X1351" s="208">
        <f>SUM(Hoja1[[#This Row],[$ X TIP VEHICUL]:[AGREGADO]])</f>
        <v>0</v>
      </c>
    </row>
    <row r="1352" spans="2:24" hidden="1" x14ac:dyDescent="0.25">
      <c r="B1352" s="189"/>
      <c r="J1352" s="189"/>
      <c r="M1352" s="205"/>
      <c r="S1352" t="str">
        <f>IFERROR(VLOOKUP(E1352,'VALORES VIAJES'!$A$2:$B$13,2,FALSE),"")</f>
        <v/>
      </c>
      <c r="T1352" t="str">
        <f>IFERROR(VLOOKUP(H1352,'VALORES VIAJES'!$A$2:$B$24,2,FALSE),"")</f>
        <v/>
      </c>
      <c r="U1352" t="str">
        <f>IFERROR(VLOOKUP(I1352,'VALORES VIAJES'!$A$2:$B$24,2,FALSE),"")</f>
        <v/>
      </c>
      <c r="V1352" t="str">
        <f>IFERROR(VLOOKUP(K1352,'VALORES VIAJES'!$A$2:$B$24,2,FALSE),"")</f>
        <v/>
      </c>
      <c r="X1352" s="208">
        <f>SUM(Hoja1[[#This Row],[$ X TIP VEHICUL]:[AGREGADO]])</f>
        <v>0</v>
      </c>
    </row>
    <row r="1353" spans="2:24" hidden="1" x14ac:dyDescent="0.25">
      <c r="B1353" s="189"/>
      <c r="J1353" s="189"/>
      <c r="M1353" s="205"/>
      <c r="S1353" t="str">
        <f>IFERROR(VLOOKUP(E1353,'VALORES VIAJES'!$A$2:$B$13,2,FALSE),"")</f>
        <v/>
      </c>
      <c r="T1353" t="str">
        <f>IFERROR(VLOOKUP(H1353,'VALORES VIAJES'!$A$2:$B$24,2,FALSE),"")</f>
        <v/>
      </c>
      <c r="U1353" t="str">
        <f>IFERROR(VLOOKUP(I1353,'VALORES VIAJES'!$A$2:$B$24,2,FALSE),"")</f>
        <v/>
      </c>
      <c r="V1353" t="str">
        <f>IFERROR(VLOOKUP(K1353,'VALORES VIAJES'!$A$2:$B$24,2,FALSE),"")</f>
        <v/>
      </c>
      <c r="X1353" s="208">
        <f>SUM(Hoja1[[#This Row],[$ X TIP VEHICUL]:[AGREGADO]])</f>
        <v>0</v>
      </c>
    </row>
    <row r="1354" spans="2:24" hidden="1" x14ac:dyDescent="0.25">
      <c r="B1354" s="189"/>
      <c r="J1354" s="189"/>
      <c r="M1354" s="205"/>
      <c r="S1354" t="str">
        <f>IFERROR(VLOOKUP(E1354,'VALORES VIAJES'!$A$2:$B$13,2,FALSE),"")</f>
        <v/>
      </c>
      <c r="T1354" t="str">
        <f>IFERROR(VLOOKUP(H1354,'VALORES VIAJES'!$A$2:$B$24,2,FALSE),"")</f>
        <v/>
      </c>
      <c r="U1354" t="str">
        <f>IFERROR(VLOOKUP(I1354,'VALORES VIAJES'!$A$2:$B$24,2,FALSE),"")</f>
        <v/>
      </c>
      <c r="V1354" t="str">
        <f>IFERROR(VLOOKUP(K1354,'VALORES VIAJES'!$A$2:$B$24,2,FALSE),"")</f>
        <v/>
      </c>
      <c r="X1354" s="208">
        <f>SUM(Hoja1[[#This Row],[$ X TIP VEHICUL]:[AGREGADO]])</f>
        <v>0</v>
      </c>
    </row>
    <row r="1355" spans="2:24" hidden="1" x14ac:dyDescent="0.25">
      <c r="B1355" s="189"/>
      <c r="J1355" s="189"/>
      <c r="M1355" s="205"/>
      <c r="S1355" t="str">
        <f>IFERROR(VLOOKUP(E1355,'VALORES VIAJES'!$A$2:$B$13,2,FALSE),"")</f>
        <v/>
      </c>
      <c r="T1355" t="str">
        <f>IFERROR(VLOOKUP(H1355,'VALORES VIAJES'!$A$2:$B$24,2,FALSE),"")</f>
        <v/>
      </c>
      <c r="U1355" t="str">
        <f>IFERROR(VLOOKUP(I1355,'VALORES VIAJES'!$A$2:$B$24,2,FALSE),"")</f>
        <v/>
      </c>
      <c r="V1355" t="str">
        <f>IFERROR(VLOOKUP(K1355,'VALORES VIAJES'!$A$2:$B$24,2,FALSE),"")</f>
        <v/>
      </c>
      <c r="X1355" s="208">
        <f>SUM(Hoja1[[#This Row],[$ X TIP VEHICUL]:[AGREGADO]])</f>
        <v>0</v>
      </c>
    </row>
    <row r="1356" spans="2:24" hidden="1" x14ac:dyDescent="0.25">
      <c r="B1356" s="189"/>
      <c r="J1356" s="189"/>
      <c r="M1356" s="205"/>
      <c r="S1356" t="str">
        <f>IFERROR(VLOOKUP(E1356,'VALORES VIAJES'!$A$2:$B$13,2,FALSE),"")</f>
        <v/>
      </c>
      <c r="T1356" t="str">
        <f>IFERROR(VLOOKUP(H1356,'VALORES VIAJES'!$A$2:$B$24,2,FALSE),"")</f>
        <v/>
      </c>
      <c r="U1356" t="str">
        <f>IFERROR(VLOOKUP(I1356,'VALORES VIAJES'!$A$2:$B$24,2,FALSE),"")</f>
        <v/>
      </c>
      <c r="V1356" t="str">
        <f>IFERROR(VLOOKUP(K1356,'VALORES VIAJES'!$A$2:$B$24,2,FALSE),"")</f>
        <v/>
      </c>
      <c r="X1356" s="208">
        <f>SUM(Hoja1[[#This Row],[$ X TIP VEHICUL]:[AGREGADO]])</f>
        <v>0</v>
      </c>
    </row>
    <row r="1357" spans="2:24" hidden="1" x14ac:dyDescent="0.25">
      <c r="B1357" s="189"/>
      <c r="J1357" s="189"/>
      <c r="M1357" s="205"/>
      <c r="S1357" t="str">
        <f>IFERROR(VLOOKUP(E1357,'VALORES VIAJES'!$A$2:$B$13,2,FALSE),"")</f>
        <v/>
      </c>
      <c r="T1357" t="str">
        <f>IFERROR(VLOOKUP(H1357,'VALORES VIAJES'!$A$2:$B$24,2,FALSE),"")</f>
        <v/>
      </c>
      <c r="U1357" t="str">
        <f>IFERROR(VLOOKUP(I1357,'VALORES VIAJES'!$A$2:$B$24,2,FALSE),"")</f>
        <v/>
      </c>
      <c r="V1357" t="str">
        <f>IFERROR(VLOOKUP(K1357,'VALORES VIAJES'!$A$2:$B$24,2,FALSE),"")</f>
        <v/>
      </c>
      <c r="X1357" s="208">
        <f>SUM(Hoja1[[#This Row],[$ X TIP VEHICUL]:[AGREGADO]])</f>
        <v>0</v>
      </c>
    </row>
    <row r="1358" spans="2:24" hidden="1" x14ac:dyDescent="0.25">
      <c r="B1358" s="189"/>
      <c r="J1358" s="189"/>
      <c r="M1358" s="205"/>
      <c r="S1358" t="str">
        <f>IFERROR(VLOOKUP(E1358,'VALORES VIAJES'!$A$2:$B$13,2,FALSE),"")</f>
        <v/>
      </c>
      <c r="T1358" t="str">
        <f>IFERROR(VLOOKUP(H1358,'VALORES VIAJES'!$A$2:$B$24,2,FALSE),"")</f>
        <v/>
      </c>
      <c r="U1358" t="str">
        <f>IFERROR(VLOOKUP(I1358,'VALORES VIAJES'!$A$2:$B$24,2,FALSE),"")</f>
        <v/>
      </c>
      <c r="V1358" t="str">
        <f>IFERROR(VLOOKUP(K1358,'VALORES VIAJES'!$A$2:$B$24,2,FALSE),"")</f>
        <v/>
      </c>
      <c r="X1358" s="208">
        <f>SUM(Hoja1[[#This Row],[$ X TIP VEHICUL]:[AGREGADO]])</f>
        <v>0</v>
      </c>
    </row>
    <row r="1359" spans="2:24" hidden="1" x14ac:dyDescent="0.25">
      <c r="B1359" s="189"/>
      <c r="J1359" s="189"/>
      <c r="M1359" s="205"/>
      <c r="S1359" t="str">
        <f>IFERROR(VLOOKUP(E1359,'VALORES VIAJES'!$A$2:$B$13,2,FALSE),"")</f>
        <v/>
      </c>
      <c r="T1359" t="str">
        <f>IFERROR(VLOOKUP(H1359,'VALORES VIAJES'!$A$2:$B$24,2,FALSE),"")</f>
        <v/>
      </c>
      <c r="U1359" t="str">
        <f>IFERROR(VLOOKUP(I1359,'VALORES VIAJES'!$A$2:$B$24,2,FALSE),"")</f>
        <v/>
      </c>
      <c r="V1359" t="str">
        <f>IFERROR(VLOOKUP(K1359,'VALORES VIAJES'!$A$2:$B$24,2,FALSE),"")</f>
        <v/>
      </c>
      <c r="X1359" s="208">
        <f>SUM(Hoja1[[#This Row],[$ X TIP VEHICUL]:[AGREGADO]])</f>
        <v>0</v>
      </c>
    </row>
    <row r="1360" spans="2:24" hidden="1" x14ac:dyDescent="0.25">
      <c r="B1360" s="189"/>
      <c r="J1360" s="189"/>
      <c r="M1360" s="205"/>
      <c r="S1360" t="str">
        <f>IFERROR(VLOOKUP(E1360,'VALORES VIAJES'!$A$2:$B$13,2,FALSE),"")</f>
        <v/>
      </c>
      <c r="T1360" t="str">
        <f>IFERROR(VLOOKUP(H1360,'VALORES VIAJES'!$A$2:$B$24,2,FALSE),"")</f>
        <v/>
      </c>
      <c r="U1360" t="str">
        <f>IFERROR(VLOOKUP(I1360,'VALORES VIAJES'!$A$2:$B$24,2,FALSE),"")</f>
        <v/>
      </c>
      <c r="V1360" t="str">
        <f>IFERROR(VLOOKUP(K1360,'VALORES VIAJES'!$A$2:$B$24,2,FALSE),"")</f>
        <v/>
      </c>
      <c r="X1360" s="208">
        <f>SUM(Hoja1[[#This Row],[$ X TIP VEHICUL]:[AGREGADO]])</f>
        <v>0</v>
      </c>
    </row>
    <row r="1361" spans="2:24" hidden="1" x14ac:dyDescent="0.25">
      <c r="B1361" s="189"/>
      <c r="J1361" s="189"/>
      <c r="M1361" s="205"/>
      <c r="S1361" t="str">
        <f>IFERROR(VLOOKUP(E1361,'VALORES VIAJES'!$A$2:$B$13,2,FALSE),"")</f>
        <v/>
      </c>
      <c r="T1361" t="str">
        <f>IFERROR(VLOOKUP(H1361,'VALORES VIAJES'!$A$2:$B$24,2,FALSE),"")</f>
        <v/>
      </c>
      <c r="U1361" t="str">
        <f>IFERROR(VLOOKUP(I1361,'VALORES VIAJES'!$A$2:$B$24,2,FALSE),"")</f>
        <v/>
      </c>
      <c r="V1361" t="str">
        <f>IFERROR(VLOOKUP(K1361,'VALORES VIAJES'!$A$2:$B$24,2,FALSE),"")</f>
        <v/>
      </c>
      <c r="X1361" s="208">
        <f>SUM(Hoja1[[#This Row],[$ X TIP VEHICUL]:[AGREGADO]])</f>
        <v>0</v>
      </c>
    </row>
    <row r="1362" spans="2:24" hidden="1" x14ac:dyDescent="0.25">
      <c r="B1362" s="189"/>
      <c r="J1362" s="189"/>
      <c r="M1362" s="205"/>
      <c r="S1362" t="str">
        <f>IFERROR(VLOOKUP(E1362,'VALORES VIAJES'!$A$2:$B$13,2,FALSE),"")</f>
        <v/>
      </c>
      <c r="T1362" t="str">
        <f>IFERROR(VLOOKUP(H1362,'VALORES VIAJES'!$A$2:$B$24,2,FALSE),"")</f>
        <v/>
      </c>
      <c r="U1362" t="str">
        <f>IFERROR(VLOOKUP(I1362,'VALORES VIAJES'!$A$2:$B$24,2,FALSE),"")</f>
        <v/>
      </c>
      <c r="V1362" t="str">
        <f>IFERROR(VLOOKUP(K1362,'VALORES VIAJES'!$A$2:$B$24,2,FALSE),"")</f>
        <v/>
      </c>
      <c r="X1362" s="208">
        <f>SUM(Hoja1[[#This Row],[$ X TIP VEHICUL]:[AGREGADO]])</f>
        <v>0</v>
      </c>
    </row>
    <row r="1363" spans="2:24" hidden="1" x14ac:dyDescent="0.25">
      <c r="B1363" s="189"/>
      <c r="J1363" s="189"/>
      <c r="M1363" s="205"/>
      <c r="S1363" t="str">
        <f>IFERROR(VLOOKUP(E1363,'VALORES VIAJES'!$A$2:$B$13,2,FALSE),"")</f>
        <v/>
      </c>
      <c r="T1363" t="str">
        <f>IFERROR(VLOOKUP(H1363,'VALORES VIAJES'!$A$2:$B$24,2,FALSE),"")</f>
        <v/>
      </c>
      <c r="U1363" t="str">
        <f>IFERROR(VLOOKUP(I1363,'VALORES VIAJES'!$A$2:$B$24,2,FALSE),"")</f>
        <v/>
      </c>
      <c r="V1363" t="str">
        <f>IFERROR(VLOOKUP(K1363,'VALORES VIAJES'!$A$2:$B$24,2,FALSE),"")</f>
        <v/>
      </c>
      <c r="X1363" s="208">
        <f>SUM(Hoja1[[#This Row],[$ X TIP VEHICUL]:[AGREGADO]])</f>
        <v>0</v>
      </c>
    </row>
    <row r="1364" spans="2:24" hidden="1" x14ac:dyDescent="0.25">
      <c r="B1364" s="189"/>
      <c r="J1364" s="189"/>
      <c r="M1364" s="205"/>
      <c r="S1364" t="str">
        <f>IFERROR(VLOOKUP(E1364,'VALORES VIAJES'!$A$2:$B$13,2,FALSE),"")</f>
        <v/>
      </c>
      <c r="T1364" t="str">
        <f>IFERROR(VLOOKUP(H1364,'VALORES VIAJES'!$A$2:$B$24,2,FALSE),"")</f>
        <v/>
      </c>
      <c r="U1364" t="str">
        <f>IFERROR(VLOOKUP(I1364,'VALORES VIAJES'!$A$2:$B$24,2,FALSE),"")</f>
        <v/>
      </c>
      <c r="V1364" t="str">
        <f>IFERROR(VLOOKUP(K1364,'VALORES VIAJES'!$A$2:$B$24,2,FALSE),"")</f>
        <v/>
      </c>
      <c r="X1364" s="208">
        <f>SUM(Hoja1[[#This Row],[$ X TIP VEHICUL]:[AGREGADO]])</f>
        <v>0</v>
      </c>
    </row>
    <row r="1365" spans="2:24" hidden="1" x14ac:dyDescent="0.25">
      <c r="B1365" s="189"/>
      <c r="J1365" s="189"/>
      <c r="M1365" s="205"/>
      <c r="S1365" t="str">
        <f>IFERROR(VLOOKUP(E1365,'VALORES VIAJES'!$A$2:$B$13,2,FALSE),"")</f>
        <v/>
      </c>
      <c r="T1365" t="str">
        <f>IFERROR(VLOOKUP(H1365,'VALORES VIAJES'!$A$2:$B$24,2,FALSE),"")</f>
        <v/>
      </c>
      <c r="U1365" t="str">
        <f>IFERROR(VLOOKUP(I1365,'VALORES VIAJES'!$A$2:$B$24,2,FALSE),"")</f>
        <v/>
      </c>
      <c r="V1365" t="str">
        <f>IFERROR(VLOOKUP(K1365,'VALORES VIAJES'!$A$2:$B$24,2,FALSE),"")</f>
        <v/>
      </c>
      <c r="X1365" s="208">
        <f>SUM(Hoja1[[#This Row],[$ X TIP VEHICUL]:[AGREGADO]])</f>
        <v>0</v>
      </c>
    </row>
    <row r="1366" spans="2:24" hidden="1" x14ac:dyDescent="0.25">
      <c r="B1366" s="189"/>
      <c r="J1366" s="189"/>
      <c r="M1366" s="205"/>
      <c r="S1366" t="str">
        <f>IFERROR(VLOOKUP(E1366,'VALORES VIAJES'!$A$2:$B$13,2,FALSE),"")</f>
        <v/>
      </c>
      <c r="T1366" t="str">
        <f>IFERROR(VLOOKUP(H1366,'VALORES VIAJES'!$A$2:$B$24,2,FALSE),"")</f>
        <v/>
      </c>
      <c r="U1366" t="str">
        <f>IFERROR(VLOOKUP(I1366,'VALORES VIAJES'!$A$2:$B$24,2,FALSE),"")</f>
        <v/>
      </c>
      <c r="V1366" t="str">
        <f>IFERROR(VLOOKUP(K1366,'VALORES VIAJES'!$A$2:$B$24,2,FALSE),"")</f>
        <v/>
      </c>
      <c r="X1366" s="208">
        <f>SUM(Hoja1[[#This Row],[$ X TIP VEHICUL]:[AGREGADO]])</f>
        <v>0</v>
      </c>
    </row>
    <row r="1367" spans="2:24" hidden="1" x14ac:dyDescent="0.25">
      <c r="B1367" s="189"/>
      <c r="J1367" s="189"/>
      <c r="M1367" s="205"/>
      <c r="S1367" t="str">
        <f>IFERROR(VLOOKUP(E1367,'VALORES VIAJES'!$A$2:$B$13,2,FALSE),"")</f>
        <v/>
      </c>
      <c r="T1367" t="str">
        <f>IFERROR(VLOOKUP(H1367,'VALORES VIAJES'!$A$2:$B$24,2,FALSE),"")</f>
        <v/>
      </c>
      <c r="U1367" t="str">
        <f>IFERROR(VLOOKUP(I1367,'VALORES VIAJES'!$A$2:$B$24,2,FALSE),"")</f>
        <v/>
      </c>
      <c r="V1367" t="str">
        <f>IFERROR(VLOOKUP(K1367,'VALORES VIAJES'!$A$2:$B$24,2,FALSE),"")</f>
        <v/>
      </c>
      <c r="X1367" s="208">
        <f>SUM(Hoja1[[#This Row],[$ X TIP VEHICUL]:[AGREGADO]])</f>
        <v>0</v>
      </c>
    </row>
    <row r="1368" spans="2:24" hidden="1" x14ac:dyDescent="0.25">
      <c r="B1368" s="189"/>
      <c r="J1368" s="189"/>
      <c r="M1368" s="205"/>
      <c r="S1368" t="str">
        <f>IFERROR(VLOOKUP(E1368,'VALORES VIAJES'!$A$2:$B$13,2,FALSE),"")</f>
        <v/>
      </c>
      <c r="T1368" t="str">
        <f>IFERROR(VLOOKUP(H1368,'VALORES VIAJES'!$A$2:$B$24,2,FALSE),"")</f>
        <v/>
      </c>
      <c r="U1368" t="str">
        <f>IFERROR(VLOOKUP(I1368,'VALORES VIAJES'!$A$2:$B$24,2,FALSE),"")</f>
        <v/>
      </c>
      <c r="V1368" t="str">
        <f>IFERROR(VLOOKUP(K1368,'VALORES VIAJES'!$A$2:$B$24,2,FALSE),"")</f>
        <v/>
      </c>
      <c r="X1368" s="208">
        <f>SUM(Hoja1[[#This Row],[$ X TIP VEHICUL]:[AGREGADO]])</f>
        <v>0</v>
      </c>
    </row>
    <row r="1369" spans="2:24" hidden="1" x14ac:dyDescent="0.25">
      <c r="B1369" s="189"/>
      <c r="J1369" s="189"/>
      <c r="M1369" s="205"/>
      <c r="S1369" t="str">
        <f>IFERROR(VLOOKUP(E1369,'VALORES VIAJES'!$A$2:$B$13,2,FALSE),"")</f>
        <v/>
      </c>
      <c r="T1369" t="str">
        <f>IFERROR(VLOOKUP(H1369,'VALORES VIAJES'!$A$2:$B$24,2,FALSE),"")</f>
        <v/>
      </c>
      <c r="U1369" t="str">
        <f>IFERROR(VLOOKUP(I1369,'VALORES VIAJES'!$A$2:$B$24,2,FALSE),"")</f>
        <v/>
      </c>
      <c r="V1369" t="str">
        <f>IFERROR(VLOOKUP(K1369,'VALORES VIAJES'!$A$2:$B$24,2,FALSE),"")</f>
        <v/>
      </c>
      <c r="X1369" s="208">
        <f>SUM(Hoja1[[#This Row],[$ X TIP VEHICUL]:[AGREGADO]])</f>
        <v>0</v>
      </c>
    </row>
    <row r="1370" spans="2:24" hidden="1" x14ac:dyDescent="0.25">
      <c r="B1370" s="189"/>
      <c r="J1370" s="189"/>
      <c r="M1370" s="205"/>
      <c r="S1370" t="str">
        <f>IFERROR(VLOOKUP(E1370,'VALORES VIAJES'!$A$2:$B$13,2,FALSE),"")</f>
        <v/>
      </c>
      <c r="T1370" t="str">
        <f>IFERROR(VLOOKUP(H1370,'VALORES VIAJES'!$A$2:$B$24,2,FALSE),"")</f>
        <v/>
      </c>
      <c r="U1370" t="str">
        <f>IFERROR(VLOOKUP(I1370,'VALORES VIAJES'!$A$2:$B$24,2,FALSE),"")</f>
        <v/>
      </c>
      <c r="V1370" t="str">
        <f>IFERROR(VLOOKUP(K1370,'VALORES VIAJES'!$A$2:$B$24,2,FALSE),"")</f>
        <v/>
      </c>
      <c r="X1370" s="208">
        <f>SUM(Hoja1[[#This Row],[$ X TIP VEHICUL]:[AGREGADO]])</f>
        <v>0</v>
      </c>
    </row>
    <row r="1371" spans="2:24" hidden="1" x14ac:dyDescent="0.25">
      <c r="B1371" s="189"/>
      <c r="J1371" s="189"/>
      <c r="M1371" s="205"/>
      <c r="S1371" t="str">
        <f>IFERROR(VLOOKUP(E1371,'VALORES VIAJES'!$A$2:$B$13,2,FALSE),"")</f>
        <v/>
      </c>
      <c r="T1371" t="str">
        <f>IFERROR(VLOOKUP(H1371,'VALORES VIAJES'!$A$2:$B$24,2,FALSE),"")</f>
        <v/>
      </c>
      <c r="U1371" t="str">
        <f>IFERROR(VLOOKUP(I1371,'VALORES VIAJES'!$A$2:$B$24,2,FALSE),"")</f>
        <v/>
      </c>
      <c r="V1371" t="str">
        <f>IFERROR(VLOOKUP(K1371,'VALORES VIAJES'!$A$2:$B$24,2,FALSE),"")</f>
        <v/>
      </c>
      <c r="X1371" s="208">
        <f>SUM(Hoja1[[#This Row],[$ X TIP VEHICUL]:[AGREGADO]])</f>
        <v>0</v>
      </c>
    </row>
    <row r="1372" spans="2:24" hidden="1" x14ac:dyDescent="0.25">
      <c r="B1372" s="189"/>
      <c r="J1372" s="189"/>
      <c r="M1372" s="205"/>
      <c r="S1372" t="str">
        <f>IFERROR(VLOOKUP(E1372,'VALORES VIAJES'!$A$2:$B$13,2,FALSE),"")</f>
        <v/>
      </c>
      <c r="T1372" t="str">
        <f>IFERROR(VLOOKUP(H1372,'VALORES VIAJES'!$A$2:$B$24,2,FALSE),"")</f>
        <v/>
      </c>
      <c r="U1372" t="str">
        <f>IFERROR(VLOOKUP(I1372,'VALORES VIAJES'!$A$2:$B$24,2,FALSE),"")</f>
        <v/>
      </c>
      <c r="V1372" t="str">
        <f>IFERROR(VLOOKUP(K1372,'VALORES VIAJES'!$A$2:$B$24,2,FALSE),"")</f>
        <v/>
      </c>
      <c r="X1372" s="208">
        <f>SUM(Hoja1[[#This Row],[$ X TIP VEHICUL]:[AGREGADO]])</f>
        <v>0</v>
      </c>
    </row>
    <row r="1373" spans="2:24" hidden="1" x14ac:dyDescent="0.25">
      <c r="B1373" s="189"/>
      <c r="J1373" s="189"/>
      <c r="M1373" s="205"/>
      <c r="S1373" t="str">
        <f>IFERROR(VLOOKUP(E1373,'VALORES VIAJES'!$A$2:$B$13,2,FALSE),"")</f>
        <v/>
      </c>
      <c r="T1373" t="str">
        <f>IFERROR(VLOOKUP(H1373,'VALORES VIAJES'!$A$2:$B$24,2,FALSE),"")</f>
        <v/>
      </c>
      <c r="U1373" t="str">
        <f>IFERROR(VLOOKUP(I1373,'VALORES VIAJES'!$A$2:$B$24,2,FALSE),"")</f>
        <v/>
      </c>
      <c r="V1373" t="str">
        <f>IFERROR(VLOOKUP(K1373,'VALORES VIAJES'!$A$2:$B$24,2,FALSE),"")</f>
        <v/>
      </c>
      <c r="X1373" s="208">
        <f>SUM(Hoja1[[#This Row],[$ X TIP VEHICUL]:[AGREGADO]])</f>
        <v>0</v>
      </c>
    </row>
    <row r="1374" spans="2:24" hidden="1" x14ac:dyDescent="0.25">
      <c r="B1374" s="189"/>
      <c r="J1374" s="189"/>
      <c r="M1374" s="205"/>
      <c r="S1374" t="str">
        <f>IFERROR(VLOOKUP(E1374,'VALORES VIAJES'!$A$2:$B$13,2,FALSE),"")</f>
        <v/>
      </c>
      <c r="T1374" t="str">
        <f>IFERROR(VLOOKUP(H1374,'VALORES VIAJES'!$A$2:$B$24,2,FALSE),"")</f>
        <v/>
      </c>
      <c r="U1374" t="str">
        <f>IFERROR(VLOOKUP(I1374,'VALORES VIAJES'!$A$2:$B$24,2,FALSE),"")</f>
        <v/>
      </c>
      <c r="V1374" t="str">
        <f>IFERROR(VLOOKUP(K1374,'VALORES VIAJES'!$A$2:$B$24,2,FALSE),"")</f>
        <v/>
      </c>
      <c r="X1374" s="208">
        <f>SUM(Hoja1[[#This Row],[$ X TIP VEHICUL]:[AGREGADO]])</f>
        <v>0</v>
      </c>
    </row>
    <row r="1375" spans="2:24" hidden="1" x14ac:dyDescent="0.25">
      <c r="B1375" s="189"/>
      <c r="J1375" s="189"/>
      <c r="M1375" s="205"/>
      <c r="S1375" t="str">
        <f>IFERROR(VLOOKUP(E1375,'VALORES VIAJES'!$A$2:$B$13,2,FALSE),"")</f>
        <v/>
      </c>
      <c r="T1375" t="str">
        <f>IFERROR(VLOOKUP(H1375,'VALORES VIAJES'!$A$2:$B$24,2,FALSE),"")</f>
        <v/>
      </c>
      <c r="U1375" t="str">
        <f>IFERROR(VLOOKUP(I1375,'VALORES VIAJES'!$A$2:$B$24,2,FALSE),"")</f>
        <v/>
      </c>
      <c r="V1375" t="str">
        <f>IFERROR(VLOOKUP(K1375,'VALORES VIAJES'!$A$2:$B$24,2,FALSE),"")</f>
        <v/>
      </c>
      <c r="X1375" s="208">
        <f>SUM(Hoja1[[#This Row],[$ X TIP VEHICUL]:[AGREGADO]])</f>
        <v>0</v>
      </c>
    </row>
    <row r="1376" spans="2:24" hidden="1" x14ac:dyDescent="0.25">
      <c r="B1376" s="189"/>
      <c r="J1376" s="189"/>
      <c r="M1376" s="205"/>
      <c r="S1376" t="str">
        <f>IFERROR(VLOOKUP(E1376,'VALORES VIAJES'!$A$2:$B$13,2,FALSE),"")</f>
        <v/>
      </c>
      <c r="T1376" t="str">
        <f>IFERROR(VLOOKUP(H1376,'VALORES VIAJES'!$A$2:$B$24,2,FALSE),"")</f>
        <v/>
      </c>
      <c r="U1376" t="str">
        <f>IFERROR(VLOOKUP(I1376,'VALORES VIAJES'!$A$2:$B$24,2,FALSE),"")</f>
        <v/>
      </c>
      <c r="V1376" t="str">
        <f>IFERROR(VLOOKUP(K1376,'VALORES VIAJES'!$A$2:$B$24,2,FALSE),"")</f>
        <v/>
      </c>
      <c r="X1376" s="208">
        <f>SUM(Hoja1[[#This Row],[$ X TIP VEHICUL]:[AGREGADO]])</f>
        <v>0</v>
      </c>
    </row>
    <row r="1377" spans="2:24" hidden="1" x14ac:dyDescent="0.25">
      <c r="B1377" s="189"/>
      <c r="J1377" s="189"/>
      <c r="M1377" s="205"/>
      <c r="S1377" t="str">
        <f>IFERROR(VLOOKUP(E1377,'VALORES VIAJES'!$A$2:$B$13,2,FALSE),"")</f>
        <v/>
      </c>
      <c r="T1377" t="str">
        <f>IFERROR(VLOOKUP(H1377,'VALORES VIAJES'!$A$2:$B$24,2,FALSE),"")</f>
        <v/>
      </c>
      <c r="U1377" t="str">
        <f>IFERROR(VLOOKUP(I1377,'VALORES VIAJES'!$A$2:$B$24,2,FALSE),"")</f>
        <v/>
      </c>
      <c r="V1377" t="str">
        <f>IFERROR(VLOOKUP(K1377,'VALORES VIAJES'!$A$2:$B$24,2,FALSE),"")</f>
        <v/>
      </c>
      <c r="X1377" s="208">
        <f>SUM(Hoja1[[#This Row],[$ X TIP VEHICUL]:[AGREGADO]])</f>
        <v>0</v>
      </c>
    </row>
    <row r="1378" spans="2:24" hidden="1" x14ac:dyDescent="0.25">
      <c r="B1378" s="189"/>
      <c r="J1378" s="189"/>
      <c r="M1378" s="205"/>
      <c r="S1378" t="str">
        <f>IFERROR(VLOOKUP(E1378,'VALORES VIAJES'!$A$2:$B$13,2,FALSE),"")</f>
        <v/>
      </c>
      <c r="T1378" t="str">
        <f>IFERROR(VLOOKUP(H1378,'VALORES VIAJES'!$A$2:$B$24,2,FALSE),"")</f>
        <v/>
      </c>
      <c r="U1378" t="str">
        <f>IFERROR(VLOOKUP(I1378,'VALORES VIAJES'!$A$2:$B$24,2,FALSE),"")</f>
        <v/>
      </c>
      <c r="V1378" t="str">
        <f>IFERROR(VLOOKUP(K1378,'VALORES VIAJES'!$A$2:$B$24,2,FALSE),"")</f>
        <v/>
      </c>
      <c r="X1378" s="208">
        <f>SUM(Hoja1[[#This Row],[$ X TIP VEHICUL]:[AGREGADO]])</f>
        <v>0</v>
      </c>
    </row>
    <row r="1379" spans="2:24" hidden="1" x14ac:dyDescent="0.25">
      <c r="B1379" s="189"/>
      <c r="J1379" s="189"/>
      <c r="M1379" s="205"/>
      <c r="S1379" t="str">
        <f>IFERROR(VLOOKUP(E1379,'VALORES VIAJES'!$A$2:$B$13,2,FALSE),"")</f>
        <v/>
      </c>
      <c r="T1379" t="str">
        <f>IFERROR(VLOOKUP(H1379,'VALORES VIAJES'!$A$2:$B$24,2,FALSE),"")</f>
        <v/>
      </c>
      <c r="U1379" t="str">
        <f>IFERROR(VLOOKUP(I1379,'VALORES VIAJES'!$A$2:$B$24,2,FALSE),"")</f>
        <v/>
      </c>
      <c r="V1379" t="str">
        <f>IFERROR(VLOOKUP(K1379,'VALORES VIAJES'!$A$2:$B$24,2,FALSE),"")</f>
        <v/>
      </c>
      <c r="X1379" s="208">
        <f>SUM(Hoja1[[#This Row],[$ X TIP VEHICUL]:[AGREGADO]])</f>
        <v>0</v>
      </c>
    </row>
    <row r="1380" spans="2:24" hidden="1" x14ac:dyDescent="0.25">
      <c r="B1380" s="189"/>
      <c r="J1380" s="189"/>
      <c r="M1380" s="205"/>
      <c r="S1380" t="str">
        <f>IFERROR(VLOOKUP(E1380,'VALORES VIAJES'!$A$2:$B$13,2,FALSE),"")</f>
        <v/>
      </c>
      <c r="T1380" t="str">
        <f>IFERROR(VLOOKUP(H1380,'VALORES VIAJES'!$A$2:$B$24,2,FALSE),"")</f>
        <v/>
      </c>
      <c r="U1380" t="str">
        <f>IFERROR(VLOOKUP(I1380,'VALORES VIAJES'!$A$2:$B$24,2,FALSE),"")</f>
        <v/>
      </c>
      <c r="V1380" t="str">
        <f>IFERROR(VLOOKUP(K1380,'VALORES VIAJES'!$A$2:$B$24,2,FALSE),"")</f>
        <v/>
      </c>
      <c r="X1380" s="208">
        <f>SUM(Hoja1[[#This Row],[$ X TIP VEHICUL]:[AGREGADO]])</f>
        <v>0</v>
      </c>
    </row>
    <row r="1381" spans="2:24" hidden="1" x14ac:dyDescent="0.25">
      <c r="B1381" s="189"/>
      <c r="J1381" s="189"/>
      <c r="M1381" s="205"/>
      <c r="S1381" t="str">
        <f>IFERROR(VLOOKUP(E1381,'VALORES VIAJES'!$A$2:$B$13,2,FALSE),"")</f>
        <v/>
      </c>
      <c r="T1381" t="str">
        <f>IFERROR(VLOOKUP(H1381,'VALORES VIAJES'!$A$2:$B$24,2,FALSE),"")</f>
        <v/>
      </c>
      <c r="U1381" t="str">
        <f>IFERROR(VLOOKUP(I1381,'VALORES VIAJES'!$A$2:$B$24,2,FALSE),"")</f>
        <v/>
      </c>
      <c r="V1381" t="str">
        <f>IFERROR(VLOOKUP(K1381,'VALORES VIAJES'!$A$2:$B$24,2,FALSE),"")</f>
        <v/>
      </c>
      <c r="X1381" s="208">
        <f>SUM(Hoja1[[#This Row],[$ X TIP VEHICUL]:[AGREGADO]])</f>
        <v>0</v>
      </c>
    </row>
    <row r="1382" spans="2:24" hidden="1" x14ac:dyDescent="0.25">
      <c r="B1382" s="189"/>
      <c r="J1382" s="189"/>
      <c r="M1382" s="205"/>
      <c r="S1382" t="str">
        <f>IFERROR(VLOOKUP(E1382,'VALORES VIAJES'!$A$2:$B$13,2,FALSE),"")</f>
        <v/>
      </c>
      <c r="T1382" t="str">
        <f>IFERROR(VLOOKUP(H1382,'VALORES VIAJES'!$A$2:$B$24,2,FALSE),"")</f>
        <v/>
      </c>
      <c r="U1382" t="str">
        <f>IFERROR(VLOOKUP(I1382,'VALORES VIAJES'!$A$2:$B$24,2,FALSE),"")</f>
        <v/>
      </c>
      <c r="V1382" t="str">
        <f>IFERROR(VLOOKUP(K1382,'VALORES VIAJES'!$A$2:$B$24,2,FALSE),"")</f>
        <v/>
      </c>
      <c r="X1382" s="208">
        <f>SUM(Hoja1[[#This Row],[$ X TIP VEHICUL]:[AGREGADO]])</f>
        <v>0</v>
      </c>
    </row>
    <row r="1383" spans="2:24" hidden="1" x14ac:dyDescent="0.25">
      <c r="B1383" s="189"/>
      <c r="J1383" s="189"/>
      <c r="M1383" s="205"/>
      <c r="S1383" t="str">
        <f>IFERROR(VLOOKUP(E1383,'VALORES VIAJES'!$A$2:$B$13,2,FALSE),"")</f>
        <v/>
      </c>
      <c r="T1383" t="str">
        <f>IFERROR(VLOOKUP(H1383,'VALORES VIAJES'!$A$2:$B$24,2,FALSE),"")</f>
        <v/>
      </c>
      <c r="U1383" t="str">
        <f>IFERROR(VLOOKUP(I1383,'VALORES VIAJES'!$A$2:$B$24,2,FALSE),"")</f>
        <v/>
      </c>
      <c r="V1383" t="str">
        <f>IFERROR(VLOOKUP(K1383,'VALORES VIAJES'!$A$2:$B$24,2,FALSE),"")</f>
        <v/>
      </c>
      <c r="X1383" s="208">
        <f>SUM(Hoja1[[#This Row],[$ X TIP VEHICUL]:[AGREGADO]])</f>
        <v>0</v>
      </c>
    </row>
    <row r="1384" spans="2:24" hidden="1" x14ac:dyDescent="0.25">
      <c r="B1384" s="189"/>
      <c r="J1384" s="189"/>
      <c r="M1384" s="205"/>
      <c r="S1384" t="str">
        <f>IFERROR(VLOOKUP(E1384,'VALORES VIAJES'!$A$2:$B$13,2,FALSE),"")</f>
        <v/>
      </c>
      <c r="T1384" t="str">
        <f>IFERROR(VLOOKUP(H1384,'VALORES VIAJES'!$A$2:$B$24,2,FALSE),"")</f>
        <v/>
      </c>
      <c r="U1384" t="str">
        <f>IFERROR(VLOOKUP(I1384,'VALORES VIAJES'!$A$2:$B$24,2,FALSE),"")</f>
        <v/>
      </c>
      <c r="V1384" t="str">
        <f>IFERROR(VLOOKUP(K1384,'VALORES VIAJES'!$A$2:$B$24,2,FALSE),"")</f>
        <v/>
      </c>
      <c r="X1384" s="208">
        <f>SUM(Hoja1[[#This Row],[$ X TIP VEHICUL]:[AGREGADO]])</f>
        <v>0</v>
      </c>
    </row>
    <row r="1385" spans="2:24" hidden="1" x14ac:dyDescent="0.25">
      <c r="B1385" s="189"/>
      <c r="J1385" s="189"/>
      <c r="M1385" s="205"/>
      <c r="S1385" t="str">
        <f>IFERROR(VLOOKUP(E1385,'VALORES VIAJES'!$A$2:$B$13,2,FALSE),"")</f>
        <v/>
      </c>
      <c r="T1385" t="str">
        <f>IFERROR(VLOOKUP(H1385,'VALORES VIAJES'!$A$2:$B$24,2,FALSE),"")</f>
        <v/>
      </c>
      <c r="U1385" t="str">
        <f>IFERROR(VLOOKUP(I1385,'VALORES VIAJES'!$A$2:$B$24,2,FALSE),"")</f>
        <v/>
      </c>
      <c r="V1385" t="str">
        <f>IFERROR(VLOOKUP(K1385,'VALORES VIAJES'!$A$2:$B$24,2,FALSE),"")</f>
        <v/>
      </c>
      <c r="X1385" s="208">
        <f>SUM(Hoja1[[#This Row],[$ X TIP VEHICUL]:[AGREGADO]])</f>
        <v>0</v>
      </c>
    </row>
    <row r="1386" spans="2:24" hidden="1" x14ac:dyDescent="0.25">
      <c r="B1386" s="189"/>
      <c r="J1386" s="189"/>
      <c r="M1386" s="205"/>
      <c r="S1386" t="str">
        <f>IFERROR(VLOOKUP(E1386,'VALORES VIAJES'!$A$2:$B$13,2,FALSE),"")</f>
        <v/>
      </c>
      <c r="T1386" t="str">
        <f>IFERROR(VLOOKUP(H1386,'VALORES VIAJES'!$A$2:$B$24,2,FALSE),"")</f>
        <v/>
      </c>
      <c r="U1386" t="str">
        <f>IFERROR(VLOOKUP(I1386,'VALORES VIAJES'!$A$2:$B$24,2,FALSE),"")</f>
        <v/>
      </c>
      <c r="V1386" t="str">
        <f>IFERROR(VLOOKUP(K1386,'VALORES VIAJES'!$A$2:$B$24,2,FALSE),"")</f>
        <v/>
      </c>
      <c r="X1386" s="208">
        <f>SUM(Hoja1[[#This Row],[$ X TIP VEHICUL]:[AGREGADO]])</f>
        <v>0</v>
      </c>
    </row>
    <row r="1387" spans="2:24" hidden="1" x14ac:dyDescent="0.25">
      <c r="B1387" s="189"/>
      <c r="J1387" s="189"/>
      <c r="M1387" s="205"/>
      <c r="S1387" t="str">
        <f>IFERROR(VLOOKUP(E1387,'VALORES VIAJES'!$A$2:$B$13,2,FALSE),"")</f>
        <v/>
      </c>
      <c r="T1387" t="str">
        <f>IFERROR(VLOOKUP(H1387,'VALORES VIAJES'!$A$2:$B$24,2,FALSE),"")</f>
        <v/>
      </c>
      <c r="U1387" t="str">
        <f>IFERROR(VLOOKUP(I1387,'VALORES VIAJES'!$A$2:$B$24,2,FALSE),"")</f>
        <v/>
      </c>
      <c r="V1387" t="str">
        <f>IFERROR(VLOOKUP(K1387,'VALORES VIAJES'!$A$2:$B$24,2,FALSE),"")</f>
        <v/>
      </c>
      <c r="X1387" s="208">
        <f>SUM(Hoja1[[#This Row],[$ X TIP VEHICUL]:[AGREGADO]])</f>
        <v>0</v>
      </c>
    </row>
    <row r="1388" spans="2:24" hidden="1" x14ac:dyDescent="0.25">
      <c r="B1388" s="189"/>
      <c r="J1388" s="189"/>
      <c r="M1388" s="205"/>
      <c r="S1388" t="str">
        <f>IFERROR(VLOOKUP(E1388,'VALORES VIAJES'!$A$2:$B$13,2,FALSE),"")</f>
        <v/>
      </c>
      <c r="T1388" t="str">
        <f>IFERROR(VLOOKUP(H1388,'VALORES VIAJES'!$A$2:$B$24,2,FALSE),"")</f>
        <v/>
      </c>
      <c r="U1388" t="str">
        <f>IFERROR(VLOOKUP(I1388,'VALORES VIAJES'!$A$2:$B$24,2,FALSE),"")</f>
        <v/>
      </c>
      <c r="V1388" t="str">
        <f>IFERROR(VLOOKUP(K1388,'VALORES VIAJES'!$A$2:$B$24,2,FALSE),"")</f>
        <v/>
      </c>
      <c r="X1388" s="208">
        <f>SUM(Hoja1[[#This Row],[$ X TIP VEHICUL]:[AGREGADO]])</f>
        <v>0</v>
      </c>
    </row>
    <row r="1389" spans="2:24" hidden="1" x14ac:dyDescent="0.25">
      <c r="B1389" s="189"/>
      <c r="J1389" s="189"/>
      <c r="M1389" s="205"/>
      <c r="S1389" t="str">
        <f>IFERROR(VLOOKUP(E1389,'VALORES VIAJES'!$A$2:$B$13,2,FALSE),"")</f>
        <v/>
      </c>
      <c r="T1389" t="str">
        <f>IFERROR(VLOOKUP(H1389,'VALORES VIAJES'!$A$2:$B$24,2,FALSE),"")</f>
        <v/>
      </c>
      <c r="U1389" t="str">
        <f>IFERROR(VLOOKUP(I1389,'VALORES VIAJES'!$A$2:$B$24,2,FALSE),"")</f>
        <v/>
      </c>
      <c r="V1389" t="str">
        <f>IFERROR(VLOOKUP(K1389,'VALORES VIAJES'!$A$2:$B$24,2,FALSE),"")</f>
        <v/>
      </c>
      <c r="X1389" s="208">
        <f>SUM(Hoja1[[#This Row],[$ X TIP VEHICUL]:[AGREGADO]])</f>
        <v>0</v>
      </c>
    </row>
    <row r="1390" spans="2:24" hidden="1" x14ac:dyDescent="0.25">
      <c r="B1390" s="189"/>
      <c r="J1390" s="189"/>
      <c r="M1390" s="205"/>
      <c r="S1390" t="str">
        <f>IFERROR(VLOOKUP(E1390,'VALORES VIAJES'!$A$2:$B$13,2,FALSE),"")</f>
        <v/>
      </c>
      <c r="T1390" t="str">
        <f>IFERROR(VLOOKUP(H1390,'VALORES VIAJES'!$A$2:$B$24,2,FALSE),"")</f>
        <v/>
      </c>
      <c r="U1390" t="str">
        <f>IFERROR(VLOOKUP(I1390,'VALORES VIAJES'!$A$2:$B$24,2,FALSE),"")</f>
        <v/>
      </c>
      <c r="V1390" t="str">
        <f>IFERROR(VLOOKUP(K1390,'VALORES VIAJES'!$A$2:$B$24,2,FALSE),"")</f>
        <v/>
      </c>
      <c r="X1390" s="208">
        <f>SUM(Hoja1[[#This Row],[$ X TIP VEHICUL]:[AGREGADO]])</f>
        <v>0</v>
      </c>
    </row>
    <row r="1391" spans="2:24" hidden="1" x14ac:dyDescent="0.25">
      <c r="B1391" s="189"/>
      <c r="J1391" s="189"/>
      <c r="M1391" s="205"/>
      <c r="S1391" t="str">
        <f>IFERROR(VLOOKUP(E1391,'VALORES VIAJES'!$A$2:$B$13,2,FALSE),"")</f>
        <v/>
      </c>
      <c r="T1391" t="str">
        <f>IFERROR(VLOOKUP(H1391,'VALORES VIAJES'!$A$2:$B$24,2,FALSE),"")</f>
        <v/>
      </c>
      <c r="U1391" t="str">
        <f>IFERROR(VLOOKUP(I1391,'VALORES VIAJES'!$A$2:$B$24,2,FALSE),"")</f>
        <v/>
      </c>
      <c r="V1391" t="str">
        <f>IFERROR(VLOOKUP(K1391,'VALORES VIAJES'!$A$2:$B$24,2,FALSE),"")</f>
        <v/>
      </c>
      <c r="X1391" s="208">
        <f>SUM(Hoja1[[#This Row],[$ X TIP VEHICUL]:[AGREGADO]])</f>
        <v>0</v>
      </c>
    </row>
    <row r="1392" spans="2:24" hidden="1" x14ac:dyDescent="0.25">
      <c r="B1392" s="189"/>
      <c r="J1392" s="189"/>
      <c r="M1392" s="205"/>
      <c r="S1392" t="str">
        <f>IFERROR(VLOOKUP(E1392,'VALORES VIAJES'!$A$2:$B$13,2,FALSE),"")</f>
        <v/>
      </c>
      <c r="T1392" t="str">
        <f>IFERROR(VLOOKUP(H1392,'VALORES VIAJES'!$A$2:$B$24,2,FALSE),"")</f>
        <v/>
      </c>
      <c r="U1392" t="str">
        <f>IFERROR(VLOOKUP(I1392,'VALORES VIAJES'!$A$2:$B$24,2,FALSE),"")</f>
        <v/>
      </c>
      <c r="V1392" t="str">
        <f>IFERROR(VLOOKUP(K1392,'VALORES VIAJES'!$A$2:$B$24,2,FALSE),"")</f>
        <v/>
      </c>
      <c r="X1392" s="208">
        <f>SUM(Hoja1[[#This Row],[$ X TIP VEHICUL]:[AGREGADO]])</f>
        <v>0</v>
      </c>
    </row>
    <row r="1393" spans="2:24" hidden="1" x14ac:dyDescent="0.25">
      <c r="B1393" s="189"/>
      <c r="J1393" s="189"/>
      <c r="M1393" s="205"/>
      <c r="S1393" t="str">
        <f>IFERROR(VLOOKUP(E1393,'VALORES VIAJES'!$A$2:$B$13,2,FALSE),"")</f>
        <v/>
      </c>
      <c r="T1393" t="str">
        <f>IFERROR(VLOOKUP(H1393,'VALORES VIAJES'!$A$2:$B$24,2,FALSE),"")</f>
        <v/>
      </c>
      <c r="U1393" t="str">
        <f>IFERROR(VLOOKUP(I1393,'VALORES VIAJES'!$A$2:$B$24,2,FALSE),"")</f>
        <v/>
      </c>
      <c r="V1393" t="str">
        <f>IFERROR(VLOOKUP(K1393,'VALORES VIAJES'!$A$2:$B$24,2,FALSE),"")</f>
        <v/>
      </c>
      <c r="X1393" s="208">
        <f>SUM(Hoja1[[#This Row],[$ X TIP VEHICUL]:[AGREGADO]])</f>
        <v>0</v>
      </c>
    </row>
    <row r="1394" spans="2:24" hidden="1" x14ac:dyDescent="0.25">
      <c r="B1394" s="189"/>
      <c r="J1394" s="189"/>
      <c r="M1394" s="205"/>
      <c r="S1394" t="str">
        <f>IFERROR(VLOOKUP(E1394,'VALORES VIAJES'!$A$2:$B$13,2,FALSE),"")</f>
        <v/>
      </c>
      <c r="T1394" t="str">
        <f>IFERROR(VLOOKUP(H1394,'VALORES VIAJES'!$A$2:$B$24,2,FALSE),"")</f>
        <v/>
      </c>
      <c r="U1394" t="str">
        <f>IFERROR(VLOOKUP(I1394,'VALORES VIAJES'!$A$2:$B$24,2,FALSE),"")</f>
        <v/>
      </c>
      <c r="V1394" t="str">
        <f>IFERROR(VLOOKUP(K1394,'VALORES VIAJES'!$A$2:$B$24,2,FALSE),"")</f>
        <v/>
      </c>
      <c r="X1394" s="208">
        <f>SUM(Hoja1[[#This Row],[$ X TIP VEHICUL]:[AGREGADO]])</f>
        <v>0</v>
      </c>
    </row>
    <row r="1395" spans="2:24" hidden="1" x14ac:dyDescent="0.25">
      <c r="B1395" s="189"/>
      <c r="J1395" s="189"/>
      <c r="M1395" s="205"/>
      <c r="S1395" t="str">
        <f>IFERROR(VLOOKUP(E1395,'VALORES VIAJES'!$A$2:$B$13,2,FALSE),"")</f>
        <v/>
      </c>
      <c r="T1395" t="str">
        <f>IFERROR(VLOOKUP(H1395,'VALORES VIAJES'!$A$2:$B$24,2,FALSE),"")</f>
        <v/>
      </c>
      <c r="U1395" t="str">
        <f>IFERROR(VLOOKUP(I1395,'VALORES VIAJES'!$A$2:$B$24,2,FALSE),"")</f>
        <v/>
      </c>
      <c r="V1395" t="str">
        <f>IFERROR(VLOOKUP(K1395,'VALORES VIAJES'!$A$2:$B$24,2,FALSE),"")</f>
        <v/>
      </c>
      <c r="X1395" s="208">
        <f>SUM(Hoja1[[#This Row],[$ X TIP VEHICUL]:[AGREGADO]])</f>
        <v>0</v>
      </c>
    </row>
    <row r="1396" spans="2:24" hidden="1" x14ac:dyDescent="0.25">
      <c r="B1396" s="189"/>
      <c r="J1396" s="189"/>
      <c r="M1396" s="205"/>
      <c r="S1396" t="str">
        <f>IFERROR(VLOOKUP(E1396,'VALORES VIAJES'!$A$2:$B$13,2,FALSE),"")</f>
        <v/>
      </c>
      <c r="T1396" t="str">
        <f>IFERROR(VLOOKUP(H1396,'VALORES VIAJES'!$A$2:$B$24,2,FALSE),"")</f>
        <v/>
      </c>
      <c r="U1396" t="str">
        <f>IFERROR(VLOOKUP(I1396,'VALORES VIAJES'!$A$2:$B$24,2,FALSE),"")</f>
        <v/>
      </c>
      <c r="V1396" t="str">
        <f>IFERROR(VLOOKUP(K1396,'VALORES VIAJES'!$A$2:$B$24,2,FALSE),"")</f>
        <v/>
      </c>
      <c r="X1396" s="208">
        <f>SUM(Hoja1[[#This Row],[$ X TIP VEHICUL]:[AGREGADO]])</f>
        <v>0</v>
      </c>
    </row>
    <row r="1397" spans="2:24" hidden="1" x14ac:dyDescent="0.25">
      <c r="B1397" s="189"/>
      <c r="J1397" s="189"/>
      <c r="M1397" s="205"/>
      <c r="S1397" t="str">
        <f>IFERROR(VLOOKUP(E1397,'VALORES VIAJES'!$A$2:$B$13,2,FALSE),"")</f>
        <v/>
      </c>
      <c r="T1397" t="str">
        <f>IFERROR(VLOOKUP(H1397,'VALORES VIAJES'!$A$2:$B$24,2,FALSE),"")</f>
        <v/>
      </c>
      <c r="U1397" t="str">
        <f>IFERROR(VLOOKUP(I1397,'VALORES VIAJES'!$A$2:$B$24,2,FALSE),"")</f>
        <v/>
      </c>
      <c r="V1397" t="str">
        <f>IFERROR(VLOOKUP(K1397,'VALORES VIAJES'!$A$2:$B$24,2,FALSE),"")</f>
        <v/>
      </c>
      <c r="X1397" s="208">
        <f>SUM(Hoja1[[#This Row],[$ X TIP VEHICUL]:[AGREGADO]])</f>
        <v>0</v>
      </c>
    </row>
    <row r="1398" spans="2:24" hidden="1" x14ac:dyDescent="0.25">
      <c r="B1398" s="189"/>
      <c r="J1398" s="189"/>
      <c r="M1398" s="205"/>
      <c r="S1398" t="str">
        <f>IFERROR(VLOOKUP(E1398,'VALORES VIAJES'!$A$2:$B$13,2,FALSE),"")</f>
        <v/>
      </c>
      <c r="T1398" t="str">
        <f>IFERROR(VLOOKUP(H1398,'VALORES VIAJES'!$A$2:$B$24,2,FALSE),"")</f>
        <v/>
      </c>
      <c r="U1398" t="str">
        <f>IFERROR(VLOOKUP(I1398,'VALORES VIAJES'!$A$2:$B$24,2,FALSE),"")</f>
        <v/>
      </c>
      <c r="V1398" t="str">
        <f>IFERROR(VLOOKUP(K1398,'VALORES VIAJES'!$A$2:$B$24,2,FALSE),"")</f>
        <v/>
      </c>
      <c r="X1398" s="208">
        <f>SUM(Hoja1[[#This Row],[$ X TIP VEHICUL]:[AGREGADO]])</f>
        <v>0</v>
      </c>
    </row>
    <row r="1399" spans="2:24" hidden="1" x14ac:dyDescent="0.25">
      <c r="B1399" s="189"/>
      <c r="J1399" s="189"/>
      <c r="M1399" s="205"/>
      <c r="S1399" t="str">
        <f>IFERROR(VLOOKUP(E1399,'VALORES VIAJES'!$A$2:$B$13,2,FALSE),"")</f>
        <v/>
      </c>
      <c r="T1399" t="str">
        <f>IFERROR(VLOOKUP(H1399,'VALORES VIAJES'!$A$2:$B$24,2,FALSE),"")</f>
        <v/>
      </c>
      <c r="U1399" t="str">
        <f>IFERROR(VLOOKUP(I1399,'VALORES VIAJES'!$A$2:$B$24,2,FALSE),"")</f>
        <v/>
      </c>
      <c r="V1399" t="str">
        <f>IFERROR(VLOOKUP(K1399,'VALORES VIAJES'!$A$2:$B$24,2,FALSE),"")</f>
        <v/>
      </c>
      <c r="X1399" s="208">
        <f>SUM(Hoja1[[#This Row],[$ X TIP VEHICUL]:[AGREGADO]])</f>
        <v>0</v>
      </c>
    </row>
    <row r="1400" spans="2:24" hidden="1" x14ac:dyDescent="0.25">
      <c r="B1400" s="189"/>
      <c r="J1400" s="189"/>
      <c r="M1400" s="205"/>
      <c r="S1400" t="str">
        <f>IFERROR(VLOOKUP(E1400,'VALORES VIAJES'!$A$2:$B$13,2,FALSE),"")</f>
        <v/>
      </c>
      <c r="T1400" t="str">
        <f>IFERROR(VLOOKUP(H1400,'VALORES VIAJES'!$A$2:$B$24,2,FALSE),"")</f>
        <v/>
      </c>
      <c r="U1400" t="str">
        <f>IFERROR(VLOOKUP(I1400,'VALORES VIAJES'!$A$2:$B$24,2,FALSE),"")</f>
        <v/>
      </c>
      <c r="V1400" t="str">
        <f>IFERROR(VLOOKUP(K1400,'VALORES VIAJES'!$A$2:$B$24,2,FALSE),"")</f>
        <v/>
      </c>
      <c r="X1400" s="208">
        <f>SUM(Hoja1[[#This Row],[$ X TIP VEHICUL]:[AGREGADO]])</f>
        <v>0</v>
      </c>
    </row>
    <row r="1401" spans="2:24" hidden="1" x14ac:dyDescent="0.25">
      <c r="B1401" s="189"/>
      <c r="J1401" s="189"/>
      <c r="M1401" s="205"/>
      <c r="S1401" t="str">
        <f>IFERROR(VLOOKUP(E1401,'VALORES VIAJES'!$A$2:$B$13,2,FALSE),"")</f>
        <v/>
      </c>
      <c r="T1401" t="str">
        <f>IFERROR(VLOOKUP(H1401,'VALORES VIAJES'!$A$2:$B$24,2,FALSE),"")</f>
        <v/>
      </c>
      <c r="U1401" t="str">
        <f>IFERROR(VLOOKUP(I1401,'VALORES VIAJES'!$A$2:$B$24,2,FALSE),"")</f>
        <v/>
      </c>
      <c r="V1401" t="str">
        <f>IFERROR(VLOOKUP(K1401,'VALORES VIAJES'!$A$2:$B$24,2,FALSE),"")</f>
        <v/>
      </c>
      <c r="X1401" s="208">
        <f>SUM(Hoja1[[#This Row],[$ X TIP VEHICUL]:[AGREGADO]])</f>
        <v>0</v>
      </c>
    </row>
    <row r="1402" spans="2:24" hidden="1" x14ac:dyDescent="0.25">
      <c r="B1402" s="189"/>
      <c r="J1402" s="189"/>
      <c r="M1402" s="205"/>
      <c r="S1402" t="str">
        <f>IFERROR(VLOOKUP(E1402,'VALORES VIAJES'!$A$2:$B$13,2,FALSE),"")</f>
        <v/>
      </c>
      <c r="T1402" t="str">
        <f>IFERROR(VLOOKUP(H1402,'VALORES VIAJES'!$A$2:$B$24,2,FALSE),"")</f>
        <v/>
      </c>
      <c r="U1402" t="str">
        <f>IFERROR(VLOOKUP(I1402,'VALORES VIAJES'!$A$2:$B$24,2,FALSE),"")</f>
        <v/>
      </c>
      <c r="V1402" t="str">
        <f>IFERROR(VLOOKUP(K1402,'VALORES VIAJES'!$A$2:$B$24,2,FALSE),"")</f>
        <v/>
      </c>
      <c r="X1402" s="208">
        <f>SUM(Hoja1[[#This Row],[$ X TIP VEHICUL]:[AGREGADO]])</f>
        <v>0</v>
      </c>
    </row>
    <row r="1403" spans="2:24" hidden="1" x14ac:dyDescent="0.25">
      <c r="B1403" s="189"/>
      <c r="J1403" s="189"/>
      <c r="M1403" s="205"/>
      <c r="S1403" t="str">
        <f>IFERROR(VLOOKUP(E1403,'VALORES VIAJES'!$A$2:$B$13,2,FALSE),"")</f>
        <v/>
      </c>
      <c r="T1403" t="str">
        <f>IFERROR(VLOOKUP(H1403,'VALORES VIAJES'!$A$2:$B$24,2,FALSE),"")</f>
        <v/>
      </c>
      <c r="U1403" t="str">
        <f>IFERROR(VLOOKUP(I1403,'VALORES VIAJES'!$A$2:$B$24,2,FALSE),"")</f>
        <v/>
      </c>
      <c r="V1403" t="str">
        <f>IFERROR(VLOOKUP(K1403,'VALORES VIAJES'!$A$2:$B$24,2,FALSE),"")</f>
        <v/>
      </c>
      <c r="X1403" s="208">
        <f>SUM(Hoja1[[#This Row],[$ X TIP VEHICUL]:[AGREGADO]])</f>
        <v>0</v>
      </c>
    </row>
    <row r="1404" spans="2:24" hidden="1" x14ac:dyDescent="0.25">
      <c r="B1404" s="189"/>
      <c r="J1404" s="189"/>
      <c r="M1404" s="205"/>
      <c r="S1404" t="str">
        <f>IFERROR(VLOOKUP(E1404,'VALORES VIAJES'!$A$2:$B$13,2,FALSE),"")</f>
        <v/>
      </c>
      <c r="T1404" t="str">
        <f>IFERROR(VLOOKUP(H1404,'VALORES VIAJES'!$A$2:$B$24,2,FALSE),"")</f>
        <v/>
      </c>
      <c r="U1404" t="str">
        <f>IFERROR(VLOOKUP(I1404,'VALORES VIAJES'!$A$2:$B$24,2,FALSE),"")</f>
        <v/>
      </c>
      <c r="V1404" t="str">
        <f>IFERROR(VLOOKUP(K1404,'VALORES VIAJES'!$A$2:$B$24,2,FALSE),"")</f>
        <v/>
      </c>
      <c r="X1404" s="208">
        <f>SUM(Hoja1[[#This Row],[$ X TIP VEHICUL]:[AGREGADO]])</f>
        <v>0</v>
      </c>
    </row>
    <row r="1405" spans="2:24" hidden="1" x14ac:dyDescent="0.25">
      <c r="B1405" s="189"/>
      <c r="J1405" s="189"/>
      <c r="M1405" s="205"/>
      <c r="S1405" t="str">
        <f>IFERROR(VLOOKUP(E1405,'VALORES VIAJES'!$A$2:$B$13,2,FALSE),"")</f>
        <v/>
      </c>
      <c r="T1405" t="str">
        <f>IFERROR(VLOOKUP(H1405,'VALORES VIAJES'!$A$2:$B$24,2,FALSE),"")</f>
        <v/>
      </c>
      <c r="U1405" t="str">
        <f>IFERROR(VLOOKUP(I1405,'VALORES VIAJES'!$A$2:$B$24,2,FALSE),"")</f>
        <v/>
      </c>
      <c r="V1405" t="str">
        <f>IFERROR(VLOOKUP(K1405,'VALORES VIAJES'!$A$2:$B$24,2,FALSE),"")</f>
        <v/>
      </c>
      <c r="X1405" s="208">
        <f>SUM(Hoja1[[#This Row],[$ X TIP VEHICUL]:[AGREGADO]])</f>
        <v>0</v>
      </c>
    </row>
    <row r="1406" spans="2:24" hidden="1" x14ac:dyDescent="0.25">
      <c r="B1406" s="189"/>
      <c r="J1406" s="189"/>
      <c r="M1406" s="205"/>
      <c r="S1406" t="str">
        <f>IFERROR(VLOOKUP(E1406,'VALORES VIAJES'!$A$2:$B$13,2,FALSE),"")</f>
        <v/>
      </c>
      <c r="T1406" t="str">
        <f>IFERROR(VLOOKUP(H1406,'VALORES VIAJES'!$A$2:$B$24,2,FALSE),"")</f>
        <v/>
      </c>
      <c r="U1406" t="str">
        <f>IFERROR(VLOOKUP(I1406,'VALORES VIAJES'!$A$2:$B$24,2,FALSE),"")</f>
        <v/>
      </c>
      <c r="V1406" t="str">
        <f>IFERROR(VLOOKUP(K1406,'VALORES VIAJES'!$A$2:$B$24,2,FALSE),"")</f>
        <v/>
      </c>
      <c r="X1406" s="208">
        <f>SUM(Hoja1[[#This Row],[$ X TIP VEHICUL]:[AGREGADO]])</f>
        <v>0</v>
      </c>
    </row>
    <row r="1407" spans="2:24" hidden="1" x14ac:dyDescent="0.25">
      <c r="B1407" s="189"/>
      <c r="J1407" s="189"/>
      <c r="M1407" s="205"/>
      <c r="S1407" t="str">
        <f>IFERROR(VLOOKUP(E1407,'VALORES VIAJES'!$A$2:$B$13,2,FALSE),"")</f>
        <v/>
      </c>
      <c r="T1407" t="str">
        <f>IFERROR(VLOOKUP(H1407,'VALORES VIAJES'!$A$2:$B$24,2,FALSE),"")</f>
        <v/>
      </c>
      <c r="U1407" t="str">
        <f>IFERROR(VLOOKUP(I1407,'VALORES VIAJES'!$A$2:$B$24,2,FALSE),"")</f>
        <v/>
      </c>
      <c r="V1407" t="str">
        <f>IFERROR(VLOOKUP(K1407,'VALORES VIAJES'!$A$2:$B$24,2,FALSE),"")</f>
        <v/>
      </c>
      <c r="X1407" s="208">
        <f>SUM(Hoja1[[#This Row],[$ X TIP VEHICUL]:[AGREGADO]])</f>
        <v>0</v>
      </c>
    </row>
    <row r="1408" spans="2:24" hidden="1" x14ac:dyDescent="0.25">
      <c r="B1408" s="189"/>
      <c r="J1408" s="189"/>
      <c r="M1408" s="205"/>
      <c r="S1408" t="str">
        <f>IFERROR(VLOOKUP(E1408,'VALORES VIAJES'!$A$2:$B$13,2,FALSE),"")</f>
        <v/>
      </c>
      <c r="T1408" t="str">
        <f>IFERROR(VLOOKUP(H1408,'VALORES VIAJES'!$A$2:$B$24,2,FALSE),"")</f>
        <v/>
      </c>
      <c r="U1408" t="str">
        <f>IFERROR(VLOOKUP(I1408,'VALORES VIAJES'!$A$2:$B$24,2,FALSE),"")</f>
        <v/>
      </c>
      <c r="V1408" t="str">
        <f>IFERROR(VLOOKUP(K1408,'VALORES VIAJES'!$A$2:$B$24,2,FALSE),"")</f>
        <v/>
      </c>
      <c r="X1408" s="208">
        <f>SUM(Hoja1[[#This Row],[$ X TIP VEHICUL]:[AGREGADO]])</f>
        <v>0</v>
      </c>
    </row>
    <row r="1409" spans="2:24" hidden="1" x14ac:dyDescent="0.25">
      <c r="B1409" s="189"/>
      <c r="J1409" s="189"/>
      <c r="M1409" s="205"/>
      <c r="S1409" t="str">
        <f>IFERROR(VLOOKUP(E1409,'VALORES VIAJES'!$A$2:$B$13,2,FALSE),"")</f>
        <v/>
      </c>
      <c r="T1409" t="str">
        <f>IFERROR(VLOOKUP(H1409,'VALORES VIAJES'!$A$2:$B$24,2,FALSE),"")</f>
        <v/>
      </c>
      <c r="U1409" t="str">
        <f>IFERROR(VLOOKUP(I1409,'VALORES VIAJES'!$A$2:$B$24,2,FALSE),"")</f>
        <v/>
      </c>
      <c r="V1409" t="str">
        <f>IFERROR(VLOOKUP(K1409,'VALORES VIAJES'!$A$2:$B$24,2,FALSE),"")</f>
        <v/>
      </c>
      <c r="X1409" s="208">
        <f>SUM(Hoja1[[#This Row],[$ X TIP VEHICUL]:[AGREGADO]])</f>
        <v>0</v>
      </c>
    </row>
    <row r="1410" spans="2:24" hidden="1" x14ac:dyDescent="0.25">
      <c r="B1410" s="189"/>
      <c r="J1410" s="189"/>
      <c r="M1410" s="205"/>
      <c r="S1410" t="str">
        <f>IFERROR(VLOOKUP(E1410,'VALORES VIAJES'!$A$2:$B$13,2,FALSE),"")</f>
        <v/>
      </c>
      <c r="T1410" t="str">
        <f>IFERROR(VLOOKUP(H1410,'VALORES VIAJES'!$A$2:$B$24,2,FALSE),"")</f>
        <v/>
      </c>
      <c r="U1410" t="str">
        <f>IFERROR(VLOOKUP(I1410,'VALORES VIAJES'!$A$2:$B$24,2,FALSE),"")</f>
        <v/>
      </c>
      <c r="V1410" t="str">
        <f>IFERROR(VLOOKUP(K1410,'VALORES VIAJES'!$A$2:$B$24,2,FALSE),"")</f>
        <v/>
      </c>
      <c r="X1410" s="208">
        <f>SUM(Hoja1[[#This Row],[$ X TIP VEHICUL]:[AGREGADO]])</f>
        <v>0</v>
      </c>
    </row>
    <row r="1411" spans="2:24" hidden="1" x14ac:dyDescent="0.25">
      <c r="B1411" s="189"/>
      <c r="J1411" s="189"/>
      <c r="M1411" s="205"/>
      <c r="S1411" t="str">
        <f>IFERROR(VLOOKUP(E1411,'VALORES VIAJES'!$A$2:$B$13,2,FALSE),"")</f>
        <v/>
      </c>
      <c r="T1411" t="str">
        <f>IFERROR(VLOOKUP(H1411,'VALORES VIAJES'!$A$2:$B$24,2,FALSE),"")</f>
        <v/>
      </c>
      <c r="U1411" t="str">
        <f>IFERROR(VLOOKUP(I1411,'VALORES VIAJES'!$A$2:$B$24,2,FALSE),"")</f>
        <v/>
      </c>
      <c r="V1411" t="str">
        <f>IFERROR(VLOOKUP(K1411,'VALORES VIAJES'!$A$2:$B$24,2,FALSE),"")</f>
        <v/>
      </c>
      <c r="X1411" s="208">
        <f>SUM(Hoja1[[#This Row],[$ X TIP VEHICUL]:[AGREGADO]])</f>
        <v>0</v>
      </c>
    </row>
    <row r="1412" spans="2:24" hidden="1" x14ac:dyDescent="0.25">
      <c r="B1412" s="189"/>
      <c r="J1412" s="189"/>
      <c r="M1412" s="205"/>
      <c r="S1412" t="str">
        <f>IFERROR(VLOOKUP(E1412,'VALORES VIAJES'!$A$2:$B$13,2,FALSE),"")</f>
        <v/>
      </c>
      <c r="T1412" t="str">
        <f>IFERROR(VLOOKUP(H1412,'VALORES VIAJES'!$A$2:$B$24,2,FALSE),"")</f>
        <v/>
      </c>
      <c r="U1412" t="str">
        <f>IFERROR(VLOOKUP(I1412,'VALORES VIAJES'!$A$2:$B$24,2,FALSE),"")</f>
        <v/>
      </c>
      <c r="V1412" t="str">
        <f>IFERROR(VLOOKUP(K1412,'VALORES VIAJES'!$A$2:$B$24,2,FALSE),"")</f>
        <v/>
      </c>
      <c r="X1412" s="208">
        <f>SUM(Hoja1[[#This Row],[$ X TIP VEHICUL]:[AGREGADO]])</f>
        <v>0</v>
      </c>
    </row>
    <row r="1413" spans="2:24" hidden="1" x14ac:dyDescent="0.25">
      <c r="B1413" s="189"/>
      <c r="J1413" s="189"/>
      <c r="M1413" s="205"/>
      <c r="S1413" t="str">
        <f>IFERROR(VLOOKUP(E1413,'VALORES VIAJES'!$A$2:$B$13,2,FALSE),"")</f>
        <v/>
      </c>
      <c r="T1413" t="str">
        <f>IFERROR(VLOOKUP(H1413,'VALORES VIAJES'!$A$2:$B$24,2,FALSE),"")</f>
        <v/>
      </c>
      <c r="U1413" t="str">
        <f>IFERROR(VLOOKUP(I1413,'VALORES VIAJES'!$A$2:$B$24,2,FALSE),"")</f>
        <v/>
      </c>
      <c r="V1413" t="str">
        <f>IFERROR(VLOOKUP(K1413,'VALORES VIAJES'!$A$2:$B$24,2,FALSE),"")</f>
        <v/>
      </c>
      <c r="X1413" s="208">
        <f>SUM(Hoja1[[#This Row],[$ X TIP VEHICUL]:[AGREGADO]])</f>
        <v>0</v>
      </c>
    </row>
    <row r="1414" spans="2:24" hidden="1" x14ac:dyDescent="0.25">
      <c r="B1414" s="189"/>
      <c r="J1414" s="189"/>
      <c r="M1414" s="205"/>
      <c r="S1414" t="str">
        <f>IFERROR(VLOOKUP(E1414,'VALORES VIAJES'!$A$2:$B$13,2,FALSE),"")</f>
        <v/>
      </c>
      <c r="T1414" t="str">
        <f>IFERROR(VLOOKUP(H1414,'VALORES VIAJES'!$A$2:$B$24,2,FALSE),"")</f>
        <v/>
      </c>
      <c r="U1414" t="str">
        <f>IFERROR(VLOOKUP(I1414,'VALORES VIAJES'!$A$2:$B$24,2,FALSE),"")</f>
        <v/>
      </c>
      <c r="V1414" t="str">
        <f>IFERROR(VLOOKUP(K1414,'VALORES VIAJES'!$A$2:$B$24,2,FALSE),"")</f>
        <v/>
      </c>
      <c r="X1414" s="208">
        <f>SUM(Hoja1[[#This Row],[$ X TIP VEHICUL]:[AGREGADO]])</f>
        <v>0</v>
      </c>
    </row>
    <row r="1415" spans="2:24" hidden="1" x14ac:dyDescent="0.25">
      <c r="B1415" s="189"/>
      <c r="J1415" s="189"/>
      <c r="M1415" s="205"/>
      <c r="S1415" t="str">
        <f>IFERROR(VLOOKUP(E1415,'VALORES VIAJES'!$A$2:$B$13,2,FALSE),"")</f>
        <v/>
      </c>
      <c r="T1415" t="str">
        <f>IFERROR(VLOOKUP(H1415,'VALORES VIAJES'!$A$2:$B$24,2,FALSE),"")</f>
        <v/>
      </c>
      <c r="U1415" t="str">
        <f>IFERROR(VLOOKUP(I1415,'VALORES VIAJES'!$A$2:$B$24,2,FALSE),"")</f>
        <v/>
      </c>
      <c r="V1415" t="str">
        <f>IFERROR(VLOOKUP(K1415,'VALORES VIAJES'!$A$2:$B$24,2,FALSE),"")</f>
        <v/>
      </c>
      <c r="X1415" s="208">
        <f>SUM(Hoja1[[#This Row],[$ X TIP VEHICUL]:[AGREGADO]])</f>
        <v>0</v>
      </c>
    </row>
    <row r="1416" spans="2:24" hidden="1" x14ac:dyDescent="0.25">
      <c r="B1416" s="189"/>
      <c r="J1416" s="189"/>
      <c r="M1416" s="205"/>
      <c r="S1416" t="str">
        <f>IFERROR(VLOOKUP(E1416,'VALORES VIAJES'!$A$2:$B$13,2,FALSE),"")</f>
        <v/>
      </c>
      <c r="T1416" t="str">
        <f>IFERROR(VLOOKUP(H1416,'VALORES VIAJES'!$A$2:$B$24,2,FALSE),"")</f>
        <v/>
      </c>
      <c r="U1416" t="str">
        <f>IFERROR(VLOOKUP(I1416,'VALORES VIAJES'!$A$2:$B$24,2,FALSE),"")</f>
        <v/>
      </c>
      <c r="V1416" t="str">
        <f>IFERROR(VLOOKUP(K1416,'VALORES VIAJES'!$A$2:$B$24,2,FALSE),"")</f>
        <v/>
      </c>
      <c r="X1416" s="208">
        <f>SUM(Hoja1[[#This Row],[$ X TIP VEHICUL]:[AGREGADO]])</f>
        <v>0</v>
      </c>
    </row>
    <row r="1417" spans="2:24" hidden="1" x14ac:dyDescent="0.25">
      <c r="B1417" s="189"/>
      <c r="J1417" s="189"/>
      <c r="M1417" s="205"/>
      <c r="S1417" t="str">
        <f>IFERROR(VLOOKUP(E1417,'VALORES VIAJES'!$A$2:$B$13,2,FALSE),"")</f>
        <v/>
      </c>
      <c r="T1417" t="str">
        <f>IFERROR(VLOOKUP(H1417,'VALORES VIAJES'!$A$2:$B$24,2,FALSE),"")</f>
        <v/>
      </c>
      <c r="U1417" t="str">
        <f>IFERROR(VLOOKUP(I1417,'VALORES VIAJES'!$A$2:$B$24,2,FALSE),"")</f>
        <v/>
      </c>
      <c r="V1417" t="str">
        <f>IFERROR(VLOOKUP(K1417,'VALORES VIAJES'!$A$2:$B$24,2,FALSE),"")</f>
        <v/>
      </c>
      <c r="X1417" s="208">
        <f>SUM(Hoja1[[#This Row],[$ X TIP VEHICUL]:[AGREGADO]])</f>
        <v>0</v>
      </c>
    </row>
    <row r="1418" spans="2:24" hidden="1" x14ac:dyDescent="0.25">
      <c r="B1418" s="189"/>
      <c r="J1418" s="189"/>
      <c r="M1418" s="205"/>
      <c r="S1418" t="str">
        <f>IFERROR(VLOOKUP(E1418,'VALORES VIAJES'!$A$2:$B$13,2,FALSE),"")</f>
        <v/>
      </c>
      <c r="T1418" t="str">
        <f>IFERROR(VLOOKUP(H1418,'VALORES VIAJES'!$A$2:$B$24,2,FALSE),"")</f>
        <v/>
      </c>
      <c r="U1418" t="str">
        <f>IFERROR(VLOOKUP(I1418,'VALORES VIAJES'!$A$2:$B$24,2,FALSE),"")</f>
        <v/>
      </c>
      <c r="V1418" t="str">
        <f>IFERROR(VLOOKUP(K1418,'VALORES VIAJES'!$A$2:$B$24,2,FALSE),"")</f>
        <v/>
      </c>
      <c r="X1418" s="208">
        <f>SUM(Hoja1[[#This Row],[$ X TIP VEHICUL]:[AGREGADO]])</f>
        <v>0</v>
      </c>
    </row>
    <row r="1419" spans="2:24" hidden="1" x14ac:dyDescent="0.25">
      <c r="B1419" s="189"/>
      <c r="J1419" s="189"/>
      <c r="M1419" s="205"/>
      <c r="S1419" t="str">
        <f>IFERROR(VLOOKUP(E1419,'VALORES VIAJES'!$A$2:$B$13,2,FALSE),"")</f>
        <v/>
      </c>
      <c r="T1419" t="str">
        <f>IFERROR(VLOOKUP(H1419,'VALORES VIAJES'!$A$2:$B$24,2,FALSE),"")</f>
        <v/>
      </c>
      <c r="U1419" t="str">
        <f>IFERROR(VLOOKUP(I1419,'VALORES VIAJES'!$A$2:$B$24,2,FALSE),"")</f>
        <v/>
      </c>
      <c r="V1419" t="str">
        <f>IFERROR(VLOOKUP(K1419,'VALORES VIAJES'!$A$2:$B$24,2,FALSE),"")</f>
        <v/>
      </c>
      <c r="X1419" s="208">
        <f>SUM(Hoja1[[#This Row],[$ X TIP VEHICUL]:[AGREGADO]])</f>
        <v>0</v>
      </c>
    </row>
    <row r="1420" spans="2:24" hidden="1" x14ac:dyDescent="0.25">
      <c r="B1420" s="189"/>
      <c r="J1420" s="189"/>
      <c r="M1420" s="205"/>
      <c r="S1420" t="str">
        <f>IFERROR(VLOOKUP(E1420,'VALORES VIAJES'!$A$2:$B$13,2,FALSE),"")</f>
        <v/>
      </c>
      <c r="T1420" t="str">
        <f>IFERROR(VLOOKUP(H1420,'VALORES VIAJES'!$A$2:$B$24,2,FALSE),"")</f>
        <v/>
      </c>
      <c r="U1420" t="str">
        <f>IFERROR(VLOOKUP(I1420,'VALORES VIAJES'!$A$2:$B$24,2,FALSE),"")</f>
        <v/>
      </c>
      <c r="V1420" t="str">
        <f>IFERROR(VLOOKUP(K1420,'VALORES VIAJES'!$A$2:$B$24,2,FALSE),"")</f>
        <v/>
      </c>
      <c r="X1420" s="208">
        <f>SUM(Hoja1[[#This Row],[$ X TIP VEHICUL]:[AGREGADO]])</f>
        <v>0</v>
      </c>
    </row>
    <row r="1421" spans="2:24" hidden="1" x14ac:dyDescent="0.25">
      <c r="B1421" s="189"/>
      <c r="J1421" s="189"/>
      <c r="M1421" s="205"/>
      <c r="S1421" t="str">
        <f>IFERROR(VLOOKUP(E1421,'VALORES VIAJES'!$A$2:$B$13,2,FALSE),"")</f>
        <v/>
      </c>
      <c r="T1421" t="str">
        <f>IFERROR(VLOOKUP(H1421,'VALORES VIAJES'!$A$2:$B$24,2,FALSE),"")</f>
        <v/>
      </c>
      <c r="U1421" t="str">
        <f>IFERROR(VLOOKUP(I1421,'VALORES VIAJES'!$A$2:$B$24,2,FALSE),"")</f>
        <v/>
      </c>
      <c r="V1421" t="str">
        <f>IFERROR(VLOOKUP(K1421,'VALORES VIAJES'!$A$2:$B$24,2,FALSE),"")</f>
        <v/>
      </c>
      <c r="X1421" s="208">
        <f>SUM(Hoja1[[#This Row],[$ X TIP VEHICUL]:[AGREGADO]])</f>
        <v>0</v>
      </c>
    </row>
    <row r="1422" spans="2:24" hidden="1" x14ac:dyDescent="0.25">
      <c r="B1422" s="189"/>
      <c r="J1422" s="189"/>
      <c r="M1422" s="205"/>
      <c r="S1422" t="str">
        <f>IFERROR(VLOOKUP(E1422,'VALORES VIAJES'!$A$2:$B$13,2,FALSE),"")</f>
        <v/>
      </c>
      <c r="T1422" t="str">
        <f>IFERROR(VLOOKUP(H1422,'VALORES VIAJES'!$A$2:$B$24,2,FALSE),"")</f>
        <v/>
      </c>
      <c r="U1422" t="str">
        <f>IFERROR(VLOOKUP(I1422,'VALORES VIAJES'!$A$2:$B$24,2,FALSE),"")</f>
        <v/>
      </c>
      <c r="V1422" t="str">
        <f>IFERROR(VLOOKUP(K1422,'VALORES VIAJES'!$A$2:$B$24,2,FALSE),"")</f>
        <v/>
      </c>
      <c r="X1422" s="208">
        <f>SUM(Hoja1[[#This Row],[$ X TIP VEHICUL]:[AGREGADO]])</f>
        <v>0</v>
      </c>
    </row>
    <row r="1423" spans="2:24" hidden="1" x14ac:dyDescent="0.25">
      <c r="B1423" s="189"/>
      <c r="J1423" s="189"/>
      <c r="M1423" s="205"/>
      <c r="S1423" t="str">
        <f>IFERROR(VLOOKUP(E1423,'VALORES VIAJES'!$A$2:$B$13,2,FALSE),"")</f>
        <v/>
      </c>
      <c r="T1423" t="str">
        <f>IFERROR(VLOOKUP(H1423,'VALORES VIAJES'!$A$2:$B$24,2,FALSE),"")</f>
        <v/>
      </c>
      <c r="U1423" t="str">
        <f>IFERROR(VLOOKUP(I1423,'VALORES VIAJES'!$A$2:$B$24,2,FALSE),"")</f>
        <v/>
      </c>
      <c r="V1423" t="str">
        <f>IFERROR(VLOOKUP(K1423,'VALORES VIAJES'!$A$2:$B$24,2,FALSE),"")</f>
        <v/>
      </c>
      <c r="X1423" s="208">
        <f>SUM(Hoja1[[#This Row],[$ X TIP VEHICUL]:[AGREGADO]])</f>
        <v>0</v>
      </c>
    </row>
    <row r="1424" spans="2:24" hidden="1" x14ac:dyDescent="0.25">
      <c r="B1424" s="189"/>
      <c r="J1424" s="189"/>
      <c r="M1424" s="205"/>
      <c r="S1424" t="str">
        <f>IFERROR(VLOOKUP(E1424,'VALORES VIAJES'!$A$2:$B$13,2,FALSE),"")</f>
        <v/>
      </c>
      <c r="T1424" t="str">
        <f>IFERROR(VLOOKUP(H1424,'VALORES VIAJES'!$A$2:$B$24,2,FALSE),"")</f>
        <v/>
      </c>
      <c r="U1424" t="str">
        <f>IFERROR(VLOOKUP(I1424,'VALORES VIAJES'!$A$2:$B$24,2,FALSE),"")</f>
        <v/>
      </c>
      <c r="V1424" t="str">
        <f>IFERROR(VLOOKUP(K1424,'VALORES VIAJES'!$A$2:$B$24,2,FALSE),"")</f>
        <v/>
      </c>
      <c r="X1424" s="208">
        <f>SUM(Hoja1[[#This Row],[$ X TIP VEHICUL]:[AGREGADO]])</f>
        <v>0</v>
      </c>
    </row>
    <row r="1425" spans="2:24" hidden="1" x14ac:dyDescent="0.25">
      <c r="B1425" s="189"/>
      <c r="J1425" s="189"/>
      <c r="M1425" s="205"/>
      <c r="S1425" t="str">
        <f>IFERROR(VLOOKUP(E1425,'VALORES VIAJES'!$A$2:$B$13,2,FALSE),"")</f>
        <v/>
      </c>
      <c r="T1425" t="str">
        <f>IFERROR(VLOOKUP(H1425,'VALORES VIAJES'!$A$2:$B$24,2,FALSE),"")</f>
        <v/>
      </c>
      <c r="U1425" t="str">
        <f>IFERROR(VLOOKUP(I1425,'VALORES VIAJES'!$A$2:$B$24,2,FALSE),"")</f>
        <v/>
      </c>
      <c r="V1425" t="str">
        <f>IFERROR(VLOOKUP(K1425,'VALORES VIAJES'!$A$2:$B$24,2,FALSE),"")</f>
        <v/>
      </c>
      <c r="X1425" s="208">
        <f>SUM(Hoja1[[#This Row],[$ X TIP VEHICUL]:[AGREGADO]])</f>
        <v>0</v>
      </c>
    </row>
    <row r="1426" spans="2:24" hidden="1" x14ac:dyDescent="0.25">
      <c r="B1426" s="189"/>
      <c r="J1426" s="189"/>
      <c r="M1426" s="205"/>
      <c r="S1426" t="str">
        <f>IFERROR(VLOOKUP(E1426,'VALORES VIAJES'!$A$2:$B$13,2,FALSE),"")</f>
        <v/>
      </c>
      <c r="T1426" t="str">
        <f>IFERROR(VLOOKUP(H1426,'VALORES VIAJES'!$A$2:$B$24,2,FALSE),"")</f>
        <v/>
      </c>
      <c r="U1426" t="str">
        <f>IFERROR(VLOOKUP(I1426,'VALORES VIAJES'!$A$2:$B$24,2,FALSE),"")</f>
        <v/>
      </c>
      <c r="V1426" t="str">
        <f>IFERROR(VLOOKUP(K1426,'VALORES VIAJES'!$A$2:$B$24,2,FALSE),"")</f>
        <v/>
      </c>
      <c r="X1426" s="208">
        <f>SUM(Hoja1[[#This Row],[$ X TIP VEHICUL]:[AGREGADO]])</f>
        <v>0</v>
      </c>
    </row>
    <row r="1427" spans="2:24" hidden="1" x14ac:dyDescent="0.25">
      <c r="B1427" s="189"/>
      <c r="J1427" s="189"/>
      <c r="M1427" s="205"/>
      <c r="S1427" t="str">
        <f>IFERROR(VLOOKUP(E1427,'VALORES VIAJES'!$A$2:$B$13,2,FALSE),"")</f>
        <v/>
      </c>
      <c r="T1427" t="str">
        <f>IFERROR(VLOOKUP(H1427,'VALORES VIAJES'!$A$2:$B$24,2,FALSE),"")</f>
        <v/>
      </c>
      <c r="U1427" t="str">
        <f>IFERROR(VLOOKUP(I1427,'VALORES VIAJES'!$A$2:$B$24,2,FALSE),"")</f>
        <v/>
      </c>
      <c r="V1427" t="str">
        <f>IFERROR(VLOOKUP(K1427,'VALORES VIAJES'!$A$2:$B$24,2,FALSE),"")</f>
        <v/>
      </c>
      <c r="X1427" s="208">
        <f>SUM(Hoja1[[#This Row],[$ X TIP VEHICUL]:[AGREGADO]])</f>
        <v>0</v>
      </c>
    </row>
    <row r="1428" spans="2:24" hidden="1" x14ac:dyDescent="0.25">
      <c r="B1428" s="189"/>
      <c r="J1428" s="189"/>
      <c r="M1428" s="205"/>
      <c r="S1428" t="str">
        <f>IFERROR(VLOOKUP(E1428,'VALORES VIAJES'!$A$2:$B$13,2,FALSE),"")</f>
        <v/>
      </c>
      <c r="T1428" t="str">
        <f>IFERROR(VLOOKUP(H1428,'VALORES VIAJES'!$A$2:$B$24,2,FALSE),"")</f>
        <v/>
      </c>
      <c r="U1428" t="str">
        <f>IFERROR(VLOOKUP(I1428,'VALORES VIAJES'!$A$2:$B$24,2,FALSE),"")</f>
        <v/>
      </c>
      <c r="V1428" t="str">
        <f>IFERROR(VLOOKUP(K1428,'VALORES VIAJES'!$A$2:$B$24,2,FALSE),"")</f>
        <v/>
      </c>
      <c r="X1428" s="208">
        <f>SUM(Hoja1[[#This Row],[$ X TIP VEHICUL]:[AGREGADO]])</f>
        <v>0</v>
      </c>
    </row>
    <row r="1429" spans="2:24" hidden="1" x14ac:dyDescent="0.25">
      <c r="B1429" s="189"/>
      <c r="J1429" s="189"/>
      <c r="M1429" s="205"/>
      <c r="S1429" t="str">
        <f>IFERROR(VLOOKUP(E1429,'VALORES VIAJES'!$A$2:$B$13,2,FALSE),"")</f>
        <v/>
      </c>
      <c r="T1429" t="str">
        <f>IFERROR(VLOOKUP(H1429,'VALORES VIAJES'!$A$2:$B$24,2,FALSE),"")</f>
        <v/>
      </c>
      <c r="U1429" t="str">
        <f>IFERROR(VLOOKUP(I1429,'VALORES VIAJES'!$A$2:$B$24,2,FALSE),"")</f>
        <v/>
      </c>
      <c r="V1429" t="str">
        <f>IFERROR(VLOOKUP(K1429,'VALORES VIAJES'!$A$2:$B$24,2,FALSE),"")</f>
        <v/>
      </c>
      <c r="X1429" s="208">
        <f>SUM(Hoja1[[#This Row],[$ X TIP VEHICUL]:[AGREGADO]])</f>
        <v>0</v>
      </c>
    </row>
    <row r="1430" spans="2:24" hidden="1" x14ac:dyDescent="0.25">
      <c r="B1430" s="189"/>
      <c r="J1430" s="189"/>
      <c r="M1430" s="205"/>
      <c r="S1430" t="str">
        <f>IFERROR(VLOOKUP(E1430,'VALORES VIAJES'!$A$2:$B$13,2,FALSE),"")</f>
        <v/>
      </c>
      <c r="T1430" t="str">
        <f>IFERROR(VLOOKUP(H1430,'VALORES VIAJES'!$A$2:$B$24,2,FALSE),"")</f>
        <v/>
      </c>
      <c r="U1430" t="str">
        <f>IFERROR(VLOOKUP(I1430,'VALORES VIAJES'!$A$2:$B$24,2,FALSE),"")</f>
        <v/>
      </c>
      <c r="V1430" t="str">
        <f>IFERROR(VLOOKUP(K1430,'VALORES VIAJES'!$A$2:$B$24,2,FALSE),"")</f>
        <v/>
      </c>
      <c r="X1430" s="208">
        <f>SUM(Hoja1[[#This Row],[$ X TIP VEHICUL]:[AGREGADO]])</f>
        <v>0</v>
      </c>
    </row>
    <row r="1431" spans="2:24" hidden="1" x14ac:dyDescent="0.25">
      <c r="B1431" s="189"/>
      <c r="J1431" s="189"/>
      <c r="M1431" s="205"/>
      <c r="S1431" t="str">
        <f>IFERROR(VLOOKUP(E1431,'VALORES VIAJES'!$A$2:$B$13,2,FALSE),"")</f>
        <v/>
      </c>
      <c r="T1431" t="str">
        <f>IFERROR(VLOOKUP(H1431,'VALORES VIAJES'!$A$2:$B$24,2,FALSE),"")</f>
        <v/>
      </c>
      <c r="U1431" t="str">
        <f>IFERROR(VLOOKUP(I1431,'VALORES VIAJES'!$A$2:$B$24,2,FALSE),"")</f>
        <v/>
      </c>
      <c r="V1431" t="str">
        <f>IFERROR(VLOOKUP(K1431,'VALORES VIAJES'!$A$2:$B$24,2,FALSE),"")</f>
        <v/>
      </c>
      <c r="X1431" s="208">
        <f>SUM(Hoja1[[#This Row],[$ X TIP VEHICUL]:[AGREGADO]])</f>
        <v>0</v>
      </c>
    </row>
    <row r="1432" spans="2:24" hidden="1" x14ac:dyDescent="0.25">
      <c r="B1432" s="189"/>
      <c r="J1432" s="189"/>
      <c r="M1432" s="205"/>
      <c r="S1432" t="str">
        <f>IFERROR(VLOOKUP(E1432,'VALORES VIAJES'!$A$2:$B$13,2,FALSE),"")</f>
        <v/>
      </c>
      <c r="T1432" t="str">
        <f>IFERROR(VLOOKUP(H1432,'VALORES VIAJES'!$A$2:$B$24,2,FALSE),"")</f>
        <v/>
      </c>
      <c r="U1432" t="str">
        <f>IFERROR(VLOOKUP(I1432,'VALORES VIAJES'!$A$2:$B$24,2,FALSE),"")</f>
        <v/>
      </c>
      <c r="V1432" t="str">
        <f>IFERROR(VLOOKUP(K1432,'VALORES VIAJES'!$A$2:$B$24,2,FALSE),"")</f>
        <v/>
      </c>
      <c r="X1432" s="208">
        <f>SUM(Hoja1[[#This Row],[$ X TIP VEHICUL]:[AGREGADO]])</f>
        <v>0</v>
      </c>
    </row>
    <row r="1433" spans="2:24" hidden="1" x14ac:dyDescent="0.25">
      <c r="B1433" s="189"/>
      <c r="J1433" s="189"/>
      <c r="M1433" s="205"/>
      <c r="S1433" t="str">
        <f>IFERROR(VLOOKUP(E1433,'VALORES VIAJES'!$A$2:$B$13,2,FALSE),"")</f>
        <v/>
      </c>
      <c r="T1433" t="str">
        <f>IFERROR(VLOOKUP(H1433,'VALORES VIAJES'!$A$2:$B$24,2,FALSE),"")</f>
        <v/>
      </c>
      <c r="U1433" t="str">
        <f>IFERROR(VLOOKUP(I1433,'VALORES VIAJES'!$A$2:$B$24,2,FALSE),"")</f>
        <v/>
      </c>
      <c r="V1433" t="str">
        <f>IFERROR(VLOOKUP(K1433,'VALORES VIAJES'!$A$2:$B$24,2,FALSE),"")</f>
        <v/>
      </c>
      <c r="X1433" s="208">
        <f>SUM(Hoja1[[#This Row],[$ X TIP VEHICUL]:[AGREGADO]])</f>
        <v>0</v>
      </c>
    </row>
    <row r="1434" spans="2:24" hidden="1" x14ac:dyDescent="0.25">
      <c r="B1434" s="189"/>
      <c r="J1434" s="189"/>
      <c r="M1434" s="205"/>
      <c r="S1434" t="str">
        <f>IFERROR(VLOOKUP(E1434,'VALORES VIAJES'!$A$2:$B$13,2,FALSE),"")</f>
        <v/>
      </c>
      <c r="T1434" t="str">
        <f>IFERROR(VLOOKUP(H1434,'VALORES VIAJES'!$A$2:$B$24,2,FALSE),"")</f>
        <v/>
      </c>
      <c r="U1434" t="str">
        <f>IFERROR(VLOOKUP(I1434,'VALORES VIAJES'!$A$2:$B$24,2,FALSE),"")</f>
        <v/>
      </c>
      <c r="V1434" t="str">
        <f>IFERROR(VLOOKUP(K1434,'VALORES VIAJES'!$A$2:$B$24,2,FALSE),"")</f>
        <v/>
      </c>
      <c r="X1434" s="208">
        <f>SUM(Hoja1[[#This Row],[$ X TIP VEHICUL]:[AGREGADO]])</f>
        <v>0</v>
      </c>
    </row>
    <row r="1435" spans="2:24" hidden="1" x14ac:dyDescent="0.25">
      <c r="B1435" s="189"/>
      <c r="J1435" s="189"/>
      <c r="M1435" s="205"/>
      <c r="S1435" t="str">
        <f>IFERROR(VLOOKUP(E1435,'VALORES VIAJES'!$A$2:$B$13,2,FALSE),"")</f>
        <v/>
      </c>
      <c r="T1435" t="str">
        <f>IFERROR(VLOOKUP(H1435,'VALORES VIAJES'!$A$2:$B$24,2,FALSE),"")</f>
        <v/>
      </c>
      <c r="U1435" t="str">
        <f>IFERROR(VLOOKUP(I1435,'VALORES VIAJES'!$A$2:$B$24,2,FALSE),"")</f>
        <v/>
      </c>
      <c r="V1435" t="str">
        <f>IFERROR(VLOOKUP(K1435,'VALORES VIAJES'!$A$2:$B$24,2,FALSE),"")</f>
        <v/>
      </c>
      <c r="X1435" s="208">
        <f>SUM(Hoja1[[#This Row],[$ X TIP VEHICUL]:[AGREGADO]])</f>
        <v>0</v>
      </c>
    </row>
    <row r="1436" spans="2:24" hidden="1" x14ac:dyDescent="0.25">
      <c r="B1436" s="189"/>
      <c r="J1436" s="189"/>
      <c r="M1436" s="205"/>
      <c r="S1436" t="str">
        <f>IFERROR(VLOOKUP(E1436,'VALORES VIAJES'!$A$2:$B$13,2,FALSE),"")</f>
        <v/>
      </c>
      <c r="T1436" t="str">
        <f>IFERROR(VLOOKUP(H1436,'VALORES VIAJES'!$A$2:$B$24,2,FALSE),"")</f>
        <v/>
      </c>
      <c r="U1436" t="str">
        <f>IFERROR(VLOOKUP(I1436,'VALORES VIAJES'!$A$2:$B$24,2,FALSE),"")</f>
        <v/>
      </c>
      <c r="V1436" t="str">
        <f>IFERROR(VLOOKUP(K1436,'VALORES VIAJES'!$A$2:$B$24,2,FALSE),"")</f>
        <v/>
      </c>
      <c r="X1436" s="208">
        <f>SUM(Hoja1[[#This Row],[$ X TIP VEHICUL]:[AGREGADO]])</f>
        <v>0</v>
      </c>
    </row>
    <row r="1437" spans="2:24" hidden="1" x14ac:dyDescent="0.25">
      <c r="B1437" s="189"/>
      <c r="J1437" s="189"/>
      <c r="M1437" s="205"/>
      <c r="S1437" t="str">
        <f>IFERROR(VLOOKUP(E1437,'VALORES VIAJES'!$A$2:$B$13,2,FALSE),"")</f>
        <v/>
      </c>
      <c r="T1437" t="str">
        <f>IFERROR(VLOOKUP(H1437,'VALORES VIAJES'!$A$2:$B$24,2,FALSE),"")</f>
        <v/>
      </c>
      <c r="U1437" t="str">
        <f>IFERROR(VLOOKUP(I1437,'VALORES VIAJES'!$A$2:$B$24,2,FALSE),"")</f>
        <v/>
      </c>
      <c r="V1437" t="str">
        <f>IFERROR(VLOOKUP(K1437,'VALORES VIAJES'!$A$2:$B$24,2,FALSE),"")</f>
        <v/>
      </c>
      <c r="X1437" s="208">
        <f>SUM(Hoja1[[#This Row],[$ X TIP VEHICUL]:[AGREGADO]])</f>
        <v>0</v>
      </c>
    </row>
    <row r="1438" spans="2:24" hidden="1" x14ac:dyDescent="0.25">
      <c r="B1438" s="189"/>
      <c r="J1438" s="189"/>
      <c r="M1438" s="205"/>
      <c r="S1438" t="str">
        <f>IFERROR(VLOOKUP(E1438,'VALORES VIAJES'!$A$2:$B$13,2,FALSE),"")</f>
        <v/>
      </c>
      <c r="T1438" t="str">
        <f>IFERROR(VLOOKUP(H1438,'VALORES VIAJES'!$A$2:$B$24,2,FALSE),"")</f>
        <v/>
      </c>
      <c r="U1438" t="str">
        <f>IFERROR(VLOOKUP(I1438,'VALORES VIAJES'!$A$2:$B$24,2,FALSE),"")</f>
        <v/>
      </c>
      <c r="V1438" t="str">
        <f>IFERROR(VLOOKUP(K1438,'VALORES VIAJES'!$A$2:$B$24,2,FALSE),"")</f>
        <v/>
      </c>
      <c r="X1438" s="208">
        <f>SUM(Hoja1[[#This Row],[$ X TIP VEHICUL]:[AGREGADO]])</f>
        <v>0</v>
      </c>
    </row>
    <row r="1439" spans="2:24" hidden="1" x14ac:dyDescent="0.25">
      <c r="B1439" s="189"/>
      <c r="J1439" s="189"/>
      <c r="M1439" s="205"/>
      <c r="S1439" t="str">
        <f>IFERROR(VLOOKUP(E1439,'VALORES VIAJES'!$A$2:$B$13,2,FALSE),"")</f>
        <v/>
      </c>
      <c r="T1439" t="str">
        <f>IFERROR(VLOOKUP(H1439,'VALORES VIAJES'!$A$2:$B$24,2,FALSE),"")</f>
        <v/>
      </c>
      <c r="U1439" t="str">
        <f>IFERROR(VLOOKUP(I1439,'VALORES VIAJES'!$A$2:$B$24,2,FALSE),"")</f>
        <v/>
      </c>
      <c r="V1439" t="str">
        <f>IFERROR(VLOOKUP(K1439,'VALORES VIAJES'!$A$2:$B$24,2,FALSE),"")</f>
        <v/>
      </c>
      <c r="X1439" s="208">
        <f>SUM(Hoja1[[#This Row],[$ X TIP VEHICUL]:[AGREGADO]])</f>
        <v>0</v>
      </c>
    </row>
    <row r="1440" spans="2:24" hidden="1" x14ac:dyDescent="0.25">
      <c r="B1440" s="189"/>
      <c r="J1440" s="189"/>
      <c r="M1440" s="205"/>
      <c r="S1440" t="str">
        <f>IFERROR(VLOOKUP(E1440,'VALORES VIAJES'!$A$2:$B$13,2,FALSE),"")</f>
        <v/>
      </c>
      <c r="T1440" t="str">
        <f>IFERROR(VLOOKUP(H1440,'VALORES VIAJES'!$A$2:$B$24,2,FALSE),"")</f>
        <v/>
      </c>
      <c r="U1440" t="str">
        <f>IFERROR(VLOOKUP(I1440,'VALORES VIAJES'!$A$2:$B$24,2,FALSE),"")</f>
        <v/>
      </c>
      <c r="V1440" t="str">
        <f>IFERROR(VLOOKUP(K1440,'VALORES VIAJES'!$A$2:$B$24,2,FALSE),"")</f>
        <v/>
      </c>
      <c r="X1440" s="208">
        <f>SUM(Hoja1[[#This Row],[$ X TIP VEHICUL]:[AGREGADO]])</f>
        <v>0</v>
      </c>
    </row>
    <row r="1441" spans="2:24" hidden="1" x14ac:dyDescent="0.25">
      <c r="B1441" s="189"/>
      <c r="J1441" s="189"/>
      <c r="M1441" s="205"/>
      <c r="S1441" t="str">
        <f>IFERROR(VLOOKUP(E1441,'VALORES VIAJES'!$A$2:$B$13,2,FALSE),"")</f>
        <v/>
      </c>
      <c r="T1441" t="str">
        <f>IFERROR(VLOOKUP(H1441,'VALORES VIAJES'!$A$2:$B$24,2,FALSE),"")</f>
        <v/>
      </c>
      <c r="U1441" t="str">
        <f>IFERROR(VLOOKUP(I1441,'VALORES VIAJES'!$A$2:$B$24,2,FALSE),"")</f>
        <v/>
      </c>
      <c r="V1441" t="str">
        <f>IFERROR(VLOOKUP(K1441,'VALORES VIAJES'!$A$2:$B$24,2,FALSE),"")</f>
        <v/>
      </c>
      <c r="X1441" s="208">
        <f>SUM(Hoja1[[#This Row],[$ X TIP VEHICUL]:[AGREGADO]])</f>
        <v>0</v>
      </c>
    </row>
    <row r="1442" spans="2:24" hidden="1" x14ac:dyDescent="0.25">
      <c r="B1442" s="189"/>
      <c r="J1442" s="189"/>
      <c r="M1442" s="205"/>
      <c r="S1442" t="str">
        <f>IFERROR(VLOOKUP(E1442,'VALORES VIAJES'!$A$2:$B$13,2,FALSE),"")</f>
        <v/>
      </c>
      <c r="T1442" t="str">
        <f>IFERROR(VLOOKUP(H1442,'VALORES VIAJES'!$A$2:$B$24,2,FALSE),"")</f>
        <v/>
      </c>
      <c r="U1442" t="str">
        <f>IFERROR(VLOOKUP(I1442,'VALORES VIAJES'!$A$2:$B$24,2,FALSE),"")</f>
        <v/>
      </c>
      <c r="V1442" t="str">
        <f>IFERROR(VLOOKUP(K1442,'VALORES VIAJES'!$A$2:$B$24,2,FALSE),"")</f>
        <v/>
      </c>
      <c r="X1442" s="208">
        <f>SUM(Hoja1[[#This Row],[$ X TIP VEHICUL]:[AGREGADO]])</f>
        <v>0</v>
      </c>
    </row>
    <row r="1443" spans="2:24" hidden="1" x14ac:dyDescent="0.25">
      <c r="B1443" s="189"/>
      <c r="J1443" s="189"/>
      <c r="M1443" s="205"/>
      <c r="S1443" t="str">
        <f>IFERROR(VLOOKUP(E1443,'VALORES VIAJES'!$A$2:$B$13,2,FALSE),"")</f>
        <v/>
      </c>
      <c r="T1443" t="str">
        <f>IFERROR(VLOOKUP(H1443,'VALORES VIAJES'!$A$2:$B$24,2,FALSE),"")</f>
        <v/>
      </c>
      <c r="U1443" t="str">
        <f>IFERROR(VLOOKUP(I1443,'VALORES VIAJES'!$A$2:$B$24,2,FALSE),"")</f>
        <v/>
      </c>
      <c r="V1443" t="str">
        <f>IFERROR(VLOOKUP(K1443,'VALORES VIAJES'!$A$2:$B$24,2,FALSE),"")</f>
        <v/>
      </c>
      <c r="X1443" s="208">
        <f>SUM(Hoja1[[#This Row],[$ X TIP VEHICUL]:[AGREGADO]])</f>
        <v>0</v>
      </c>
    </row>
    <row r="1444" spans="2:24" hidden="1" x14ac:dyDescent="0.25">
      <c r="B1444" s="189"/>
      <c r="J1444" s="189"/>
      <c r="M1444" s="205"/>
      <c r="S1444" t="str">
        <f>IFERROR(VLOOKUP(E1444,'VALORES VIAJES'!$A$2:$B$13,2,FALSE),"")</f>
        <v/>
      </c>
      <c r="T1444" t="str">
        <f>IFERROR(VLOOKUP(H1444,'VALORES VIAJES'!$A$2:$B$24,2,FALSE),"")</f>
        <v/>
      </c>
      <c r="U1444" t="str">
        <f>IFERROR(VLOOKUP(I1444,'VALORES VIAJES'!$A$2:$B$24,2,FALSE),"")</f>
        <v/>
      </c>
      <c r="V1444" t="str">
        <f>IFERROR(VLOOKUP(K1444,'VALORES VIAJES'!$A$2:$B$24,2,FALSE),"")</f>
        <v/>
      </c>
      <c r="X1444" s="208">
        <f>SUM(Hoja1[[#This Row],[$ X TIP VEHICUL]:[AGREGADO]])</f>
        <v>0</v>
      </c>
    </row>
    <row r="1445" spans="2:24" hidden="1" x14ac:dyDescent="0.25">
      <c r="B1445" s="189"/>
      <c r="J1445" s="189"/>
      <c r="M1445" s="205"/>
      <c r="S1445" t="str">
        <f>IFERROR(VLOOKUP(E1445,'VALORES VIAJES'!$A$2:$B$13,2,FALSE),"")</f>
        <v/>
      </c>
      <c r="T1445" t="str">
        <f>IFERROR(VLOOKUP(H1445,'VALORES VIAJES'!$A$2:$B$24,2,FALSE),"")</f>
        <v/>
      </c>
      <c r="U1445" t="str">
        <f>IFERROR(VLOOKUP(I1445,'VALORES VIAJES'!$A$2:$B$24,2,FALSE),"")</f>
        <v/>
      </c>
      <c r="V1445" t="str">
        <f>IFERROR(VLOOKUP(K1445,'VALORES VIAJES'!$A$2:$B$24,2,FALSE),"")</f>
        <v/>
      </c>
      <c r="X1445" s="208">
        <f>SUM(Hoja1[[#This Row],[$ X TIP VEHICUL]:[AGREGADO]])</f>
        <v>0</v>
      </c>
    </row>
    <row r="1446" spans="2:24" hidden="1" x14ac:dyDescent="0.25">
      <c r="B1446" s="189"/>
      <c r="J1446" s="189"/>
      <c r="M1446" s="205"/>
      <c r="S1446" t="str">
        <f>IFERROR(VLOOKUP(E1446,'VALORES VIAJES'!$A$2:$B$13,2,FALSE),"")</f>
        <v/>
      </c>
      <c r="T1446" t="str">
        <f>IFERROR(VLOOKUP(H1446,'VALORES VIAJES'!$A$2:$B$24,2,FALSE),"")</f>
        <v/>
      </c>
      <c r="U1446" t="str">
        <f>IFERROR(VLOOKUP(I1446,'VALORES VIAJES'!$A$2:$B$24,2,FALSE),"")</f>
        <v/>
      </c>
      <c r="V1446" t="str">
        <f>IFERROR(VLOOKUP(K1446,'VALORES VIAJES'!$A$2:$B$24,2,FALSE),"")</f>
        <v/>
      </c>
      <c r="X1446" s="208">
        <f>SUM(Hoja1[[#This Row],[$ X TIP VEHICUL]:[AGREGADO]])</f>
        <v>0</v>
      </c>
    </row>
    <row r="1447" spans="2:24" hidden="1" x14ac:dyDescent="0.25">
      <c r="B1447" s="189"/>
      <c r="J1447" s="189"/>
      <c r="M1447" s="205"/>
      <c r="S1447" t="str">
        <f>IFERROR(VLOOKUP(E1447,'VALORES VIAJES'!$A$2:$B$13,2,FALSE),"")</f>
        <v/>
      </c>
      <c r="T1447" t="str">
        <f>IFERROR(VLOOKUP(H1447,'VALORES VIAJES'!$A$2:$B$24,2,FALSE),"")</f>
        <v/>
      </c>
      <c r="U1447" t="str">
        <f>IFERROR(VLOOKUP(I1447,'VALORES VIAJES'!$A$2:$B$24,2,FALSE),"")</f>
        <v/>
      </c>
      <c r="V1447" t="str">
        <f>IFERROR(VLOOKUP(K1447,'VALORES VIAJES'!$A$2:$B$24,2,FALSE),"")</f>
        <v/>
      </c>
      <c r="X1447" s="208">
        <f>SUM(Hoja1[[#This Row],[$ X TIP VEHICUL]:[AGREGADO]])</f>
        <v>0</v>
      </c>
    </row>
    <row r="1448" spans="2:24" hidden="1" x14ac:dyDescent="0.25">
      <c r="B1448" s="189"/>
      <c r="J1448" s="189"/>
      <c r="M1448" s="205"/>
      <c r="S1448" t="str">
        <f>IFERROR(VLOOKUP(E1448,'VALORES VIAJES'!$A$2:$B$13,2,FALSE),"")</f>
        <v/>
      </c>
      <c r="T1448" t="str">
        <f>IFERROR(VLOOKUP(H1448,'VALORES VIAJES'!$A$2:$B$24,2,FALSE),"")</f>
        <v/>
      </c>
      <c r="U1448" t="str">
        <f>IFERROR(VLOOKUP(I1448,'VALORES VIAJES'!$A$2:$B$24,2,FALSE),"")</f>
        <v/>
      </c>
      <c r="V1448" t="str">
        <f>IFERROR(VLOOKUP(K1448,'VALORES VIAJES'!$A$2:$B$24,2,FALSE),"")</f>
        <v/>
      </c>
      <c r="X1448" s="208">
        <f>SUM(Hoja1[[#This Row],[$ X TIP VEHICUL]:[AGREGADO]])</f>
        <v>0</v>
      </c>
    </row>
    <row r="1449" spans="2:24" hidden="1" x14ac:dyDescent="0.25">
      <c r="B1449" s="189"/>
      <c r="J1449" s="189"/>
      <c r="M1449" s="205"/>
      <c r="S1449" t="str">
        <f>IFERROR(VLOOKUP(E1449,'VALORES VIAJES'!$A$2:$B$13,2,FALSE),"")</f>
        <v/>
      </c>
      <c r="T1449" t="str">
        <f>IFERROR(VLOOKUP(H1449,'VALORES VIAJES'!$A$2:$B$24,2,FALSE),"")</f>
        <v/>
      </c>
      <c r="U1449" t="str">
        <f>IFERROR(VLOOKUP(I1449,'VALORES VIAJES'!$A$2:$B$24,2,FALSE),"")</f>
        <v/>
      </c>
      <c r="V1449" t="str">
        <f>IFERROR(VLOOKUP(K1449,'VALORES VIAJES'!$A$2:$B$24,2,FALSE),"")</f>
        <v/>
      </c>
      <c r="X1449" s="208">
        <f>SUM(Hoja1[[#This Row],[$ X TIP VEHICUL]:[AGREGADO]])</f>
        <v>0</v>
      </c>
    </row>
    <row r="1450" spans="2:24" hidden="1" x14ac:dyDescent="0.25">
      <c r="B1450" s="189"/>
      <c r="J1450" s="189"/>
      <c r="M1450" s="205"/>
      <c r="S1450" t="str">
        <f>IFERROR(VLOOKUP(E1450,'VALORES VIAJES'!$A$2:$B$13,2,FALSE),"")</f>
        <v/>
      </c>
      <c r="T1450" t="str">
        <f>IFERROR(VLOOKUP(H1450,'VALORES VIAJES'!$A$2:$B$24,2,FALSE),"")</f>
        <v/>
      </c>
      <c r="U1450" t="str">
        <f>IFERROR(VLOOKUP(I1450,'VALORES VIAJES'!$A$2:$B$24,2,FALSE),"")</f>
        <v/>
      </c>
      <c r="V1450" t="str">
        <f>IFERROR(VLOOKUP(K1450,'VALORES VIAJES'!$A$2:$B$24,2,FALSE),"")</f>
        <v/>
      </c>
      <c r="X1450" s="208">
        <f>SUM(Hoja1[[#This Row],[$ X TIP VEHICUL]:[AGREGADO]])</f>
        <v>0</v>
      </c>
    </row>
    <row r="1451" spans="2:24" hidden="1" x14ac:dyDescent="0.25">
      <c r="B1451" s="189"/>
      <c r="J1451" s="189"/>
      <c r="M1451" s="205"/>
      <c r="S1451" t="str">
        <f>IFERROR(VLOOKUP(E1451,'VALORES VIAJES'!$A$2:$B$13,2,FALSE),"")</f>
        <v/>
      </c>
      <c r="T1451" t="str">
        <f>IFERROR(VLOOKUP(H1451,'VALORES VIAJES'!$A$2:$B$24,2,FALSE),"")</f>
        <v/>
      </c>
      <c r="U1451" t="str">
        <f>IFERROR(VLOOKUP(I1451,'VALORES VIAJES'!$A$2:$B$24,2,FALSE),"")</f>
        <v/>
      </c>
      <c r="V1451" t="str">
        <f>IFERROR(VLOOKUP(K1451,'VALORES VIAJES'!$A$2:$B$24,2,FALSE),"")</f>
        <v/>
      </c>
      <c r="X1451" s="208">
        <f>SUM(Hoja1[[#This Row],[$ X TIP VEHICUL]:[AGREGADO]])</f>
        <v>0</v>
      </c>
    </row>
    <row r="1452" spans="2:24" hidden="1" x14ac:dyDescent="0.25">
      <c r="B1452" s="189"/>
      <c r="J1452" s="189"/>
      <c r="M1452" s="205"/>
      <c r="S1452" t="str">
        <f>IFERROR(VLOOKUP(E1452,'VALORES VIAJES'!$A$2:$B$13,2,FALSE),"")</f>
        <v/>
      </c>
      <c r="T1452" t="str">
        <f>IFERROR(VLOOKUP(H1452,'VALORES VIAJES'!$A$2:$B$24,2,FALSE),"")</f>
        <v/>
      </c>
      <c r="U1452" t="str">
        <f>IFERROR(VLOOKUP(I1452,'VALORES VIAJES'!$A$2:$B$24,2,FALSE),"")</f>
        <v/>
      </c>
      <c r="V1452" t="str">
        <f>IFERROR(VLOOKUP(K1452,'VALORES VIAJES'!$A$2:$B$24,2,FALSE),"")</f>
        <v/>
      </c>
      <c r="X1452" s="208">
        <f>SUM(Hoja1[[#This Row],[$ X TIP VEHICUL]:[AGREGADO]])</f>
        <v>0</v>
      </c>
    </row>
    <row r="1453" spans="2:24" hidden="1" x14ac:dyDescent="0.25">
      <c r="B1453" s="189"/>
      <c r="J1453" s="189"/>
      <c r="M1453" s="205"/>
      <c r="S1453" t="str">
        <f>IFERROR(VLOOKUP(E1453,'VALORES VIAJES'!$A$2:$B$13,2,FALSE),"")</f>
        <v/>
      </c>
      <c r="T1453" t="str">
        <f>IFERROR(VLOOKUP(H1453,'VALORES VIAJES'!$A$2:$B$24,2,FALSE),"")</f>
        <v/>
      </c>
      <c r="U1453" t="str">
        <f>IFERROR(VLOOKUP(I1453,'VALORES VIAJES'!$A$2:$B$24,2,FALSE),"")</f>
        <v/>
      </c>
      <c r="V1453" t="str">
        <f>IFERROR(VLOOKUP(K1453,'VALORES VIAJES'!$A$2:$B$24,2,FALSE),"")</f>
        <v/>
      </c>
      <c r="X1453" s="208">
        <f>SUM(Hoja1[[#This Row],[$ X TIP VEHICUL]:[AGREGADO]])</f>
        <v>0</v>
      </c>
    </row>
    <row r="1454" spans="2:24" hidden="1" x14ac:dyDescent="0.25">
      <c r="B1454" s="189"/>
      <c r="J1454" s="189"/>
      <c r="M1454" s="205"/>
      <c r="S1454" t="str">
        <f>IFERROR(VLOOKUP(E1454,'VALORES VIAJES'!$A$2:$B$13,2,FALSE),"")</f>
        <v/>
      </c>
      <c r="T1454" t="str">
        <f>IFERROR(VLOOKUP(H1454,'VALORES VIAJES'!$A$2:$B$24,2,FALSE),"")</f>
        <v/>
      </c>
      <c r="U1454" t="str">
        <f>IFERROR(VLOOKUP(I1454,'VALORES VIAJES'!$A$2:$B$24,2,FALSE),"")</f>
        <v/>
      </c>
      <c r="V1454" t="str">
        <f>IFERROR(VLOOKUP(K1454,'VALORES VIAJES'!$A$2:$B$24,2,FALSE),"")</f>
        <v/>
      </c>
      <c r="X1454" s="208">
        <f>SUM(Hoja1[[#This Row],[$ X TIP VEHICUL]:[AGREGADO]])</f>
        <v>0</v>
      </c>
    </row>
    <row r="1455" spans="2:24" hidden="1" x14ac:dyDescent="0.25">
      <c r="B1455" s="189"/>
      <c r="J1455" s="189"/>
      <c r="M1455" s="205"/>
      <c r="S1455" t="str">
        <f>IFERROR(VLOOKUP(E1455,'VALORES VIAJES'!$A$2:$B$13,2,FALSE),"")</f>
        <v/>
      </c>
      <c r="T1455" t="str">
        <f>IFERROR(VLOOKUP(H1455,'VALORES VIAJES'!$A$2:$B$24,2,FALSE),"")</f>
        <v/>
      </c>
      <c r="U1455" t="str">
        <f>IFERROR(VLOOKUP(I1455,'VALORES VIAJES'!$A$2:$B$24,2,FALSE),"")</f>
        <v/>
      </c>
      <c r="V1455" t="str">
        <f>IFERROR(VLOOKUP(K1455,'VALORES VIAJES'!$A$2:$B$24,2,FALSE),"")</f>
        <v/>
      </c>
      <c r="X1455" s="208">
        <f>SUM(Hoja1[[#This Row],[$ X TIP VEHICUL]:[AGREGADO]])</f>
        <v>0</v>
      </c>
    </row>
    <row r="1456" spans="2:24" hidden="1" x14ac:dyDescent="0.25">
      <c r="B1456" s="189"/>
      <c r="J1456" s="189"/>
      <c r="M1456" s="205"/>
      <c r="S1456" t="str">
        <f>IFERROR(VLOOKUP(E1456,'VALORES VIAJES'!$A$2:$B$13,2,FALSE),"")</f>
        <v/>
      </c>
      <c r="T1456" t="str">
        <f>IFERROR(VLOOKUP(H1456,'VALORES VIAJES'!$A$2:$B$24,2,FALSE),"")</f>
        <v/>
      </c>
      <c r="U1456" t="str">
        <f>IFERROR(VLOOKUP(I1456,'VALORES VIAJES'!$A$2:$B$24,2,FALSE),"")</f>
        <v/>
      </c>
      <c r="V1456" t="str">
        <f>IFERROR(VLOOKUP(K1456,'VALORES VIAJES'!$A$2:$B$24,2,FALSE),"")</f>
        <v/>
      </c>
      <c r="X1456" s="208">
        <f>SUM(Hoja1[[#This Row],[$ X TIP VEHICUL]:[AGREGADO]])</f>
        <v>0</v>
      </c>
    </row>
    <row r="1457" spans="2:24" hidden="1" x14ac:dyDescent="0.25">
      <c r="B1457" s="189"/>
      <c r="J1457" s="189"/>
      <c r="M1457" s="205"/>
      <c r="S1457" t="str">
        <f>IFERROR(VLOOKUP(E1457,'VALORES VIAJES'!$A$2:$B$13,2,FALSE),"")</f>
        <v/>
      </c>
      <c r="T1457" t="str">
        <f>IFERROR(VLOOKUP(H1457,'VALORES VIAJES'!$A$2:$B$24,2,FALSE),"")</f>
        <v/>
      </c>
      <c r="U1457" t="str">
        <f>IFERROR(VLOOKUP(I1457,'VALORES VIAJES'!$A$2:$B$24,2,FALSE),"")</f>
        <v/>
      </c>
      <c r="V1457" t="str">
        <f>IFERROR(VLOOKUP(K1457,'VALORES VIAJES'!$A$2:$B$24,2,FALSE),"")</f>
        <v/>
      </c>
      <c r="X1457" s="208">
        <f>SUM(Hoja1[[#This Row],[$ X TIP VEHICUL]:[AGREGADO]])</f>
        <v>0</v>
      </c>
    </row>
    <row r="1458" spans="2:24" hidden="1" x14ac:dyDescent="0.25">
      <c r="B1458" s="189"/>
      <c r="J1458" s="189"/>
      <c r="M1458" s="205"/>
      <c r="S1458" t="str">
        <f>IFERROR(VLOOKUP(E1458,'VALORES VIAJES'!$A$2:$B$13,2,FALSE),"")</f>
        <v/>
      </c>
      <c r="T1458" t="str">
        <f>IFERROR(VLOOKUP(H1458,'VALORES VIAJES'!$A$2:$B$24,2,FALSE),"")</f>
        <v/>
      </c>
      <c r="U1458" t="str">
        <f>IFERROR(VLOOKUP(I1458,'VALORES VIAJES'!$A$2:$B$24,2,FALSE),"")</f>
        <v/>
      </c>
      <c r="V1458" t="str">
        <f>IFERROR(VLOOKUP(K1458,'VALORES VIAJES'!$A$2:$B$24,2,FALSE),"")</f>
        <v/>
      </c>
      <c r="X1458" s="208">
        <f>SUM(Hoja1[[#This Row],[$ X TIP VEHICUL]:[AGREGADO]])</f>
        <v>0</v>
      </c>
    </row>
    <row r="1459" spans="2:24" hidden="1" x14ac:dyDescent="0.25">
      <c r="B1459" s="189"/>
      <c r="J1459" s="189"/>
      <c r="M1459" s="205"/>
      <c r="S1459" t="str">
        <f>IFERROR(VLOOKUP(E1459,'VALORES VIAJES'!$A$2:$B$13,2,FALSE),"")</f>
        <v/>
      </c>
      <c r="T1459" t="str">
        <f>IFERROR(VLOOKUP(H1459,'VALORES VIAJES'!$A$2:$B$24,2,FALSE),"")</f>
        <v/>
      </c>
      <c r="U1459" t="str">
        <f>IFERROR(VLOOKUP(I1459,'VALORES VIAJES'!$A$2:$B$24,2,FALSE),"")</f>
        <v/>
      </c>
      <c r="V1459" t="str">
        <f>IFERROR(VLOOKUP(K1459,'VALORES VIAJES'!$A$2:$B$24,2,FALSE),"")</f>
        <v/>
      </c>
      <c r="X1459" s="208">
        <f>SUM(Hoja1[[#This Row],[$ X TIP VEHICUL]:[AGREGADO]])</f>
        <v>0</v>
      </c>
    </row>
    <row r="1460" spans="2:24" hidden="1" x14ac:dyDescent="0.25">
      <c r="B1460" s="189"/>
      <c r="J1460" s="189"/>
      <c r="M1460" s="205"/>
      <c r="S1460" t="str">
        <f>IFERROR(VLOOKUP(E1460,'VALORES VIAJES'!$A$2:$B$13,2,FALSE),"")</f>
        <v/>
      </c>
      <c r="T1460" t="str">
        <f>IFERROR(VLOOKUP(H1460,'VALORES VIAJES'!$A$2:$B$24,2,FALSE),"")</f>
        <v/>
      </c>
      <c r="U1460" t="str">
        <f>IFERROR(VLOOKUP(I1460,'VALORES VIAJES'!$A$2:$B$24,2,FALSE),"")</f>
        <v/>
      </c>
      <c r="V1460" t="str">
        <f>IFERROR(VLOOKUP(K1460,'VALORES VIAJES'!$A$2:$B$24,2,FALSE),"")</f>
        <v/>
      </c>
      <c r="X1460" s="208">
        <f>SUM(Hoja1[[#This Row],[$ X TIP VEHICUL]:[AGREGADO]])</f>
        <v>0</v>
      </c>
    </row>
    <row r="1461" spans="2:24" hidden="1" x14ac:dyDescent="0.25">
      <c r="B1461" s="189"/>
      <c r="J1461" s="189"/>
      <c r="M1461" s="205"/>
      <c r="S1461" t="str">
        <f>IFERROR(VLOOKUP(E1461,'VALORES VIAJES'!$A$2:$B$13,2,FALSE),"")</f>
        <v/>
      </c>
      <c r="T1461" t="str">
        <f>IFERROR(VLOOKUP(H1461,'VALORES VIAJES'!$A$2:$B$24,2,FALSE),"")</f>
        <v/>
      </c>
      <c r="U1461" t="str">
        <f>IFERROR(VLOOKUP(I1461,'VALORES VIAJES'!$A$2:$B$24,2,FALSE),"")</f>
        <v/>
      </c>
      <c r="V1461" t="str">
        <f>IFERROR(VLOOKUP(K1461,'VALORES VIAJES'!$A$2:$B$24,2,FALSE),"")</f>
        <v/>
      </c>
      <c r="X1461" s="208">
        <f>SUM(Hoja1[[#This Row],[$ X TIP VEHICUL]:[AGREGADO]])</f>
        <v>0</v>
      </c>
    </row>
    <row r="1462" spans="2:24" hidden="1" x14ac:dyDescent="0.25">
      <c r="B1462" s="189"/>
      <c r="J1462" s="189"/>
      <c r="M1462" s="205"/>
      <c r="S1462" t="str">
        <f>IFERROR(VLOOKUP(E1462,'VALORES VIAJES'!$A$2:$B$13,2,FALSE),"")</f>
        <v/>
      </c>
      <c r="T1462" t="str">
        <f>IFERROR(VLOOKUP(H1462,'VALORES VIAJES'!$A$2:$B$24,2,FALSE),"")</f>
        <v/>
      </c>
      <c r="U1462" t="str">
        <f>IFERROR(VLOOKUP(I1462,'VALORES VIAJES'!$A$2:$B$24,2,FALSE),"")</f>
        <v/>
      </c>
      <c r="V1462" t="str">
        <f>IFERROR(VLOOKUP(K1462,'VALORES VIAJES'!$A$2:$B$24,2,FALSE),"")</f>
        <v/>
      </c>
      <c r="X1462" s="208">
        <f>SUM(Hoja1[[#This Row],[$ X TIP VEHICUL]:[AGREGADO]])</f>
        <v>0</v>
      </c>
    </row>
    <row r="1463" spans="2:24" hidden="1" x14ac:dyDescent="0.25">
      <c r="B1463" s="189"/>
      <c r="J1463" s="189"/>
      <c r="M1463" s="205"/>
      <c r="S1463" t="str">
        <f>IFERROR(VLOOKUP(E1463,'VALORES VIAJES'!$A$2:$B$13,2,FALSE),"")</f>
        <v/>
      </c>
      <c r="T1463" t="str">
        <f>IFERROR(VLOOKUP(H1463,'VALORES VIAJES'!$A$2:$B$24,2,FALSE),"")</f>
        <v/>
      </c>
      <c r="U1463" t="str">
        <f>IFERROR(VLOOKUP(I1463,'VALORES VIAJES'!$A$2:$B$24,2,FALSE),"")</f>
        <v/>
      </c>
      <c r="V1463" t="str">
        <f>IFERROR(VLOOKUP(K1463,'VALORES VIAJES'!$A$2:$B$24,2,FALSE),"")</f>
        <v/>
      </c>
      <c r="X1463" s="208">
        <f>SUM(Hoja1[[#This Row],[$ X TIP VEHICUL]:[AGREGADO]])</f>
        <v>0</v>
      </c>
    </row>
    <row r="1464" spans="2:24" hidden="1" x14ac:dyDescent="0.25">
      <c r="B1464" s="189"/>
      <c r="J1464" s="189"/>
      <c r="M1464" s="205"/>
      <c r="S1464" t="str">
        <f>IFERROR(VLOOKUP(E1464,'VALORES VIAJES'!$A$2:$B$13,2,FALSE),"")</f>
        <v/>
      </c>
      <c r="T1464" t="str">
        <f>IFERROR(VLOOKUP(H1464,'VALORES VIAJES'!$A$2:$B$24,2,FALSE),"")</f>
        <v/>
      </c>
      <c r="U1464" t="str">
        <f>IFERROR(VLOOKUP(I1464,'VALORES VIAJES'!$A$2:$B$24,2,FALSE),"")</f>
        <v/>
      </c>
      <c r="V1464" t="str">
        <f>IFERROR(VLOOKUP(K1464,'VALORES VIAJES'!$A$2:$B$24,2,FALSE),"")</f>
        <v/>
      </c>
      <c r="X1464" s="208">
        <f>SUM(Hoja1[[#This Row],[$ X TIP VEHICUL]:[AGREGADO]])</f>
        <v>0</v>
      </c>
    </row>
    <row r="1465" spans="2:24" hidden="1" x14ac:dyDescent="0.25">
      <c r="B1465" s="189"/>
      <c r="J1465" s="189"/>
      <c r="M1465" s="205"/>
      <c r="S1465" t="str">
        <f>IFERROR(VLOOKUP(E1465,'VALORES VIAJES'!$A$2:$B$13,2,FALSE),"")</f>
        <v/>
      </c>
      <c r="T1465" t="str">
        <f>IFERROR(VLOOKUP(H1465,'VALORES VIAJES'!$A$2:$B$24,2,FALSE),"")</f>
        <v/>
      </c>
      <c r="U1465" t="str">
        <f>IFERROR(VLOOKUP(I1465,'VALORES VIAJES'!$A$2:$B$24,2,FALSE),"")</f>
        <v/>
      </c>
      <c r="V1465" t="str">
        <f>IFERROR(VLOOKUP(K1465,'VALORES VIAJES'!$A$2:$B$24,2,FALSE),"")</f>
        <v/>
      </c>
      <c r="X1465" s="208">
        <f>SUM(Hoja1[[#This Row],[$ X TIP VEHICUL]:[AGREGADO]])</f>
        <v>0</v>
      </c>
    </row>
    <row r="1466" spans="2:24" hidden="1" x14ac:dyDescent="0.25">
      <c r="B1466" s="189"/>
      <c r="J1466" s="189"/>
      <c r="M1466" s="205"/>
      <c r="S1466" t="str">
        <f>IFERROR(VLOOKUP(E1466,'VALORES VIAJES'!$A$2:$B$13,2,FALSE),"")</f>
        <v/>
      </c>
      <c r="T1466" t="str">
        <f>IFERROR(VLOOKUP(H1466,'VALORES VIAJES'!$A$2:$B$24,2,FALSE),"")</f>
        <v/>
      </c>
      <c r="U1466" t="str">
        <f>IFERROR(VLOOKUP(I1466,'VALORES VIAJES'!$A$2:$B$24,2,FALSE),"")</f>
        <v/>
      </c>
      <c r="V1466" t="str">
        <f>IFERROR(VLOOKUP(K1466,'VALORES VIAJES'!$A$2:$B$24,2,FALSE),"")</f>
        <v/>
      </c>
      <c r="X1466" s="208">
        <f>SUM(Hoja1[[#This Row],[$ X TIP VEHICUL]:[AGREGADO]])</f>
        <v>0</v>
      </c>
    </row>
    <row r="1467" spans="2:24" hidden="1" x14ac:dyDescent="0.25">
      <c r="B1467" s="189"/>
      <c r="J1467" s="189"/>
      <c r="M1467" s="205"/>
      <c r="S1467" t="str">
        <f>IFERROR(VLOOKUP(E1467,'VALORES VIAJES'!$A$2:$B$13,2,FALSE),"")</f>
        <v/>
      </c>
      <c r="T1467" t="str">
        <f>IFERROR(VLOOKUP(H1467,'VALORES VIAJES'!$A$2:$B$24,2,FALSE),"")</f>
        <v/>
      </c>
      <c r="U1467" t="str">
        <f>IFERROR(VLOOKUP(I1467,'VALORES VIAJES'!$A$2:$B$24,2,FALSE),"")</f>
        <v/>
      </c>
      <c r="V1467" t="str">
        <f>IFERROR(VLOOKUP(K1467,'VALORES VIAJES'!$A$2:$B$24,2,FALSE),"")</f>
        <v/>
      </c>
      <c r="X1467" s="208">
        <f>SUM(Hoja1[[#This Row],[$ X TIP VEHICUL]:[AGREGADO]])</f>
        <v>0</v>
      </c>
    </row>
    <row r="1468" spans="2:24" hidden="1" x14ac:dyDescent="0.25">
      <c r="B1468" s="189"/>
      <c r="J1468" s="189"/>
      <c r="M1468" s="205"/>
      <c r="S1468" t="str">
        <f>IFERROR(VLOOKUP(E1468,'VALORES VIAJES'!$A$2:$B$13,2,FALSE),"")</f>
        <v/>
      </c>
      <c r="T1468" t="str">
        <f>IFERROR(VLOOKUP(H1468,'VALORES VIAJES'!$A$2:$B$24,2,FALSE),"")</f>
        <v/>
      </c>
      <c r="U1468" t="str">
        <f>IFERROR(VLOOKUP(I1468,'VALORES VIAJES'!$A$2:$B$24,2,FALSE),"")</f>
        <v/>
      </c>
      <c r="V1468" t="str">
        <f>IFERROR(VLOOKUP(K1468,'VALORES VIAJES'!$A$2:$B$24,2,FALSE),"")</f>
        <v/>
      </c>
      <c r="X1468" s="208">
        <f>SUM(Hoja1[[#This Row],[$ X TIP VEHICUL]:[AGREGADO]])</f>
        <v>0</v>
      </c>
    </row>
    <row r="1469" spans="2:24" hidden="1" x14ac:dyDescent="0.25">
      <c r="B1469" s="189"/>
      <c r="J1469" s="189"/>
      <c r="M1469" s="205"/>
      <c r="S1469" t="str">
        <f>IFERROR(VLOOKUP(E1469,'VALORES VIAJES'!$A$2:$B$13,2,FALSE),"")</f>
        <v/>
      </c>
      <c r="T1469" t="str">
        <f>IFERROR(VLOOKUP(H1469,'VALORES VIAJES'!$A$2:$B$24,2,FALSE),"")</f>
        <v/>
      </c>
      <c r="U1469" t="str">
        <f>IFERROR(VLOOKUP(I1469,'VALORES VIAJES'!$A$2:$B$24,2,FALSE),"")</f>
        <v/>
      </c>
      <c r="V1469" t="str">
        <f>IFERROR(VLOOKUP(K1469,'VALORES VIAJES'!$A$2:$B$24,2,FALSE),"")</f>
        <v/>
      </c>
      <c r="X1469" s="208">
        <f>SUM(Hoja1[[#This Row],[$ X TIP VEHICUL]:[AGREGADO]])</f>
        <v>0</v>
      </c>
    </row>
    <row r="1470" spans="2:24" hidden="1" x14ac:dyDescent="0.25">
      <c r="B1470" s="189"/>
      <c r="J1470" s="189"/>
      <c r="M1470" s="205"/>
      <c r="S1470" t="str">
        <f>IFERROR(VLOOKUP(E1470,'VALORES VIAJES'!$A$2:$B$13,2,FALSE),"")</f>
        <v/>
      </c>
      <c r="T1470" t="str">
        <f>IFERROR(VLOOKUP(H1470,'VALORES VIAJES'!$A$2:$B$24,2,FALSE),"")</f>
        <v/>
      </c>
      <c r="U1470" t="str">
        <f>IFERROR(VLOOKUP(I1470,'VALORES VIAJES'!$A$2:$B$24,2,FALSE),"")</f>
        <v/>
      </c>
      <c r="V1470" t="str">
        <f>IFERROR(VLOOKUP(K1470,'VALORES VIAJES'!$A$2:$B$24,2,FALSE),"")</f>
        <v/>
      </c>
      <c r="X1470" s="208">
        <f>SUM(Hoja1[[#This Row],[$ X TIP VEHICUL]:[AGREGADO]])</f>
        <v>0</v>
      </c>
    </row>
    <row r="1471" spans="2:24" hidden="1" x14ac:dyDescent="0.25">
      <c r="B1471" s="189"/>
      <c r="J1471" s="189"/>
      <c r="M1471" s="205"/>
      <c r="S1471" t="str">
        <f>IFERROR(VLOOKUP(E1471,'VALORES VIAJES'!$A$2:$B$13,2,FALSE),"")</f>
        <v/>
      </c>
      <c r="T1471" t="str">
        <f>IFERROR(VLOOKUP(H1471,'VALORES VIAJES'!$A$2:$B$24,2,FALSE),"")</f>
        <v/>
      </c>
      <c r="U1471" t="str">
        <f>IFERROR(VLOOKUP(I1471,'VALORES VIAJES'!$A$2:$B$24,2,FALSE),"")</f>
        <v/>
      </c>
      <c r="V1471" t="str">
        <f>IFERROR(VLOOKUP(K1471,'VALORES VIAJES'!$A$2:$B$24,2,FALSE),"")</f>
        <v/>
      </c>
      <c r="X1471" s="208">
        <f>SUM(Hoja1[[#This Row],[$ X TIP VEHICUL]:[AGREGADO]])</f>
        <v>0</v>
      </c>
    </row>
    <row r="1472" spans="2:24" hidden="1" x14ac:dyDescent="0.25">
      <c r="B1472" s="189"/>
      <c r="J1472" s="189"/>
      <c r="M1472" s="205"/>
      <c r="S1472" t="str">
        <f>IFERROR(VLOOKUP(E1472,'VALORES VIAJES'!$A$2:$B$13,2,FALSE),"")</f>
        <v/>
      </c>
      <c r="T1472" t="str">
        <f>IFERROR(VLOOKUP(H1472,'VALORES VIAJES'!$A$2:$B$24,2,FALSE),"")</f>
        <v/>
      </c>
      <c r="U1472" t="str">
        <f>IFERROR(VLOOKUP(I1472,'VALORES VIAJES'!$A$2:$B$24,2,FALSE),"")</f>
        <v/>
      </c>
      <c r="V1472" t="str">
        <f>IFERROR(VLOOKUP(K1472,'VALORES VIAJES'!$A$2:$B$24,2,FALSE),"")</f>
        <v/>
      </c>
      <c r="X1472" s="208">
        <f>SUM(Hoja1[[#This Row],[$ X TIP VEHICUL]:[AGREGADO]])</f>
        <v>0</v>
      </c>
    </row>
    <row r="1473" spans="2:24" hidden="1" x14ac:dyDescent="0.25">
      <c r="B1473" s="189"/>
      <c r="J1473" s="189"/>
      <c r="M1473" s="205"/>
      <c r="S1473" t="str">
        <f>IFERROR(VLOOKUP(E1473,'VALORES VIAJES'!$A$2:$B$13,2,FALSE),"")</f>
        <v/>
      </c>
      <c r="T1473" t="str">
        <f>IFERROR(VLOOKUP(H1473,'VALORES VIAJES'!$A$2:$B$24,2,FALSE),"")</f>
        <v/>
      </c>
      <c r="U1473" t="str">
        <f>IFERROR(VLOOKUP(I1473,'VALORES VIAJES'!$A$2:$B$24,2,FALSE),"")</f>
        <v/>
      </c>
      <c r="V1473" t="str">
        <f>IFERROR(VLOOKUP(K1473,'VALORES VIAJES'!$A$2:$B$24,2,FALSE),"")</f>
        <v/>
      </c>
      <c r="X1473" s="208">
        <f>SUM(Hoja1[[#This Row],[$ X TIP VEHICUL]:[AGREGADO]])</f>
        <v>0</v>
      </c>
    </row>
    <row r="1474" spans="2:24" hidden="1" x14ac:dyDescent="0.25">
      <c r="B1474" s="189"/>
      <c r="J1474" s="189"/>
      <c r="M1474" s="205"/>
      <c r="S1474" t="str">
        <f>IFERROR(VLOOKUP(E1474,'VALORES VIAJES'!$A$2:$B$13,2,FALSE),"")</f>
        <v/>
      </c>
      <c r="T1474" t="str">
        <f>IFERROR(VLOOKUP(H1474,'VALORES VIAJES'!$A$2:$B$24,2,FALSE),"")</f>
        <v/>
      </c>
      <c r="U1474" t="str">
        <f>IFERROR(VLOOKUP(I1474,'VALORES VIAJES'!$A$2:$B$24,2,FALSE),"")</f>
        <v/>
      </c>
      <c r="V1474" t="str">
        <f>IFERROR(VLOOKUP(K1474,'VALORES VIAJES'!$A$2:$B$24,2,FALSE),"")</f>
        <v/>
      </c>
      <c r="X1474" s="208">
        <f>SUM(Hoja1[[#This Row],[$ X TIP VEHICUL]:[AGREGADO]])</f>
        <v>0</v>
      </c>
    </row>
    <row r="1475" spans="2:24" hidden="1" x14ac:dyDescent="0.25">
      <c r="B1475" s="189"/>
      <c r="J1475" s="189"/>
      <c r="M1475" s="205"/>
      <c r="S1475" t="str">
        <f>IFERROR(VLOOKUP(E1475,'VALORES VIAJES'!$A$2:$B$13,2,FALSE),"")</f>
        <v/>
      </c>
      <c r="T1475" t="str">
        <f>IFERROR(VLOOKUP(H1475,'VALORES VIAJES'!$A$2:$B$24,2,FALSE),"")</f>
        <v/>
      </c>
      <c r="U1475" t="str">
        <f>IFERROR(VLOOKUP(I1475,'VALORES VIAJES'!$A$2:$B$24,2,FALSE),"")</f>
        <v/>
      </c>
      <c r="V1475" t="str">
        <f>IFERROR(VLOOKUP(K1475,'VALORES VIAJES'!$A$2:$B$24,2,FALSE),"")</f>
        <v/>
      </c>
      <c r="X1475" s="208">
        <f>SUM(Hoja1[[#This Row],[$ X TIP VEHICUL]:[AGREGADO]])</f>
        <v>0</v>
      </c>
    </row>
    <row r="1476" spans="2:24" hidden="1" x14ac:dyDescent="0.25">
      <c r="B1476" s="189"/>
      <c r="J1476" s="189"/>
      <c r="M1476" s="205"/>
      <c r="S1476" t="str">
        <f>IFERROR(VLOOKUP(E1476,'VALORES VIAJES'!$A$2:$B$13,2,FALSE),"")</f>
        <v/>
      </c>
      <c r="T1476" t="str">
        <f>IFERROR(VLOOKUP(H1476,'VALORES VIAJES'!$A$2:$B$24,2,FALSE),"")</f>
        <v/>
      </c>
      <c r="U1476" t="str">
        <f>IFERROR(VLOOKUP(I1476,'VALORES VIAJES'!$A$2:$B$24,2,FALSE),"")</f>
        <v/>
      </c>
      <c r="V1476" t="str">
        <f>IFERROR(VLOOKUP(K1476,'VALORES VIAJES'!$A$2:$B$24,2,FALSE),"")</f>
        <v/>
      </c>
      <c r="X1476" s="208">
        <f>SUM(Hoja1[[#This Row],[$ X TIP VEHICUL]:[AGREGADO]])</f>
        <v>0</v>
      </c>
    </row>
    <row r="1477" spans="2:24" hidden="1" x14ac:dyDescent="0.25">
      <c r="B1477" s="189"/>
      <c r="J1477" s="189"/>
      <c r="M1477" s="205"/>
      <c r="S1477" t="str">
        <f>IFERROR(VLOOKUP(E1477,'VALORES VIAJES'!$A$2:$B$13,2,FALSE),"")</f>
        <v/>
      </c>
      <c r="T1477" t="str">
        <f>IFERROR(VLOOKUP(H1477,'VALORES VIAJES'!$A$2:$B$24,2,FALSE),"")</f>
        <v/>
      </c>
      <c r="U1477" t="str">
        <f>IFERROR(VLOOKUP(I1477,'VALORES VIAJES'!$A$2:$B$24,2,FALSE),"")</f>
        <v/>
      </c>
      <c r="V1477" t="str">
        <f>IFERROR(VLOOKUP(K1477,'VALORES VIAJES'!$A$2:$B$24,2,FALSE),"")</f>
        <v/>
      </c>
      <c r="X1477" s="208">
        <f>SUM(Hoja1[[#This Row],[$ X TIP VEHICUL]:[AGREGADO]])</f>
        <v>0</v>
      </c>
    </row>
    <row r="1478" spans="2:24" hidden="1" x14ac:dyDescent="0.25">
      <c r="B1478" s="189"/>
      <c r="J1478" s="189"/>
      <c r="M1478" s="205"/>
      <c r="S1478" t="str">
        <f>IFERROR(VLOOKUP(E1478,'VALORES VIAJES'!$A$2:$B$13,2,FALSE),"")</f>
        <v/>
      </c>
      <c r="T1478" t="str">
        <f>IFERROR(VLOOKUP(H1478,'VALORES VIAJES'!$A$2:$B$24,2,FALSE),"")</f>
        <v/>
      </c>
      <c r="U1478" t="str">
        <f>IFERROR(VLOOKUP(I1478,'VALORES VIAJES'!$A$2:$B$24,2,FALSE),"")</f>
        <v/>
      </c>
      <c r="V1478" t="str">
        <f>IFERROR(VLOOKUP(K1478,'VALORES VIAJES'!$A$2:$B$24,2,FALSE),"")</f>
        <v/>
      </c>
      <c r="X1478" s="208">
        <f>SUM(Hoja1[[#This Row],[$ X TIP VEHICUL]:[AGREGADO]])</f>
        <v>0</v>
      </c>
    </row>
    <row r="1479" spans="2:24" hidden="1" x14ac:dyDescent="0.25">
      <c r="B1479" s="189"/>
      <c r="J1479" s="189"/>
      <c r="M1479" s="205"/>
      <c r="S1479" t="str">
        <f>IFERROR(VLOOKUP(E1479,'VALORES VIAJES'!$A$2:$B$13,2,FALSE),"")</f>
        <v/>
      </c>
      <c r="T1479" t="str">
        <f>IFERROR(VLOOKUP(H1479,'VALORES VIAJES'!$A$2:$B$24,2,FALSE),"")</f>
        <v/>
      </c>
      <c r="U1479" t="str">
        <f>IFERROR(VLOOKUP(I1479,'VALORES VIAJES'!$A$2:$B$24,2,FALSE),"")</f>
        <v/>
      </c>
      <c r="V1479" t="str">
        <f>IFERROR(VLOOKUP(K1479,'VALORES VIAJES'!$A$2:$B$24,2,FALSE),"")</f>
        <v/>
      </c>
      <c r="X1479" s="208">
        <f>SUM(Hoja1[[#This Row],[$ X TIP VEHICUL]:[AGREGADO]])</f>
        <v>0</v>
      </c>
    </row>
    <row r="1480" spans="2:24" hidden="1" x14ac:dyDescent="0.25">
      <c r="B1480" s="189"/>
      <c r="J1480" s="189"/>
      <c r="M1480" s="205"/>
      <c r="S1480" t="str">
        <f>IFERROR(VLOOKUP(E1480,'VALORES VIAJES'!$A$2:$B$13,2,FALSE),"")</f>
        <v/>
      </c>
      <c r="T1480" t="str">
        <f>IFERROR(VLOOKUP(H1480,'VALORES VIAJES'!$A$2:$B$24,2,FALSE),"")</f>
        <v/>
      </c>
      <c r="U1480" t="str">
        <f>IFERROR(VLOOKUP(I1480,'VALORES VIAJES'!$A$2:$B$24,2,FALSE),"")</f>
        <v/>
      </c>
      <c r="V1480" t="str">
        <f>IFERROR(VLOOKUP(K1480,'VALORES VIAJES'!$A$2:$B$24,2,FALSE),"")</f>
        <v/>
      </c>
      <c r="X1480" s="208">
        <f>SUM(Hoja1[[#This Row],[$ X TIP VEHICUL]:[AGREGADO]])</f>
        <v>0</v>
      </c>
    </row>
    <row r="1481" spans="2:24" hidden="1" x14ac:dyDescent="0.25">
      <c r="B1481" s="189"/>
      <c r="J1481" s="189"/>
      <c r="M1481" s="205"/>
      <c r="S1481" t="str">
        <f>IFERROR(VLOOKUP(E1481,'VALORES VIAJES'!$A$2:$B$13,2,FALSE),"")</f>
        <v/>
      </c>
      <c r="T1481" t="str">
        <f>IFERROR(VLOOKUP(H1481,'VALORES VIAJES'!$A$2:$B$24,2,FALSE),"")</f>
        <v/>
      </c>
      <c r="U1481" t="str">
        <f>IFERROR(VLOOKUP(I1481,'VALORES VIAJES'!$A$2:$B$24,2,FALSE),"")</f>
        <v/>
      </c>
      <c r="V1481" t="str">
        <f>IFERROR(VLOOKUP(K1481,'VALORES VIAJES'!$A$2:$B$24,2,FALSE),"")</f>
        <v/>
      </c>
      <c r="X1481" s="208">
        <f>SUM(Hoja1[[#This Row],[$ X TIP VEHICUL]:[AGREGADO]])</f>
        <v>0</v>
      </c>
    </row>
    <row r="1482" spans="2:24" hidden="1" x14ac:dyDescent="0.25">
      <c r="B1482" s="189"/>
      <c r="J1482" s="189"/>
      <c r="M1482" s="205"/>
      <c r="S1482" t="str">
        <f>IFERROR(VLOOKUP(E1482,'VALORES VIAJES'!$A$2:$B$13,2,FALSE),"")</f>
        <v/>
      </c>
      <c r="T1482" t="str">
        <f>IFERROR(VLOOKUP(H1482,'VALORES VIAJES'!$A$2:$B$24,2,FALSE),"")</f>
        <v/>
      </c>
      <c r="U1482" t="str">
        <f>IFERROR(VLOOKUP(I1482,'VALORES VIAJES'!$A$2:$B$24,2,FALSE),"")</f>
        <v/>
      </c>
      <c r="V1482" t="str">
        <f>IFERROR(VLOOKUP(K1482,'VALORES VIAJES'!$A$2:$B$24,2,FALSE),"")</f>
        <v/>
      </c>
      <c r="X1482" s="208">
        <f>SUM(Hoja1[[#This Row],[$ X TIP VEHICUL]:[AGREGADO]])</f>
        <v>0</v>
      </c>
    </row>
    <row r="1483" spans="2:24" hidden="1" x14ac:dyDescent="0.25">
      <c r="B1483" s="189"/>
      <c r="J1483" s="189"/>
      <c r="M1483" s="205"/>
      <c r="S1483" t="str">
        <f>IFERROR(VLOOKUP(E1483,'VALORES VIAJES'!$A$2:$B$13,2,FALSE),"")</f>
        <v/>
      </c>
      <c r="T1483" t="str">
        <f>IFERROR(VLOOKUP(H1483,'VALORES VIAJES'!$A$2:$B$24,2,FALSE),"")</f>
        <v/>
      </c>
      <c r="U1483" t="str">
        <f>IFERROR(VLOOKUP(I1483,'VALORES VIAJES'!$A$2:$B$24,2,FALSE),"")</f>
        <v/>
      </c>
      <c r="V1483" t="str">
        <f>IFERROR(VLOOKUP(K1483,'VALORES VIAJES'!$A$2:$B$24,2,FALSE),"")</f>
        <v/>
      </c>
      <c r="X1483" s="208">
        <f>SUM(Hoja1[[#This Row],[$ X TIP VEHICUL]:[AGREGADO]])</f>
        <v>0</v>
      </c>
    </row>
    <row r="1484" spans="2:24" hidden="1" x14ac:dyDescent="0.25">
      <c r="B1484" s="189"/>
      <c r="J1484" s="189"/>
      <c r="M1484" s="205"/>
      <c r="S1484" t="str">
        <f>IFERROR(VLOOKUP(E1484,'VALORES VIAJES'!$A$2:$B$13,2,FALSE),"")</f>
        <v/>
      </c>
      <c r="T1484" t="str">
        <f>IFERROR(VLOOKUP(H1484,'VALORES VIAJES'!$A$2:$B$24,2,FALSE),"")</f>
        <v/>
      </c>
      <c r="U1484" t="str">
        <f>IFERROR(VLOOKUP(I1484,'VALORES VIAJES'!$A$2:$B$24,2,FALSE),"")</f>
        <v/>
      </c>
      <c r="V1484" t="str">
        <f>IFERROR(VLOOKUP(K1484,'VALORES VIAJES'!$A$2:$B$24,2,FALSE),"")</f>
        <v/>
      </c>
      <c r="X1484" s="208">
        <f>SUM(Hoja1[[#This Row],[$ X TIP VEHICUL]:[AGREGADO]])</f>
        <v>0</v>
      </c>
    </row>
    <row r="1485" spans="2:24" hidden="1" x14ac:dyDescent="0.25">
      <c r="B1485" s="189"/>
      <c r="J1485" s="189"/>
      <c r="M1485" s="205"/>
      <c r="S1485" t="str">
        <f>IFERROR(VLOOKUP(E1485,'VALORES VIAJES'!$A$2:$B$13,2,FALSE),"")</f>
        <v/>
      </c>
      <c r="T1485" t="str">
        <f>IFERROR(VLOOKUP(H1485,'VALORES VIAJES'!$A$2:$B$24,2,FALSE),"")</f>
        <v/>
      </c>
      <c r="U1485" t="str">
        <f>IFERROR(VLOOKUP(I1485,'VALORES VIAJES'!$A$2:$B$24,2,FALSE),"")</f>
        <v/>
      </c>
      <c r="V1485" t="str">
        <f>IFERROR(VLOOKUP(K1485,'VALORES VIAJES'!$A$2:$B$24,2,FALSE),"")</f>
        <v/>
      </c>
      <c r="X1485" s="208">
        <f>SUM(Hoja1[[#This Row],[$ X TIP VEHICUL]:[AGREGADO]])</f>
        <v>0</v>
      </c>
    </row>
    <row r="1486" spans="2:24" hidden="1" x14ac:dyDescent="0.25">
      <c r="B1486" s="189"/>
      <c r="J1486" s="189"/>
      <c r="M1486" s="205"/>
      <c r="S1486" t="str">
        <f>IFERROR(VLOOKUP(E1486,'VALORES VIAJES'!$A$2:$B$13,2,FALSE),"")</f>
        <v/>
      </c>
      <c r="T1486" t="str">
        <f>IFERROR(VLOOKUP(H1486,'VALORES VIAJES'!$A$2:$B$24,2,FALSE),"")</f>
        <v/>
      </c>
      <c r="U1486" t="str">
        <f>IFERROR(VLOOKUP(I1486,'VALORES VIAJES'!$A$2:$B$24,2,FALSE),"")</f>
        <v/>
      </c>
      <c r="V1486" t="str">
        <f>IFERROR(VLOOKUP(K1486,'VALORES VIAJES'!$A$2:$B$24,2,FALSE),"")</f>
        <v/>
      </c>
      <c r="X1486" s="208">
        <f>SUM(Hoja1[[#This Row],[$ X TIP VEHICUL]:[AGREGADO]])</f>
        <v>0</v>
      </c>
    </row>
    <row r="1487" spans="2:24" hidden="1" x14ac:dyDescent="0.25">
      <c r="B1487" s="189"/>
      <c r="J1487" s="189"/>
      <c r="M1487" s="205"/>
      <c r="S1487" t="str">
        <f>IFERROR(VLOOKUP(E1487,'VALORES VIAJES'!$A$2:$B$13,2,FALSE),"")</f>
        <v/>
      </c>
      <c r="T1487" t="str">
        <f>IFERROR(VLOOKUP(H1487,'VALORES VIAJES'!$A$2:$B$24,2,FALSE),"")</f>
        <v/>
      </c>
      <c r="U1487" t="str">
        <f>IFERROR(VLOOKUP(I1487,'VALORES VIAJES'!$A$2:$B$24,2,FALSE),"")</f>
        <v/>
      </c>
      <c r="V1487" t="str">
        <f>IFERROR(VLOOKUP(K1487,'VALORES VIAJES'!$A$2:$B$24,2,FALSE),"")</f>
        <v/>
      </c>
      <c r="X1487" s="208">
        <f>SUM(Hoja1[[#This Row],[$ X TIP VEHICUL]:[AGREGADO]])</f>
        <v>0</v>
      </c>
    </row>
    <row r="1488" spans="2:24" hidden="1" x14ac:dyDescent="0.25">
      <c r="B1488" s="189"/>
      <c r="J1488" s="189"/>
      <c r="M1488" s="205"/>
      <c r="S1488" t="str">
        <f>IFERROR(VLOOKUP(E1488,'VALORES VIAJES'!$A$2:$B$13,2,FALSE),"")</f>
        <v/>
      </c>
      <c r="T1488" t="str">
        <f>IFERROR(VLOOKUP(H1488,'VALORES VIAJES'!$A$2:$B$24,2,FALSE),"")</f>
        <v/>
      </c>
      <c r="U1488" t="str">
        <f>IFERROR(VLOOKUP(I1488,'VALORES VIAJES'!$A$2:$B$24,2,FALSE),"")</f>
        <v/>
      </c>
      <c r="V1488" t="str">
        <f>IFERROR(VLOOKUP(K1488,'VALORES VIAJES'!$A$2:$B$24,2,FALSE),"")</f>
        <v/>
      </c>
      <c r="X1488" s="208">
        <f>SUM(Hoja1[[#This Row],[$ X TIP VEHICUL]:[AGREGADO]])</f>
        <v>0</v>
      </c>
    </row>
    <row r="1489" spans="2:24" hidden="1" x14ac:dyDescent="0.25">
      <c r="B1489" s="189"/>
      <c r="J1489" s="189"/>
      <c r="M1489" s="205"/>
      <c r="S1489" t="str">
        <f>IFERROR(VLOOKUP(E1489,'VALORES VIAJES'!$A$2:$B$13,2,FALSE),"")</f>
        <v/>
      </c>
      <c r="T1489" t="str">
        <f>IFERROR(VLOOKUP(H1489,'VALORES VIAJES'!$A$2:$B$24,2,FALSE),"")</f>
        <v/>
      </c>
      <c r="U1489" t="str">
        <f>IFERROR(VLOOKUP(I1489,'VALORES VIAJES'!$A$2:$B$24,2,FALSE),"")</f>
        <v/>
      </c>
      <c r="V1489" t="str">
        <f>IFERROR(VLOOKUP(K1489,'VALORES VIAJES'!$A$2:$B$24,2,FALSE),"")</f>
        <v/>
      </c>
      <c r="X1489" s="208">
        <f>SUM(Hoja1[[#This Row],[$ X TIP VEHICUL]:[AGREGADO]])</f>
        <v>0</v>
      </c>
    </row>
    <row r="1490" spans="2:24" hidden="1" x14ac:dyDescent="0.25">
      <c r="B1490" s="189"/>
      <c r="J1490" s="189"/>
      <c r="M1490" s="205"/>
      <c r="S1490" t="str">
        <f>IFERROR(VLOOKUP(E1490,'VALORES VIAJES'!$A$2:$B$13,2,FALSE),"")</f>
        <v/>
      </c>
      <c r="T1490" t="str">
        <f>IFERROR(VLOOKUP(H1490,'VALORES VIAJES'!$A$2:$B$24,2,FALSE),"")</f>
        <v/>
      </c>
      <c r="U1490" t="str">
        <f>IFERROR(VLOOKUP(I1490,'VALORES VIAJES'!$A$2:$B$24,2,FALSE),"")</f>
        <v/>
      </c>
      <c r="V1490" t="str">
        <f>IFERROR(VLOOKUP(K1490,'VALORES VIAJES'!$A$2:$B$24,2,FALSE),"")</f>
        <v/>
      </c>
      <c r="X1490" s="208">
        <f>SUM(Hoja1[[#This Row],[$ X TIP VEHICUL]:[AGREGADO]])</f>
        <v>0</v>
      </c>
    </row>
    <row r="1491" spans="2:24" hidden="1" x14ac:dyDescent="0.25">
      <c r="B1491" s="189"/>
      <c r="J1491" s="189"/>
      <c r="M1491" s="205"/>
      <c r="S1491" t="str">
        <f>IFERROR(VLOOKUP(E1491,'VALORES VIAJES'!$A$2:$B$13,2,FALSE),"")</f>
        <v/>
      </c>
      <c r="T1491" t="str">
        <f>IFERROR(VLOOKUP(H1491,'VALORES VIAJES'!$A$2:$B$24,2,FALSE),"")</f>
        <v/>
      </c>
      <c r="U1491" t="str">
        <f>IFERROR(VLOOKUP(I1491,'VALORES VIAJES'!$A$2:$B$24,2,FALSE),"")</f>
        <v/>
      </c>
      <c r="V1491" t="str">
        <f>IFERROR(VLOOKUP(K1491,'VALORES VIAJES'!$A$2:$B$24,2,FALSE),"")</f>
        <v/>
      </c>
      <c r="X1491" s="208">
        <f>SUM(Hoja1[[#This Row],[$ X TIP VEHICUL]:[AGREGADO]])</f>
        <v>0</v>
      </c>
    </row>
    <row r="1492" spans="2:24" hidden="1" x14ac:dyDescent="0.25">
      <c r="B1492" s="189"/>
      <c r="J1492" s="189"/>
      <c r="M1492" s="205"/>
      <c r="S1492" t="str">
        <f>IFERROR(VLOOKUP(E1492,'VALORES VIAJES'!$A$2:$B$13,2,FALSE),"")</f>
        <v/>
      </c>
      <c r="T1492" t="str">
        <f>IFERROR(VLOOKUP(H1492,'VALORES VIAJES'!$A$2:$B$24,2,FALSE),"")</f>
        <v/>
      </c>
      <c r="U1492" t="str">
        <f>IFERROR(VLOOKUP(I1492,'VALORES VIAJES'!$A$2:$B$24,2,FALSE),"")</f>
        <v/>
      </c>
      <c r="V1492" t="str">
        <f>IFERROR(VLOOKUP(K1492,'VALORES VIAJES'!$A$2:$B$24,2,FALSE),"")</f>
        <v/>
      </c>
      <c r="X1492" s="208">
        <f>SUM(Hoja1[[#This Row],[$ X TIP VEHICUL]:[AGREGADO]])</f>
        <v>0</v>
      </c>
    </row>
    <row r="1493" spans="2:24" hidden="1" x14ac:dyDescent="0.25">
      <c r="B1493" s="189"/>
      <c r="J1493" s="189"/>
      <c r="M1493" s="205"/>
      <c r="S1493" t="str">
        <f>IFERROR(VLOOKUP(E1493,'VALORES VIAJES'!$A$2:$B$13,2,FALSE),"")</f>
        <v/>
      </c>
      <c r="T1493" t="str">
        <f>IFERROR(VLOOKUP(H1493,'VALORES VIAJES'!$A$2:$B$24,2,FALSE),"")</f>
        <v/>
      </c>
      <c r="U1493" t="str">
        <f>IFERROR(VLOOKUP(I1493,'VALORES VIAJES'!$A$2:$B$24,2,FALSE),"")</f>
        <v/>
      </c>
      <c r="V1493" t="str">
        <f>IFERROR(VLOOKUP(K1493,'VALORES VIAJES'!$A$2:$B$24,2,FALSE),"")</f>
        <v/>
      </c>
      <c r="X1493" s="208">
        <f>SUM(Hoja1[[#This Row],[$ X TIP VEHICUL]:[AGREGADO]])</f>
        <v>0</v>
      </c>
    </row>
    <row r="1494" spans="2:24" hidden="1" x14ac:dyDescent="0.25">
      <c r="B1494" s="189"/>
      <c r="J1494" s="189"/>
      <c r="M1494" s="205"/>
      <c r="S1494" t="str">
        <f>IFERROR(VLOOKUP(E1494,'VALORES VIAJES'!$A$2:$B$13,2,FALSE),"")</f>
        <v/>
      </c>
      <c r="T1494" t="str">
        <f>IFERROR(VLOOKUP(H1494,'VALORES VIAJES'!$A$2:$B$24,2,FALSE),"")</f>
        <v/>
      </c>
      <c r="U1494" t="str">
        <f>IFERROR(VLOOKUP(I1494,'VALORES VIAJES'!$A$2:$B$24,2,FALSE),"")</f>
        <v/>
      </c>
      <c r="V1494" t="str">
        <f>IFERROR(VLOOKUP(K1494,'VALORES VIAJES'!$A$2:$B$24,2,FALSE),"")</f>
        <v/>
      </c>
      <c r="X1494" s="208">
        <f>SUM(Hoja1[[#This Row],[$ X TIP VEHICUL]:[AGREGADO]])</f>
        <v>0</v>
      </c>
    </row>
    <row r="1495" spans="2:24" hidden="1" x14ac:dyDescent="0.25">
      <c r="B1495" s="189"/>
      <c r="J1495" s="189"/>
      <c r="M1495" s="205"/>
      <c r="S1495" t="str">
        <f>IFERROR(VLOOKUP(E1495,'VALORES VIAJES'!$A$2:$B$13,2,FALSE),"")</f>
        <v/>
      </c>
      <c r="T1495" t="str">
        <f>IFERROR(VLOOKUP(H1495,'VALORES VIAJES'!$A$2:$B$24,2,FALSE),"")</f>
        <v/>
      </c>
      <c r="U1495" t="str">
        <f>IFERROR(VLOOKUP(I1495,'VALORES VIAJES'!$A$2:$B$24,2,FALSE),"")</f>
        <v/>
      </c>
      <c r="V1495" t="str">
        <f>IFERROR(VLOOKUP(K1495,'VALORES VIAJES'!$A$2:$B$24,2,FALSE),"")</f>
        <v/>
      </c>
      <c r="X1495" s="208">
        <f>SUM(Hoja1[[#This Row],[$ X TIP VEHICUL]:[AGREGADO]])</f>
        <v>0</v>
      </c>
    </row>
    <row r="1496" spans="2:24" hidden="1" x14ac:dyDescent="0.25">
      <c r="B1496" s="189"/>
      <c r="J1496" s="189"/>
      <c r="M1496" s="205"/>
      <c r="S1496" t="str">
        <f>IFERROR(VLOOKUP(E1496,'VALORES VIAJES'!$A$2:$B$13,2,FALSE),"")</f>
        <v/>
      </c>
      <c r="T1496" t="str">
        <f>IFERROR(VLOOKUP(H1496,'VALORES VIAJES'!$A$2:$B$24,2,FALSE),"")</f>
        <v/>
      </c>
      <c r="U1496" t="str">
        <f>IFERROR(VLOOKUP(I1496,'VALORES VIAJES'!$A$2:$B$24,2,FALSE),"")</f>
        <v/>
      </c>
      <c r="V1496" t="str">
        <f>IFERROR(VLOOKUP(K1496,'VALORES VIAJES'!$A$2:$B$24,2,FALSE),"")</f>
        <v/>
      </c>
      <c r="X1496" s="208">
        <f>SUM(Hoja1[[#This Row],[$ X TIP VEHICUL]:[AGREGADO]])</f>
        <v>0</v>
      </c>
    </row>
    <row r="1497" spans="2:24" hidden="1" x14ac:dyDescent="0.25">
      <c r="B1497" s="189"/>
      <c r="J1497" s="189"/>
      <c r="M1497" s="205"/>
      <c r="S1497" t="str">
        <f>IFERROR(VLOOKUP(E1497,'VALORES VIAJES'!$A$2:$B$13,2,FALSE),"")</f>
        <v/>
      </c>
      <c r="T1497" t="str">
        <f>IFERROR(VLOOKUP(H1497,'VALORES VIAJES'!$A$2:$B$24,2,FALSE),"")</f>
        <v/>
      </c>
      <c r="U1497" t="str">
        <f>IFERROR(VLOOKUP(I1497,'VALORES VIAJES'!$A$2:$B$24,2,FALSE),"")</f>
        <v/>
      </c>
      <c r="V1497" t="str">
        <f>IFERROR(VLOOKUP(K1497,'VALORES VIAJES'!$A$2:$B$24,2,FALSE),"")</f>
        <v/>
      </c>
      <c r="X1497" s="208">
        <f>SUM(Hoja1[[#This Row],[$ X TIP VEHICUL]:[AGREGADO]])</f>
        <v>0</v>
      </c>
    </row>
    <row r="1498" spans="2:24" hidden="1" x14ac:dyDescent="0.25">
      <c r="B1498" s="189"/>
      <c r="J1498" s="189"/>
      <c r="M1498" s="205"/>
      <c r="S1498" t="str">
        <f>IFERROR(VLOOKUP(E1498,'VALORES VIAJES'!$A$2:$B$13,2,FALSE),"")</f>
        <v/>
      </c>
      <c r="T1498" t="str">
        <f>IFERROR(VLOOKUP(H1498,'VALORES VIAJES'!$A$2:$B$24,2,FALSE),"")</f>
        <v/>
      </c>
      <c r="U1498" t="str">
        <f>IFERROR(VLOOKUP(I1498,'VALORES VIAJES'!$A$2:$B$24,2,FALSE),"")</f>
        <v/>
      </c>
      <c r="V1498" t="str">
        <f>IFERROR(VLOOKUP(K1498,'VALORES VIAJES'!$A$2:$B$24,2,FALSE),"")</f>
        <v/>
      </c>
      <c r="X1498" s="208">
        <f>SUM(Hoja1[[#This Row],[$ X TIP VEHICUL]:[AGREGADO]])</f>
        <v>0</v>
      </c>
    </row>
    <row r="1499" spans="2:24" hidden="1" x14ac:dyDescent="0.25">
      <c r="B1499" s="189"/>
      <c r="J1499" s="189"/>
      <c r="M1499" s="205"/>
      <c r="S1499" t="str">
        <f>IFERROR(VLOOKUP(E1499,'VALORES VIAJES'!$A$2:$B$13,2,FALSE),"")</f>
        <v/>
      </c>
      <c r="T1499" t="str">
        <f>IFERROR(VLOOKUP(H1499,'VALORES VIAJES'!$A$2:$B$24,2,FALSE),"")</f>
        <v/>
      </c>
      <c r="U1499" t="str">
        <f>IFERROR(VLOOKUP(I1499,'VALORES VIAJES'!$A$2:$B$24,2,FALSE),"")</f>
        <v/>
      </c>
      <c r="V1499" t="str">
        <f>IFERROR(VLOOKUP(K1499,'VALORES VIAJES'!$A$2:$B$24,2,FALSE),"")</f>
        <v/>
      </c>
      <c r="X1499" s="208">
        <f>SUM(Hoja1[[#This Row],[$ X TIP VEHICUL]:[AGREGADO]])</f>
        <v>0</v>
      </c>
    </row>
    <row r="1500" spans="2:24" hidden="1" x14ac:dyDescent="0.25">
      <c r="B1500" s="189"/>
      <c r="J1500" s="189"/>
      <c r="M1500" s="205"/>
      <c r="S1500" t="str">
        <f>IFERROR(VLOOKUP(E1500,'VALORES VIAJES'!$A$2:$B$13,2,FALSE),"")</f>
        <v/>
      </c>
      <c r="T1500" t="str">
        <f>IFERROR(VLOOKUP(H1500,'VALORES VIAJES'!$A$2:$B$24,2,FALSE),"")</f>
        <v/>
      </c>
      <c r="U1500" t="str">
        <f>IFERROR(VLOOKUP(I1500,'VALORES VIAJES'!$A$2:$B$24,2,FALSE),"")</f>
        <v/>
      </c>
      <c r="V1500" t="str">
        <f>IFERROR(VLOOKUP(K1500,'VALORES VIAJES'!$A$2:$B$24,2,FALSE),"")</f>
        <v/>
      </c>
      <c r="X1500" s="208">
        <f>SUM(Hoja1[[#This Row],[$ X TIP VEHICUL]:[AGREGADO]])</f>
        <v>0</v>
      </c>
    </row>
    <row r="1501" spans="2:24" hidden="1" x14ac:dyDescent="0.25">
      <c r="B1501" s="189"/>
      <c r="J1501" s="189"/>
      <c r="M1501" s="205"/>
      <c r="S1501" t="str">
        <f>IFERROR(VLOOKUP(E1501,'VALORES VIAJES'!$A$2:$B$13,2,FALSE),"")</f>
        <v/>
      </c>
      <c r="T1501" t="str">
        <f>IFERROR(VLOOKUP(H1501,'VALORES VIAJES'!$A$2:$B$24,2,FALSE),"")</f>
        <v/>
      </c>
      <c r="U1501" t="str">
        <f>IFERROR(VLOOKUP(I1501,'VALORES VIAJES'!$A$2:$B$24,2,FALSE),"")</f>
        <v/>
      </c>
      <c r="V1501" t="str">
        <f>IFERROR(VLOOKUP(K1501,'VALORES VIAJES'!$A$2:$B$24,2,FALSE),"")</f>
        <v/>
      </c>
      <c r="X1501" s="208">
        <f>SUM(Hoja1[[#This Row],[$ X TIP VEHICUL]:[AGREGADO]])</f>
        <v>0</v>
      </c>
    </row>
    <row r="1502" spans="2:24" hidden="1" x14ac:dyDescent="0.25">
      <c r="B1502" s="189"/>
      <c r="J1502" s="189"/>
      <c r="M1502" s="205"/>
      <c r="S1502" t="str">
        <f>IFERROR(VLOOKUP(E1502,'VALORES VIAJES'!$A$2:$B$13,2,FALSE),"")</f>
        <v/>
      </c>
      <c r="T1502" t="str">
        <f>IFERROR(VLOOKUP(H1502,'VALORES VIAJES'!$A$2:$B$24,2,FALSE),"")</f>
        <v/>
      </c>
      <c r="U1502" t="str">
        <f>IFERROR(VLOOKUP(I1502,'VALORES VIAJES'!$A$2:$B$24,2,FALSE),"")</f>
        <v/>
      </c>
      <c r="V1502" t="str">
        <f>IFERROR(VLOOKUP(K1502,'VALORES VIAJES'!$A$2:$B$24,2,FALSE),"")</f>
        <v/>
      </c>
      <c r="X1502" s="208">
        <f>SUM(Hoja1[[#This Row],[$ X TIP VEHICUL]:[AGREGADO]])</f>
        <v>0</v>
      </c>
    </row>
    <row r="1503" spans="2:24" hidden="1" x14ac:dyDescent="0.25">
      <c r="B1503" s="189"/>
      <c r="J1503" s="189"/>
      <c r="M1503" s="205"/>
      <c r="S1503" t="str">
        <f>IFERROR(VLOOKUP(E1503,'VALORES VIAJES'!$A$2:$B$13,2,FALSE),"")</f>
        <v/>
      </c>
      <c r="T1503" t="str">
        <f>IFERROR(VLOOKUP(H1503,'VALORES VIAJES'!$A$2:$B$24,2,FALSE),"")</f>
        <v/>
      </c>
      <c r="U1503" t="str">
        <f>IFERROR(VLOOKUP(I1503,'VALORES VIAJES'!$A$2:$B$24,2,FALSE),"")</f>
        <v/>
      </c>
      <c r="V1503" t="str">
        <f>IFERROR(VLOOKUP(K1503,'VALORES VIAJES'!$A$2:$B$24,2,FALSE),"")</f>
        <v/>
      </c>
      <c r="X1503" s="208">
        <f>SUM(Hoja1[[#This Row],[$ X TIP VEHICUL]:[AGREGADO]])</f>
        <v>0</v>
      </c>
    </row>
    <row r="1504" spans="2:24" hidden="1" x14ac:dyDescent="0.25">
      <c r="B1504" s="189"/>
      <c r="J1504" s="189"/>
      <c r="M1504" s="205"/>
      <c r="S1504" t="str">
        <f>IFERROR(VLOOKUP(E1504,'VALORES VIAJES'!$A$2:$B$13,2,FALSE),"")</f>
        <v/>
      </c>
      <c r="T1504" t="str">
        <f>IFERROR(VLOOKUP(H1504,'VALORES VIAJES'!$A$2:$B$24,2,FALSE),"")</f>
        <v/>
      </c>
      <c r="U1504" t="str">
        <f>IFERROR(VLOOKUP(I1504,'VALORES VIAJES'!$A$2:$B$24,2,FALSE),"")</f>
        <v/>
      </c>
      <c r="V1504" t="str">
        <f>IFERROR(VLOOKUP(K1504,'VALORES VIAJES'!$A$2:$B$24,2,FALSE),"")</f>
        <v/>
      </c>
      <c r="X1504" s="208">
        <f>SUM(Hoja1[[#This Row],[$ X TIP VEHICUL]:[AGREGADO]])</f>
        <v>0</v>
      </c>
    </row>
    <row r="1505" spans="2:24" hidden="1" x14ac:dyDescent="0.25">
      <c r="B1505" s="189"/>
      <c r="J1505" s="189"/>
      <c r="M1505" s="205"/>
      <c r="S1505" t="str">
        <f>IFERROR(VLOOKUP(E1505,'VALORES VIAJES'!$A$2:$B$13,2,FALSE),"")</f>
        <v/>
      </c>
      <c r="T1505" t="str">
        <f>IFERROR(VLOOKUP(H1505,'VALORES VIAJES'!$A$2:$B$24,2,FALSE),"")</f>
        <v/>
      </c>
      <c r="U1505" t="str">
        <f>IFERROR(VLOOKUP(I1505,'VALORES VIAJES'!$A$2:$B$24,2,FALSE),"")</f>
        <v/>
      </c>
      <c r="V1505" t="str">
        <f>IFERROR(VLOOKUP(K1505,'VALORES VIAJES'!$A$2:$B$24,2,FALSE),"")</f>
        <v/>
      </c>
      <c r="X1505" s="208">
        <f>SUM(Hoja1[[#This Row],[$ X TIP VEHICUL]:[AGREGADO]])</f>
        <v>0</v>
      </c>
    </row>
    <row r="1506" spans="2:24" hidden="1" x14ac:dyDescent="0.25">
      <c r="B1506" s="189"/>
      <c r="J1506" s="189"/>
      <c r="M1506" s="205"/>
      <c r="S1506" t="str">
        <f>IFERROR(VLOOKUP(E1506,'VALORES VIAJES'!$A$2:$B$13,2,FALSE),"")</f>
        <v/>
      </c>
      <c r="T1506" t="str">
        <f>IFERROR(VLOOKUP(H1506,'VALORES VIAJES'!$A$2:$B$24,2,FALSE),"")</f>
        <v/>
      </c>
      <c r="U1506" t="str">
        <f>IFERROR(VLOOKUP(I1506,'VALORES VIAJES'!$A$2:$B$24,2,FALSE),"")</f>
        <v/>
      </c>
      <c r="V1506" t="str">
        <f>IFERROR(VLOOKUP(K1506,'VALORES VIAJES'!$A$2:$B$24,2,FALSE),"")</f>
        <v/>
      </c>
      <c r="X1506" s="208">
        <f>SUM(Hoja1[[#This Row],[$ X TIP VEHICUL]:[AGREGADO]])</f>
        <v>0</v>
      </c>
    </row>
    <row r="1507" spans="2:24" hidden="1" x14ac:dyDescent="0.25">
      <c r="B1507" s="189"/>
      <c r="J1507" s="189"/>
      <c r="M1507" s="205"/>
      <c r="S1507" t="str">
        <f>IFERROR(VLOOKUP(E1507,'VALORES VIAJES'!$A$2:$B$13,2,FALSE),"")</f>
        <v/>
      </c>
      <c r="T1507" t="str">
        <f>IFERROR(VLOOKUP(H1507,'VALORES VIAJES'!$A$2:$B$24,2,FALSE),"")</f>
        <v/>
      </c>
      <c r="U1507" t="str">
        <f>IFERROR(VLOOKUP(I1507,'VALORES VIAJES'!$A$2:$B$24,2,FALSE),"")</f>
        <v/>
      </c>
      <c r="V1507" t="str">
        <f>IFERROR(VLOOKUP(K1507,'VALORES VIAJES'!$A$2:$B$24,2,FALSE),"")</f>
        <v/>
      </c>
      <c r="X1507" s="208">
        <f>SUM(Hoja1[[#This Row],[$ X TIP VEHICUL]:[AGREGADO]])</f>
        <v>0</v>
      </c>
    </row>
    <row r="1508" spans="2:24" hidden="1" x14ac:dyDescent="0.25">
      <c r="B1508" s="189"/>
      <c r="J1508" s="189"/>
      <c r="M1508" s="205"/>
      <c r="S1508" t="str">
        <f>IFERROR(VLOOKUP(E1508,'VALORES VIAJES'!$A$2:$B$13,2,FALSE),"")</f>
        <v/>
      </c>
      <c r="T1508" t="str">
        <f>IFERROR(VLOOKUP(H1508,'VALORES VIAJES'!$A$2:$B$24,2,FALSE),"")</f>
        <v/>
      </c>
      <c r="U1508" t="str">
        <f>IFERROR(VLOOKUP(I1508,'VALORES VIAJES'!$A$2:$B$24,2,FALSE),"")</f>
        <v/>
      </c>
      <c r="V1508" t="str">
        <f>IFERROR(VLOOKUP(K1508,'VALORES VIAJES'!$A$2:$B$24,2,FALSE),"")</f>
        <v/>
      </c>
      <c r="X1508" s="208">
        <f>SUM(Hoja1[[#This Row],[$ X TIP VEHICUL]:[AGREGADO]])</f>
        <v>0</v>
      </c>
    </row>
    <row r="1509" spans="2:24" hidden="1" x14ac:dyDescent="0.25">
      <c r="B1509" s="189"/>
      <c r="J1509" s="189"/>
      <c r="M1509" s="205"/>
      <c r="S1509" t="str">
        <f>IFERROR(VLOOKUP(E1509,'VALORES VIAJES'!$A$2:$B$13,2,FALSE),"")</f>
        <v/>
      </c>
      <c r="T1509" t="str">
        <f>IFERROR(VLOOKUP(H1509,'VALORES VIAJES'!$A$2:$B$24,2,FALSE),"")</f>
        <v/>
      </c>
      <c r="U1509" t="str">
        <f>IFERROR(VLOOKUP(I1509,'VALORES VIAJES'!$A$2:$B$24,2,FALSE),"")</f>
        <v/>
      </c>
      <c r="V1509" t="str">
        <f>IFERROR(VLOOKUP(K1509,'VALORES VIAJES'!$A$2:$B$24,2,FALSE),"")</f>
        <v/>
      </c>
      <c r="X1509" s="208">
        <f>SUM(Hoja1[[#This Row],[$ X TIP VEHICUL]:[AGREGADO]])</f>
        <v>0</v>
      </c>
    </row>
    <row r="1510" spans="2:24" hidden="1" x14ac:dyDescent="0.25">
      <c r="B1510" s="189"/>
      <c r="J1510" s="189"/>
      <c r="M1510" s="205"/>
      <c r="S1510" t="str">
        <f>IFERROR(VLOOKUP(E1510,'VALORES VIAJES'!$A$2:$B$13,2,FALSE),"")</f>
        <v/>
      </c>
      <c r="T1510" t="str">
        <f>IFERROR(VLOOKUP(H1510,'VALORES VIAJES'!$A$2:$B$24,2,FALSE),"")</f>
        <v/>
      </c>
      <c r="U1510" t="str">
        <f>IFERROR(VLOOKUP(I1510,'VALORES VIAJES'!$A$2:$B$24,2,FALSE),"")</f>
        <v/>
      </c>
      <c r="V1510" t="str">
        <f>IFERROR(VLOOKUP(K1510,'VALORES VIAJES'!$A$2:$B$24,2,FALSE),"")</f>
        <v/>
      </c>
      <c r="X1510" s="208">
        <f>SUM(Hoja1[[#This Row],[$ X TIP VEHICUL]:[AGREGADO]])</f>
        <v>0</v>
      </c>
    </row>
    <row r="1511" spans="2:24" hidden="1" x14ac:dyDescent="0.25">
      <c r="B1511" s="189"/>
      <c r="J1511" s="189"/>
      <c r="M1511" s="205"/>
      <c r="S1511" t="str">
        <f>IFERROR(VLOOKUP(E1511,'VALORES VIAJES'!$A$2:$B$13,2,FALSE),"")</f>
        <v/>
      </c>
      <c r="T1511" t="str">
        <f>IFERROR(VLOOKUP(H1511,'VALORES VIAJES'!$A$2:$B$24,2,FALSE),"")</f>
        <v/>
      </c>
      <c r="U1511" t="str">
        <f>IFERROR(VLOOKUP(I1511,'VALORES VIAJES'!$A$2:$B$24,2,FALSE),"")</f>
        <v/>
      </c>
      <c r="V1511" t="str">
        <f>IFERROR(VLOOKUP(K1511,'VALORES VIAJES'!$A$2:$B$24,2,FALSE),"")</f>
        <v/>
      </c>
      <c r="X1511" s="208">
        <f>SUM(Hoja1[[#This Row],[$ X TIP VEHICUL]:[AGREGADO]])</f>
        <v>0</v>
      </c>
    </row>
    <row r="1512" spans="2:24" hidden="1" x14ac:dyDescent="0.25">
      <c r="B1512" s="189"/>
      <c r="J1512" s="189"/>
      <c r="M1512" s="205"/>
      <c r="S1512" t="str">
        <f>IFERROR(VLOOKUP(E1512,'VALORES VIAJES'!$A$2:$B$13,2,FALSE),"")</f>
        <v/>
      </c>
      <c r="T1512" t="str">
        <f>IFERROR(VLOOKUP(H1512,'VALORES VIAJES'!$A$2:$B$24,2,FALSE),"")</f>
        <v/>
      </c>
      <c r="U1512" t="str">
        <f>IFERROR(VLOOKUP(I1512,'VALORES VIAJES'!$A$2:$B$24,2,FALSE),"")</f>
        <v/>
      </c>
      <c r="V1512" t="str">
        <f>IFERROR(VLOOKUP(K1512,'VALORES VIAJES'!$A$2:$B$24,2,FALSE),"")</f>
        <v/>
      </c>
      <c r="X1512" s="208">
        <f>SUM(Hoja1[[#This Row],[$ X TIP VEHICUL]:[AGREGADO]])</f>
        <v>0</v>
      </c>
    </row>
    <row r="1513" spans="2:24" hidden="1" x14ac:dyDescent="0.25">
      <c r="B1513" s="189"/>
      <c r="J1513" s="189"/>
      <c r="M1513" s="205"/>
      <c r="S1513" t="str">
        <f>IFERROR(VLOOKUP(E1513,'VALORES VIAJES'!$A$2:$B$13,2,FALSE),"")</f>
        <v/>
      </c>
      <c r="T1513" t="str">
        <f>IFERROR(VLOOKUP(H1513,'VALORES VIAJES'!$A$2:$B$24,2,FALSE),"")</f>
        <v/>
      </c>
      <c r="U1513" t="str">
        <f>IFERROR(VLOOKUP(I1513,'VALORES VIAJES'!$A$2:$B$24,2,FALSE),"")</f>
        <v/>
      </c>
      <c r="V1513" t="str">
        <f>IFERROR(VLOOKUP(K1513,'VALORES VIAJES'!$A$2:$B$24,2,FALSE),"")</f>
        <v/>
      </c>
      <c r="X1513" s="208">
        <f>SUM(Hoja1[[#This Row],[$ X TIP VEHICUL]:[AGREGADO]])</f>
        <v>0</v>
      </c>
    </row>
    <row r="1514" spans="2:24" hidden="1" x14ac:dyDescent="0.25">
      <c r="B1514" s="189"/>
      <c r="J1514" s="189"/>
      <c r="M1514" s="205"/>
      <c r="S1514" t="str">
        <f>IFERROR(VLOOKUP(E1514,'VALORES VIAJES'!$A$2:$B$13,2,FALSE),"")</f>
        <v/>
      </c>
      <c r="T1514" t="str">
        <f>IFERROR(VLOOKUP(H1514,'VALORES VIAJES'!$A$2:$B$24,2,FALSE),"")</f>
        <v/>
      </c>
      <c r="U1514" t="str">
        <f>IFERROR(VLOOKUP(I1514,'VALORES VIAJES'!$A$2:$B$24,2,FALSE),"")</f>
        <v/>
      </c>
      <c r="V1514" t="str">
        <f>IFERROR(VLOOKUP(K1514,'VALORES VIAJES'!$A$2:$B$24,2,FALSE),"")</f>
        <v/>
      </c>
      <c r="X1514" s="208">
        <f>SUM(Hoja1[[#This Row],[$ X TIP VEHICUL]:[AGREGADO]])</f>
        <v>0</v>
      </c>
    </row>
    <row r="1515" spans="2:24" hidden="1" x14ac:dyDescent="0.25">
      <c r="B1515" s="189"/>
      <c r="J1515" s="189"/>
      <c r="M1515" s="205"/>
      <c r="S1515" t="str">
        <f>IFERROR(VLOOKUP(E1515,'VALORES VIAJES'!$A$2:$B$13,2,FALSE),"")</f>
        <v/>
      </c>
      <c r="T1515" t="str">
        <f>IFERROR(VLOOKUP(H1515,'VALORES VIAJES'!$A$2:$B$24,2,FALSE),"")</f>
        <v/>
      </c>
      <c r="U1515" t="str">
        <f>IFERROR(VLOOKUP(I1515,'VALORES VIAJES'!$A$2:$B$24,2,FALSE),"")</f>
        <v/>
      </c>
      <c r="V1515" t="str">
        <f>IFERROR(VLOOKUP(K1515,'VALORES VIAJES'!$A$2:$B$24,2,FALSE),"")</f>
        <v/>
      </c>
      <c r="X1515" s="208">
        <f>SUM(Hoja1[[#This Row],[$ X TIP VEHICUL]:[AGREGADO]])</f>
        <v>0</v>
      </c>
    </row>
    <row r="1516" spans="2:24" hidden="1" x14ac:dyDescent="0.25">
      <c r="B1516" s="189"/>
      <c r="J1516" s="189"/>
      <c r="M1516" s="205"/>
      <c r="S1516" t="str">
        <f>IFERROR(VLOOKUP(E1516,'VALORES VIAJES'!$A$2:$B$13,2,FALSE),"")</f>
        <v/>
      </c>
      <c r="T1516" t="str">
        <f>IFERROR(VLOOKUP(H1516,'VALORES VIAJES'!$A$2:$B$24,2,FALSE),"")</f>
        <v/>
      </c>
      <c r="U1516" t="str">
        <f>IFERROR(VLOOKUP(I1516,'VALORES VIAJES'!$A$2:$B$24,2,FALSE),"")</f>
        <v/>
      </c>
      <c r="V1516" t="str">
        <f>IFERROR(VLOOKUP(K1516,'VALORES VIAJES'!$A$2:$B$24,2,FALSE),"")</f>
        <v/>
      </c>
      <c r="X1516" s="208">
        <f>SUM(Hoja1[[#This Row],[$ X TIP VEHICUL]:[AGREGADO]])</f>
        <v>0</v>
      </c>
    </row>
    <row r="1517" spans="2:24" hidden="1" x14ac:dyDescent="0.25">
      <c r="B1517" s="189"/>
      <c r="J1517" s="189"/>
      <c r="M1517" s="205"/>
      <c r="S1517" t="str">
        <f>IFERROR(VLOOKUP(E1517,'VALORES VIAJES'!$A$2:$B$13,2,FALSE),"")</f>
        <v/>
      </c>
      <c r="T1517" t="str">
        <f>IFERROR(VLOOKUP(H1517,'VALORES VIAJES'!$A$2:$B$24,2,FALSE),"")</f>
        <v/>
      </c>
      <c r="U1517" t="str">
        <f>IFERROR(VLOOKUP(I1517,'VALORES VIAJES'!$A$2:$B$24,2,FALSE),"")</f>
        <v/>
      </c>
      <c r="V1517" t="str">
        <f>IFERROR(VLOOKUP(K1517,'VALORES VIAJES'!$A$2:$B$24,2,FALSE),"")</f>
        <v/>
      </c>
      <c r="X1517" s="208">
        <f>SUM(Hoja1[[#This Row],[$ X TIP VEHICUL]:[AGREGADO]])</f>
        <v>0</v>
      </c>
    </row>
    <row r="1518" spans="2:24" hidden="1" x14ac:dyDescent="0.25">
      <c r="B1518" s="189"/>
      <c r="J1518" s="189"/>
      <c r="M1518" s="205"/>
      <c r="S1518" t="str">
        <f>IFERROR(VLOOKUP(E1518,'VALORES VIAJES'!$A$2:$B$13,2,FALSE),"")</f>
        <v/>
      </c>
      <c r="T1518" t="str">
        <f>IFERROR(VLOOKUP(H1518,'VALORES VIAJES'!$A$2:$B$24,2,FALSE),"")</f>
        <v/>
      </c>
      <c r="U1518" t="str">
        <f>IFERROR(VLOOKUP(I1518,'VALORES VIAJES'!$A$2:$B$24,2,FALSE),"")</f>
        <v/>
      </c>
      <c r="V1518" t="str">
        <f>IFERROR(VLOOKUP(K1518,'VALORES VIAJES'!$A$2:$B$24,2,FALSE),"")</f>
        <v/>
      </c>
      <c r="X1518" s="208">
        <f>SUM(Hoja1[[#This Row],[$ X TIP VEHICUL]:[AGREGADO]])</f>
        <v>0</v>
      </c>
    </row>
    <row r="1519" spans="2:24" hidden="1" x14ac:dyDescent="0.25">
      <c r="B1519" s="189"/>
      <c r="J1519" s="189"/>
      <c r="M1519" s="205"/>
      <c r="S1519" t="str">
        <f>IFERROR(VLOOKUP(E1519,'VALORES VIAJES'!$A$2:$B$13,2,FALSE),"")</f>
        <v/>
      </c>
      <c r="T1519" t="str">
        <f>IFERROR(VLOOKUP(H1519,'VALORES VIAJES'!$A$2:$B$24,2,FALSE),"")</f>
        <v/>
      </c>
      <c r="U1519" t="str">
        <f>IFERROR(VLOOKUP(I1519,'VALORES VIAJES'!$A$2:$B$24,2,FALSE),"")</f>
        <v/>
      </c>
      <c r="V1519" t="str">
        <f>IFERROR(VLOOKUP(K1519,'VALORES VIAJES'!$A$2:$B$24,2,FALSE),"")</f>
        <v/>
      </c>
      <c r="X1519" s="208">
        <f>SUM(Hoja1[[#This Row],[$ X TIP VEHICUL]:[AGREGADO]])</f>
        <v>0</v>
      </c>
    </row>
    <row r="1520" spans="2:24" hidden="1" x14ac:dyDescent="0.25">
      <c r="B1520" s="189"/>
      <c r="J1520" s="189"/>
      <c r="M1520" s="205"/>
      <c r="S1520" t="str">
        <f>IFERROR(VLOOKUP(E1520,'VALORES VIAJES'!$A$2:$B$13,2,FALSE),"")</f>
        <v/>
      </c>
      <c r="T1520" t="str">
        <f>IFERROR(VLOOKUP(H1520,'VALORES VIAJES'!$A$2:$B$24,2,FALSE),"")</f>
        <v/>
      </c>
      <c r="U1520" t="str">
        <f>IFERROR(VLOOKUP(I1520,'VALORES VIAJES'!$A$2:$B$24,2,FALSE),"")</f>
        <v/>
      </c>
      <c r="V1520" t="str">
        <f>IFERROR(VLOOKUP(K1520,'VALORES VIAJES'!$A$2:$B$24,2,FALSE),"")</f>
        <v/>
      </c>
      <c r="X1520" s="208">
        <f>SUM(Hoja1[[#This Row],[$ X TIP VEHICUL]:[AGREGADO]])</f>
        <v>0</v>
      </c>
    </row>
    <row r="1521" spans="2:24" hidden="1" x14ac:dyDescent="0.25">
      <c r="B1521" s="189"/>
      <c r="J1521" s="189"/>
      <c r="M1521" s="205"/>
      <c r="S1521" t="str">
        <f>IFERROR(VLOOKUP(E1521,'VALORES VIAJES'!$A$2:$B$13,2,FALSE),"")</f>
        <v/>
      </c>
      <c r="T1521" t="str">
        <f>IFERROR(VLOOKUP(H1521,'VALORES VIAJES'!$A$2:$B$24,2,FALSE),"")</f>
        <v/>
      </c>
      <c r="U1521" t="str">
        <f>IFERROR(VLOOKUP(I1521,'VALORES VIAJES'!$A$2:$B$24,2,FALSE),"")</f>
        <v/>
      </c>
      <c r="V1521" t="str">
        <f>IFERROR(VLOOKUP(K1521,'VALORES VIAJES'!$A$2:$B$24,2,FALSE),"")</f>
        <v/>
      </c>
      <c r="X1521" s="208">
        <f>SUM(Hoja1[[#This Row],[$ X TIP VEHICUL]:[AGREGADO]])</f>
        <v>0</v>
      </c>
    </row>
    <row r="1522" spans="2:24" hidden="1" x14ac:dyDescent="0.25">
      <c r="B1522" s="189"/>
      <c r="J1522" s="189"/>
      <c r="M1522" s="205"/>
      <c r="S1522" t="str">
        <f>IFERROR(VLOOKUP(E1522,'VALORES VIAJES'!$A$2:$B$13,2,FALSE),"")</f>
        <v/>
      </c>
      <c r="T1522" t="str">
        <f>IFERROR(VLOOKUP(H1522,'VALORES VIAJES'!$A$2:$B$24,2,FALSE),"")</f>
        <v/>
      </c>
      <c r="U1522" t="str">
        <f>IFERROR(VLOOKUP(I1522,'VALORES VIAJES'!$A$2:$B$24,2,FALSE),"")</f>
        <v/>
      </c>
      <c r="V1522" t="str">
        <f>IFERROR(VLOOKUP(K1522,'VALORES VIAJES'!$A$2:$B$24,2,FALSE),"")</f>
        <v/>
      </c>
      <c r="X1522" s="208">
        <f>SUM(Hoja1[[#This Row],[$ X TIP VEHICUL]:[AGREGADO]])</f>
        <v>0</v>
      </c>
    </row>
    <row r="1523" spans="2:24" hidden="1" x14ac:dyDescent="0.25">
      <c r="B1523" s="189"/>
      <c r="J1523" s="189"/>
      <c r="M1523" s="205"/>
      <c r="S1523" t="str">
        <f>IFERROR(VLOOKUP(E1523,'VALORES VIAJES'!$A$2:$B$13,2,FALSE),"")</f>
        <v/>
      </c>
      <c r="T1523" t="str">
        <f>IFERROR(VLOOKUP(H1523,'VALORES VIAJES'!$A$2:$B$24,2,FALSE),"")</f>
        <v/>
      </c>
      <c r="U1523" t="str">
        <f>IFERROR(VLOOKUP(I1523,'VALORES VIAJES'!$A$2:$B$24,2,FALSE),"")</f>
        <v/>
      </c>
      <c r="V1523" t="str">
        <f>IFERROR(VLOOKUP(K1523,'VALORES VIAJES'!$A$2:$B$24,2,FALSE),"")</f>
        <v/>
      </c>
      <c r="X1523" s="208">
        <f>SUM(Hoja1[[#This Row],[$ X TIP VEHICUL]:[AGREGADO]])</f>
        <v>0</v>
      </c>
    </row>
    <row r="1524" spans="2:24" hidden="1" x14ac:dyDescent="0.25">
      <c r="B1524" s="189"/>
      <c r="J1524" s="189"/>
      <c r="M1524" s="205"/>
      <c r="S1524" t="str">
        <f>IFERROR(VLOOKUP(E1524,'VALORES VIAJES'!$A$2:$B$13,2,FALSE),"")</f>
        <v/>
      </c>
      <c r="T1524" t="str">
        <f>IFERROR(VLOOKUP(H1524,'VALORES VIAJES'!$A$2:$B$24,2,FALSE),"")</f>
        <v/>
      </c>
      <c r="U1524" t="str">
        <f>IFERROR(VLOOKUP(I1524,'VALORES VIAJES'!$A$2:$B$24,2,FALSE),"")</f>
        <v/>
      </c>
      <c r="V1524" t="str">
        <f>IFERROR(VLOOKUP(K1524,'VALORES VIAJES'!$A$2:$B$24,2,FALSE),"")</f>
        <v/>
      </c>
      <c r="X1524" s="208">
        <f>SUM(Hoja1[[#This Row],[$ X TIP VEHICUL]:[AGREGADO]])</f>
        <v>0</v>
      </c>
    </row>
    <row r="1525" spans="2:24" hidden="1" x14ac:dyDescent="0.25">
      <c r="B1525" s="189"/>
      <c r="J1525" s="189"/>
      <c r="M1525" s="205"/>
      <c r="S1525" t="str">
        <f>IFERROR(VLOOKUP(E1525,'VALORES VIAJES'!$A$2:$B$13,2,FALSE),"")</f>
        <v/>
      </c>
      <c r="T1525" t="str">
        <f>IFERROR(VLOOKUP(H1525,'VALORES VIAJES'!$A$2:$B$24,2,FALSE),"")</f>
        <v/>
      </c>
      <c r="U1525" t="str">
        <f>IFERROR(VLOOKUP(I1525,'VALORES VIAJES'!$A$2:$B$24,2,FALSE),"")</f>
        <v/>
      </c>
      <c r="V1525" t="str">
        <f>IFERROR(VLOOKUP(K1525,'VALORES VIAJES'!$A$2:$B$24,2,FALSE),"")</f>
        <v/>
      </c>
      <c r="X1525" s="208">
        <f>SUM(Hoja1[[#This Row],[$ X TIP VEHICUL]:[AGREGADO]])</f>
        <v>0</v>
      </c>
    </row>
    <row r="1526" spans="2:24" hidden="1" x14ac:dyDescent="0.25">
      <c r="B1526" s="189"/>
      <c r="J1526" s="189"/>
      <c r="M1526" s="205"/>
      <c r="S1526" t="str">
        <f>IFERROR(VLOOKUP(E1526,'VALORES VIAJES'!$A$2:$B$13,2,FALSE),"")</f>
        <v/>
      </c>
      <c r="T1526" t="str">
        <f>IFERROR(VLOOKUP(H1526,'VALORES VIAJES'!$A$2:$B$24,2,FALSE),"")</f>
        <v/>
      </c>
      <c r="U1526" t="str">
        <f>IFERROR(VLOOKUP(I1526,'VALORES VIAJES'!$A$2:$B$24,2,FALSE),"")</f>
        <v/>
      </c>
      <c r="V1526" t="str">
        <f>IFERROR(VLOOKUP(K1526,'VALORES VIAJES'!$A$2:$B$24,2,FALSE),"")</f>
        <v/>
      </c>
      <c r="X1526" s="208">
        <f>SUM(Hoja1[[#This Row],[$ X TIP VEHICUL]:[AGREGADO]])</f>
        <v>0</v>
      </c>
    </row>
    <row r="1527" spans="2:24" hidden="1" x14ac:dyDescent="0.25">
      <c r="B1527" s="189"/>
      <c r="J1527" s="189"/>
      <c r="M1527" s="205"/>
      <c r="S1527" t="str">
        <f>IFERROR(VLOOKUP(E1527,'VALORES VIAJES'!$A$2:$B$13,2,FALSE),"")</f>
        <v/>
      </c>
      <c r="T1527" t="str">
        <f>IFERROR(VLOOKUP(H1527,'VALORES VIAJES'!$A$2:$B$24,2,FALSE),"")</f>
        <v/>
      </c>
      <c r="U1527" t="str">
        <f>IFERROR(VLOOKUP(I1527,'VALORES VIAJES'!$A$2:$B$24,2,FALSE),"")</f>
        <v/>
      </c>
      <c r="V1527" t="str">
        <f>IFERROR(VLOOKUP(K1527,'VALORES VIAJES'!$A$2:$B$24,2,FALSE),"")</f>
        <v/>
      </c>
      <c r="X1527" s="208">
        <f>SUM(Hoja1[[#This Row],[$ X TIP VEHICUL]:[AGREGADO]])</f>
        <v>0</v>
      </c>
    </row>
    <row r="1528" spans="2:24" hidden="1" x14ac:dyDescent="0.25">
      <c r="B1528" s="189"/>
      <c r="J1528" s="189"/>
      <c r="M1528" s="205"/>
      <c r="S1528" t="str">
        <f>IFERROR(VLOOKUP(E1528,'VALORES VIAJES'!$A$2:$B$13,2,FALSE),"")</f>
        <v/>
      </c>
      <c r="T1528" t="str">
        <f>IFERROR(VLOOKUP(H1528,'VALORES VIAJES'!$A$2:$B$24,2,FALSE),"")</f>
        <v/>
      </c>
      <c r="U1528" t="str">
        <f>IFERROR(VLOOKUP(I1528,'VALORES VIAJES'!$A$2:$B$24,2,FALSE),"")</f>
        <v/>
      </c>
      <c r="V1528" t="str">
        <f>IFERROR(VLOOKUP(K1528,'VALORES VIAJES'!$A$2:$B$24,2,FALSE),"")</f>
        <v/>
      </c>
      <c r="X1528" s="208">
        <f>SUM(Hoja1[[#This Row],[$ X TIP VEHICUL]:[AGREGADO]])</f>
        <v>0</v>
      </c>
    </row>
    <row r="1529" spans="2:24" hidden="1" x14ac:dyDescent="0.25">
      <c r="B1529" s="189"/>
      <c r="J1529" s="189"/>
      <c r="M1529" s="205"/>
      <c r="S1529" t="str">
        <f>IFERROR(VLOOKUP(E1529,'VALORES VIAJES'!$A$2:$B$13,2,FALSE),"")</f>
        <v/>
      </c>
      <c r="T1529" t="str">
        <f>IFERROR(VLOOKUP(H1529,'VALORES VIAJES'!$A$2:$B$24,2,FALSE),"")</f>
        <v/>
      </c>
      <c r="U1529" t="str">
        <f>IFERROR(VLOOKUP(I1529,'VALORES VIAJES'!$A$2:$B$24,2,FALSE),"")</f>
        <v/>
      </c>
      <c r="V1529" t="str">
        <f>IFERROR(VLOOKUP(K1529,'VALORES VIAJES'!$A$2:$B$24,2,FALSE),"")</f>
        <v/>
      </c>
      <c r="X1529" s="208">
        <f>SUM(Hoja1[[#This Row],[$ X TIP VEHICUL]:[AGREGADO]])</f>
        <v>0</v>
      </c>
    </row>
    <row r="1530" spans="2:24" hidden="1" x14ac:dyDescent="0.25">
      <c r="B1530" s="189"/>
      <c r="J1530" s="189"/>
      <c r="M1530" s="205"/>
      <c r="S1530" t="str">
        <f>IFERROR(VLOOKUP(E1530,'VALORES VIAJES'!$A$2:$B$13,2,FALSE),"")</f>
        <v/>
      </c>
      <c r="T1530" t="str">
        <f>IFERROR(VLOOKUP(H1530,'VALORES VIAJES'!$A$2:$B$24,2,FALSE),"")</f>
        <v/>
      </c>
      <c r="U1530" t="str">
        <f>IFERROR(VLOOKUP(I1530,'VALORES VIAJES'!$A$2:$B$24,2,FALSE),"")</f>
        <v/>
      </c>
      <c r="V1530" t="str">
        <f>IFERROR(VLOOKUP(K1530,'VALORES VIAJES'!$A$2:$B$24,2,FALSE),"")</f>
        <v/>
      </c>
      <c r="X1530" s="208">
        <f>SUM(Hoja1[[#This Row],[$ X TIP VEHICUL]:[AGREGADO]])</f>
        <v>0</v>
      </c>
    </row>
    <row r="1531" spans="2:24" hidden="1" x14ac:dyDescent="0.25">
      <c r="B1531" s="189"/>
      <c r="J1531" s="189"/>
      <c r="M1531" s="205"/>
      <c r="S1531" t="str">
        <f>IFERROR(VLOOKUP(E1531,'VALORES VIAJES'!$A$2:$B$13,2,FALSE),"")</f>
        <v/>
      </c>
      <c r="T1531" t="str">
        <f>IFERROR(VLOOKUP(H1531,'VALORES VIAJES'!$A$2:$B$24,2,FALSE),"")</f>
        <v/>
      </c>
      <c r="U1531" t="str">
        <f>IFERROR(VLOOKUP(I1531,'VALORES VIAJES'!$A$2:$B$24,2,FALSE),"")</f>
        <v/>
      </c>
      <c r="V1531" t="str">
        <f>IFERROR(VLOOKUP(K1531,'VALORES VIAJES'!$A$2:$B$24,2,FALSE),"")</f>
        <v/>
      </c>
      <c r="X1531" s="208">
        <f>SUM(Hoja1[[#This Row],[$ X TIP VEHICUL]:[AGREGADO]])</f>
        <v>0</v>
      </c>
    </row>
    <row r="1532" spans="2:24" hidden="1" x14ac:dyDescent="0.25">
      <c r="B1532" s="189"/>
      <c r="J1532" s="189"/>
      <c r="M1532" s="205"/>
      <c r="S1532" t="str">
        <f>IFERROR(VLOOKUP(E1532,'VALORES VIAJES'!$A$2:$B$13,2,FALSE),"")</f>
        <v/>
      </c>
      <c r="T1532" t="str">
        <f>IFERROR(VLOOKUP(H1532,'VALORES VIAJES'!$A$2:$B$24,2,FALSE),"")</f>
        <v/>
      </c>
      <c r="U1532" t="str">
        <f>IFERROR(VLOOKUP(I1532,'VALORES VIAJES'!$A$2:$B$24,2,FALSE),"")</f>
        <v/>
      </c>
      <c r="V1532" t="str">
        <f>IFERROR(VLOOKUP(K1532,'VALORES VIAJES'!$A$2:$B$24,2,FALSE),"")</f>
        <v/>
      </c>
      <c r="X1532" s="208">
        <f>SUM(Hoja1[[#This Row],[$ X TIP VEHICUL]:[AGREGADO]])</f>
        <v>0</v>
      </c>
    </row>
    <row r="1533" spans="2:24" hidden="1" x14ac:dyDescent="0.25">
      <c r="B1533" s="189"/>
      <c r="J1533" s="189"/>
      <c r="M1533" s="205"/>
      <c r="S1533" t="str">
        <f>IFERROR(VLOOKUP(E1533,'VALORES VIAJES'!$A$2:$B$13,2,FALSE),"")</f>
        <v/>
      </c>
      <c r="T1533" t="str">
        <f>IFERROR(VLOOKUP(H1533,'VALORES VIAJES'!$A$2:$B$24,2,FALSE),"")</f>
        <v/>
      </c>
      <c r="U1533" t="str">
        <f>IFERROR(VLOOKUP(I1533,'VALORES VIAJES'!$A$2:$B$24,2,FALSE),"")</f>
        <v/>
      </c>
      <c r="V1533" t="str">
        <f>IFERROR(VLOOKUP(K1533,'VALORES VIAJES'!$A$2:$B$24,2,FALSE),"")</f>
        <v/>
      </c>
      <c r="X1533" s="208">
        <f>SUM(Hoja1[[#This Row],[$ X TIP VEHICUL]:[AGREGADO]])</f>
        <v>0</v>
      </c>
    </row>
    <row r="1534" spans="2:24" hidden="1" x14ac:dyDescent="0.25">
      <c r="B1534" s="189"/>
      <c r="J1534" s="189"/>
      <c r="M1534" s="205"/>
      <c r="S1534" t="str">
        <f>IFERROR(VLOOKUP(E1534,'VALORES VIAJES'!$A$2:$B$13,2,FALSE),"")</f>
        <v/>
      </c>
      <c r="T1534" t="str">
        <f>IFERROR(VLOOKUP(H1534,'VALORES VIAJES'!$A$2:$B$24,2,FALSE),"")</f>
        <v/>
      </c>
      <c r="U1534" t="str">
        <f>IFERROR(VLOOKUP(I1534,'VALORES VIAJES'!$A$2:$B$24,2,FALSE),"")</f>
        <v/>
      </c>
      <c r="V1534" t="str">
        <f>IFERROR(VLOOKUP(K1534,'VALORES VIAJES'!$A$2:$B$24,2,FALSE),"")</f>
        <v/>
      </c>
      <c r="X1534" s="208">
        <f>SUM(Hoja1[[#This Row],[$ X TIP VEHICUL]:[AGREGADO]])</f>
        <v>0</v>
      </c>
    </row>
    <row r="1535" spans="2:24" hidden="1" x14ac:dyDescent="0.25">
      <c r="B1535" s="189"/>
      <c r="J1535" s="189"/>
      <c r="M1535" s="205"/>
      <c r="S1535" t="str">
        <f>IFERROR(VLOOKUP(E1535,'VALORES VIAJES'!$A$2:$B$13,2,FALSE),"")</f>
        <v/>
      </c>
      <c r="T1535" t="str">
        <f>IFERROR(VLOOKUP(H1535,'VALORES VIAJES'!$A$2:$B$24,2,FALSE),"")</f>
        <v/>
      </c>
      <c r="U1535" t="str">
        <f>IFERROR(VLOOKUP(I1535,'VALORES VIAJES'!$A$2:$B$24,2,FALSE),"")</f>
        <v/>
      </c>
      <c r="V1535" t="str">
        <f>IFERROR(VLOOKUP(K1535,'VALORES VIAJES'!$A$2:$B$24,2,FALSE),"")</f>
        <v/>
      </c>
      <c r="X1535" s="208">
        <f>SUM(Hoja1[[#This Row],[$ X TIP VEHICUL]:[AGREGADO]])</f>
        <v>0</v>
      </c>
    </row>
    <row r="1536" spans="2:24" hidden="1" x14ac:dyDescent="0.25">
      <c r="B1536" s="189"/>
      <c r="J1536" s="189"/>
      <c r="M1536" s="205"/>
      <c r="S1536" t="str">
        <f>IFERROR(VLOOKUP(E1536,'VALORES VIAJES'!$A$2:$B$13,2,FALSE),"")</f>
        <v/>
      </c>
      <c r="T1536" t="str">
        <f>IFERROR(VLOOKUP(H1536,'VALORES VIAJES'!$A$2:$B$24,2,FALSE),"")</f>
        <v/>
      </c>
      <c r="U1536" t="str">
        <f>IFERROR(VLOOKUP(I1536,'VALORES VIAJES'!$A$2:$B$24,2,FALSE),"")</f>
        <v/>
      </c>
      <c r="V1536" t="str">
        <f>IFERROR(VLOOKUP(K1536,'VALORES VIAJES'!$A$2:$B$24,2,FALSE),"")</f>
        <v/>
      </c>
      <c r="X1536" s="208">
        <f>SUM(Hoja1[[#This Row],[$ X TIP VEHICUL]:[AGREGADO]])</f>
        <v>0</v>
      </c>
    </row>
    <row r="1537" spans="2:24" hidden="1" x14ac:dyDescent="0.25">
      <c r="B1537" s="189"/>
      <c r="J1537" s="189"/>
      <c r="M1537" s="205"/>
      <c r="S1537" t="str">
        <f>IFERROR(VLOOKUP(E1537,'VALORES VIAJES'!$A$2:$B$13,2,FALSE),"")</f>
        <v/>
      </c>
      <c r="T1537" t="str">
        <f>IFERROR(VLOOKUP(H1537,'VALORES VIAJES'!$A$2:$B$24,2,FALSE),"")</f>
        <v/>
      </c>
      <c r="U1537" t="str">
        <f>IFERROR(VLOOKUP(I1537,'VALORES VIAJES'!$A$2:$B$24,2,FALSE),"")</f>
        <v/>
      </c>
      <c r="V1537" t="str">
        <f>IFERROR(VLOOKUP(K1537,'VALORES VIAJES'!$A$2:$B$24,2,FALSE),"")</f>
        <v/>
      </c>
      <c r="X1537" s="208">
        <f>SUM(Hoja1[[#This Row],[$ X TIP VEHICUL]:[AGREGADO]])</f>
        <v>0</v>
      </c>
    </row>
    <row r="1538" spans="2:24" hidden="1" x14ac:dyDescent="0.25">
      <c r="B1538" s="189"/>
      <c r="J1538" s="189"/>
      <c r="M1538" s="205"/>
      <c r="S1538" t="str">
        <f>IFERROR(VLOOKUP(E1538,'VALORES VIAJES'!$A$2:$B$13,2,FALSE),"")</f>
        <v/>
      </c>
      <c r="T1538" t="str">
        <f>IFERROR(VLOOKUP(H1538,'VALORES VIAJES'!$A$2:$B$24,2,FALSE),"")</f>
        <v/>
      </c>
      <c r="U1538" t="str">
        <f>IFERROR(VLOOKUP(I1538,'VALORES VIAJES'!$A$2:$B$24,2,FALSE),"")</f>
        <v/>
      </c>
      <c r="V1538" t="str">
        <f>IFERROR(VLOOKUP(K1538,'VALORES VIAJES'!$A$2:$B$24,2,FALSE),"")</f>
        <v/>
      </c>
      <c r="X1538" s="208">
        <f>SUM(Hoja1[[#This Row],[$ X TIP VEHICUL]:[AGREGADO]])</f>
        <v>0</v>
      </c>
    </row>
    <row r="1539" spans="2:24" hidden="1" x14ac:dyDescent="0.25">
      <c r="B1539" s="189"/>
      <c r="J1539" s="189"/>
      <c r="M1539" s="205"/>
      <c r="S1539" t="str">
        <f>IFERROR(VLOOKUP(E1539,'VALORES VIAJES'!$A$2:$B$13,2,FALSE),"")</f>
        <v/>
      </c>
      <c r="T1539" t="str">
        <f>IFERROR(VLOOKUP(H1539,'VALORES VIAJES'!$A$2:$B$24,2,FALSE),"")</f>
        <v/>
      </c>
      <c r="U1539" t="str">
        <f>IFERROR(VLOOKUP(I1539,'VALORES VIAJES'!$A$2:$B$24,2,FALSE),"")</f>
        <v/>
      </c>
      <c r="V1539" t="str">
        <f>IFERROR(VLOOKUP(K1539,'VALORES VIAJES'!$A$2:$B$24,2,FALSE),"")</f>
        <v/>
      </c>
      <c r="X1539" s="208">
        <f>SUM(Hoja1[[#This Row],[$ X TIP VEHICUL]:[AGREGADO]])</f>
        <v>0</v>
      </c>
    </row>
    <row r="1540" spans="2:24" hidden="1" x14ac:dyDescent="0.25">
      <c r="B1540" s="189"/>
      <c r="J1540" s="189"/>
      <c r="M1540" s="205"/>
      <c r="S1540" t="str">
        <f>IFERROR(VLOOKUP(E1540,'VALORES VIAJES'!$A$2:$B$13,2,FALSE),"")</f>
        <v/>
      </c>
      <c r="T1540" t="str">
        <f>IFERROR(VLOOKUP(H1540,'VALORES VIAJES'!$A$2:$B$24,2,FALSE),"")</f>
        <v/>
      </c>
      <c r="U1540" t="str">
        <f>IFERROR(VLOOKUP(I1540,'VALORES VIAJES'!$A$2:$B$24,2,FALSE),"")</f>
        <v/>
      </c>
      <c r="V1540" t="str">
        <f>IFERROR(VLOOKUP(K1540,'VALORES VIAJES'!$A$2:$B$24,2,FALSE),"")</f>
        <v/>
      </c>
      <c r="X1540" s="208">
        <f>SUM(Hoja1[[#This Row],[$ X TIP VEHICUL]:[AGREGADO]])</f>
        <v>0</v>
      </c>
    </row>
    <row r="1541" spans="2:24" hidden="1" x14ac:dyDescent="0.25">
      <c r="B1541" s="189"/>
      <c r="J1541" s="189"/>
      <c r="M1541" s="205"/>
      <c r="S1541" t="str">
        <f>IFERROR(VLOOKUP(E1541,'VALORES VIAJES'!$A$2:$B$13,2,FALSE),"")</f>
        <v/>
      </c>
      <c r="T1541" t="str">
        <f>IFERROR(VLOOKUP(H1541,'VALORES VIAJES'!$A$2:$B$24,2,FALSE),"")</f>
        <v/>
      </c>
      <c r="U1541" t="str">
        <f>IFERROR(VLOOKUP(I1541,'VALORES VIAJES'!$A$2:$B$24,2,FALSE),"")</f>
        <v/>
      </c>
      <c r="V1541" t="str">
        <f>IFERROR(VLOOKUP(K1541,'VALORES VIAJES'!$A$2:$B$24,2,FALSE),"")</f>
        <v/>
      </c>
      <c r="X1541" s="208">
        <f>SUM(Hoja1[[#This Row],[$ X TIP VEHICUL]:[AGREGADO]])</f>
        <v>0</v>
      </c>
    </row>
    <row r="1542" spans="2:24" hidden="1" x14ac:dyDescent="0.25">
      <c r="B1542" s="189"/>
      <c r="J1542" s="189"/>
      <c r="M1542" s="205"/>
      <c r="S1542" t="str">
        <f>IFERROR(VLOOKUP(E1542,'VALORES VIAJES'!$A$2:$B$13,2,FALSE),"")</f>
        <v/>
      </c>
      <c r="T1542" t="str">
        <f>IFERROR(VLOOKUP(H1542,'VALORES VIAJES'!$A$2:$B$24,2,FALSE),"")</f>
        <v/>
      </c>
      <c r="U1542" t="str">
        <f>IFERROR(VLOOKUP(I1542,'VALORES VIAJES'!$A$2:$B$24,2,FALSE),"")</f>
        <v/>
      </c>
      <c r="V1542" t="str">
        <f>IFERROR(VLOOKUP(K1542,'VALORES VIAJES'!$A$2:$B$24,2,FALSE),"")</f>
        <v/>
      </c>
      <c r="X1542" s="208">
        <f>SUM(Hoja1[[#This Row],[$ X TIP VEHICUL]:[AGREGADO]])</f>
        <v>0</v>
      </c>
    </row>
    <row r="1543" spans="2:24" hidden="1" x14ac:dyDescent="0.25">
      <c r="B1543" s="189"/>
      <c r="J1543" s="189"/>
      <c r="M1543" s="205"/>
      <c r="S1543" t="str">
        <f>IFERROR(VLOOKUP(E1543,'VALORES VIAJES'!$A$2:$B$13,2,FALSE),"")</f>
        <v/>
      </c>
      <c r="T1543" t="str">
        <f>IFERROR(VLOOKUP(H1543,'VALORES VIAJES'!$A$2:$B$24,2,FALSE),"")</f>
        <v/>
      </c>
      <c r="U1543" t="str">
        <f>IFERROR(VLOOKUP(I1543,'VALORES VIAJES'!$A$2:$B$24,2,FALSE),"")</f>
        <v/>
      </c>
      <c r="V1543" t="str">
        <f>IFERROR(VLOOKUP(K1543,'VALORES VIAJES'!$A$2:$B$24,2,FALSE),"")</f>
        <v/>
      </c>
      <c r="X1543" s="208">
        <f>SUM(Hoja1[[#This Row],[$ X TIP VEHICUL]:[AGREGADO]])</f>
        <v>0</v>
      </c>
    </row>
    <row r="1544" spans="2:24" hidden="1" x14ac:dyDescent="0.25">
      <c r="B1544" s="189"/>
      <c r="J1544" s="189"/>
      <c r="M1544" s="205"/>
      <c r="S1544" t="str">
        <f>IFERROR(VLOOKUP(E1544,'VALORES VIAJES'!$A$2:$B$13,2,FALSE),"")</f>
        <v/>
      </c>
      <c r="T1544" t="str">
        <f>IFERROR(VLOOKUP(H1544,'VALORES VIAJES'!$A$2:$B$24,2,FALSE),"")</f>
        <v/>
      </c>
      <c r="U1544" t="str">
        <f>IFERROR(VLOOKUP(I1544,'VALORES VIAJES'!$A$2:$B$24,2,FALSE),"")</f>
        <v/>
      </c>
      <c r="V1544" t="str">
        <f>IFERROR(VLOOKUP(K1544,'VALORES VIAJES'!$A$2:$B$24,2,FALSE),"")</f>
        <v/>
      </c>
      <c r="X1544" s="208">
        <f>SUM(Hoja1[[#This Row],[$ X TIP VEHICUL]:[AGREGADO]])</f>
        <v>0</v>
      </c>
    </row>
    <row r="1545" spans="2:24" hidden="1" x14ac:dyDescent="0.25">
      <c r="B1545" s="189"/>
      <c r="J1545" s="189"/>
      <c r="M1545" s="205"/>
      <c r="S1545" t="str">
        <f>IFERROR(VLOOKUP(E1545,'VALORES VIAJES'!$A$2:$B$13,2,FALSE),"")</f>
        <v/>
      </c>
      <c r="T1545" t="str">
        <f>IFERROR(VLOOKUP(H1545,'VALORES VIAJES'!$A$2:$B$24,2,FALSE),"")</f>
        <v/>
      </c>
      <c r="U1545" t="str">
        <f>IFERROR(VLOOKUP(I1545,'VALORES VIAJES'!$A$2:$B$24,2,FALSE),"")</f>
        <v/>
      </c>
      <c r="V1545" t="str">
        <f>IFERROR(VLOOKUP(K1545,'VALORES VIAJES'!$A$2:$B$24,2,FALSE),"")</f>
        <v/>
      </c>
      <c r="X1545" s="208">
        <f>SUM(Hoja1[[#This Row],[$ X TIP VEHICUL]:[AGREGADO]])</f>
        <v>0</v>
      </c>
    </row>
    <row r="1546" spans="2:24" hidden="1" x14ac:dyDescent="0.25">
      <c r="B1546" s="189"/>
      <c r="J1546" s="189"/>
      <c r="M1546" s="205"/>
      <c r="S1546" t="str">
        <f>IFERROR(VLOOKUP(E1546,'VALORES VIAJES'!$A$2:$B$13,2,FALSE),"")</f>
        <v/>
      </c>
      <c r="T1546" t="str">
        <f>IFERROR(VLOOKUP(H1546,'VALORES VIAJES'!$A$2:$B$24,2,FALSE),"")</f>
        <v/>
      </c>
      <c r="U1546" t="str">
        <f>IFERROR(VLOOKUP(I1546,'VALORES VIAJES'!$A$2:$B$24,2,FALSE),"")</f>
        <v/>
      </c>
      <c r="V1546" t="str">
        <f>IFERROR(VLOOKUP(K1546,'VALORES VIAJES'!$A$2:$B$24,2,FALSE),"")</f>
        <v/>
      </c>
      <c r="X1546" s="208">
        <f>SUM(Hoja1[[#This Row],[$ X TIP VEHICUL]:[AGREGADO]])</f>
        <v>0</v>
      </c>
    </row>
    <row r="1547" spans="2:24" hidden="1" x14ac:dyDescent="0.25">
      <c r="B1547" s="189"/>
      <c r="J1547" s="189"/>
      <c r="M1547" s="205"/>
      <c r="S1547" t="str">
        <f>IFERROR(VLOOKUP(E1547,'VALORES VIAJES'!$A$2:$B$13,2,FALSE),"")</f>
        <v/>
      </c>
      <c r="T1547" t="str">
        <f>IFERROR(VLOOKUP(H1547,'VALORES VIAJES'!$A$2:$B$24,2,FALSE),"")</f>
        <v/>
      </c>
      <c r="U1547" t="str">
        <f>IFERROR(VLOOKUP(I1547,'VALORES VIAJES'!$A$2:$B$24,2,FALSE),"")</f>
        <v/>
      </c>
      <c r="V1547" t="str">
        <f>IFERROR(VLOOKUP(K1547,'VALORES VIAJES'!$A$2:$B$24,2,FALSE),"")</f>
        <v/>
      </c>
      <c r="X1547" s="208">
        <f>SUM(Hoja1[[#This Row],[$ X TIP VEHICUL]:[AGREGADO]])</f>
        <v>0</v>
      </c>
    </row>
    <row r="1548" spans="2:24" hidden="1" x14ac:dyDescent="0.25">
      <c r="B1548" s="189"/>
      <c r="J1548" s="189"/>
      <c r="M1548" s="205"/>
      <c r="S1548" t="str">
        <f>IFERROR(VLOOKUP(E1548,'VALORES VIAJES'!$A$2:$B$13,2,FALSE),"")</f>
        <v/>
      </c>
      <c r="T1548" t="str">
        <f>IFERROR(VLOOKUP(H1548,'VALORES VIAJES'!$A$2:$B$24,2,FALSE),"")</f>
        <v/>
      </c>
      <c r="U1548" t="str">
        <f>IFERROR(VLOOKUP(I1548,'VALORES VIAJES'!$A$2:$B$24,2,FALSE),"")</f>
        <v/>
      </c>
      <c r="V1548" t="str">
        <f>IFERROR(VLOOKUP(K1548,'VALORES VIAJES'!$A$2:$B$24,2,FALSE),"")</f>
        <v/>
      </c>
      <c r="X1548" s="208">
        <f>SUM(Hoja1[[#This Row],[$ X TIP VEHICUL]:[AGREGADO]])</f>
        <v>0</v>
      </c>
    </row>
    <row r="1549" spans="2:24" hidden="1" x14ac:dyDescent="0.25">
      <c r="B1549" s="189"/>
      <c r="J1549" s="189"/>
      <c r="M1549" s="205"/>
      <c r="S1549" t="str">
        <f>IFERROR(VLOOKUP(E1549,'VALORES VIAJES'!$A$2:$B$13,2,FALSE),"")</f>
        <v/>
      </c>
      <c r="T1549" t="str">
        <f>IFERROR(VLOOKUP(H1549,'VALORES VIAJES'!$A$2:$B$24,2,FALSE),"")</f>
        <v/>
      </c>
      <c r="U1549" t="str">
        <f>IFERROR(VLOOKUP(I1549,'VALORES VIAJES'!$A$2:$B$24,2,FALSE),"")</f>
        <v/>
      </c>
      <c r="V1549" t="str">
        <f>IFERROR(VLOOKUP(K1549,'VALORES VIAJES'!$A$2:$B$24,2,FALSE),"")</f>
        <v/>
      </c>
      <c r="X1549" s="208">
        <f>SUM(Hoja1[[#This Row],[$ X TIP VEHICUL]:[AGREGADO]])</f>
        <v>0</v>
      </c>
    </row>
    <row r="1550" spans="2:24" hidden="1" x14ac:dyDescent="0.25">
      <c r="B1550" s="189"/>
      <c r="J1550" s="189"/>
      <c r="M1550" s="205"/>
      <c r="S1550" t="str">
        <f>IFERROR(VLOOKUP(E1550,'VALORES VIAJES'!$A$2:$B$13,2,FALSE),"")</f>
        <v/>
      </c>
      <c r="T1550" t="str">
        <f>IFERROR(VLOOKUP(H1550,'VALORES VIAJES'!$A$2:$B$24,2,FALSE),"")</f>
        <v/>
      </c>
      <c r="U1550" t="str">
        <f>IFERROR(VLOOKUP(I1550,'VALORES VIAJES'!$A$2:$B$24,2,FALSE),"")</f>
        <v/>
      </c>
      <c r="V1550" t="str">
        <f>IFERROR(VLOOKUP(K1550,'VALORES VIAJES'!$A$2:$B$24,2,FALSE),"")</f>
        <v/>
      </c>
      <c r="X1550" s="208">
        <f>SUM(Hoja1[[#This Row],[$ X TIP VEHICUL]:[AGREGADO]])</f>
        <v>0</v>
      </c>
    </row>
    <row r="1551" spans="2:24" hidden="1" x14ac:dyDescent="0.25">
      <c r="B1551" s="189"/>
      <c r="J1551" s="189"/>
      <c r="M1551" s="205"/>
      <c r="S1551" t="str">
        <f>IFERROR(VLOOKUP(E1551,'VALORES VIAJES'!$A$2:$B$13,2,FALSE),"")</f>
        <v/>
      </c>
      <c r="T1551" t="str">
        <f>IFERROR(VLOOKUP(H1551,'VALORES VIAJES'!$A$2:$B$24,2,FALSE),"")</f>
        <v/>
      </c>
      <c r="U1551" t="str">
        <f>IFERROR(VLOOKUP(I1551,'VALORES VIAJES'!$A$2:$B$24,2,FALSE),"")</f>
        <v/>
      </c>
      <c r="V1551" t="str">
        <f>IFERROR(VLOOKUP(K1551,'VALORES VIAJES'!$A$2:$B$24,2,FALSE),"")</f>
        <v/>
      </c>
      <c r="X1551" s="208">
        <f>SUM(Hoja1[[#This Row],[$ X TIP VEHICUL]:[AGREGADO]])</f>
        <v>0</v>
      </c>
    </row>
    <row r="1552" spans="2:24" hidden="1" x14ac:dyDescent="0.25">
      <c r="B1552" s="189"/>
      <c r="J1552" s="189"/>
      <c r="M1552" s="205"/>
      <c r="S1552" t="str">
        <f>IFERROR(VLOOKUP(E1552,'VALORES VIAJES'!$A$2:$B$13,2,FALSE),"")</f>
        <v/>
      </c>
      <c r="T1552" t="str">
        <f>IFERROR(VLOOKUP(H1552,'VALORES VIAJES'!$A$2:$B$24,2,FALSE),"")</f>
        <v/>
      </c>
      <c r="U1552" t="str">
        <f>IFERROR(VLOOKUP(I1552,'VALORES VIAJES'!$A$2:$B$24,2,FALSE),"")</f>
        <v/>
      </c>
      <c r="V1552" t="str">
        <f>IFERROR(VLOOKUP(K1552,'VALORES VIAJES'!$A$2:$B$24,2,FALSE),"")</f>
        <v/>
      </c>
      <c r="X1552" s="208">
        <f>SUM(Hoja1[[#This Row],[$ X TIP VEHICUL]:[AGREGADO]])</f>
        <v>0</v>
      </c>
    </row>
    <row r="1553" spans="2:24" hidden="1" x14ac:dyDescent="0.25">
      <c r="B1553" s="189"/>
      <c r="J1553" s="189"/>
      <c r="M1553" s="205"/>
      <c r="S1553" t="str">
        <f>IFERROR(VLOOKUP(E1553,'VALORES VIAJES'!$A$2:$B$13,2,FALSE),"")</f>
        <v/>
      </c>
      <c r="T1553" t="str">
        <f>IFERROR(VLOOKUP(H1553,'VALORES VIAJES'!$A$2:$B$24,2,FALSE),"")</f>
        <v/>
      </c>
      <c r="U1553" t="str">
        <f>IFERROR(VLOOKUP(I1553,'VALORES VIAJES'!$A$2:$B$24,2,FALSE),"")</f>
        <v/>
      </c>
      <c r="V1553" t="str">
        <f>IFERROR(VLOOKUP(K1553,'VALORES VIAJES'!$A$2:$B$24,2,FALSE),"")</f>
        <v/>
      </c>
      <c r="X1553" s="208">
        <f>SUM(Hoja1[[#This Row],[$ X TIP VEHICUL]:[AGREGADO]])</f>
        <v>0</v>
      </c>
    </row>
    <row r="1554" spans="2:24" hidden="1" x14ac:dyDescent="0.25">
      <c r="B1554" s="189"/>
      <c r="J1554" s="189"/>
      <c r="M1554" s="205"/>
      <c r="S1554" t="str">
        <f>IFERROR(VLOOKUP(E1554,'VALORES VIAJES'!$A$2:$B$13,2,FALSE),"")</f>
        <v/>
      </c>
      <c r="T1554" t="str">
        <f>IFERROR(VLOOKUP(H1554,'VALORES VIAJES'!$A$2:$B$24,2,FALSE),"")</f>
        <v/>
      </c>
      <c r="U1554" t="str">
        <f>IFERROR(VLOOKUP(I1554,'VALORES VIAJES'!$A$2:$B$24,2,FALSE),"")</f>
        <v/>
      </c>
      <c r="V1554" t="str">
        <f>IFERROR(VLOOKUP(K1554,'VALORES VIAJES'!$A$2:$B$24,2,FALSE),"")</f>
        <v/>
      </c>
      <c r="X1554" s="208">
        <f>SUM(Hoja1[[#This Row],[$ X TIP VEHICUL]:[AGREGADO]])</f>
        <v>0</v>
      </c>
    </row>
    <row r="1555" spans="2:24" hidden="1" x14ac:dyDescent="0.25">
      <c r="B1555" s="189"/>
      <c r="J1555" s="189"/>
      <c r="M1555" s="205"/>
      <c r="S1555" t="str">
        <f>IFERROR(VLOOKUP(E1555,'VALORES VIAJES'!$A$2:$B$13,2,FALSE),"")</f>
        <v/>
      </c>
      <c r="T1555" t="str">
        <f>IFERROR(VLOOKUP(H1555,'VALORES VIAJES'!$A$2:$B$24,2,FALSE),"")</f>
        <v/>
      </c>
      <c r="U1555" t="str">
        <f>IFERROR(VLOOKUP(I1555,'VALORES VIAJES'!$A$2:$B$24,2,FALSE),"")</f>
        <v/>
      </c>
      <c r="V1555" t="str">
        <f>IFERROR(VLOOKUP(K1555,'VALORES VIAJES'!$A$2:$B$24,2,FALSE),"")</f>
        <v/>
      </c>
      <c r="X1555" s="208">
        <f>SUM(Hoja1[[#This Row],[$ X TIP VEHICUL]:[AGREGADO]])</f>
        <v>0</v>
      </c>
    </row>
    <row r="1556" spans="2:24" hidden="1" x14ac:dyDescent="0.25">
      <c r="B1556" s="189"/>
      <c r="J1556" s="189"/>
      <c r="M1556" s="205"/>
      <c r="S1556" t="str">
        <f>IFERROR(VLOOKUP(E1556,'VALORES VIAJES'!$A$2:$B$13,2,FALSE),"")</f>
        <v/>
      </c>
      <c r="T1556" t="str">
        <f>IFERROR(VLOOKUP(H1556,'VALORES VIAJES'!$A$2:$B$24,2,FALSE),"")</f>
        <v/>
      </c>
      <c r="U1556" t="str">
        <f>IFERROR(VLOOKUP(I1556,'VALORES VIAJES'!$A$2:$B$24,2,FALSE),"")</f>
        <v/>
      </c>
      <c r="V1556" t="str">
        <f>IFERROR(VLOOKUP(K1556,'VALORES VIAJES'!$A$2:$B$24,2,FALSE),"")</f>
        <v/>
      </c>
      <c r="X1556" s="208">
        <f>SUM(Hoja1[[#This Row],[$ X TIP VEHICUL]:[AGREGADO]])</f>
        <v>0</v>
      </c>
    </row>
    <row r="1557" spans="2:24" hidden="1" x14ac:dyDescent="0.25">
      <c r="B1557" s="189"/>
      <c r="J1557" s="189"/>
      <c r="M1557" s="205"/>
      <c r="S1557" t="str">
        <f>IFERROR(VLOOKUP(E1557,'VALORES VIAJES'!$A$2:$B$13,2,FALSE),"")</f>
        <v/>
      </c>
      <c r="T1557" t="str">
        <f>IFERROR(VLOOKUP(H1557,'VALORES VIAJES'!$A$2:$B$24,2,FALSE),"")</f>
        <v/>
      </c>
      <c r="U1557" t="str">
        <f>IFERROR(VLOOKUP(I1557,'VALORES VIAJES'!$A$2:$B$24,2,FALSE),"")</f>
        <v/>
      </c>
      <c r="V1557" t="str">
        <f>IFERROR(VLOOKUP(K1557,'VALORES VIAJES'!$A$2:$B$24,2,FALSE),"")</f>
        <v/>
      </c>
      <c r="X1557" s="208">
        <f>SUM(Hoja1[[#This Row],[$ X TIP VEHICUL]:[AGREGADO]])</f>
        <v>0</v>
      </c>
    </row>
    <row r="1558" spans="2:24" hidden="1" x14ac:dyDescent="0.25">
      <c r="B1558" s="189"/>
      <c r="J1558" s="189"/>
      <c r="M1558" s="205"/>
      <c r="S1558" t="str">
        <f>IFERROR(VLOOKUP(E1558,'VALORES VIAJES'!$A$2:$B$13,2,FALSE),"")</f>
        <v/>
      </c>
      <c r="T1558" t="str">
        <f>IFERROR(VLOOKUP(H1558,'VALORES VIAJES'!$A$2:$B$24,2,FALSE),"")</f>
        <v/>
      </c>
      <c r="U1558" t="str">
        <f>IFERROR(VLOOKUP(I1558,'VALORES VIAJES'!$A$2:$B$24,2,FALSE),"")</f>
        <v/>
      </c>
      <c r="V1558" t="str">
        <f>IFERROR(VLOOKUP(K1558,'VALORES VIAJES'!$A$2:$B$24,2,FALSE),"")</f>
        <v/>
      </c>
      <c r="X1558" s="208">
        <f>SUM(Hoja1[[#This Row],[$ X TIP VEHICUL]:[AGREGADO]])</f>
        <v>0</v>
      </c>
    </row>
    <row r="1559" spans="2:24" hidden="1" x14ac:dyDescent="0.25">
      <c r="B1559" s="189"/>
      <c r="J1559" s="189"/>
      <c r="M1559" s="205"/>
      <c r="S1559" t="str">
        <f>IFERROR(VLOOKUP(E1559,'VALORES VIAJES'!$A$2:$B$13,2,FALSE),"")</f>
        <v/>
      </c>
      <c r="T1559" t="str">
        <f>IFERROR(VLOOKUP(H1559,'VALORES VIAJES'!$A$2:$B$24,2,FALSE),"")</f>
        <v/>
      </c>
      <c r="U1559" t="str">
        <f>IFERROR(VLOOKUP(I1559,'VALORES VIAJES'!$A$2:$B$24,2,FALSE),"")</f>
        <v/>
      </c>
      <c r="V1559" t="str">
        <f>IFERROR(VLOOKUP(K1559,'VALORES VIAJES'!$A$2:$B$24,2,FALSE),"")</f>
        <v/>
      </c>
      <c r="X1559" s="208">
        <f>SUM(Hoja1[[#This Row],[$ X TIP VEHICUL]:[AGREGADO]])</f>
        <v>0</v>
      </c>
    </row>
    <row r="1560" spans="2:24" hidden="1" x14ac:dyDescent="0.25">
      <c r="B1560" s="189"/>
      <c r="J1560" s="189"/>
      <c r="M1560" s="205"/>
      <c r="S1560" t="str">
        <f>IFERROR(VLOOKUP(E1560,'VALORES VIAJES'!$A$2:$B$13,2,FALSE),"")</f>
        <v/>
      </c>
      <c r="T1560" t="str">
        <f>IFERROR(VLOOKUP(H1560,'VALORES VIAJES'!$A$2:$B$24,2,FALSE),"")</f>
        <v/>
      </c>
      <c r="U1560" t="str">
        <f>IFERROR(VLOOKUP(I1560,'VALORES VIAJES'!$A$2:$B$24,2,FALSE),"")</f>
        <v/>
      </c>
      <c r="V1560" t="str">
        <f>IFERROR(VLOOKUP(K1560,'VALORES VIAJES'!$A$2:$B$24,2,FALSE),"")</f>
        <v/>
      </c>
      <c r="X1560" s="208">
        <f>SUM(Hoja1[[#This Row],[$ X TIP VEHICUL]:[AGREGADO]])</f>
        <v>0</v>
      </c>
    </row>
    <row r="1561" spans="2:24" hidden="1" x14ac:dyDescent="0.25">
      <c r="B1561" s="189"/>
      <c r="J1561" s="189"/>
      <c r="M1561" s="205"/>
      <c r="S1561" t="str">
        <f>IFERROR(VLOOKUP(E1561,'VALORES VIAJES'!$A$2:$B$13,2,FALSE),"")</f>
        <v/>
      </c>
      <c r="T1561" t="str">
        <f>IFERROR(VLOOKUP(H1561,'VALORES VIAJES'!$A$2:$B$24,2,FALSE),"")</f>
        <v/>
      </c>
      <c r="U1561" t="str">
        <f>IFERROR(VLOOKUP(I1561,'VALORES VIAJES'!$A$2:$B$24,2,FALSE),"")</f>
        <v/>
      </c>
      <c r="V1561" t="str">
        <f>IFERROR(VLOOKUP(K1561,'VALORES VIAJES'!$A$2:$B$24,2,FALSE),"")</f>
        <v/>
      </c>
      <c r="X1561" s="208">
        <f>SUM(Hoja1[[#This Row],[$ X TIP VEHICUL]:[AGREGADO]])</f>
        <v>0</v>
      </c>
    </row>
    <row r="1562" spans="2:24" hidden="1" x14ac:dyDescent="0.25">
      <c r="B1562" s="189"/>
      <c r="J1562" s="189"/>
      <c r="M1562" s="205"/>
      <c r="S1562" t="str">
        <f>IFERROR(VLOOKUP(E1562,'VALORES VIAJES'!$A$2:$B$13,2,FALSE),"")</f>
        <v/>
      </c>
      <c r="T1562" t="str">
        <f>IFERROR(VLOOKUP(H1562,'VALORES VIAJES'!$A$2:$B$24,2,FALSE),"")</f>
        <v/>
      </c>
      <c r="U1562" t="str">
        <f>IFERROR(VLOOKUP(I1562,'VALORES VIAJES'!$A$2:$B$24,2,FALSE),"")</f>
        <v/>
      </c>
      <c r="V1562" t="str">
        <f>IFERROR(VLOOKUP(K1562,'VALORES VIAJES'!$A$2:$B$24,2,FALSE),"")</f>
        <v/>
      </c>
      <c r="X1562" s="208">
        <f>SUM(Hoja1[[#This Row],[$ X TIP VEHICUL]:[AGREGADO]])</f>
        <v>0</v>
      </c>
    </row>
    <row r="1563" spans="2:24" hidden="1" x14ac:dyDescent="0.25">
      <c r="B1563" s="189"/>
      <c r="J1563" s="189"/>
      <c r="M1563" s="205"/>
      <c r="S1563" t="str">
        <f>IFERROR(VLOOKUP(E1563,'VALORES VIAJES'!$A$2:$B$13,2,FALSE),"")</f>
        <v/>
      </c>
      <c r="T1563" t="str">
        <f>IFERROR(VLOOKUP(H1563,'VALORES VIAJES'!$A$2:$B$24,2,FALSE),"")</f>
        <v/>
      </c>
      <c r="U1563" t="str">
        <f>IFERROR(VLOOKUP(I1563,'VALORES VIAJES'!$A$2:$B$24,2,FALSE),"")</f>
        <v/>
      </c>
      <c r="V1563" t="str">
        <f>IFERROR(VLOOKUP(K1563,'VALORES VIAJES'!$A$2:$B$24,2,FALSE),"")</f>
        <v/>
      </c>
      <c r="X1563" s="208">
        <f>SUM(Hoja1[[#This Row],[$ X TIP VEHICUL]:[AGREGADO]])</f>
        <v>0</v>
      </c>
    </row>
    <row r="1564" spans="2:24" hidden="1" x14ac:dyDescent="0.25">
      <c r="B1564" s="189"/>
      <c r="J1564" s="189"/>
      <c r="M1564" s="205"/>
      <c r="S1564" t="str">
        <f>IFERROR(VLOOKUP(E1564,'VALORES VIAJES'!$A$2:$B$13,2,FALSE),"")</f>
        <v/>
      </c>
      <c r="T1564" t="str">
        <f>IFERROR(VLOOKUP(H1564,'VALORES VIAJES'!$A$2:$B$24,2,FALSE),"")</f>
        <v/>
      </c>
      <c r="U1564" t="str">
        <f>IFERROR(VLOOKUP(I1564,'VALORES VIAJES'!$A$2:$B$24,2,FALSE),"")</f>
        <v/>
      </c>
      <c r="V1564" t="str">
        <f>IFERROR(VLOOKUP(K1564,'VALORES VIAJES'!$A$2:$B$24,2,FALSE),"")</f>
        <v/>
      </c>
      <c r="X1564" s="208">
        <f>SUM(Hoja1[[#This Row],[$ X TIP VEHICUL]:[AGREGADO]])</f>
        <v>0</v>
      </c>
    </row>
    <row r="1565" spans="2:24" hidden="1" x14ac:dyDescent="0.25">
      <c r="B1565" s="189"/>
      <c r="J1565" s="189"/>
      <c r="M1565" s="205"/>
      <c r="S1565" t="str">
        <f>IFERROR(VLOOKUP(E1565,'VALORES VIAJES'!$A$2:$B$13,2,FALSE),"")</f>
        <v/>
      </c>
      <c r="T1565" t="str">
        <f>IFERROR(VLOOKUP(H1565,'VALORES VIAJES'!$A$2:$B$24,2,FALSE),"")</f>
        <v/>
      </c>
      <c r="U1565" t="str">
        <f>IFERROR(VLOOKUP(I1565,'VALORES VIAJES'!$A$2:$B$24,2,FALSE),"")</f>
        <v/>
      </c>
      <c r="V1565" t="str">
        <f>IFERROR(VLOOKUP(K1565,'VALORES VIAJES'!$A$2:$B$24,2,FALSE),"")</f>
        <v/>
      </c>
      <c r="X1565" s="208">
        <f>SUM(Hoja1[[#This Row],[$ X TIP VEHICUL]:[AGREGADO]])</f>
        <v>0</v>
      </c>
    </row>
    <row r="1566" spans="2:24" hidden="1" x14ac:dyDescent="0.25">
      <c r="B1566" s="189"/>
      <c r="J1566" s="189"/>
      <c r="M1566" s="205"/>
      <c r="S1566" t="str">
        <f>IFERROR(VLOOKUP(E1566,'VALORES VIAJES'!$A$2:$B$13,2,FALSE),"")</f>
        <v/>
      </c>
      <c r="T1566" t="str">
        <f>IFERROR(VLOOKUP(H1566,'VALORES VIAJES'!$A$2:$B$24,2,FALSE),"")</f>
        <v/>
      </c>
      <c r="U1566" t="str">
        <f>IFERROR(VLOOKUP(I1566,'VALORES VIAJES'!$A$2:$B$24,2,FALSE),"")</f>
        <v/>
      </c>
      <c r="V1566" t="str">
        <f>IFERROR(VLOOKUP(K1566,'VALORES VIAJES'!$A$2:$B$24,2,FALSE),"")</f>
        <v/>
      </c>
      <c r="X1566" s="208">
        <f>SUM(Hoja1[[#This Row],[$ X TIP VEHICUL]:[AGREGADO]])</f>
        <v>0</v>
      </c>
    </row>
    <row r="1567" spans="2:24" hidden="1" x14ac:dyDescent="0.25">
      <c r="B1567" s="189"/>
      <c r="J1567" s="189"/>
      <c r="M1567" s="205"/>
      <c r="S1567" t="str">
        <f>IFERROR(VLOOKUP(E1567,'VALORES VIAJES'!$A$2:$B$13,2,FALSE),"")</f>
        <v/>
      </c>
      <c r="T1567" t="str">
        <f>IFERROR(VLOOKUP(H1567,'VALORES VIAJES'!$A$2:$B$24,2,FALSE),"")</f>
        <v/>
      </c>
      <c r="U1567" t="str">
        <f>IFERROR(VLOOKUP(I1567,'VALORES VIAJES'!$A$2:$B$24,2,FALSE),"")</f>
        <v/>
      </c>
      <c r="V1567" t="str">
        <f>IFERROR(VLOOKUP(K1567,'VALORES VIAJES'!$A$2:$B$24,2,FALSE),"")</f>
        <v/>
      </c>
      <c r="X1567" s="208">
        <f>SUM(Hoja1[[#This Row],[$ X TIP VEHICUL]:[AGREGADO]])</f>
        <v>0</v>
      </c>
    </row>
    <row r="1568" spans="2:24" hidden="1" x14ac:dyDescent="0.25">
      <c r="B1568" s="189"/>
      <c r="J1568" s="189"/>
      <c r="M1568" s="205"/>
      <c r="S1568" t="str">
        <f>IFERROR(VLOOKUP(E1568,'VALORES VIAJES'!$A$2:$B$13,2,FALSE),"")</f>
        <v/>
      </c>
      <c r="T1568" t="str">
        <f>IFERROR(VLOOKUP(H1568,'VALORES VIAJES'!$A$2:$B$24,2,FALSE),"")</f>
        <v/>
      </c>
      <c r="U1568" t="str">
        <f>IFERROR(VLOOKUP(I1568,'VALORES VIAJES'!$A$2:$B$24,2,FALSE),"")</f>
        <v/>
      </c>
      <c r="V1568" t="str">
        <f>IFERROR(VLOOKUP(K1568,'VALORES VIAJES'!$A$2:$B$24,2,FALSE),"")</f>
        <v/>
      </c>
      <c r="X1568" s="208">
        <f>SUM(Hoja1[[#This Row],[$ X TIP VEHICUL]:[AGREGADO]])</f>
        <v>0</v>
      </c>
    </row>
    <row r="1569" spans="2:24" hidden="1" x14ac:dyDescent="0.25">
      <c r="B1569" s="189"/>
      <c r="J1569" s="189"/>
      <c r="M1569" s="205"/>
      <c r="S1569" t="str">
        <f>IFERROR(VLOOKUP(E1569,'VALORES VIAJES'!$A$2:$B$13,2,FALSE),"")</f>
        <v/>
      </c>
      <c r="T1569" t="str">
        <f>IFERROR(VLOOKUP(H1569,'VALORES VIAJES'!$A$2:$B$24,2,FALSE),"")</f>
        <v/>
      </c>
      <c r="U1569" t="str">
        <f>IFERROR(VLOOKUP(I1569,'VALORES VIAJES'!$A$2:$B$24,2,FALSE),"")</f>
        <v/>
      </c>
      <c r="V1569" t="str">
        <f>IFERROR(VLOOKUP(K1569,'VALORES VIAJES'!$A$2:$B$24,2,FALSE),"")</f>
        <v/>
      </c>
      <c r="X1569" s="208">
        <f>SUM(Hoja1[[#This Row],[$ X TIP VEHICUL]:[AGREGADO]])</f>
        <v>0</v>
      </c>
    </row>
    <row r="1570" spans="2:24" hidden="1" x14ac:dyDescent="0.25">
      <c r="B1570" s="189"/>
      <c r="J1570" s="189"/>
      <c r="M1570" s="205"/>
      <c r="S1570" t="str">
        <f>IFERROR(VLOOKUP(E1570,'VALORES VIAJES'!$A$2:$B$13,2,FALSE),"")</f>
        <v/>
      </c>
      <c r="T1570" t="str">
        <f>IFERROR(VLOOKUP(H1570,'VALORES VIAJES'!$A$2:$B$24,2,FALSE),"")</f>
        <v/>
      </c>
      <c r="U1570" t="str">
        <f>IFERROR(VLOOKUP(I1570,'VALORES VIAJES'!$A$2:$B$24,2,FALSE),"")</f>
        <v/>
      </c>
      <c r="V1570" t="str">
        <f>IFERROR(VLOOKUP(K1570,'VALORES VIAJES'!$A$2:$B$24,2,FALSE),"")</f>
        <v/>
      </c>
      <c r="X1570" s="208">
        <f>SUM(Hoja1[[#This Row],[$ X TIP VEHICUL]:[AGREGADO]])</f>
        <v>0</v>
      </c>
    </row>
    <row r="1571" spans="2:24" hidden="1" x14ac:dyDescent="0.25">
      <c r="B1571" s="189"/>
      <c r="J1571" s="189"/>
      <c r="M1571" s="205"/>
      <c r="S1571" t="str">
        <f>IFERROR(VLOOKUP(E1571,'VALORES VIAJES'!$A$2:$B$13,2,FALSE),"")</f>
        <v/>
      </c>
      <c r="T1571" t="str">
        <f>IFERROR(VLOOKUP(H1571,'VALORES VIAJES'!$A$2:$B$24,2,FALSE),"")</f>
        <v/>
      </c>
      <c r="U1571" t="str">
        <f>IFERROR(VLOOKUP(I1571,'VALORES VIAJES'!$A$2:$B$24,2,FALSE),"")</f>
        <v/>
      </c>
      <c r="V1571" t="str">
        <f>IFERROR(VLOOKUP(K1571,'VALORES VIAJES'!$A$2:$B$24,2,FALSE),"")</f>
        <v/>
      </c>
      <c r="X1571" s="208">
        <f>SUM(Hoja1[[#This Row],[$ X TIP VEHICUL]:[AGREGADO]])</f>
        <v>0</v>
      </c>
    </row>
    <row r="1572" spans="2:24" hidden="1" x14ac:dyDescent="0.25">
      <c r="B1572" s="189"/>
      <c r="J1572" s="189"/>
      <c r="M1572" s="205"/>
      <c r="S1572" t="str">
        <f>IFERROR(VLOOKUP(E1572,'VALORES VIAJES'!$A$2:$B$13,2,FALSE),"")</f>
        <v/>
      </c>
      <c r="T1572" t="str">
        <f>IFERROR(VLOOKUP(H1572,'VALORES VIAJES'!$A$2:$B$24,2,FALSE),"")</f>
        <v/>
      </c>
      <c r="U1572" t="str">
        <f>IFERROR(VLOOKUP(I1572,'VALORES VIAJES'!$A$2:$B$24,2,FALSE),"")</f>
        <v/>
      </c>
      <c r="V1572" t="str">
        <f>IFERROR(VLOOKUP(K1572,'VALORES VIAJES'!$A$2:$B$24,2,FALSE),"")</f>
        <v/>
      </c>
      <c r="X1572" s="208">
        <f>SUM(Hoja1[[#This Row],[$ X TIP VEHICUL]:[AGREGADO]])</f>
        <v>0</v>
      </c>
    </row>
    <row r="1573" spans="2:24" hidden="1" x14ac:dyDescent="0.25">
      <c r="B1573" s="189"/>
      <c r="J1573" s="189"/>
      <c r="M1573" s="205"/>
      <c r="S1573" t="str">
        <f>IFERROR(VLOOKUP(E1573,'VALORES VIAJES'!$A$2:$B$13,2,FALSE),"")</f>
        <v/>
      </c>
      <c r="T1573" t="str">
        <f>IFERROR(VLOOKUP(H1573,'VALORES VIAJES'!$A$2:$B$24,2,FALSE),"")</f>
        <v/>
      </c>
      <c r="U1573" t="str">
        <f>IFERROR(VLOOKUP(I1573,'VALORES VIAJES'!$A$2:$B$24,2,FALSE),"")</f>
        <v/>
      </c>
      <c r="V1573" t="str">
        <f>IFERROR(VLOOKUP(K1573,'VALORES VIAJES'!$A$2:$B$24,2,FALSE),"")</f>
        <v/>
      </c>
      <c r="X1573" s="208">
        <f>SUM(Hoja1[[#This Row],[$ X TIP VEHICUL]:[AGREGADO]])</f>
        <v>0</v>
      </c>
    </row>
    <row r="1574" spans="2:24" hidden="1" x14ac:dyDescent="0.25">
      <c r="B1574" s="189"/>
      <c r="J1574" s="189"/>
      <c r="M1574" s="205"/>
      <c r="S1574" t="str">
        <f>IFERROR(VLOOKUP(E1574,'VALORES VIAJES'!$A$2:$B$13,2,FALSE),"")</f>
        <v/>
      </c>
      <c r="T1574" t="str">
        <f>IFERROR(VLOOKUP(H1574,'VALORES VIAJES'!$A$2:$B$24,2,FALSE),"")</f>
        <v/>
      </c>
      <c r="U1574" t="str">
        <f>IFERROR(VLOOKUP(I1574,'VALORES VIAJES'!$A$2:$B$24,2,FALSE),"")</f>
        <v/>
      </c>
      <c r="V1574" t="str">
        <f>IFERROR(VLOOKUP(K1574,'VALORES VIAJES'!$A$2:$B$24,2,FALSE),"")</f>
        <v/>
      </c>
      <c r="X1574" s="208">
        <f>SUM(Hoja1[[#This Row],[$ X TIP VEHICUL]:[AGREGADO]])</f>
        <v>0</v>
      </c>
    </row>
    <row r="1575" spans="2:24" hidden="1" x14ac:dyDescent="0.25">
      <c r="B1575" s="189"/>
      <c r="J1575" s="189"/>
      <c r="M1575" s="205"/>
      <c r="S1575" t="str">
        <f>IFERROR(VLOOKUP(E1575,'VALORES VIAJES'!$A$2:$B$13,2,FALSE),"")</f>
        <v/>
      </c>
      <c r="T1575" t="str">
        <f>IFERROR(VLOOKUP(H1575,'VALORES VIAJES'!$A$2:$B$24,2,FALSE),"")</f>
        <v/>
      </c>
      <c r="U1575" t="str">
        <f>IFERROR(VLOOKUP(I1575,'VALORES VIAJES'!$A$2:$B$24,2,FALSE),"")</f>
        <v/>
      </c>
      <c r="V1575" t="str">
        <f>IFERROR(VLOOKUP(K1575,'VALORES VIAJES'!$A$2:$B$24,2,FALSE),"")</f>
        <v/>
      </c>
      <c r="X1575" s="208">
        <f>SUM(Hoja1[[#This Row],[$ X TIP VEHICUL]:[AGREGADO]])</f>
        <v>0</v>
      </c>
    </row>
    <row r="1576" spans="2:24" hidden="1" x14ac:dyDescent="0.25">
      <c r="B1576" s="189"/>
      <c r="J1576" s="189"/>
      <c r="M1576" s="205"/>
      <c r="S1576" t="str">
        <f>IFERROR(VLOOKUP(E1576,'VALORES VIAJES'!$A$2:$B$13,2,FALSE),"")</f>
        <v/>
      </c>
      <c r="T1576" t="str">
        <f>IFERROR(VLOOKUP(H1576,'VALORES VIAJES'!$A$2:$B$24,2,FALSE),"")</f>
        <v/>
      </c>
      <c r="U1576" t="str">
        <f>IFERROR(VLOOKUP(I1576,'VALORES VIAJES'!$A$2:$B$24,2,FALSE),"")</f>
        <v/>
      </c>
      <c r="V1576" t="str">
        <f>IFERROR(VLOOKUP(K1576,'VALORES VIAJES'!$A$2:$B$24,2,FALSE),"")</f>
        <v/>
      </c>
      <c r="X1576" s="208">
        <f>SUM(Hoja1[[#This Row],[$ X TIP VEHICUL]:[AGREGADO]])</f>
        <v>0</v>
      </c>
    </row>
    <row r="1577" spans="2:24" hidden="1" x14ac:dyDescent="0.25">
      <c r="B1577" s="189"/>
      <c r="J1577" s="189"/>
      <c r="M1577" s="205"/>
      <c r="S1577" t="str">
        <f>IFERROR(VLOOKUP(E1577,'VALORES VIAJES'!$A$2:$B$13,2,FALSE),"")</f>
        <v/>
      </c>
      <c r="T1577" t="str">
        <f>IFERROR(VLOOKUP(H1577,'VALORES VIAJES'!$A$2:$B$24,2,FALSE),"")</f>
        <v/>
      </c>
      <c r="U1577" t="str">
        <f>IFERROR(VLOOKUP(I1577,'VALORES VIAJES'!$A$2:$B$24,2,FALSE),"")</f>
        <v/>
      </c>
      <c r="V1577" t="str">
        <f>IFERROR(VLOOKUP(K1577,'VALORES VIAJES'!$A$2:$B$24,2,FALSE),"")</f>
        <v/>
      </c>
      <c r="X1577" s="208">
        <f>SUM(Hoja1[[#This Row],[$ X TIP VEHICUL]:[AGREGADO]])</f>
        <v>0</v>
      </c>
    </row>
    <row r="1578" spans="2:24" hidden="1" x14ac:dyDescent="0.25">
      <c r="B1578" s="189"/>
      <c r="J1578" s="189"/>
      <c r="M1578" s="205"/>
      <c r="S1578" t="str">
        <f>IFERROR(VLOOKUP(E1578,'VALORES VIAJES'!$A$2:$B$13,2,FALSE),"")</f>
        <v/>
      </c>
      <c r="T1578" t="str">
        <f>IFERROR(VLOOKUP(H1578,'VALORES VIAJES'!$A$2:$B$24,2,FALSE),"")</f>
        <v/>
      </c>
      <c r="U1578" t="str">
        <f>IFERROR(VLOOKUP(I1578,'VALORES VIAJES'!$A$2:$B$24,2,FALSE),"")</f>
        <v/>
      </c>
      <c r="V1578" t="str">
        <f>IFERROR(VLOOKUP(K1578,'VALORES VIAJES'!$A$2:$B$24,2,FALSE),"")</f>
        <v/>
      </c>
      <c r="X1578" s="208">
        <f>SUM(Hoja1[[#This Row],[$ X TIP VEHICUL]:[AGREGADO]])</f>
        <v>0</v>
      </c>
    </row>
    <row r="1579" spans="2:24" hidden="1" x14ac:dyDescent="0.25">
      <c r="B1579" s="189"/>
      <c r="J1579" s="189"/>
      <c r="M1579" s="205"/>
      <c r="S1579" t="str">
        <f>IFERROR(VLOOKUP(E1579,'VALORES VIAJES'!$A$2:$B$13,2,FALSE),"")</f>
        <v/>
      </c>
      <c r="T1579" t="str">
        <f>IFERROR(VLOOKUP(H1579,'VALORES VIAJES'!$A$2:$B$24,2,FALSE),"")</f>
        <v/>
      </c>
      <c r="U1579" t="str">
        <f>IFERROR(VLOOKUP(I1579,'VALORES VIAJES'!$A$2:$B$24,2,FALSE),"")</f>
        <v/>
      </c>
      <c r="V1579" t="str">
        <f>IFERROR(VLOOKUP(K1579,'VALORES VIAJES'!$A$2:$B$24,2,FALSE),"")</f>
        <v/>
      </c>
      <c r="X1579" s="208">
        <f>SUM(Hoja1[[#This Row],[$ X TIP VEHICUL]:[AGREGADO]])</f>
        <v>0</v>
      </c>
    </row>
    <row r="1580" spans="2:24" hidden="1" x14ac:dyDescent="0.25">
      <c r="B1580" s="189"/>
      <c r="J1580" s="189"/>
      <c r="M1580" s="205"/>
      <c r="S1580" t="str">
        <f>IFERROR(VLOOKUP(E1580,'VALORES VIAJES'!$A$2:$B$13,2,FALSE),"")</f>
        <v/>
      </c>
      <c r="T1580" t="str">
        <f>IFERROR(VLOOKUP(H1580,'VALORES VIAJES'!$A$2:$B$24,2,FALSE),"")</f>
        <v/>
      </c>
      <c r="U1580" t="str">
        <f>IFERROR(VLOOKUP(I1580,'VALORES VIAJES'!$A$2:$B$24,2,FALSE),"")</f>
        <v/>
      </c>
      <c r="V1580" t="str">
        <f>IFERROR(VLOOKUP(K1580,'VALORES VIAJES'!$A$2:$B$24,2,FALSE),"")</f>
        <v/>
      </c>
      <c r="X1580" s="208">
        <f>SUM(Hoja1[[#This Row],[$ X TIP VEHICUL]:[AGREGADO]])</f>
        <v>0</v>
      </c>
    </row>
    <row r="1581" spans="2:24" hidden="1" x14ac:dyDescent="0.25">
      <c r="B1581" s="189"/>
      <c r="J1581" s="189"/>
      <c r="M1581" s="205"/>
      <c r="S1581" t="str">
        <f>IFERROR(VLOOKUP(E1581,'VALORES VIAJES'!$A$2:$B$13,2,FALSE),"")</f>
        <v/>
      </c>
      <c r="T1581" t="str">
        <f>IFERROR(VLOOKUP(H1581,'VALORES VIAJES'!$A$2:$B$24,2,FALSE),"")</f>
        <v/>
      </c>
      <c r="U1581" t="str">
        <f>IFERROR(VLOOKUP(I1581,'VALORES VIAJES'!$A$2:$B$24,2,FALSE),"")</f>
        <v/>
      </c>
      <c r="V1581" t="str">
        <f>IFERROR(VLOOKUP(K1581,'VALORES VIAJES'!$A$2:$B$24,2,FALSE),"")</f>
        <v/>
      </c>
      <c r="X1581" s="208">
        <f>SUM(Hoja1[[#This Row],[$ X TIP VEHICUL]:[AGREGADO]])</f>
        <v>0</v>
      </c>
    </row>
    <row r="1582" spans="2:24" hidden="1" x14ac:dyDescent="0.25">
      <c r="B1582" s="189"/>
      <c r="J1582" s="189"/>
      <c r="M1582" s="205"/>
      <c r="S1582" t="str">
        <f>IFERROR(VLOOKUP(E1582,'VALORES VIAJES'!$A$2:$B$13,2,FALSE),"")</f>
        <v/>
      </c>
      <c r="T1582" t="str">
        <f>IFERROR(VLOOKUP(H1582,'VALORES VIAJES'!$A$2:$B$24,2,FALSE),"")</f>
        <v/>
      </c>
      <c r="U1582" t="str">
        <f>IFERROR(VLOOKUP(I1582,'VALORES VIAJES'!$A$2:$B$24,2,FALSE),"")</f>
        <v/>
      </c>
      <c r="V1582" t="str">
        <f>IFERROR(VLOOKUP(K1582,'VALORES VIAJES'!$A$2:$B$24,2,FALSE),"")</f>
        <v/>
      </c>
      <c r="X1582" s="208">
        <f>SUM(Hoja1[[#This Row],[$ X TIP VEHICUL]:[AGREGADO]])</f>
        <v>0</v>
      </c>
    </row>
    <row r="1583" spans="2:24" hidden="1" x14ac:dyDescent="0.25">
      <c r="B1583" s="189"/>
      <c r="J1583" s="189"/>
      <c r="M1583" s="205"/>
      <c r="S1583" t="str">
        <f>IFERROR(VLOOKUP(E1583,'VALORES VIAJES'!$A$2:$B$13,2,FALSE),"")</f>
        <v/>
      </c>
      <c r="T1583" t="str">
        <f>IFERROR(VLOOKUP(H1583,'VALORES VIAJES'!$A$2:$B$24,2,FALSE),"")</f>
        <v/>
      </c>
      <c r="U1583" t="str">
        <f>IFERROR(VLOOKUP(I1583,'VALORES VIAJES'!$A$2:$B$24,2,FALSE),"")</f>
        <v/>
      </c>
      <c r="V1583" t="str">
        <f>IFERROR(VLOOKUP(K1583,'VALORES VIAJES'!$A$2:$B$24,2,FALSE),"")</f>
        <v/>
      </c>
      <c r="X1583" s="208">
        <f>SUM(Hoja1[[#This Row],[$ X TIP VEHICUL]:[AGREGADO]])</f>
        <v>0</v>
      </c>
    </row>
    <row r="1584" spans="2:24" hidden="1" x14ac:dyDescent="0.25">
      <c r="B1584" s="189"/>
      <c r="J1584" s="189"/>
      <c r="M1584" s="205"/>
      <c r="S1584" t="str">
        <f>IFERROR(VLOOKUP(E1584,'VALORES VIAJES'!$A$2:$B$13,2,FALSE),"")</f>
        <v/>
      </c>
      <c r="T1584" t="str">
        <f>IFERROR(VLOOKUP(H1584,'VALORES VIAJES'!$A$2:$B$24,2,FALSE),"")</f>
        <v/>
      </c>
      <c r="U1584" t="str">
        <f>IFERROR(VLOOKUP(I1584,'VALORES VIAJES'!$A$2:$B$24,2,FALSE),"")</f>
        <v/>
      </c>
      <c r="V1584" t="str">
        <f>IFERROR(VLOOKUP(K1584,'VALORES VIAJES'!$A$2:$B$24,2,FALSE),"")</f>
        <v/>
      </c>
      <c r="X1584" s="208">
        <f>SUM(Hoja1[[#This Row],[$ X TIP VEHICUL]:[AGREGADO]])</f>
        <v>0</v>
      </c>
    </row>
    <row r="1585" spans="2:24" hidden="1" x14ac:dyDescent="0.25">
      <c r="B1585" s="189"/>
      <c r="J1585" s="189"/>
      <c r="M1585" s="205"/>
      <c r="S1585" t="str">
        <f>IFERROR(VLOOKUP(E1585,'VALORES VIAJES'!$A$2:$B$13,2,FALSE),"")</f>
        <v/>
      </c>
      <c r="T1585" t="str">
        <f>IFERROR(VLOOKUP(H1585,'VALORES VIAJES'!$A$2:$B$24,2,FALSE),"")</f>
        <v/>
      </c>
      <c r="U1585" t="str">
        <f>IFERROR(VLOOKUP(I1585,'VALORES VIAJES'!$A$2:$B$24,2,FALSE),"")</f>
        <v/>
      </c>
      <c r="V1585" t="str">
        <f>IFERROR(VLOOKUP(K1585,'VALORES VIAJES'!$A$2:$B$24,2,FALSE),"")</f>
        <v/>
      </c>
      <c r="X1585" s="208">
        <f>SUM(Hoja1[[#This Row],[$ X TIP VEHICUL]:[AGREGADO]])</f>
        <v>0</v>
      </c>
    </row>
    <row r="1586" spans="2:24" hidden="1" x14ac:dyDescent="0.25">
      <c r="B1586" s="189"/>
      <c r="J1586" s="189"/>
      <c r="M1586" s="205"/>
      <c r="S1586" t="str">
        <f>IFERROR(VLOOKUP(E1586,'VALORES VIAJES'!$A$2:$B$13,2,FALSE),"")</f>
        <v/>
      </c>
      <c r="T1586" t="str">
        <f>IFERROR(VLOOKUP(H1586,'VALORES VIAJES'!$A$2:$B$24,2,FALSE),"")</f>
        <v/>
      </c>
      <c r="U1586" t="str">
        <f>IFERROR(VLOOKUP(I1586,'VALORES VIAJES'!$A$2:$B$24,2,FALSE),"")</f>
        <v/>
      </c>
      <c r="V1586" t="str">
        <f>IFERROR(VLOOKUP(K1586,'VALORES VIAJES'!$A$2:$B$24,2,FALSE),"")</f>
        <v/>
      </c>
      <c r="X1586" s="208">
        <f>SUM(Hoja1[[#This Row],[$ X TIP VEHICUL]:[AGREGADO]])</f>
        <v>0</v>
      </c>
    </row>
    <row r="1587" spans="2:24" hidden="1" x14ac:dyDescent="0.25">
      <c r="B1587" s="189"/>
      <c r="J1587" s="189"/>
      <c r="M1587" s="205"/>
      <c r="S1587" t="str">
        <f>IFERROR(VLOOKUP(E1587,'VALORES VIAJES'!$A$2:$B$13,2,FALSE),"")</f>
        <v/>
      </c>
      <c r="T1587" t="str">
        <f>IFERROR(VLOOKUP(H1587,'VALORES VIAJES'!$A$2:$B$24,2,FALSE),"")</f>
        <v/>
      </c>
      <c r="U1587" t="str">
        <f>IFERROR(VLOOKUP(I1587,'VALORES VIAJES'!$A$2:$B$24,2,FALSE),"")</f>
        <v/>
      </c>
      <c r="V1587" t="str">
        <f>IFERROR(VLOOKUP(K1587,'VALORES VIAJES'!$A$2:$B$24,2,FALSE),"")</f>
        <v/>
      </c>
      <c r="X1587" s="208">
        <f>SUM(Hoja1[[#This Row],[$ X TIP VEHICUL]:[AGREGADO]])</f>
        <v>0</v>
      </c>
    </row>
    <row r="1588" spans="2:24" hidden="1" x14ac:dyDescent="0.25">
      <c r="B1588" s="189"/>
      <c r="J1588" s="189"/>
      <c r="M1588" s="205"/>
      <c r="S1588" t="str">
        <f>IFERROR(VLOOKUP(E1588,'VALORES VIAJES'!$A$2:$B$13,2,FALSE),"")</f>
        <v/>
      </c>
      <c r="T1588" t="str">
        <f>IFERROR(VLOOKUP(H1588,'VALORES VIAJES'!$A$2:$B$24,2,FALSE),"")</f>
        <v/>
      </c>
      <c r="U1588" t="str">
        <f>IFERROR(VLOOKUP(I1588,'VALORES VIAJES'!$A$2:$B$24,2,FALSE),"")</f>
        <v/>
      </c>
      <c r="V1588" t="str">
        <f>IFERROR(VLOOKUP(K1588,'VALORES VIAJES'!$A$2:$B$24,2,FALSE),"")</f>
        <v/>
      </c>
      <c r="X1588" s="208">
        <f>SUM(Hoja1[[#This Row],[$ X TIP VEHICUL]:[AGREGADO]])</f>
        <v>0</v>
      </c>
    </row>
    <row r="1589" spans="2:24" hidden="1" x14ac:dyDescent="0.25">
      <c r="B1589" s="189"/>
      <c r="J1589" s="189"/>
      <c r="M1589" s="205"/>
      <c r="S1589" t="str">
        <f>IFERROR(VLOOKUP(E1589,'VALORES VIAJES'!$A$2:$B$13,2,FALSE),"")</f>
        <v/>
      </c>
      <c r="T1589" t="str">
        <f>IFERROR(VLOOKUP(H1589,'VALORES VIAJES'!$A$2:$B$24,2,FALSE),"")</f>
        <v/>
      </c>
      <c r="U1589" t="str">
        <f>IFERROR(VLOOKUP(I1589,'VALORES VIAJES'!$A$2:$B$24,2,FALSE),"")</f>
        <v/>
      </c>
      <c r="V1589" t="str">
        <f>IFERROR(VLOOKUP(K1589,'VALORES VIAJES'!$A$2:$B$24,2,FALSE),"")</f>
        <v/>
      </c>
      <c r="X1589" s="208">
        <f>SUM(Hoja1[[#This Row],[$ X TIP VEHICUL]:[AGREGADO]])</f>
        <v>0</v>
      </c>
    </row>
    <row r="1590" spans="2:24" hidden="1" x14ac:dyDescent="0.25">
      <c r="B1590" s="189"/>
      <c r="J1590" s="189"/>
      <c r="M1590" s="205"/>
      <c r="S1590" t="str">
        <f>IFERROR(VLOOKUP(E1590,'VALORES VIAJES'!$A$2:$B$13,2,FALSE),"")</f>
        <v/>
      </c>
      <c r="T1590" t="str">
        <f>IFERROR(VLOOKUP(H1590,'VALORES VIAJES'!$A$2:$B$24,2,FALSE),"")</f>
        <v/>
      </c>
      <c r="U1590" t="str">
        <f>IFERROR(VLOOKUP(I1590,'VALORES VIAJES'!$A$2:$B$24,2,FALSE),"")</f>
        <v/>
      </c>
      <c r="V1590" t="str">
        <f>IFERROR(VLOOKUP(K1590,'VALORES VIAJES'!$A$2:$B$24,2,FALSE),"")</f>
        <v/>
      </c>
      <c r="X1590" s="208">
        <f>SUM(Hoja1[[#This Row],[$ X TIP VEHICUL]:[AGREGADO]])</f>
        <v>0</v>
      </c>
    </row>
    <row r="1591" spans="2:24" hidden="1" x14ac:dyDescent="0.25">
      <c r="B1591" s="189"/>
      <c r="J1591" s="189"/>
      <c r="M1591" s="205"/>
      <c r="S1591" t="str">
        <f>IFERROR(VLOOKUP(E1591,'VALORES VIAJES'!$A$2:$B$13,2,FALSE),"")</f>
        <v/>
      </c>
      <c r="T1591" t="str">
        <f>IFERROR(VLOOKUP(H1591,'VALORES VIAJES'!$A$2:$B$24,2,FALSE),"")</f>
        <v/>
      </c>
      <c r="U1591" t="str">
        <f>IFERROR(VLOOKUP(I1591,'VALORES VIAJES'!$A$2:$B$24,2,FALSE),"")</f>
        <v/>
      </c>
      <c r="V1591" t="str">
        <f>IFERROR(VLOOKUP(K1591,'VALORES VIAJES'!$A$2:$B$24,2,FALSE),"")</f>
        <v/>
      </c>
      <c r="X1591" s="208">
        <f>SUM(Hoja1[[#This Row],[$ X TIP VEHICUL]:[AGREGADO]])</f>
        <v>0</v>
      </c>
    </row>
    <row r="1592" spans="2:24" hidden="1" x14ac:dyDescent="0.25">
      <c r="B1592" s="189"/>
      <c r="J1592" s="189"/>
      <c r="M1592" s="205"/>
      <c r="S1592" t="str">
        <f>IFERROR(VLOOKUP(E1592,'VALORES VIAJES'!$A$2:$B$13,2,FALSE),"")</f>
        <v/>
      </c>
      <c r="T1592" t="str">
        <f>IFERROR(VLOOKUP(H1592,'VALORES VIAJES'!$A$2:$B$24,2,FALSE),"")</f>
        <v/>
      </c>
      <c r="U1592" t="str">
        <f>IFERROR(VLOOKUP(I1592,'VALORES VIAJES'!$A$2:$B$24,2,FALSE),"")</f>
        <v/>
      </c>
      <c r="V1592" t="str">
        <f>IFERROR(VLOOKUP(K1592,'VALORES VIAJES'!$A$2:$B$24,2,FALSE),"")</f>
        <v/>
      </c>
      <c r="X1592" s="208">
        <f>SUM(Hoja1[[#This Row],[$ X TIP VEHICUL]:[AGREGADO]])</f>
        <v>0</v>
      </c>
    </row>
    <row r="1593" spans="2:24" hidden="1" x14ac:dyDescent="0.25">
      <c r="B1593" s="189"/>
      <c r="J1593" s="189"/>
      <c r="M1593" s="205"/>
      <c r="S1593" t="str">
        <f>IFERROR(VLOOKUP(E1593,'VALORES VIAJES'!$A$2:$B$13,2,FALSE),"")</f>
        <v/>
      </c>
      <c r="T1593" t="str">
        <f>IFERROR(VLOOKUP(H1593,'VALORES VIAJES'!$A$2:$B$24,2,FALSE),"")</f>
        <v/>
      </c>
      <c r="U1593" t="str">
        <f>IFERROR(VLOOKUP(I1593,'VALORES VIAJES'!$A$2:$B$24,2,FALSE),"")</f>
        <v/>
      </c>
      <c r="V1593" t="str">
        <f>IFERROR(VLOOKUP(K1593,'VALORES VIAJES'!$A$2:$B$24,2,FALSE),"")</f>
        <v/>
      </c>
      <c r="X1593" s="208">
        <f>SUM(Hoja1[[#This Row],[$ X TIP VEHICUL]:[AGREGADO]])</f>
        <v>0</v>
      </c>
    </row>
    <row r="1594" spans="2:24" hidden="1" x14ac:dyDescent="0.25">
      <c r="B1594" s="189"/>
      <c r="J1594" s="189"/>
      <c r="M1594" s="205"/>
      <c r="S1594" t="str">
        <f>IFERROR(VLOOKUP(E1594,'VALORES VIAJES'!$A$2:$B$13,2,FALSE),"")</f>
        <v/>
      </c>
      <c r="T1594" t="str">
        <f>IFERROR(VLOOKUP(H1594,'VALORES VIAJES'!$A$2:$B$24,2,FALSE),"")</f>
        <v/>
      </c>
      <c r="U1594" t="str">
        <f>IFERROR(VLOOKUP(I1594,'VALORES VIAJES'!$A$2:$B$24,2,FALSE),"")</f>
        <v/>
      </c>
      <c r="V1594" t="str">
        <f>IFERROR(VLOOKUP(K1594,'VALORES VIAJES'!$A$2:$B$24,2,FALSE),"")</f>
        <v/>
      </c>
      <c r="X1594" s="208">
        <f>SUM(Hoja1[[#This Row],[$ X TIP VEHICUL]:[AGREGADO]])</f>
        <v>0</v>
      </c>
    </row>
    <row r="1595" spans="2:24" hidden="1" x14ac:dyDescent="0.25">
      <c r="B1595" s="189"/>
      <c r="J1595" s="189"/>
      <c r="M1595" s="205"/>
      <c r="S1595" t="str">
        <f>IFERROR(VLOOKUP(E1595,'VALORES VIAJES'!$A$2:$B$13,2,FALSE),"")</f>
        <v/>
      </c>
      <c r="T1595" t="str">
        <f>IFERROR(VLOOKUP(H1595,'VALORES VIAJES'!$A$2:$B$24,2,FALSE),"")</f>
        <v/>
      </c>
      <c r="U1595" t="str">
        <f>IFERROR(VLOOKUP(I1595,'VALORES VIAJES'!$A$2:$B$24,2,FALSE),"")</f>
        <v/>
      </c>
      <c r="V1595" t="str">
        <f>IFERROR(VLOOKUP(K1595,'VALORES VIAJES'!$A$2:$B$24,2,FALSE),"")</f>
        <v/>
      </c>
      <c r="X1595" s="208">
        <f>SUM(Hoja1[[#This Row],[$ X TIP VEHICUL]:[AGREGADO]])</f>
        <v>0</v>
      </c>
    </row>
    <row r="1596" spans="2:24" hidden="1" x14ac:dyDescent="0.25">
      <c r="B1596" s="189"/>
      <c r="J1596" s="189"/>
      <c r="M1596" s="205"/>
      <c r="S1596" t="str">
        <f>IFERROR(VLOOKUP(E1596,'VALORES VIAJES'!$A$2:$B$13,2,FALSE),"")</f>
        <v/>
      </c>
      <c r="T1596" t="str">
        <f>IFERROR(VLOOKUP(H1596,'VALORES VIAJES'!$A$2:$B$24,2,FALSE),"")</f>
        <v/>
      </c>
      <c r="U1596" t="str">
        <f>IFERROR(VLOOKUP(I1596,'VALORES VIAJES'!$A$2:$B$24,2,FALSE),"")</f>
        <v/>
      </c>
      <c r="V1596" t="str">
        <f>IFERROR(VLOOKUP(K1596,'VALORES VIAJES'!$A$2:$B$24,2,FALSE),"")</f>
        <v/>
      </c>
      <c r="X1596" s="208">
        <f>SUM(Hoja1[[#This Row],[$ X TIP VEHICUL]:[AGREGADO]])</f>
        <v>0</v>
      </c>
    </row>
    <row r="1597" spans="2:24" hidden="1" x14ac:dyDescent="0.25">
      <c r="B1597" s="189"/>
      <c r="J1597" s="189"/>
      <c r="M1597" s="205"/>
      <c r="S1597" t="str">
        <f>IFERROR(VLOOKUP(E1597,'VALORES VIAJES'!$A$2:$B$13,2,FALSE),"")</f>
        <v/>
      </c>
      <c r="T1597" t="str">
        <f>IFERROR(VLOOKUP(H1597,'VALORES VIAJES'!$A$2:$B$24,2,FALSE),"")</f>
        <v/>
      </c>
      <c r="U1597" t="str">
        <f>IFERROR(VLOOKUP(I1597,'VALORES VIAJES'!$A$2:$B$24,2,FALSE),"")</f>
        <v/>
      </c>
      <c r="V1597" t="str">
        <f>IFERROR(VLOOKUP(K1597,'VALORES VIAJES'!$A$2:$B$24,2,FALSE),"")</f>
        <v/>
      </c>
      <c r="X1597" s="208">
        <f>SUM(Hoja1[[#This Row],[$ X TIP VEHICUL]:[AGREGADO]])</f>
        <v>0</v>
      </c>
    </row>
    <row r="1598" spans="2:24" hidden="1" x14ac:dyDescent="0.25">
      <c r="B1598" s="189"/>
      <c r="J1598" s="189"/>
      <c r="M1598" s="205"/>
      <c r="S1598" t="str">
        <f>IFERROR(VLOOKUP(E1598,'VALORES VIAJES'!$A$2:$B$13,2,FALSE),"")</f>
        <v/>
      </c>
      <c r="T1598" t="str">
        <f>IFERROR(VLOOKUP(H1598,'VALORES VIAJES'!$A$2:$B$24,2,FALSE),"")</f>
        <v/>
      </c>
      <c r="U1598" t="str">
        <f>IFERROR(VLOOKUP(I1598,'VALORES VIAJES'!$A$2:$B$24,2,FALSE),"")</f>
        <v/>
      </c>
      <c r="V1598" t="str">
        <f>IFERROR(VLOOKUP(K1598,'VALORES VIAJES'!$A$2:$B$24,2,FALSE),"")</f>
        <v/>
      </c>
      <c r="X1598" s="208">
        <f>SUM(Hoja1[[#This Row],[$ X TIP VEHICUL]:[AGREGADO]])</f>
        <v>0</v>
      </c>
    </row>
    <row r="1599" spans="2:24" hidden="1" x14ac:dyDescent="0.25">
      <c r="B1599" s="189"/>
      <c r="J1599" s="189"/>
      <c r="M1599" s="205"/>
      <c r="S1599" t="str">
        <f>IFERROR(VLOOKUP(E1599,'VALORES VIAJES'!$A$2:$B$13,2,FALSE),"")</f>
        <v/>
      </c>
      <c r="T1599" t="str">
        <f>IFERROR(VLOOKUP(H1599,'VALORES VIAJES'!$A$2:$B$24,2,FALSE),"")</f>
        <v/>
      </c>
      <c r="U1599" t="str">
        <f>IFERROR(VLOOKUP(I1599,'VALORES VIAJES'!$A$2:$B$24,2,FALSE),"")</f>
        <v/>
      </c>
      <c r="V1599" t="str">
        <f>IFERROR(VLOOKUP(K1599,'VALORES VIAJES'!$A$2:$B$24,2,FALSE),"")</f>
        <v/>
      </c>
      <c r="X1599" s="208">
        <f>SUM(Hoja1[[#This Row],[$ X TIP VEHICUL]:[AGREGADO]])</f>
        <v>0</v>
      </c>
    </row>
    <row r="1600" spans="2:24" hidden="1" x14ac:dyDescent="0.25">
      <c r="B1600" s="189"/>
      <c r="J1600" s="189"/>
      <c r="M1600" s="205"/>
      <c r="S1600" t="str">
        <f>IFERROR(VLOOKUP(E1600,'VALORES VIAJES'!$A$2:$B$13,2,FALSE),"")</f>
        <v/>
      </c>
      <c r="T1600" t="str">
        <f>IFERROR(VLOOKUP(H1600,'VALORES VIAJES'!$A$2:$B$24,2,FALSE),"")</f>
        <v/>
      </c>
      <c r="U1600" t="str">
        <f>IFERROR(VLOOKUP(I1600,'VALORES VIAJES'!$A$2:$B$24,2,FALSE),"")</f>
        <v/>
      </c>
      <c r="V1600" t="str">
        <f>IFERROR(VLOOKUP(K1600,'VALORES VIAJES'!$A$2:$B$24,2,FALSE),"")</f>
        <v/>
      </c>
      <c r="X1600" s="208">
        <f>SUM(Hoja1[[#This Row],[$ X TIP VEHICUL]:[AGREGADO]])</f>
        <v>0</v>
      </c>
    </row>
    <row r="1601" spans="2:24" hidden="1" x14ac:dyDescent="0.25">
      <c r="B1601" s="189"/>
      <c r="J1601" s="189"/>
      <c r="M1601" s="205"/>
      <c r="S1601" t="str">
        <f>IFERROR(VLOOKUP(E1601,'VALORES VIAJES'!$A$2:$B$13,2,FALSE),"")</f>
        <v/>
      </c>
      <c r="T1601" t="str">
        <f>IFERROR(VLOOKUP(H1601,'VALORES VIAJES'!$A$2:$B$24,2,FALSE),"")</f>
        <v/>
      </c>
      <c r="U1601" t="str">
        <f>IFERROR(VLOOKUP(I1601,'VALORES VIAJES'!$A$2:$B$24,2,FALSE),"")</f>
        <v/>
      </c>
      <c r="V1601" t="str">
        <f>IFERROR(VLOOKUP(K1601,'VALORES VIAJES'!$A$2:$B$24,2,FALSE),"")</f>
        <v/>
      </c>
      <c r="X1601" s="208">
        <f>SUM(Hoja1[[#This Row],[$ X TIP VEHICUL]:[AGREGADO]])</f>
        <v>0</v>
      </c>
    </row>
    <row r="1602" spans="2:24" hidden="1" x14ac:dyDescent="0.25">
      <c r="B1602" s="189"/>
      <c r="J1602" s="189"/>
      <c r="M1602" s="205"/>
      <c r="S1602" t="str">
        <f>IFERROR(VLOOKUP(E1602,'VALORES VIAJES'!$A$2:$B$13,2,FALSE),"")</f>
        <v/>
      </c>
      <c r="T1602" t="str">
        <f>IFERROR(VLOOKUP(H1602,'VALORES VIAJES'!$A$2:$B$24,2,FALSE),"")</f>
        <v/>
      </c>
      <c r="U1602" t="str">
        <f>IFERROR(VLOOKUP(I1602,'VALORES VIAJES'!$A$2:$B$24,2,FALSE),"")</f>
        <v/>
      </c>
      <c r="V1602" t="str">
        <f>IFERROR(VLOOKUP(K1602,'VALORES VIAJES'!$A$2:$B$24,2,FALSE),"")</f>
        <v/>
      </c>
      <c r="X1602" s="208">
        <f>SUM(Hoja1[[#This Row],[$ X TIP VEHICUL]:[AGREGADO]])</f>
        <v>0</v>
      </c>
    </row>
    <row r="1603" spans="2:24" hidden="1" x14ac:dyDescent="0.25">
      <c r="B1603" s="189"/>
      <c r="J1603" s="189"/>
      <c r="M1603" s="205"/>
      <c r="S1603" t="str">
        <f>IFERROR(VLOOKUP(E1603,'VALORES VIAJES'!$A$2:$B$13,2,FALSE),"")</f>
        <v/>
      </c>
      <c r="T1603" t="str">
        <f>IFERROR(VLOOKUP(H1603,'VALORES VIAJES'!$A$2:$B$24,2,FALSE),"")</f>
        <v/>
      </c>
      <c r="U1603" t="str">
        <f>IFERROR(VLOOKUP(I1603,'VALORES VIAJES'!$A$2:$B$24,2,FALSE),"")</f>
        <v/>
      </c>
      <c r="V1603" t="str">
        <f>IFERROR(VLOOKUP(K1603,'VALORES VIAJES'!$A$2:$B$24,2,FALSE),"")</f>
        <v/>
      </c>
      <c r="X1603" s="208">
        <f>SUM(Hoja1[[#This Row],[$ X TIP VEHICUL]:[AGREGADO]])</f>
        <v>0</v>
      </c>
    </row>
    <row r="1604" spans="2:24" hidden="1" x14ac:dyDescent="0.25">
      <c r="B1604" s="189"/>
      <c r="J1604" s="189"/>
      <c r="M1604" s="205"/>
      <c r="S1604" t="str">
        <f>IFERROR(VLOOKUP(E1604,'VALORES VIAJES'!$A$2:$B$13,2,FALSE),"")</f>
        <v/>
      </c>
      <c r="T1604" t="str">
        <f>IFERROR(VLOOKUP(H1604,'VALORES VIAJES'!$A$2:$B$24,2,FALSE),"")</f>
        <v/>
      </c>
      <c r="U1604" t="str">
        <f>IFERROR(VLOOKUP(I1604,'VALORES VIAJES'!$A$2:$B$24,2,FALSE),"")</f>
        <v/>
      </c>
      <c r="V1604" t="str">
        <f>IFERROR(VLOOKUP(K1604,'VALORES VIAJES'!$A$2:$B$24,2,FALSE),"")</f>
        <v/>
      </c>
      <c r="X1604" s="208">
        <f>SUM(Hoja1[[#This Row],[$ X TIP VEHICUL]:[AGREGADO]])</f>
        <v>0</v>
      </c>
    </row>
    <row r="1605" spans="2:24" hidden="1" x14ac:dyDescent="0.25">
      <c r="B1605" s="189"/>
      <c r="J1605" s="189"/>
      <c r="M1605" s="205"/>
      <c r="S1605" t="str">
        <f>IFERROR(VLOOKUP(E1605,'VALORES VIAJES'!$A$2:$B$13,2,FALSE),"")</f>
        <v/>
      </c>
      <c r="T1605" t="str">
        <f>IFERROR(VLOOKUP(H1605,'VALORES VIAJES'!$A$2:$B$24,2,FALSE),"")</f>
        <v/>
      </c>
      <c r="U1605" t="str">
        <f>IFERROR(VLOOKUP(I1605,'VALORES VIAJES'!$A$2:$B$24,2,FALSE),"")</f>
        <v/>
      </c>
      <c r="V1605" t="str">
        <f>IFERROR(VLOOKUP(K1605,'VALORES VIAJES'!$A$2:$B$24,2,FALSE),"")</f>
        <v/>
      </c>
      <c r="X1605" s="208">
        <f>SUM(Hoja1[[#This Row],[$ X TIP VEHICUL]:[AGREGADO]])</f>
        <v>0</v>
      </c>
    </row>
    <row r="1606" spans="2:24" hidden="1" x14ac:dyDescent="0.25">
      <c r="B1606" s="189"/>
      <c r="J1606" s="189"/>
      <c r="M1606" s="205"/>
      <c r="S1606" t="str">
        <f>IFERROR(VLOOKUP(E1606,'VALORES VIAJES'!$A$2:$B$13,2,FALSE),"")</f>
        <v/>
      </c>
      <c r="T1606" t="str">
        <f>IFERROR(VLOOKUP(H1606,'VALORES VIAJES'!$A$2:$B$24,2,FALSE),"")</f>
        <v/>
      </c>
      <c r="U1606" t="str">
        <f>IFERROR(VLOOKUP(I1606,'VALORES VIAJES'!$A$2:$B$24,2,FALSE),"")</f>
        <v/>
      </c>
      <c r="V1606" t="str">
        <f>IFERROR(VLOOKUP(K1606,'VALORES VIAJES'!$A$2:$B$24,2,FALSE),"")</f>
        <v/>
      </c>
      <c r="X1606" s="208">
        <f>SUM(Hoja1[[#This Row],[$ X TIP VEHICUL]:[AGREGADO]])</f>
        <v>0</v>
      </c>
    </row>
    <row r="1607" spans="2:24" hidden="1" x14ac:dyDescent="0.25">
      <c r="B1607" s="189"/>
      <c r="J1607" s="189"/>
      <c r="M1607" s="205"/>
      <c r="S1607" t="str">
        <f>IFERROR(VLOOKUP(E1607,'VALORES VIAJES'!$A$2:$B$13,2,FALSE),"")</f>
        <v/>
      </c>
      <c r="T1607" t="str">
        <f>IFERROR(VLOOKUP(H1607,'VALORES VIAJES'!$A$2:$B$24,2,FALSE),"")</f>
        <v/>
      </c>
      <c r="U1607" t="str">
        <f>IFERROR(VLOOKUP(I1607,'VALORES VIAJES'!$A$2:$B$24,2,FALSE),"")</f>
        <v/>
      </c>
      <c r="V1607" t="str">
        <f>IFERROR(VLOOKUP(K1607,'VALORES VIAJES'!$A$2:$B$24,2,FALSE),"")</f>
        <v/>
      </c>
      <c r="X1607" s="208">
        <f>SUM(Hoja1[[#This Row],[$ X TIP VEHICUL]:[AGREGADO]])</f>
        <v>0</v>
      </c>
    </row>
    <row r="1608" spans="2:24" hidden="1" x14ac:dyDescent="0.25">
      <c r="B1608" s="189"/>
      <c r="J1608" s="189"/>
      <c r="M1608" s="205"/>
      <c r="S1608" t="str">
        <f>IFERROR(VLOOKUP(E1608,'VALORES VIAJES'!$A$2:$B$13,2,FALSE),"")</f>
        <v/>
      </c>
      <c r="T1608" t="str">
        <f>IFERROR(VLOOKUP(H1608,'VALORES VIAJES'!$A$2:$B$24,2,FALSE),"")</f>
        <v/>
      </c>
      <c r="U1608" t="str">
        <f>IFERROR(VLOOKUP(I1608,'VALORES VIAJES'!$A$2:$B$24,2,FALSE),"")</f>
        <v/>
      </c>
      <c r="V1608" t="str">
        <f>IFERROR(VLOOKUP(K1608,'VALORES VIAJES'!$A$2:$B$24,2,FALSE),"")</f>
        <v/>
      </c>
      <c r="X1608" s="208">
        <f>SUM(Hoja1[[#This Row],[$ X TIP VEHICUL]:[AGREGADO]])</f>
        <v>0</v>
      </c>
    </row>
    <row r="1609" spans="2:24" hidden="1" x14ac:dyDescent="0.25">
      <c r="B1609" s="189"/>
      <c r="J1609" s="189"/>
      <c r="M1609" s="205"/>
      <c r="S1609" t="str">
        <f>IFERROR(VLOOKUP(E1609,'VALORES VIAJES'!$A$2:$B$13,2,FALSE),"")</f>
        <v/>
      </c>
      <c r="T1609" t="str">
        <f>IFERROR(VLOOKUP(H1609,'VALORES VIAJES'!$A$2:$B$24,2,FALSE),"")</f>
        <v/>
      </c>
      <c r="U1609" t="str">
        <f>IFERROR(VLOOKUP(I1609,'VALORES VIAJES'!$A$2:$B$24,2,FALSE),"")</f>
        <v/>
      </c>
      <c r="V1609" t="str">
        <f>IFERROR(VLOOKUP(K1609,'VALORES VIAJES'!$A$2:$B$24,2,FALSE),"")</f>
        <v/>
      </c>
      <c r="X1609" s="208">
        <f>SUM(Hoja1[[#This Row],[$ X TIP VEHICUL]:[AGREGADO]])</f>
        <v>0</v>
      </c>
    </row>
    <row r="1610" spans="2:24" hidden="1" x14ac:dyDescent="0.25">
      <c r="B1610" s="189"/>
      <c r="J1610" s="189"/>
      <c r="M1610" s="205"/>
      <c r="S1610" t="str">
        <f>IFERROR(VLOOKUP(E1610,'VALORES VIAJES'!$A$2:$B$13,2,FALSE),"")</f>
        <v/>
      </c>
      <c r="T1610" t="str">
        <f>IFERROR(VLOOKUP(H1610,'VALORES VIAJES'!$A$2:$B$24,2,FALSE),"")</f>
        <v/>
      </c>
      <c r="U1610" t="str">
        <f>IFERROR(VLOOKUP(I1610,'VALORES VIAJES'!$A$2:$B$24,2,FALSE),"")</f>
        <v/>
      </c>
      <c r="V1610" t="str">
        <f>IFERROR(VLOOKUP(K1610,'VALORES VIAJES'!$A$2:$B$24,2,FALSE),"")</f>
        <v/>
      </c>
      <c r="X1610" s="208">
        <f>SUM(Hoja1[[#This Row],[$ X TIP VEHICUL]:[AGREGADO]])</f>
        <v>0</v>
      </c>
    </row>
    <row r="1611" spans="2:24" hidden="1" x14ac:dyDescent="0.25">
      <c r="B1611" s="189"/>
      <c r="J1611" s="189"/>
      <c r="M1611" s="205"/>
      <c r="S1611" t="str">
        <f>IFERROR(VLOOKUP(E1611,'VALORES VIAJES'!$A$2:$B$13,2,FALSE),"")</f>
        <v/>
      </c>
      <c r="T1611" t="str">
        <f>IFERROR(VLOOKUP(H1611,'VALORES VIAJES'!$A$2:$B$24,2,FALSE),"")</f>
        <v/>
      </c>
      <c r="U1611" t="str">
        <f>IFERROR(VLOOKUP(I1611,'VALORES VIAJES'!$A$2:$B$24,2,FALSE),"")</f>
        <v/>
      </c>
      <c r="V1611" t="str">
        <f>IFERROR(VLOOKUP(K1611,'VALORES VIAJES'!$A$2:$B$24,2,FALSE),"")</f>
        <v/>
      </c>
      <c r="X1611" s="208">
        <f>SUM(Hoja1[[#This Row],[$ X TIP VEHICUL]:[AGREGADO]])</f>
        <v>0</v>
      </c>
    </row>
    <row r="1612" spans="2:24" hidden="1" x14ac:dyDescent="0.25">
      <c r="B1612" s="189"/>
      <c r="J1612" s="189"/>
      <c r="M1612" s="205"/>
      <c r="S1612" t="str">
        <f>IFERROR(VLOOKUP(E1612,'VALORES VIAJES'!$A$2:$B$13,2,FALSE),"")</f>
        <v/>
      </c>
      <c r="T1612" t="str">
        <f>IFERROR(VLOOKUP(H1612,'VALORES VIAJES'!$A$2:$B$24,2,FALSE),"")</f>
        <v/>
      </c>
      <c r="U1612" t="str">
        <f>IFERROR(VLOOKUP(I1612,'VALORES VIAJES'!$A$2:$B$24,2,FALSE),"")</f>
        <v/>
      </c>
      <c r="V1612" t="str">
        <f>IFERROR(VLOOKUP(K1612,'VALORES VIAJES'!$A$2:$B$24,2,FALSE),"")</f>
        <v/>
      </c>
      <c r="X1612" s="208">
        <f>SUM(Hoja1[[#This Row],[$ X TIP VEHICUL]:[AGREGADO]])</f>
        <v>0</v>
      </c>
    </row>
    <row r="1613" spans="2:24" hidden="1" x14ac:dyDescent="0.25">
      <c r="B1613" s="189"/>
      <c r="J1613" s="189"/>
      <c r="M1613" s="205"/>
      <c r="S1613" t="str">
        <f>IFERROR(VLOOKUP(E1613,'VALORES VIAJES'!$A$2:$B$13,2,FALSE),"")</f>
        <v/>
      </c>
      <c r="T1613" t="str">
        <f>IFERROR(VLOOKUP(H1613,'VALORES VIAJES'!$A$2:$B$24,2,FALSE),"")</f>
        <v/>
      </c>
      <c r="U1613" t="str">
        <f>IFERROR(VLOOKUP(I1613,'VALORES VIAJES'!$A$2:$B$24,2,FALSE),"")</f>
        <v/>
      </c>
      <c r="V1613" t="str">
        <f>IFERROR(VLOOKUP(K1613,'VALORES VIAJES'!$A$2:$B$24,2,FALSE),"")</f>
        <v/>
      </c>
      <c r="X1613" s="208">
        <f>SUM(Hoja1[[#This Row],[$ X TIP VEHICUL]:[AGREGADO]])</f>
        <v>0</v>
      </c>
    </row>
    <row r="1614" spans="2:24" hidden="1" x14ac:dyDescent="0.25">
      <c r="B1614" s="189"/>
      <c r="J1614" s="189"/>
      <c r="M1614" s="205"/>
      <c r="S1614" t="str">
        <f>IFERROR(VLOOKUP(E1614,'VALORES VIAJES'!$A$2:$B$13,2,FALSE),"")</f>
        <v/>
      </c>
      <c r="T1614" t="str">
        <f>IFERROR(VLOOKUP(H1614,'VALORES VIAJES'!$A$2:$B$24,2,FALSE),"")</f>
        <v/>
      </c>
      <c r="U1614" t="str">
        <f>IFERROR(VLOOKUP(I1614,'VALORES VIAJES'!$A$2:$B$24,2,FALSE),"")</f>
        <v/>
      </c>
      <c r="V1614" t="str">
        <f>IFERROR(VLOOKUP(K1614,'VALORES VIAJES'!$A$2:$B$24,2,FALSE),"")</f>
        <v/>
      </c>
      <c r="X1614" s="208">
        <f>SUM(Hoja1[[#This Row],[$ X TIP VEHICUL]:[AGREGADO]])</f>
        <v>0</v>
      </c>
    </row>
    <row r="1615" spans="2:24" hidden="1" x14ac:dyDescent="0.25">
      <c r="B1615" s="189"/>
      <c r="J1615" s="189"/>
      <c r="M1615" s="205"/>
      <c r="S1615" t="str">
        <f>IFERROR(VLOOKUP(E1615,'VALORES VIAJES'!$A$2:$B$13,2,FALSE),"")</f>
        <v/>
      </c>
      <c r="T1615" t="str">
        <f>IFERROR(VLOOKUP(H1615,'VALORES VIAJES'!$A$2:$B$24,2,FALSE),"")</f>
        <v/>
      </c>
      <c r="U1615" t="str">
        <f>IFERROR(VLOOKUP(I1615,'VALORES VIAJES'!$A$2:$B$24,2,FALSE),"")</f>
        <v/>
      </c>
      <c r="V1615" t="str">
        <f>IFERROR(VLOOKUP(K1615,'VALORES VIAJES'!$A$2:$B$24,2,FALSE),"")</f>
        <v/>
      </c>
      <c r="X1615" s="208">
        <f>SUM(Hoja1[[#This Row],[$ X TIP VEHICUL]:[AGREGADO]])</f>
        <v>0</v>
      </c>
    </row>
    <row r="1616" spans="2:24" hidden="1" x14ac:dyDescent="0.25">
      <c r="B1616" s="189"/>
      <c r="J1616" s="189"/>
      <c r="M1616" s="205"/>
      <c r="S1616" t="str">
        <f>IFERROR(VLOOKUP(E1616,'VALORES VIAJES'!$A$2:$B$13,2,FALSE),"")</f>
        <v/>
      </c>
      <c r="T1616" t="str">
        <f>IFERROR(VLOOKUP(H1616,'VALORES VIAJES'!$A$2:$B$24,2,FALSE),"")</f>
        <v/>
      </c>
      <c r="U1616" t="str">
        <f>IFERROR(VLOOKUP(I1616,'VALORES VIAJES'!$A$2:$B$24,2,FALSE),"")</f>
        <v/>
      </c>
      <c r="V1616" t="str">
        <f>IFERROR(VLOOKUP(K1616,'VALORES VIAJES'!$A$2:$B$24,2,FALSE),"")</f>
        <v/>
      </c>
      <c r="X1616" s="208">
        <f>SUM(Hoja1[[#This Row],[$ X TIP VEHICUL]:[AGREGADO]])</f>
        <v>0</v>
      </c>
    </row>
    <row r="1617" spans="2:24" hidden="1" x14ac:dyDescent="0.25">
      <c r="B1617" s="189"/>
      <c r="J1617" s="189"/>
      <c r="M1617" s="205"/>
      <c r="S1617" t="str">
        <f>IFERROR(VLOOKUP(E1617,'VALORES VIAJES'!$A$2:$B$13,2,FALSE),"")</f>
        <v/>
      </c>
      <c r="T1617" t="str">
        <f>IFERROR(VLOOKUP(H1617,'VALORES VIAJES'!$A$2:$B$24,2,FALSE),"")</f>
        <v/>
      </c>
      <c r="U1617" t="str">
        <f>IFERROR(VLOOKUP(I1617,'VALORES VIAJES'!$A$2:$B$24,2,FALSE),"")</f>
        <v/>
      </c>
      <c r="V1617" t="str">
        <f>IFERROR(VLOOKUP(K1617,'VALORES VIAJES'!$A$2:$B$24,2,FALSE),"")</f>
        <v/>
      </c>
      <c r="X1617" s="208">
        <f>SUM(Hoja1[[#This Row],[$ X TIP VEHICUL]:[AGREGADO]])</f>
        <v>0</v>
      </c>
    </row>
    <row r="1618" spans="2:24" hidden="1" x14ac:dyDescent="0.25">
      <c r="B1618" s="189"/>
      <c r="J1618" s="189"/>
      <c r="M1618" s="205"/>
      <c r="S1618" t="str">
        <f>IFERROR(VLOOKUP(E1618,'VALORES VIAJES'!$A$2:$B$13,2,FALSE),"")</f>
        <v/>
      </c>
      <c r="T1618" t="str">
        <f>IFERROR(VLOOKUP(H1618,'VALORES VIAJES'!$A$2:$B$24,2,FALSE),"")</f>
        <v/>
      </c>
      <c r="U1618" t="str">
        <f>IFERROR(VLOOKUP(I1618,'VALORES VIAJES'!$A$2:$B$24,2,FALSE),"")</f>
        <v/>
      </c>
      <c r="V1618" t="str">
        <f>IFERROR(VLOOKUP(K1618,'VALORES VIAJES'!$A$2:$B$24,2,FALSE),"")</f>
        <v/>
      </c>
      <c r="X1618" s="208">
        <f>SUM(Hoja1[[#This Row],[$ X TIP VEHICUL]:[AGREGADO]])</f>
        <v>0</v>
      </c>
    </row>
    <row r="1619" spans="2:24" hidden="1" x14ac:dyDescent="0.25">
      <c r="B1619" s="189"/>
      <c r="J1619" s="189"/>
      <c r="M1619" s="205"/>
      <c r="S1619" t="str">
        <f>IFERROR(VLOOKUP(E1619,'VALORES VIAJES'!$A$2:$B$13,2,FALSE),"")</f>
        <v/>
      </c>
      <c r="T1619" t="str">
        <f>IFERROR(VLOOKUP(H1619,'VALORES VIAJES'!$A$2:$B$24,2,FALSE),"")</f>
        <v/>
      </c>
      <c r="U1619" t="str">
        <f>IFERROR(VLOOKUP(I1619,'VALORES VIAJES'!$A$2:$B$24,2,FALSE),"")</f>
        <v/>
      </c>
      <c r="V1619" t="str">
        <f>IFERROR(VLOOKUP(K1619,'VALORES VIAJES'!$A$2:$B$24,2,FALSE),"")</f>
        <v/>
      </c>
      <c r="X1619" s="208">
        <f>SUM(Hoja1[[#This Row],[$ X TIP VEHICUL]:[AGREGADO]])</f>
        <v>0</v>
      </c>
    </row>
    <row r="1620" spans="2:24" hidden="1" x14ac:dyDescent="0.25">
      <c r="B1620" s="189"/>
      <c r="J1620" s="189"/>
      <c r="M1620" s="205"/>
      <c r="S1620" t="str">
        <f>IFERROR(VLOOKUP(E1620,'VALORES VIAJES'!$A$2:$B$13,2,FALSE),"")</f>
        <v/>
      </c>
      <c r="T1620" t="str">
        <f>IFERROR(VLOOKUP(H1620,'VALORES VIAJES'!$A$2:$B$24,2,FALSE),"")</f>
        <v/>
      </c>
      <c r="U1620" t="str">
        <f>IFERROR(VLOOKUP(I1620,'VALORES VIAJES'!$A$2:$B$24,2,FALSE),"")</f>
        <v/>
      </c>
      <c r="V1620" t="str">
        <f>IFERROR(VLOOKUP(K1620,'VALORES VIAJES'!$A$2:$B$24,2,FALSE),"")</f>
        <v/>
      </c>
      <c r="X1620" s="208">
        <f>SUM(Hoja1[[#This Row],[$ X TIP VEHICUL]:[AGREGADO]])</f>
        <v>0</v>
      </c>
    </row>
    <row r="1621" spans="2:24" hidden="1" x14ac:dyDescent="0.25">
      <c r="B1621" s="189"/>
      <c r="J1621" s="189"/>
      <c r="M1621" s="205"/>
      <c r="S1621" t="str">
        <f>IFERROR(VLOOKUP(E1621,'VALORES VIAJES'!$A$2:$B$13,2,FALSE),"")</f>
        <v/>
      </c>
      <c r="T1621" t="str">
        <f>IFERROR(VLOOKUP(H1621,'VALORES VIAJES'!$A$2:$B$24,2,FALSE),"")</f>
        <v/>
      </c>
      <c r="U1621" t="str">
        <f>IFERROR(VLOOKUP(I1621,'VALORES VIAJES'!$A$2:$B$24,2,FALSE),"")</f>
        <v/>
      </c>
      <c r="V1621" t="str">
        <f>IFERROR(VLOOKUP(K1621,'VALORES VIAJES'!$A$2:$B$24,2,FALSE),"")</f>
        <v/>
      </c>
      <c r="X1621" s="208">
        <f>SUM(Hoja1[[#This Row],[$ X TIP VEHICUL]:[AGREGADO]])</f>
        <v>0</v>
      </c>
    </row>
    <row r="1622" spans="2:24" hidden="1" x14ac:dyDescent="0.25">
      <c r="B1622" s="189"/>
      <c r="J1622" s="189"/>
      <c r="M1622" s="205"/>
      <c r="S1622" t="str">
        <f>IFERROR(VLOOKUP(E1622,'VALORES VIAJES'!$A$2:$B$13,2,FALSE),"")</f>
        <v/>
      </c>
      <c r="T1622" t="str">
        <f>IFERROR(VLOOKUP(H1622,'VALORES VIAJES'!$A$2:$B$24,2,FALSE),"")</f>
        <v/>
      </c>
      <c r="U1622" t="str">
        <f>IFERROR(VLOOKUP(I1622,'VALORES VIAJES'!$A$2:$B$24,2,FALSE),"")</f>
        <v/>
      </c>
      <c r="V1622" t="str">
        <f>IFERROR(VLOOKUP(K1622,'VALORES VIAJES'!$A$2:$B$24,2,FALSE),"")</f>
        <v/>
      </c>
      <c r="X1622" s="208">
        <f>SUM(Hoja1[[#This Row],[$ X TIP VEHICUL]:[AGREGADO]])</f>
        <v>0</v>
      </c>
    </row>
    <row r="1623" spans="2:24" hidden="1" x14ac:dyDescent="0.25">
      <c r="B1623" s="189"/>
      <c r="J1623" s="189"/>
      <c r="M1623" s="205"/>
      <c r="S1623" t="str">
        <f>IFERROR(VLOOKUP(E1623,'VALORES VIAJES'!$A$2:$B$13,2,FALSE),"")</f>
        <v/>
      </c>
      <c r="T1623" t="str">
        <f>IFERROR(VLOOKUP(H1623,'VALORES VIAJES'!$A$2:$B$24,2,FALSE),"")</f>
        <v/>
      </c>
      <c r="U1623" t="str">
        <f>IFERROR(VLOOKUP(I1623,'VALORES VIAJES'!$A$2:$B$24,2,FALSE),"")</f>
        <v/>
      </c>
      <c r="V1623" t="str">
        <f>IFERROR(VLOOKUP(K1623,'VALORES VIAJES'!$A$2:$B$24,2,FALSE),"")</f>
        <v/>
      </c>
      <c r="X1623" s="208">
        <f>SUM(Hoja1[[#This Row],[$ X TIP VEHICUL]:[AGREGADO]])</f>
        <v>0</v>
      </c>
    </row>
    <row r="1624" spans="2:24" hidden="1" x14ac:dyDescent="0.25">
      <c r="B1624" s="189"/>
      <c r="J1624" s="189"/>
      <c r="M1624" s="205"/>
      <c r="S1624" t="str">
        <f>IFERROR(VLOOKUP(E1624,'VALORES VIAJES'!$A$2:$B$13,2,FALSE),"")</f>
        <v/>
      </c>
      <c r="T1624" t="str">
        <f>IFERROR(VLOOKUP(H1624,'VALORES VIAJES'!$A$2:$B$24,2,FALSE),"")</f>
        <v/>
      </c>
      <c r="U1624" t="str">
        <f>IFERROR(VLOOKUP(I1624,'VALORES VIAJES'!$A$2:$B$24,2,FALSE),"")</f>
        <v/>
      </c>
      <c r="V1624" t="str">
        <f>IFERROR(VLOOKUP(K1624,'VALORES VIAJES'!$A$2:$B$24,2,FALSE),"")</f>
        <v/>
      </c>
      <c r="X1624" s="208">
        <f>SUM(Hoja1[[#This Row],[$ X TIP VEHICUL]:[AGREGADO]])</f>
        <v>0</v>
      </c>
    </row>
    <row r="1625" spans="2:24" hidden="1" x14ac:dyDescent="0.25">
      <c r="B1625" s="189"/>
      <c r="J1625" s="189"/>
      <c r="M1625" s="205"/>
      <c r="S1625" t="str">
        <f>IFERROR(VLOOKUP(E1625,'VALORES VIAJES'!$A$2:$B$13,2,FALSE),"")</f>
        <v/>
      </c>
      <c r="T1625" t="str">
        <f>IFERROR(VLOOKUP(H1625,'VALORES VIAJES'!$A$2:$B$24,2,FALSE),"")</f>
        <v/>
      </c>
      <c r="U1625" t="str">
        <f>IFERROR(VLOOKUP(I1625,'VALORES VIAJES'!$A$2:$B$24,2,FALSE),"")</f>
        <v/>
      </c>
      <c r="V1625" t="str">
        <f>IFERROR(VLOOKUP(K1625,'VALORES VIAJES'!$A$2:$B$24,2,FALSE),"")</f>
        <v/>
      </c>
      <c r="X1625" s="208">
        <f>SUM(Hoja1[[#This Row],[$ X TIP VEHICUL]:[AGREGADO]])</f>
        <v>0</v>
      </c>
    </row>
    <row r="1626" spans="2:24" hidden="1" x14ac:dyDescent="0.25">
      <c r="B1626" s="189"/>
      <c r="J1626" s="189"/>
      <c r="M1626" s="205"/>
      <c r="S1626" t="str">
        <f>IFERROR(VLOOKUP(E1626,'VALORES VIAJES'!$A$2:$B$13,2,FALSE),"")</f>
        <v/>
      </c>
      <c r="T1626" t="str">
        <f>IFERROR(VLOOKUP(H1626,'VALORES VIAJES'!$A$2:$B$24,2,FALSE),"")</f>
        <v/>
      </c>
      <c r="U1626" t="str">
        <f>IFERROR(VLOOKUP(I1626,'VALORES VIAJES'!$A$2:$B$24,2,FALSE),"")</f>
        <v/>
      </c>
      <c r="V1626" t="str">
        <f>IFERROR(VLOOKUP(K1626,'VALORES VIAJES'!$A$2:$B$24,2,FALSE),"")</f>
        <v/>
      </c>
      <c r="X1626" s="208">
        <f>SUM(Hoja1[[#This Row],[$ X TIP VEHICUL]:[AGREGADO]])</f>
        <v>0</v>
      </c>
    </row>
    <row r="1627" spans="2:24" hidden="1" x14ac:dyDescent="0.25">
      <c r="B1627" s="189"/>
      <c r="J1627" s="189"/>
      <c r="M1627" s="205"/>
      <c r="S1627" t="str">
        <f>IFERROR(VLOOKUP(E1627,'VALORES VIAJES'!$A$2:$B$13,2,FALSE),"")</f>
        <v/>
      </c>
      <c r="T1627" t="str">
        <f>IFERROR(VLOOKUP(H1627,'VALORES VIAJES'!$A$2:$B$24,2,FALSE),"")</f>
        <v/>
      </c>
      <c r="U1627" t="str">
        <f>IFERROR(VLOOKUP(I1627,'VALORES VIAJES'!$A$2:$B$24,2,FALSE),"")</f>
        <v/>
      </c>
      <c r="V1627" t="str">
        <f>IFERROR(VLOOKUP(K1627,'VALORES VIAJES'!$A$2:$B$24,2,FALSE),"")</f>
        <v/>
      </c>
      <c r="X1627" s="208">
        <f>SUM(Hoja1[[#This Row],[$ X TIP VEHICUL]:[AGREGADO]])</f>
        <v>0</v>
      </c>
    </row>
    <row r="1628" spans="2:24" hidden="1" x14ac:dyDescent="0.25">
      <c r="B1628" s="189"/>
      <c r="J1628" s="189"/>
      <c r="M1628" s="205"/>
      <c r="S1628" t="str">
        <f>IFERROR(VLOOKUP(E1628,'VALORES VIAJES'!$A$2:$B$13,2,FALSE),"")</f>
        <v/>
      </c>
      <c r="T1628" t="str">
        <f>IFERROR(VLOOKUP(H1628,'VALORES VIAJES'!$A$2:$B$24,2,FALSE),"")</f>
        <v/>
      </c>
      <c r="U1628" t="str">
        <f>IFERROR(VLOOKUP(I1628,'VALORES VIAJES'!$A$2:$B$24,2,FALSE),"")</f>
        <v/>
      </c>
      <c r="V1628" t="str">
        <f>IFERROR(VLOOKUP(K1628,'VALORES VIAJES'!$A$2:$B$24,2,FALSE),"")</f>
        <v/>
      </c>
      <c r="X1628" s="208">
        <f>SUM(Hoja1[[#This Row],[$ X TIP VEHICUL]:[AGREGADO]])</f>
        <v>0</v>
      </c>
    </row>
    <row r="1629" spans="2:24" hidden="1" x14ac:dyDescent="0.25">
      <c r="B1629" s="189"/>
      <c r="J1629" s="189"/>
      <c r="M1629" s="205"/>
      <c r="S1629" t="str">
        <f>IFERROR(VLOOKUP(E1629,'VALORES VIAJES'!$A$2:$B$13,2,FALSE),"")</f>
        <v/>
      </c>
      <c r="T1629" t="str">
        <f>IFERROR(VLOOKUP(H1629,'VALORES VIAJES'!$A$2:$B$24,2,FALSE),"")</f>
        <v/>
      </c>
      <c r="U1629" t="str">
        <f>IFERROR(VLOOKUP(I1629,'VALORES VIAJES'!$A$2:$B$24,2,FALSE),"")</f>
        <v/>
      </c>
      <c r="V1629" t="str">
        <f>IFERROR(VLOOKUP(K1629,'VALORES VIAJES'!$A$2:$B$24,2,FALSE),"")</f>
        <v/>
      </c>
      <c r="X1629" s="208">
        <f>SUM(Hoja1[[#This Row],[$ X TIP VEHICUL]:[AGREGADO]])</f>
        <v>0</v>
      </c>
    </row>
    <row r="1630" spans="2:24" hidden="1" x14ac:dyDescent="0.25">
      <c r="B1630" s="189"/>
      <c r="J1630" s="189"/>
      <c r="M1630" s="205"/>
      <c r="S1630" t="str">
        <f>IFERROR(VLOOKUP(E1630,'VALORES VIAJES'!$A$2:$B$13,2,FALSE),"")</f>
        <v/>
      </c>
      <c r="T1630" t="str">
        <f>IFERROR(VLOOKUP(H1630,'VALORES VIAJES'!$A$2:$B$24,2,FALSE),"")</f>
        <v/>
      </c>
      <c r="U1630" t="str">
        <f>IFERROR(VLOOKUP(I1630,'VALORES VIAJES'!$A$2:$B$24,2,FALSE),"")</f>
        <v/>
      </c>
      <c r="V1630" t="str">
        <f>IFERROR(VLOOKUP(K1630,'VALORES VIAJES'!$A$2:$B$24,2,FALSE),"")</f>
        <v/>
      </c>
      <c r="X1630" s="208">
        <f>SUM(Hoja1[[#This Row],[$ X TIP VEHICUL]:[AGREGADO]])</f>
        <v>0</v>
      </c>
    </row>
    <row r="1631" spans="2:24" hidden="1" x14ac:dyDescent="0.25">
      <c r="B1631" s="189"/>
      <c r="J1631" s="189"/>
      <c r="M1631" s="205"/>
      <c r="S1631" t="str">
        <f>IFERROR(VLOOKUP(E1631,'VALORES VIAJES'!$A$2:$B$13,2,FALSE),"")</f>
        <v/>
      </c>
      <c r="T1631" t="str">
        <f>IFERROR(VLOOKUP(H1631,'VALORES VIAJES'!$A$2:$B$24,2,FALSE),"")</f>
        <v/>
      </c>
      <c r="U1631" t="str">
        <f>IFERROR(VLOOKUP(I1631,'VALORES VIAJES'!$A$2:$B$24,2,FALSE),"")</f>
        <v/>
      </c>
      <c r="V1631" t="str">
        <f>IFERROR(VLOOKUP(K1631,'VALORES VIAJES'!$A$2:$B$24,2,FALSE),"")</f>
        <v/>
      </c>
      <c r="X1631" s="208">
        <f>SUM(Hoja1[[#This Row],[$ X TIP VEHICUL]:[AGREGADO]])</f>
        <v>0</v>
      </c>
    </row>
    <row r="1632" spans="2:24" hidden="1" x14ac:dyDescent="0.25">
      <c r="B1632" s="189"/>
      <c r="J1632" s="189"/>
      <c r="M1632" s="205"/>
      <c r="S1632" t="str">
        <f>IFERROR(VLOOKUP(E1632,'VALORES VIAJES'!$A$2:$B$13,2,FALSE),"")</f>
        <v/>
      </c>
      <c r="T1632" t="str">
        <f>IFERROR(VLOOKUP(H1632,'VALORES VIAJES'!$A$2:$B$24,2,FALSE),"")</f>
        <v/>
      </c>
      <c r="U1632" t="str">
        <f>IFERROR(VLOOKUP(I1632,'VALORES VIAJES'!$A$2:$B$24,2,FALSE),"")</f>
        <v/>
      </c>
      <c r="V1632" t="str">
        <f>IFERROR(VLOOKUP(K1632,'VALORES VIAJES'!$A$2:$B$24,2,FALSE),"")</f>
        <v/>
      </c>
      <c r="X1632" s="208">
        <f>SUM(Hoja1[[#This Row],[$ X TIP VEHICUL]:[AGREGADO]])</f>
        <v>0</v>
      </c>
    </row>
    <row r="1633" spans="2:24" hidden="1" x14ac:dyDescent="0.25">
      <c r="B1633" s="189"/>
      <c r="J1633" s="189"/>
      <c r="M1633" s="205"/>
      <c r="S1633" t="str">
        <f>IFERROR(VLOOKUP(E1633,'VALORES VIAJES'!$A$2:$B$13,2,FALSE),"")</f>
        <v/>
      </c>
      <c r="T1633" t="str">
        <f>IFERROR(VLOOKUP(H1633,'VALORES VIAJES'!$A$2:$B$24,2,FALSE),"")</f>
        <v/>
      </c>
      <c r="U1633" t="str">
        <f>IFERROR(VLOOKUP(I1633,'VALORES VIAJES'!$A$2:$B$24,2,FALSE),"")</f>
        <v/>
      </c>
      <c r="V1633" t="str">
        <f>IFERROR(VLOOKUP(K1633,'VALORES VIAJES'!$A$2:$B$24,2,FALSE),"")</f>
        <v/>
      </c>
      <c r="X1633" s="208">
        <f>SUM(Hoja1[[#This Row],[$ X TIP VEHICUL]:[AGREGADO]])</f>
        <v>0</v>
      </c>
    </row>
    <row r="1634" spans="2:24" hidden="1" x14ac:dyDescent="0.25">
      <c r="B1634" s="189"/>
      <c r="J1634" s="189"/>
      <c r="M1634" s="205"/>
      <c r="S1634" t="str">
        <f>IFERROR(VLOOKUP(E1634,'VALORES VIAJES'!$A$2:$B$13,2,FALSE),"")</f>
        <v/>
      </c>
      <c r="T1634" t="str">
        <f>IFERROR(VLOOKUP(H1634,'VALORES VIAJES'!$A$2:$B$24,2,FALSE),"")</f>
        <v/>
      </c>
      <c r="U1634" t="str">
        <f>IFERROR(VLOOKUP(I1634,'VALORES VIAJES'!$A$2:$B$24,2,FALSE),"")</f>
        <v/>
      </c>
      <c r="V1634" t="str">
        <f>IFERROR(VLOOKUP(K1634,'VALORES VIAJES'!$A$2:$B$24,2,FALSE),"")</f>
        <v/>
      </c>
      <c r="X1634" s="208">
        <f>SUM(Hoja1[[#This Row],[$ X TIP VEHICUL]:[AGREGADO]])</f>
        <v>0</v>
      </c>
    </row>
    <row r="1635" spans="2:24" hidden="1" x14ac:dyDescent="0.25">
      <c r="B1635" s="189"/>
      <c r="J1635" s="189"/>
      <c r="M1635" s="205"/>
      <c r="S1635" t="str">
        <f>IFERROR(VLOOKUP(E1635,'VALORES VIAJES'!$A$2:$B$13,2,FALSE),"")</f>
        <v/>
      </c>
      <c r="T1635" t="str">
        <f>IFERROR(VLOOKUP(H1635,'VALORES VIAJES'!$A$2:$B$24,2,FALSE),"")</f>
        <v/>
      </c>
      <c r="U1635" t="str">
        <f>IFERROR(VLOOKUP(I1635,'VALORES VIAJES'!$A$2:$B$24,2,FALSE),"")</f>
        <v/>
      </c>
      <c r="V1635" t="str">
        <f>IFERROR(VLOOKUP(K1635,'VALORES VIAJES'!$A$2:$B$24,2,FALSE),"")</f>
        <v/>
      </c>
      <c r="X1635" s="208">
        <f>SUM(Hoja1[[#This Row],[$ X TIP VEHICUL]:[AGREGADO]])</f>
        <v>0</v>
      </c>
    </row>
    <row r="1636" spans="2:24" hidden="1" x14ac:dyDescent="0.25">
      <c r="B1636" s="189"/>
      <c r="J1636" s="189"/>
      <c r="M1636" s="205"/>
      <c r="S1636" t="str">
        <f>IFERROR(VLOOKUP(E1636,'VALORES VIAJES'!$A$2:$B$13,2,FALSE),"")</f>
        <v/>
      </c>
      <c r="T1636" t="str">
        <f>IFERROR(VLOOKUP(H1636,'VALORES VIAJES'!$A$2:$B$24,2,FALSE),"")</f>
        <v/>
      </c>
      <c r="U1636" t="str">
        <f>IFERROR(VLOOKUP(I1636,'VALORES VIAJES'!$A$2:$B$24,2,FALSE),"")</f>
        <v/>
      </c>
      <c r="V1636" t="str">
        <f>IFERROR(VLOOKUP(K1636,'VALORES VIAJES'!$A$2:$B$24,2,FALSE),"")</f>
        <v/>
      </c>
      <c r="X1636" s="208">
        <f>SUM(Hoja1[[#This Row],[$ X TIP VEHICUL]:[AGREGADO]])</f>
        <v>0</v>
      </c>
    </row>
    <row r="1637" spans="2:24" hidden="1" x14ac:dyDescent="0.25">
      <c r="B1637" s="189"/>
      <c r="J1637" s="189"/>
      <c r="M1637" s="205"/>
      <c r="S1637" t="str">
        <f>IFERROR(VLOOKUP(E1637,'VALORES VIAJES'!$A$2:$B$13,2,FALSE),"")</f>
        <v/>
      </c>
      <c r="T1637" t="str">
        <f>IFERROR(VLOOKUP(H1637,'VALORES VIAJES'!$A$2:$B$24,2,FALSE),"")</f>
        <v/>
      </c>
      <c r="U1637" t="str">
        <f>IFERROR(VLOOKUP(I1637,'VALORES VIAJES'!$A$2:$B$24,2,FALSE),"")</f>
        <v/>
      </c>
      <c r="V1637" t="str">
        <f>IFERROR(VLOOKUP(K1637,'VALORES VIAJES'!$A$2:$B$24,2,FALSE),"")</f>
        <v/>
      </c>
      <c r="X1637" s="208">
        <f>SUM(Hoja1[[#This Row],[$ X TIP VEHICUL]:[AGREGADO]])</f>
        <v>0</v>
      </c>
    </row>
    <row r="1638" spans="2:24" hidden="1" x14ac:dyDescent="0.25">
      <c r="B1638" s="189"/>
      <c r="J1638" s="189"/>
      <c r="M1638" s="205"/>
      <c r="S1638" t="str">
        <f>IFERROR(VLOOKUP(E1638,'VALORES VIAJES'!$A$2:$B$13,2,FALSE),"")</f>
        <v/>
      </c>
      <c r="T1638" t="str">
        <f>IFERROR(VLOOKUP(H1638,'VALORES VIAJES'!$A$2:$B$24,2,FALSE),"")</f>
        <v/>
      </c>
      <c r="U1638" t="str">
        <f>IFERROR(VLOOKUP(I1638,'VALORES VIAJES'!$A$2:$B$24,2,FALSE),"")</f>
        <v/>
      </c>
      <c r="V1638" t="str">
        <f>IFERROR(VLOOKUP(K1638,'VALORES VIAJES'!$A$2:$B$24,2,FALSE),"")</f>
        <v/>
      </c>
      <c r="X1638" s="208">
        <f>SUM(Hoja1[[#This Row],[$ X TIP VEHICUL]:[AGREGADO]])</f>
        <v>0</v>
      </c>
    </row>
    <row r="1639" spans="2:24" hidden="1" x14ac:dyDescent="0.25">
      <c r="B1639" s="189"/>
      <c r="J1639" s="189"/>
      <c r="M1639" s="205"/>
      <c r="S1639" t="str">
        <f>IFERROR(VLOOKUP(E1639,'VALORES VIAJES'!$A$2:$B$13,2,FALSE),"")</f>
        <v/>
      </c>
      <c r="T1639" t="str">
        <f>IFERROR(VLOOKUP(H1639,'VALORES VIAJES'!$A$2:$B$24,2,FALSE),"")</f>
        <v/>
      </c>
      <c r="U1639" t="str">
        <f>IFERROR(VLOOKUP(I1639,'VALORES VIAJES'!$A$2:$B$24,2,FALSE),"")</f>
        <v/>
      </c>
      <c r="V1639" t="str">
        <f>IFERROR(VLOOKUP(K1639,'VALORES VIAJES'!$A$2:$B$24,2,FALSE),"")</f>
        <v/>
      </c>
      <c r="X1639" s="208">
        <f>SUM(Hoja1[[#This Row],[$ X TIP VEHICUL]:[AGREGADO]])</f>
        <v>0</v>
      </c>
    </row>
    <row r="1640" spans="2:24" hidden="1" x14ac:dyDescent="0.25">
      <c r="B1640" s="189"/>
      <c r="J1640" s="189"/>
      <c r="M1640" s="205"/>
      <c r="S1640" t="str">
        <f>IFERROR(VLOOKUP(E1640,'VALORES VIAJES'!$A$2:$B$13,2,FALSE),"")</f>
        <v/>
      </c>
      <c r="T1640" t="str">
        <f>IFERROR(VLOOKUP(H1640,'VALORES VIAJES'!$A$2:$B$24,2,FALSE),"")</f>
        <v/>
      </c>
      <c r="U1640" t="str">
        <f>IFERROR(VLOOKUP(I1640,'VALORES VIAJES'!$A$2:$B$24,2,FALSE),"")</f>
        <v/>
      </c>
      <c r="V1640" t="str">
        <f>IFERROR(VLOOKUP(K1640,'VALORES VIAJES'!$A$2:$B$24,2,FALSE),"")</f>
        <v/>
      </c>
      <c r="X1640" s="208">
        <f>SUM(Hoja1[[#This Row],[$ X TIP VEHICUL]:[AGREGADO]])</f>
        <v>0</v>
      </c>
    </row>
    <row r="1641" spans="2:24" hidden="1" x14ac:dyDescent="0.25">
      <c r="B1641" s="189"/>
      <c r="J1641" s="189"/>
      <c r="M1641" s="205"/>
      <c r="S1641" t="str">
        <f>IFERROR(VLOOKUP(E1641,'VALORES VIAJES'!$A$2:$B$13,2,FALSE),"")</f>
        <v/>
      </c>
      <c r="T1641" t="str">
        <f>IFERROR(VLOOKUP(H1641,'VALORES VIAJES'!$A$2:$B$24,2,FALSE),"")</f>
        <v/>
      </c>
      <c r="U1641" t="str">
        <f>IFERROR(VLOOKUP(I1641,'VALORES VIAJES'!$A$2:$B$24,2,FALSE),"")</f>
        <v/>
      </c>
      <c r="V1641" t="str">
        <f>IFERROR(VLOOKUP(K1641,'VALORES VIAJES'!$A$2:$B$24,2,FALSE),"")</f>
        <v/>
      </c>
      <c r="X1641" s="208">
        <f>SUM(Hoja1[[#This Row],[$ X TIP VEHICUL]:[AGREGADO]])</f>
        <v>0</v>
      </c>
    </row>
    <row r="1642" spans="2:24" hidden="1" x14ac:dyDescent="0.25">
      <c r="B1642" s="189"/>
      <c r="J1642" s="189"/>
      <c r="M1642" s="205"/>
      <c r="S1642" t="str">
        <f>IFERROR(VLOOKUP(E1642,'VALORES VIAJES'!$A$2:$B$13,2,FALSE),"")</f>
        <v/>
      </c>
      <c r="T1642" t="str">
        <f>IFERROR(VLOOKUP(H1642,'VALORES VIAJES'!$A$2:$B$24,2,FALSE),"")</f>
        <v/>
      </c>
      <c r="U1642" t="str">
        <f>IFERROR(VLOOKUP(I1642,'VALORES VIAJES'!$A$2:$B$24,2,FALSE),"")</f>
        <v/>
      </c>
      <c r="V1642" t="str">
        <f>IFERROR(VLOOKUP(K1642,'VALORES VIAJES'!$A$2:$B$24,2,FALSE),"")</f>
        <v/>
      </c>
      <c r="X1642" s="208">
        <f>SUM(Hoja1[[#This Row],[$ X TIP VEHICUL]:[AGREGADO]])</f>
        <v>0</v>
      </c>
    </row>
    <row r="1643" spans="2:24" hidden="1" x14ac:dyDescent="0.25">
      <c r="B1643" s="189"/>
      <c r="J1643" s="189"/>
      <c r="M1643" s="205"/>
      <c r="S1643" t="str">
        <f>IFERROR(VLOOKUP(E1643,'VALORES VIAJES'!$A$2:$B$13,2,FALSE),"")</f>
        <v/>
      </c>
      <c r="T1643" t="str">
        <f>IFERROR(VLOOKUP(H1643,'VALORES VIAJES'!$A$2:$B$24,2,FALSE),"")</f>
        <v/>
      </c>
      <c r="U1643" t="str">
        <f>IFERROR(VLOOKUP(I1643,'VALORES VIAJES'!$A$2:$B$24,2,FALSE),"")</f>
        <v/>
      </c>
      <c r="V1643" t="str">
        <f>IFERROR(VLOOKUP(K1643,'VALORES VIAJES'!$A$2:$B$24,2,FALSE),"")</f>
        <v/>
      </c>
      <c r="X1643" s="208">
        <f>SUM(Hoja1[[#This Row],[$ X TIP VEHICUL]:[AGREGADO]])</f>
        <v>0</v>
      </c>
    </row>
    <row r="1644" spans="2:24" hidden="1" x14ac:dyDescent="0.25">
      <c r="B1644" s="189"/>
      <c r="J1644" s="189"/>
      <c r="M1644" s="205"/>
      <c r="S1644" t="str">
        <f>IFERROR(VLOOKUP(E1644,'VALORES VIAJES'!$A$2:$B$13,2,FALSE),"")</f>
        <v/>
      </c>
      <c r="T1644" t="str">
        <f>IFERROR(VLOOKUP(H1644,'VALORES VIAJES'!$A$2:$B$24,2,FALSE),"")</f>
        <v/>
      </c>
      <c r="U1644" t="str">
        <f>IFERROR(VLOOKUP(I1644,'VALORES VIAJES'!$A$2:$B$24,2,FALSE),"")</f>
        <v/>
      </c>
      <c r="V1644" t="str">
        <f>IFERROR(VLOOKUP(K1644,'VALORES VIAJES'!$A$2:$B$24,2,FALSE),"")</f>
        <v/>
      </c>
      <c r="X1644" s="208">
        <f>SUM(Hoja1[[#This Row],[$ X TIP VEHICUL]:[AGREGADO]])</f>
        <v>0</v>
      </c>
    </row>
    <row r="1645" spans="2:24" hidden="1" x14ac:dyDescent="0.25">
      <c r="B1645" s="189"/>
      <c r="J1645" s="189"/>
      <c r="M1645" s="205"/>
      <c r="S1645" t="str">
        <f>IFERROR(VLOOKUP(E1645,'VALORES VIAJES'!$A$2:$B$13,2,FALSE),"")</f>
        <v/>
      </c>
      <c r="T1645" t="str">
        <f>IFERROR(VLOOKUP(H1645,'VALORES VIAJES'!$A$2:$B$24,2,FALSE),"")</f>
        <v/>
      </c>
      <c r="U1645" t="str">
        <f>IFERROR(VLOOKUP(I1645,'VALORES VIAJES'!$A$2:$B$24,2,FALSE),"")</f>
        <v/>
      </c>
      <c r="V1645" t="str">
        <f>IFERROR(VLOOKUP(K1645,'VALORES VIAJES'!$A$2:$B$24,2,FALSE),"")</f>
        <v/>
      </c>
      <c r="X1645" s="208">
        <f>SUM(Hoja1[[#This Row],[$ X TIP VEHICUL]:[AGREGADO]])</f>
        <v>0</v>
      </c>
    </row>
    <row r="1646" spans="2:24" hidden="1" x14ac:dyDescent="0.25">
      <c r="B1646" s="189"/>
      <c r="J1646" s="189"/>
      <c r="M1646" s="205"/>
      <c r="S1646" t="str">
        <f>IFERROR(VLOOKUP(E1646,'VALORES VIAJES'!$A$2:$B$13,2,FALSE),"")</f>
        <v/>
      </c>
      <c r="T1646" t="str">
        <f>IFERROR(VLOOKUP(H1646,'VALORES VIAJES'!$A$2:$B$24,2,FALSE),"")</f>
        <v/>
      </c>
      <c r="U1646" t="str">
        <f>IFERROR(VLOOKUP(I1646,'VALORES VIAJES'!$A$2:$B$24,2,FALSE),"")</f>
        <v/>
      </c>
      <c r="V1646" t="str">
        <f>IFERROR(VLOOKUP(K1646,'VALORES VIAJES'!$A$2:$B$24,2,FALSE),"")</f>
        <v/>
      </c>
      <c r="X1646" s="208">
        <f>SUM(Hoja1[[#This Row],[$ X TIP VEHICUL]:[AGREGADO]])</f>
        <v>0</v>
      </c>
    </row>
    <row r="1647" spans="2:24" hidden="1" x14ac:dyDescent="0.25">
      <c r="B1647" s="189"/>
      <c r="J1647" s="189"/>
      <c r="M1647" s="205"/>
      <c r="S1647" t="str">
        <f>IFERROR(VLOOKUP(E1647,'VALORES VIAJES'!$A$2:$B$13,2,FALSE),"")</f>
        <v/>
      </c>
      <c r="T1647" t="str">
        <f>IFERROR(VLOOKUP(H1647,'VALORES VIAJES'!$A$2:$B$24,2,FALSE),"")</f>
        <v/>
      </c>
      <c r="U1647" t="str">
        <f>IFERROR(VLOOKUP(I1647,'VALORES VIAJES'!$A$2:$B$24,2,FALSE),"")</f>
        <v/>
      </c>
      <c r="V1647" t="str">
        <f>IFERROR(VLOOKUP(K1647,'VALORES VIAJES'!$A$2:$B$24,2,FALSE),"")</f>
        <v/>
      </c>
      <c r="X1647" s="208">
        <f>SUM(Hoja1[[#This Row],[$ X TIP VEHICUL]:[AGREGADO]])</f>
        <v>0</v>
      </c>
    </row>
    <row r="1648" spans="2:24" hidden="1" x14ac:dyDescent="0.25">
      <c r="B1648" s="189"/>
      <c r="J1648" s="189"/>
      <c r="M1648" s="205"/>
      <c r="S1648" t="str">
        <f>IFERROR(VLOOKUP(E1648,'VALORES VIAJES'!$A$2:$B$13,2,FALSE),"")</f>
        <v/>
      </c>
      <c r="T1648" t="str">
        <f>IFERROR(VLOOKUP(H1648,'VALORES VIAJES'!$A$2:$B$24,2,FALSE),"")</f>
        <v/>
      </c>
      <c r="U1648" t="str">
        <f>IFERROR(VLOOKUP(I1648,'VALORES VIAJES'!$A$2:$B$24,2,FALSE),"")</f>
        <v/>
      </c>
      <c r="V1648" t="str">
        <f>IFERROR(VLOOKUP(K1648,'VALORES VIAJES'!$A$2:$B$24,2,FALSE),"")</f>
        <v/>
      </c>
      <c r="X1648" s="208">
        <f>SUM(Hoja1[[#This Row],[$ X TIP VEHICUL]:[AGREGADO]])</f>
        <v>0</v>
      </c>
    </row>
    <row r="1649" spans="2:24" hidden="1" x14ac:dyDescent="0.25">
      <c r="B1649" s="189"/>
      <c r="J1649" s="189"/>
      <c r="M1649" s="205"/>
      <c r="S1649" t="str">
        <f>IFERROR(VLOOKUP(E1649,'VALORES VIAJES'!$A$2:$B$13,2,FALSE),"")</f>
        <v/>
      </c>
      <c r="T1649" t="str">
        <f>IFERROR(VLOOKUP(H1649,'VALORES VIAJES'!$A$2:$B$24,2,FALSE),"")</f>
        <v/>
      </c>
      <c r="U1649" t="str">
        <f>IFERROR(VLOOKUP(I1649,'VALORES VIAJES'!$A$2:$B$24,2,FALSE),"")</f>
        <v/>
      </c>
      <c r="V1649" t="str">
        <f>IFERROR(VLOOKUP(K1649,'VALORES VIAJES'!$A$2:$B$24,2,FALSE),"")</f>
        <v/>
      </c>
      <c r="X1649" s="208">
        <f>SUM(Hoja1[[#This Row],[$ X TIP VEHICUL]:[AGREGADO]])</f>
        <v>0</v>
      </c>
    </row>
    <row r="1650" spans="2:24" hidden="1" x14ac:dyDescent="0.25">
      <c r="B1650" s="189"/>
      <c r="J1650" s="189"/>
      <c r="M1650" s="205"/>
      <c r="S1650" t="str">
        <f>IFERROR(VLOOKUP(E1650,'VALORES VIAJES'!$A$2:$B$13,2,FALSE),"")</f>
        <v/>
      </c>
      <c r="T1650" t="str">
        <f>IFERROR(VLOOKUP(H1650,'VALORES VIAJES'!$A$2:$B$24,2,FALSE),"")</f>
        <v/>
      </c>
      <c r="U1650" t="str">
        <f>IFERROR(VLOOKUP(I1650,'VALORES VIAJES'!$A$2:$B$24,2,FALSE),"")</f>
        <v/>
      </c>
      <c r="V1650" t="str">
        <f>IFERROR(VLOOKUP(K1650,'VALORES VIAJES'!$A$2:$B$24,2,FALSE),"")</f>
        <v/>
      </c>
      <c r="X1650" s="208">
        <f>SUM(Hoja1[[#This Row],[$ X TIP VEHICUL]:[AGREGADO]])</f>
        <v>0</v>
      </c>
    </row>
    <row r="1651" spans="2:24" hidden="1" x14ac:dyDescent="0.25">
      <c r="B1651" s="189"/>
      <c r="J1651" s="189"/>
      <c r="M1651" s="205"/>
      <c r="S1651" t="str">
        <f>IFERROR(VLOOKUP(E1651,'VALORES VIAJES'!$A$2:$B$13,2,FALSE),"")</f>
        <v/>
      </c>
      <c r="T1651" t="str">
        <f>IFERROR(VLOOKUP(H1651,'VALORES VIAJES'!$A$2:$B$24,2,FALSE),"")</f>
        <v/>
      </c>
      <c r="U1651" t="str">
        <f>IFERROR(VLOOKUP(I1651,'VALORES VIAJES'!$A$2:$B$24,2,FALSE),"")</f>
        <v/>
      </c>
      <c r="V1651" t="str">
        <f>IFERROR(VLOOKUP(K1651,'VALORES VIAJES'!$A$2:$B$24,2,FALSE),"")</f>
        <v/>
      </c>
      <c r="X1651" s="208">
        <f>SUM(Hoja1[[#This Row],[$ X TIP VEHICUL]:[AGREGADO]])</f>
        <v>0</v>
      </c>
    </row>
    <row r="1652" spans="2:24" hidden="1" x14ac:dyDescent="0.25">
      <c r="B1652" s="189"/>
      <c r="J1652" s="189"/>
      <c r="M1652" s="205"/>
      <c r="S1652" t="str">
        <f>IFERROR(VLOOKUP(E1652,'VALORES VIAJES'!$A$2:$B$13,2,FALSE),"")</f>
        <v/>
      </c>
      <c r="T1652" t="str">
        <f>IFERROR(VLOOKUP(H1652,'VALORES VIAJES'!$A$2:$B$24,2,FALSE),"")</f>
        <v/>
      </c>
      <c r="U1652" t="str">
        <f>IFERROR(VLOOKUP(I1652,'VALORES VIAJES'!$A$2:$B$24,2,FALSE),"")</f>
        <v/>
      </c>
      <c r="V1652" t="str">
        <f>IFERROR(VLOOKUP(K1652,'VALORES VIAJES'!$A$2:$B$24,2,FALSE),"")</f>
        <v/>
      </c>
      <c r="X1652" s="208">
        <f>SUM(Hoja1[[#This Row],[$ X TIP VEHICUL]:[AGREGADO]])</f>
        <v>0</v>
      </c>
    </row>
    <row r="1653" spans="2:24" hidden="1" x14ac:dyDescent="0.25">
      <c r="B1653" s="189"/>
      <c r="J1653" s="189"/>
      <c r="M1653" s="205"/>
      <c r="S1653" t="str">
        <f>IFERROR(VLOOKUP(E1653,'VALORES VIAJES'!$A$2:$B$13,2,FALSE),"")</f>
        <v/>
      </c>
      <c r="T1653" t="str">
        <f>IFERROR(VLOOKUP(H1653,'VALORES VIAJES'!$A$2:$B$24,2,FALSE),"")</f>
        <v/>
      </c>
      <c r="U1653" t="str">
        <f>IFERROR(VLOOKUP(I1653,'VALORES VIAJES'!$A$2:$B$24,2,FALSE),"")</f>
        <v/>
      </c>
      <c r="V1653" t="str">
        <f>IFERROR(VLOOKUP(K1653,'VALORES VIAJES'!$A$2:$B$24,2,FALSE),"")</f>
        <v/>
      </c>
      <c r="X1653" s="208">
        <f>SUM(Hoja1[[#This Row],[$ X TIP VEHICUL]:[AGREGADO]])</f>
        <v>0</v>
      </c>
    </row>
    <row r="1654" spans="2:24" hidden="1" x14ac:dyDescent="0.25">
      <c r="B1654" s="189"/>
      <c r="J1654" s="189"/>
      <c r="M1654" s="205"/>
      <c r="S1654" t="str">
        <f>IFERROR(VLOOKUP(E1654,'VALORES VIAJES'!$A$2:$B$13,2,FALSE),"")</f>
        <v/>
      </c>
      <c r="T1654" t="str">
        <f>IFERROR(VLOOKUP(H1654,'VALORES VIAJES'!$A$2:$B$24,2,FALSE),"")</f>
        <v/>
      </c>
      <c r="U1654" t="str">
        <f>IFERROR(VLOOKUP(I1654,'VALORES VIAJES'!$A$2:$B$24,2,FALSE),"")</f>
        <v/>
      </c>
      <c r="V1654" t="str">
        <f>IFERROR(VLOOKUP(K1654,'VALORES VIAJES'!$A$2:$B$24,2,FALSE),"")</f>
        <v/>
      </c>
      <c r="X1654" s="208">
        <f>SUM(Hoja1[[#This Row],[$ X TIP VEHICUL]:[AGREGADO]])</f>
        <v>0</v>
      </c>
    </row>
    <row r="1655" spans="2:24" hidden="1" x14ac:dyDescent="0.25">
      <c r="B1655" s="189"/>
      <c r="J1655" s="189"/>
      <c r="M1655" s="205"/>
      <c r="S1655" t="str">
        <f>IFERROR(VLOOKUP(E1655,'VALORES VIAJES'!$A$2:$B$13,2,FALSE),"")</f>
        <v/>
      </c>
      <c r="T1655" t="str">
        <f>IFERROR(VLOOKUP(H1655,'VALORES VIAJES'!$A$2:$B$24,2,FALSE),"")</f>
        <v/>
      </c>
      <c r="U1655" t="str">
        <f>IFERROR(VLOOKUP(I1655,'VALORES VIAJES'!$A$2:$B$24,2,FALSE),"")</f>
        <v/>
      </c>
      <c r="V1655" t="str">
        <f>IFERROR(VLOOKUP(K1655,'VALORES VIAJES'!$A$2:$B$24,2,FALSE),"")</f>
        <v/>
      </c>
      <c r="X1655" s="208">
        <f>SUM(Hoja1[[#This Row],[$ X TIP VEHICUL]:[AGREGADO]])</f>
        <v>0</v>
      </c>
    </row>
    <row r="1656" spans="2:24" hidden="1" x14ac:dyDescent="0.25">
      <c r="B1656" s="189"/>
      <c r="J1656" s="189"/>
      <c r="M1656" s="205"/>
      <c r="S1656" t="str">
        <f>IFERROR(VLOOKUP(E1656,'VALORES VIAJES'!$A$2:$B$13,2,FALSE),"")</f>
        <v/>
      </c>
      <c r="T1656" t="str">
        <f>IFERROR(VLOOKUP(H1656,'VALORES VIAJES'!$A$2:$B$24,2,FALSE),"")</f>
        <v/>
      </c>
      <c r="U1656" t="str">
        <f>IFERROR(VLOOKUP(I1656,'VALORES VIAJES'!$A$2:$B$24,2,FALSE),"")</f>
        <v/>
      </c>
      <c r="V1656" t="str">
        <f>IFERROR(VLOOKUP(K1656,'VALORES VIAJES'!$A$2:$B$24,2,FALSE),"")</f>
        <v/>
      </c>
      <c r="X1656" s="208">
        <f>SUM(Hoja1[[#This Row],[$ X TIP VEHICUL]:[AGREGADO]])</f>
        <v>0</v>
      </c>
    </row>
    <row r="1657" spans="2:24" hidden="1" x14ac:dyDescent="0.25">
      <c r="B1657" s="189"/>
      <c r="J1657" s="189"/>
      <c r="M1657" s="205"/>
      <c r="S1657" t="str">
        <f>IFERROR(VLOOKUP(E1657,'VALORES VIAJES'!$A$2:$B$13,2,FALSE),"")</f>
        <v/>
      </c>
      <c r="T1657" t="str">
        <f>IFERROR(VLOOKUP(H1657,'VALORES VIAJES'!$A$2:$B$24,2,FALSE),"")</f>
        <v/>
      </c>
      <c r="U1657" t="str">
        <f>IFERROR(VLOOKUP(I1657,'VALORES VIAJES'!$A$2:$B$24,2,FALSE),"")</f>
        <v/>
      </c>
      <c r="V1657" t="str">
        <f>IFERROR(VLOOKUP(K1657,'VALORES VIAJES'!$A$2:$B$24,2,FALSE),"")</f>
        <v/>
      </c>
      <c r="X1657" s="208">
        <f>SUM(Hoja1[[#This Row],[$ X TIP VEHICUL]:[AGREGADO]])</f>
        <v>0</v>
      </c>
    </row>
    <row r="1658" spans="2:24" hidden="1" x14ac:dyDescent="0.25">
      <c r="B1658" s="189"/>
      <c r="J1658" s="189"/>
      <c r="M1658" s="205"/>
      <c r="S1658" t="str">
        <f>IFERROR(VLOOKUP(E1658,'VALORES VIAJES'!$A$2:$B$13,2,FALSE),"")</f>
        <v/>
      </c>
      <c r="T1658" t="str">
        <f>IFERROR(VLOOKUP(H1658,'VALORES VIAJES'!$A$2:$B$24,2,FALSE),"")</f>
        <v/>
      </c>
      <c r="U1658" t="str">
        <f>IFERROR(VLOOKUP(I1658,'VALORES VIAJES'!$A$2:$B$24,2,FALSE),"")</f>
        <v/>
      </c>
      <c r="V1658" t="str">
        <f>IFERROR(VLOOKUP(K1658,'VALORES VIAJES'!$A$2:$B$24,2,FALSE),"")</f>
        <v/>
      </c>
      <c r="X1658" s="208">
        <f>SUM(Hoja1[[#This Row],[$ X TIP VEHICUL]:[AGREGADO]])</f>
        <v>0</v>
      </c>
    </row>
    <row r="1659" spans="2:24" hidden="1" x14ac:dyDescent="0.25">
      <c r="B1659" s="189"/>
      <c r="J1659" s="189"/>
      <c r="M1659" s="205"/>
      <c r="S1659" t="str">
        <f>IFERROR(VLOOKUP(E1659,'VALORES VIAJES'!$A$2:$B$13,2,FALSE),"")</f>
        <v/>
      </c>
      <c r="T1659" t="str">
        <f>IFERROR(VLOOKUP(H1659,'VALORES VIAJES'!$A$2:$B$24,2,FALSE),"")</f>
        <v/>
      </c>
      <c r="U1659" t="str">
        <f>IFERROR(VLOOKUP(I1659,'VALORES VIAJES'!$A$2:$B$24,2,FALSE),"")</f>
        <v/>
      </c>
      <c r="V1659" t="str">
        <f>IFERROR(VLOOKUP(K1659,'VALORES VIAJES'!$A$2:$B$24,2,FALSE),"")</f>
        <v/>
      </c>
      <c r="X1659" s="208">
        <f>SUM(Hoja1[[#This Row],[$ X TIP VEHICUL]:[AGREGADO]])</f>
        <v>0</v>
      </c>
    </row>
    <row r="1660" spans="2:24" hidden="1" x14ac:dyDescent="0.25">
      <c r="B1660" s="189"/>
      <c r="J1660" s="189"/>
      <c r="M1660" s="205"/>
      <c r="S1660" t="str">
        <f>IFERROR(VLOOKUP(E1660,'VALORES VIAJES'!$A$2:$B$13,2,FALSE),"")</f>
        <v/>
      </c>
      <c r="T1660" t="str">
        <f>IFERROR(VLOOKUP(H1660,'VALORES VIAJES'!$A$2:$B$24,2,FALSE),"")</f>
        <v/>
      </c>
      <c r="U1660" t="str">
        <f>IFERROR(VLOOKUP(I1660,'VALORES VIAJES'!$A$2:$B$24,2,FALSE),"")</f>
        <v/>
      </c>
      <c r="V1660" t="str">
        <f>IFERROR(VLOOKUP(K1660,'VALORES VIAJES'!$A$2:$B$24,2,FALSE),"")</f>
        <v/>
      </c>
      <c r="X1660" s="208">
        <f>SUM(Hoja1[[#This Row],[$ X TIP VEHICUL]:[AGREGADO]])</f>
        <v>0</v>
      </c>
    </row>
    <row r="1661" spans="2:24" hidden="1" x14ac:dyDescent="0.25">
      <c r="B1661" s="189"/>
      <c r="J1661" s="189"/>
      <c r="M1661" s="205"/>
      <c r="S1661" t="str">
        <f>IFERROR(VLOOKUP(E1661,'VALORES VIAJES'!$A$2:$B$13,2,FALSE),"")</f>
        <v/>
      </c>
      <c r="T1661" t="str">
        <f>IFERROR(VLOOKUP(H1661,'VALORES VIAJES'!$A$2:$B$24,2,FALSE),"")</f>
        <v/>
      </c>
      <c r="U1661" t="str">
        <f>IFERROR(VLOOKUP(I1661,'VALORES VIAJES'!$A$2:$B$24,2,FALSE),"")</f>
        <v/>
      </c>
      <c r="V1661" t="str">
        <f>IFERROR(VLOOKUP(K1661,'VALORES VIAJES'!$A$2:$B$24,2,FALSE),"")</f>
        <v/>
      </c>
      <c r="X1661" s="208">
        <f>SUM(Hoja1[[#This Row],[$ X TIP VEHICUL]:[AGREGADO]])</f>
        <v>0</v>
      </c>
    </row>
    <row r="1662" spans="2:24" hidden="1" x14ac:dyDescent="0.25">
      <c r="B1662" s="189"/>
      <c r="J1662" s="189"/>
      <c r="M1662" s="205"/>
      <c r="S1662" t="str">
        <f>IFERROR(VLOOKUP(E1662,'VALORES VIAJES'!$A$2:$B$13,2,FALSE),"")</f>
        <v/>
      </c>
      <c r="T1662" t="str">
        <f>IFERROR(VLOOKUP(H1662,'VALORES VIAJES'!$A$2:$B$24,2,FALSE),"")</f>
        <v/>
      </c>
      <c r="U1662" t="str">
        <f>IFERROR(VLOOKUP(I1662,'VALORES VIAJES'!$A$2:$B$24,2,FALSE),"")</f>
        <v/>
      </c>
      <c r="V1662" t="str">
        <f>IFERROR(VLOOKUP(K1662,'VALORES VIAJES'!$A$2:$B$24,2,FALSE),"")</f>
        <v/>
      </c>
      <c r="X1662" s="208">
        <f>SUM(Hoja1[[#This Row],[$ X TIP VEHICUL]:[AGREGADO]])</f>
        <v>0</v>
      </c>
    </row>
    <row r="1663" spans="2:24" hidden="1" x14ac:dyDescent="0.25">
      <c r="B1663" s="189"/>
      <c r="J1663" s="189"/>
      <c r="M1663" s="205"/>
      <c r="S1663" t="str">
        <f>IFERROR(VLOOKUP(E1663,'VALORES VIAJES'!$A$2:$B$13,2,FALSE),"")</f>
        <v/>
      </c>
      <c r="T1663" t="str">
        <f>IFERROR(VLOOKUP(H1663,'VALORES VIAJES'!$A$2:$B$24,2,FALSE),"")</f>
        <v/>
      </c>
      <c r="U1663" t="str">
        <f>IFERROR(VLOOKUP(I1663,'VALORES VIAJES'!$A$2:$B$24,2,FALSE),"")</f>
        <v/>
      </c>
      <c r="V1663" t="str">
        <f>IFERROR(VLOOKUP(K1663,'VALORES VIAJES'!$A$2:$B$24,2,FALSE),"")</f>
        <v/>
      </c>
      <c r="X1663" s="208">
        <f>SUM(Hoja1[[#This Row],[$ X TIP VEHICUL]:[AGREGADO]])</f>
        <v>0</v>
      </c>
    </row>
    <row r="1664" spans="2:24" hidden="1" x14ac:dyDescent="0.25">
      <c r="B1664" s="189"/>
      <c r="J1664" s="189"/>
      <c r="M1664" s="205"/>
      <c r="S1664" t="str">
        <f>IFERROR(VLOOKUP(E1664,'VALORES VIAJES'!$A$2:$B$13,2,FALSE),"")</f>
        <v/>
      </c>
      <c r="T1664" t="str">
        <f>IFERROR(VLOOKUP(H1664,'VALORES VIAJES'!$A$2:$B$24,2,FALSE),"")</f>
        <v/>
      </c>
      <c r="U1664" t="str">
        <f>IFERROR(VLOOKUP(I1664,'VALORES VIAJES'!$A$2:$B$24,2,FALSE),"")</f>
        <v/>
      </c>
      <c r="V1664" t="str">
        <f>IFERROR(VLOOKUP(K1664,'VALORES VIAJES'!$A$2:$B$24,2,FALSE),"")</f>
        <v/>
      </c>
      <c r="X1664" s="208">
        <f>SUM(Hoja1[[#This Row],[$ X TIP VEHICUL]:[AGREGADO]])</f>
        <v>0</v>
      </c>
    </row>
    <row r="1665" spans="2:24" hidden="1" x14ac:dyDescent="0.25">
      <c r="B1665" s="189"/>
      <c r="J1665" s="189"/>
      <c r="M1665" s="205"/>
      <c r="S1665" t="str">
        <f>IFERROR(VLOOKUP(E1665,'VALORES VIAJES'!$A$2:$B$13,2,FALSE),"")</f>
        <v/>
      </c>
      <c r="T1665" t="str">
        <f>IFERROR(VLOOKUP(H1665,'VALORES VIAJES'!$A$2:$B$24,2,FALSE),"")</f>
        <v/>
      </c>
      <c r="U1665" t="str">
        <f>IFERROR(VLOOKUP(I1665,'VALORES VIAJES'!$A$2:$B$24,2,FALSE),"")</f>
        <v/>
      </c>
      <c r="V1665" t="str">
        <f>IFERROR(VLOOKUP(K1665,'VALORES VIAJES'!$A$2:$B$24,2,FALSE),"")</f>
        <v/>
      </c>
      <c r="X1665" s="208">
        <f>SUM(Hoja1[[#This Row],[$ X TIP VEHICUL]:[AGREGADO]])</f>
        <v>0</v>
      </c>
    </row>
    <row r="1666" spans="2:24" hidden="1" x14ac:dyDescent="0.25">
      <c r="B1666" s="189"/>
      <c r="J1666" s="189"/>
      <c r="M1666" s="205"/>
      <c r="S1666" t="str">
        <f>IFERROR(VLOOKUP(E1666,'VALORES VIAJES'!$A$2:$B$13,2,FALSE),"")</f>
        <v/>
      </c>
      <c r="T1666" t="str">
        <f>IFERROR(VLOOKUP(H1666,'VALORES VIAJES'!$A$2:$B$24,2,FALSE),"")</f>
        <v/>
      </c>
      <c r="U1666" t="str">
        <f>IFERROR(VLOOKUP(I1666,'VALORES VIAJES'!$A$2:$B$24,2,FALSE),"")</f>
        <v/>
      </c>
      <c r="V1666" t="str">
        <f>IFERROR(VLOOKUP(K1666,'VALORES VIAJES'!$A$2:$B$24,2,FALSE),"")</f>
        <v/>
      </c>
      <c r="X1666" s="208">
        <f>SUM(Hoja1[[#This Row],[$ X TIP VEHICUL]:[AGREGADO]])</f>
        <v>0</v>
      </c>
    </row>
    <row r="1667" spans="2:24" hidden="1" x14ac:dyDescent="0.25">
      <c r="B1667" s="189"/>
      <c r="J1667" s="189"/>
      <c r="M1667" s="205"/>
      <c r="S1667" t="str">
        <f>IFERROR(VLOOKUP(E1667,'VALORES VIAJES'!$A$2:$B$13,2,FALSE),"")</f>
        <v/>
      </c>
      <c r="T1667" t="str">
        <f>IFERROR(VLOOKUP(H1667,'VALORES VIAJES'!$A$2:$B$24,2,FALSE),"")</f>
        <v/>
      </c>
      <c r="U1667" t="str">
        <f>IFERROR(VLOOKUP(I1667,'VALORES VIAJES'!$A$2:$B$24,2,FALSE),"")</f>
        <v/>
      </c>
      <c r="V1667" t="str">
        <f>IFERROR(VLOOKUP(K1667,'VALORES VIAJES'!$A$2:$B$24,2,FALSE),"")</f>
        <v/>
      </c>
      <c r="X1667" s="208">
        <f>SUM(Hoja1[[#This Row],[$ X TIP VEHICUL]:[AGREGADO]])</f>
        <v>0</v>
      </c>
    </row>
    <row r="1668" spans="2:24" hidden="1" x14ac:dyDescent="0.25">
      <c r="B1668" s="189"/>
      <c r="J1668" s="189"/>
      <c r="M1668" s="205"/>
      <c r="S1668" t="str">
        <f>IFERROR(VLOOKUP(E1668,'VALORES VIAJES'!$A$2:$B$13,2,FALSE),"")</f>
        <v/>
      </c>
      <c r="T1668" t="str">
        <f>IFERROR(VLOOKUP(H1668,'VALORES VIAJES'!$A$2:$B$24,2,FALSE),"")</f>
        <v/>
      </c>
      <c r="U1668" t="str">
        <f>IFERROR(VLOOKUP(I1668,'VALORES VIAJES'!$A$2:$B$24,2,FALSE),"")</f>
        <v/>
      </c>
      <c r="V1668" t="str">
        <f>IFERROR(VLOOKUP(K1668,'VALORES VIAJES'!$A$2:$B$24,2,FALSE),"")</f>
        <v/>
      </c>
      <c r="X1668" s="208">
        <f>SUM(Hoja1[[#This Row],[$ X TIP VEHICUL]:[AGREGADO]])</f>
        <v>0</v>
      </c>
    </row>
    <row r="1669" spans="2:24" hidden="1" x14ac:dyDescent="0.25">
      <c r="B1669" s="189"/>
      <c r="J1669" s="189"/>
      <c r="M1669" s="205"/>
      <c r="S1669" t="str">
        <f>IFERROR(VLOOKUP(E1669,'VALORES VIAJES'!$A$2:$B$13,2,FALSE),"")</f>
        <v/>
      </c>
      <c r="T1669" t="str">
        <f>IFERROR(VLOOKUP(H1669,'VALORES VIAJES'!$A$2:$B$24,2,FALSE),"")</f>
        <v/>
      </c>
      <c r="U1669" t="str">
        <f>IFERROR(VLOOKUP(I1669,'VALORES VIAJES'!$A$2:$B$24,2,FALSE),"")</f>
        <v/>
      </c>
      <c r="V1669" t="str">
        <f>IFERROR(VLOOKUP(K1669,'VALORES VIAJES'!$A$2:$B$24,2,FALSE),"")</f>
        <v/>
      </c>
      <c r="X1669" s="208">
        <f>SUM(Hoja1[[#This Row],[$ X TIP VEHICUL]:[AGREGADO]])</f>
        <v>0</v>
      </c>
    </row>
    <row r="1670" spans="2:24" hidden="1" x14ac:dyDescent="0.25">
      <c r="B1670" s="189"/>
      <c r="J1670" s="189"/>
      <c r="M1670" s="205"/>
      <c r="S1670" t="str">
        <f>IFERROR(VLOOKUP(E1670,'VALORES VIAJES'!$A$2:$B$13,2,FALSE),"")</f>
        <v/>
      </c>
      <c r="T1670" t="str">
        <f>IFERROR(VLOOKUP(H1670,'VALORES VIAJES'!$A$2:$B$24,2,FALSE),"")</f>
        <v/>
      </c>
      <c r="U1670" t="str">
        <f>IFERROR(VLOOKUP(I1670,'VALORES VIAJES'!$A$2:$B$24,2,FALSE),"")</f>
        <v/>
      </c>
      <c r="V1670" t="str">
        <f>IFERROR(VLOOKUP(K1670,'VALORES VIAJES'!$A$2:$B$24,2,FALSE),"")</f>
        <v/>
      </c>
      <c r="X1670" s="208">
        <f>SUM(Hoja1[[#This Row],[$ X TIP VEHICUL]:[AGREGADO]])</f>
        <v>0</v>
      </c>
    </row>
    <row r="1671" spans="2:24" hidden="1" x14ac:dyDescent="0.25">
      <c r="B1671" s="189"/>
      <c r="J1671" s="189"/>
      <c r="M1671" s="205"/>
      <c r="S1671" t="str">
        <f>IFERROR(VLOOKUP(E1671,'VALORES VIAJES'!$A$2:$B$13,2,FALSE),"")</f>
        <v/>
      </c>
      <c r="T1671" t="str">
        <f>IFERROR(VLOOKUP(H1671,'VALORES VIAJES'!$A$2:$B$24,2,FALSE),"")</f>
        <v/>
      </c>
      <c r="U1671" t="str">
        <f>IFERROR(VLOOKUP(I1671,'VALORES VIAJES'!$A$2:$B$24,2,FALSE),"")</f>
        <v/>
      </c>
      <c r="V1671" t="str">
        <f>IFERROR(VLOOKUP(K1671,'VALORES VIAJES'!$A$2:$B$24,2,FALSE),"")</f>
        <v/>
      </c>
      <c r="X1671" s="208">
        <f>SUM(Hoja1[[#This Row],[$ X TIP VEHICUL]:[AGREGADO]])</f>
        <v>0</v>
      </c>
    </row>
    <row r="1672" spans="2:24" hidden="1" x14ac:dyDescent="0.25">
      <c r="B1672" s="189"/>
      <c r="J1672" s="189"/>
      <c r="M1672" s="205"/>
      <c r="S1672" t="str">
        <f>IFERROR(VLOOKUP(E1672,'VALORES VIAJES'!$A$2:$B$13,2,FALSE),"")</f>
        <v/>
      </c>
      <c r="T1672" t="str">
        <f>IFERROR(VLOOKUP(H1672,'VALORES VIAJES'!$A$2:$B$24,2,FALSE),"")</f>
        <v/>
      </c>
      <c r="U1672" t="str">
        <f>IFERROR(VLOOKUP(I1672,'VALORES VIAJES'!$A$2:$B$24,2,FALSE),"")</f>
        <v/>
      </c>
      <c r="V1672" t="str">
        <f>IFERROR(VLOOKUP(K1672,'VALORES VIAJES'!$A$2:$B$24,2,FALSE),"")</f>
        <v/>
      </c>
      <c r="X1672" s="208">
        <f>SUM(Hoja1[[#This Row],[$ X TIP VEHICUL]:[AGREGADO]])</f>
        <v>0</v>
      </c>
    </row>
    <row r="1673" spans="2:24" hidden="1" x14ac:dyDescent="0.25">
      <c r="B1673" s="189"/>
      <c r="J1673" s="189"/>
      <c r="M1673" s="205"/>
      <c r="S1673" t="str">
        <f>IFERROR(VLOOKUP(E1673,'VALORES VIAJES'!$A$2:$B$13,2,FALSE),"")</f>
        <v/>
      </c>
      <c r="T1673" t="str">
        <f>IFERROR(VLOOKUP(H1673,'VALORES VIAJES'!$A$2:$B$24,2,FALSE),"")</f>
        <v/>
      </c>
      <c r="U1673" t="str">
        <f>IFERROR(VLOOKUP(I1673,'VALORES VIAJES'!$A$2:$B$24,2,FALSE),"")</f>
        <v/>
      </c>
      <c r="V1673" t="str">
        <f>IFERROR(VLOOKUP(K1673,'VALORES VIAJES'!$A$2:$B$24,2,FALSE),"")</f>
        <v/>
      </c>
      <c r="X1673" s="208">
        <f>SUM(Hoja1[[#This Row],[$ X TIP VEHICUL]:[AGREGADO]])</f>
        <v>0</v>
      </c>
    </row>
    <row r="1674" spans="2:24" hidden="1" x14ac:dyDescent="0.25">
      <c r="B1674" s="189"/>
      <c r="J1674" s="189"/>
      <c r="M1674" s="205"/>
      <c r="S1674" t="str">
        <f>IFERROR(VLOOKUP(E1674,'VALORES VIAJES'!$A$2:$B$13,2,FALSE),"")</f>
        <v/>
      </c>
      <c r="T1674" t="str">
        <f>IFERROR(VLOOKUP(H1674,'VALORES VIAJES'!$A$2:$B$24,2,FALSE),"")</f>
        <v/>
      </c>
      <c r="U1674" t="str">
        <f>IFERROR(VLOOKUP(I1674,'VALORES VIAJES'!$A$2:$B$24,2,FALSE),"")</f>
        <v/>
      </c>
      <c r="V1674" t="str">
        <f>IFERROR(VLOOKUP(K1674,'VALORES VIAJES'!$A$2:$B$24,2,FALSE),"")</f>
        <v/>
      </c>
      <c r="X1674" s="208">
        <f>SUM(Hoja1[[#This Row],[$ X TIP VEHICUL]:[AGREGADO]])</f>
        <v>0</v>
      </c>
    </row>
    <row r="1675" spans="2:24" hidden="1" x14ac:dyDescent="0.25">
      <c r="B1675" s="189"/>
      <c r="J1675" s="189"/>
      <c r="M1675" s="205"/>
      <c r="S1675" t="str">
        <f>IFERROR(VLOOKUP(E1675,'VALORES VIAJES'!$A$2:$B$13,2,FALSE),"")</f>
        <v/>
      </c>
      <c r="T1675" t="str">
        <f>IFERROR(VLOOKUP(H1675,'VALORES VIAJES'!$A$2:$B$24,2,FALSE),"")</f>
        <v/>
      </c>
      <c r="U1675" t="str">
        <f>IFERROR(VLOOKUP(I1675,'VALORES VIAJES'!$A$2:$B$24,2,FALSE),"")</f>
        <v/>
      </c>
      <c r="V1675" t="str">
        <f>IFERROR(VLOOKUP(K1675,'VALORES VIAJES'!$A$2:$B$24,2,FALSE),"")</f>
        <v/>
      </c>
      <c r="X1675" s="208">
        <f>SUM(Hoja1[[#This Row],[$ X TIP VEHICUL]:[AGREGADO]])</f>
        <v>0</v>
      </c>
    </row>
    <row r="1676" spans="2:24" hidden="1" x14ac:dyDescent="0.25">
      <c r="B1676" s="189"/>
      <c r="J1676" s="189"/>
      <c r="M1676" s="205"/>
      <c r="S1676" t="str">
        <f>IFERROR(VLOOKUP(E1676,'VALORES VIAJES'!$A$2:$B$13,2,FALSE),"")</f>
        <v/>
      </c>
      <c r="T1676" t="str">
        <f>IFERROR(VLOOKUP(H1676,'VALORES VIAJES'!$A$2:$B$24,2,FALSE),"")</f>
        <v/>
      </c>
      <c r="U1676" t="str">
        <f>IFERROR(VLOOKUP(I1676,'VALORES VIAJES'!$A$2:$B$24,2,FALSE),"")</f>
        <v/>
      </c>
      <c r="V1676" t="str">
        <f>IFERROR(VLOOKUP(K1676,'VALORES VIAJES'!$A$2:$B$24,2,FALSE),"")</f>
        <v/>
      </c>
      <c r="X1676" s="208">
        <f>SUM(Hoja1[[#This Row],[$ X TIP VEHICUL]:[AGREGADO]])</f>
        <v>0</v>
      </c>
    </row>
    <row r="1677" spans="2:24" hidden="1" x14ac:dyDescent="0.25">
      <c r="B1677" s="189"/>
      <c r="J1677" s="189"/>
      <c r="M1677" s="205"/>
      <c r="S1677" t="str">
        <f>IFERROR(VLOOKUP(E1677,'VALORES VIAJES'!$A$2:$B$13,2,FALSE),"")</f>
        <v/>
      </c>
      <c r="T1677" t="str">
        <f>IFERROR(VLOOKUP(H1677,'VALORES VIAJES'!$A$2:$B$24,2,FALSE),"")</f>
        <v/>
      </c>
      <c r="U1677" t="str">
        <f>IFERROR(VLOOKUP(I1677,'VALORES VIAJES'!$A$2:$B$24,2,FALSE),"")</f>
        <v/>
      </c>
      <c r="V1677" t="str">
        <f>IFERROR(VLOOKUP(K1677,'VALORES VIAJES'!$A$2:$B$24,2,FALSE),"")</f>
        <v/>
      </c>
      <c r="X1677" s="208">
        <f>SUM(Hoja1[[#This Row],[$ X TIP VEHICUL]:[AGREGADO]])</f>
        <v>0</v>
      </c>
    </row>
    <row r="1678" spans="2:24" hidden="1" x14ac:dyDescent="0.25">
      <c r="B1678" s="189"/>
      <c r="J1678" s="189"/>
      <c r="M1678" s="205"/>
      <c r="S1678" t="str">
        <f>IFERROR(VLOOKUP(E1678,'VALORES VIAJES'!$A$2:$B$13,2,FALSE),"")</f>
        <v/>
      </c>
      <c r="T1678" t="str">
        <f>IFERROR(VLOOKUP(H1678,'VALORES VIAJES'!$A$2:$B$24,2,FALSE),"")</f>
        <v/>
      </c>
      <c r="U1678" t="str">
        <f>IFERROR(VLOOKUP(I1678,'VALORES VIAJES'!$A$2:$B$24,2,FALSE),"")</f>
        <v/>
      </c>
      <c r="V1678" t="str">
        <f>IFERROR(VLOOKUP(K1678,'VALORES VIAJES'!$A$2:$B$24,2,FALSE),"")</f>
        <v/>
      </c>
      <c r="X1678" s="208">
        <f>SUM(Hoja1[[#This Row],[$ X TIP VEHICUL]:[AGREGADO]])</f>
        <v>0</v>
      </c>
    </row>
    <row r="1679" spans="2:24" hidden="1" x14ac:dyDescent="0.25">
      <c r="B1679" s="189"/>
      <c r="J1679" s="189"/>
      <c r="M1679" s="205"/>
      <c r="S1679" t="str">
        <f>IFERROR(VLOOKUP(E1679,'VALORES VIAJES'!$A$2:$B$13,2,FALSE),"")</f>
        <v/>
      </c>
      <c r="T1679" t="str">
        <f>IFERROR(VLOOKUP(H1679,'VALORES VIAJES'!$A$2:$B$24,2,FALSE),"")</f>
        <v/>
      </c>
      <c r="U1679" t="str">
        <f>IFERROR(VLOOKUP(I1679,'VALORES VIAJES'!$A$2:$B$24,2,FALSE),"")</f>
        <v/>
      </c>
      <c r="V1679" t="str">
        <f>IFERROR(VLOOKUP(K1679,'VALORES VIAJES'!$A$2:$B$24,2,FALSE),"")</f>
        <v/>
      </c>
      <c r="X1679" s="208">
        <f>SUM(Hoja1[[#This Row],[$ X TIP VEHICUL]:[AGREGADO]])</f>
        <v>0</v>
      </c>
    </row>
    <row r="1680" spans="2:24" hidden="1" x14ac:dyDescent="0.25">
      <c r="B1680" s="189"/>
      <c r="J1680" s="189"/>
      <c r="M1680" s="205"/>
      <c r="S1680" t="str">
        <f>IFERROR(VLOOKUP(E1680,'VALORES VIAJES'!$A$2:$B$13,2,FALSE),"")</f>
        <v/>
      </c>
      <c r="T1680" t="str">
        <f>IFERROR(VLOOKUP(H1680,'VALORES VIAJES'!$A$2:$B$24,2,FALSE),"")</f>
        <v/>
      </c>
      <c r="U1680" t="str">
        <f>IFERROR(VLOOKUP(I1680,'VALORES VIAJES'!$A$2:$B$24,2,FALSE),"")</f>
        <v/>
      </c>
      <c r="V1680" t="str">
        <f>IFERROR(VLOOKUP(K1680,'VALORES VIAJES'!$A$2:$B$24,2,FALSE),"")</f>
        <v/>
      </c>
      <c r="X1680" s="208">
        <f>SUM(Hoja1[[#This Row],[$ X TIP VEHICUL]:[AGREGADO]])</f>
        <v>0</v>
      </c>
    </row>
    <row r="1681" spans="2:24" hidden="1" x14ac:dyDescent="0.25">
      <c r="B1681" s="189"/>
      <c r="J1681" s="189"/>
      <c r="M1681" s="205"/>
      <c r="S1681" t="str">
        <f>IFERROR(VLOOKUP(E1681,'VALORES VIAJES'!$A$2:$B$13,2,FALSE),"")</f>
        <v/>
      </c>
      <c r="T1681" t="str">
        <f>IFERROR(VLOOKUP(H1681,'VALORES VIAJES'!$A$2:$B$24,2,FALSE),"")</f>
        <v/>
      </c>
      <c r="U1681" t="str">
        <f>IFERROR(VLOOKUP(I1681,'VALORES VIAJES'!$A$2:$B$24,2,FALSE),"")</f>
        <v/>
      </c>
      <c r="V1681" t="str">
        <f>IFERROR(VLOOKUP(K1681,'VALORES VIAJES'!$A$2:$B$24,2,FALSE),"")</f>
        <v/>
      </c>
      <c r="X1681" s="208">
        <f>SUM(Hoja1[[#This Row],[$ X TIP VEHICUL]:[AGREGADO]])</f>
        <v>0</v>
      </c>
    </row>
    <row r="1682" spans="2:24" hidden="1" x14ac:dyDescent="0.25">
      <c r="B1682" s="189"/>
      <c r="J1682" s="189"/>
      <c r="M1682" s="205"/>
      <c r="S1682" t="str">
        <f>IFERROR(VLOOKUP(E1682,'VALORES VIAJES'!$A$2:$B$13,2,FALSE),"")</f>
        <v/>
      </c>
      <c r="T1682" t="str">
        <f>IFERROR(VLOOKUP(H1682,'VALORES VIAJES'!$A$2:$B$24,2,FALSE),"")</f>
        <v/>
      </c>
      <c r="U1682" t="str">
        <f>IFERROR(VLOOKUP(I1682,'VALORES VIAJES'!$A$2:$B$24,2,FALSE),"")</f>
        <v/>
      </c>
      <c r="V1682" t="str">
        <f>IFERROR(VLOOKUP(K1682,'VALORES VIAJES'!$A$2:$B$24,2,FALSE),"")</f>
        <v/>
      </c>
      <c r="X1682" s="208">
        <f>SUM(Hoja1[[#This Row],[$ X TIP VEHICUL]:[AGREGADO]])</f>
        <v>0</v>
      </c>
    </row>
    <row r="1683" spans="2:24" hidden="1" x14ac:dyDescent="0.25">
      <c r="B1683" s="189"/>
      <c r="J1683" s="189"/>
      <c r="M1683" s="205"/>
      <c r="S1683" t="str">
        <f>IFERROR(VLOOKUP(E1683,'VALORES VIAJES'!$A$2:$B$13,2,FALSE),"")</f>
        <v/>
      </c>
      <c r="T1683" t="str">
        <f>IFERROR(VLOOKUP(H1683,'VALORES VIAJES'!$A$2:$B$24,2,FALSE),"")</f>
        <v/>
      </c>
      <c r="U1683" t="str">
        <f>IFERROR(VLOOKUP(I1683,'VALORES VIAJES'!$A$2:$B$24,2,FALSE),"")</f>
        <v/>
      </c>
      <c r="V1683" t="str">
        <f>IFERROR(VLOOKUP(K1683,'VALORES VIAJES'!$A$2:$B$24,2,FALSE),"")</f>
        <v/>
      </c>
      <c r="X1683" s="208">
        <f>SUM(Hoja1[[#This Row],[$ X TIP VEHICUL]:[AGREGADO]])</f>
        <v>0</v>
      </c>
    </row>
    <row r="1684" spans="2:24" hidden="1" x14ac:dyDescent="0.25">
      <c r="B1684" s="189"/>
      <c r="J1684" s="189"/>
      <c r="M1684" s="205"/>
      <c r="S1684" t="str">
        <f>IFERROR(VLOOKUP(E1684,'VALORES VIAJES'!$A$2:$B$13,2,FALSE),"")</f>
        <v/>
      </c>
      <c r="T1684" t="str">
        <f>IFERROR(VLOOKUP(H1684,'VALORES VIAJES'!$A$2:$B$24,2,FALSE),"")</f>
        <v/>
      </c>
      <c r="U1684" t="str">
        <f>IFERROR(VLOOKUP(I1684,'VALORES VIAJES'!$A$2:$B$24,2,FALSE),"")</f>
        <v/>
      </c>
      <c r="V1684" t="str">
        <f>IFERROR(VLOOKUP(K1684,'VALORES VIAJES'!$A$2:$B$24,2,FALSE),"")</f>
        <v/>
      </c>
      <c r="X1684" s="208">
        <f>SUM(Hoja1[[#This Row],[$ X TIP VEHICUL]:[AGREGADO]])</f>
        <v>0</v>
      </c>
    </row>
    <row r="1685" spans="2:24" hidden="1" x14ac:dyDescent="0.25">
      <c r="B1685" s="189"/>
      <c r="J1685" s="189"/>
      <c r="M1685" s="205"/>
      <c r="S1685" t="str">
        <f>IFERROR(VLOOKUP(E1685,'VALORES VIAJES'!$A$2:$B$13,2,FALSE),"")</f>
        <v/>
      </c>
      <c r="T1685" t="str">
        <f>IFERROR(VLOOKUP(H1685,'VALORES VIAJES'!$A$2:$B$24,2,FALSE),"")</f>
        <v/>
      </c>
      <c r="U1685" t="str">
        <f>IFERROR(VLOOKUP(I1685,'VALORES VIAJES'!$A$2:$B$24,2,FALSE),"")</f>
        <v/>
      </c>
      <c r="V1685" t="str">
        <f>IFERROR(VLOOKUP(K1685,'VALORES VIAJES'!$A$2:$B$24,2,FALSE),"")</f>
        <v/>
      </c>
      <c r="X1685" s="208">
        <f>SUM(Hoja1[[#This Row],[$ X TIP VEHICUL]:[AGREGADO]])</f>
        <v>0</v>
      </c>
    </row>
    <row r="1686" spans="2:24" hidden="1" x14ac:dyDescent="0.25">
      <c r="B1686" s="189"/>
      <c r="J1686" s="189"/>
      <c r="M1686" s="205"/>
      <c r="S1686" t="str">
        <f>IFERROR(VLOOKUP(E1686,'VALORES VIAJES'!$A$2:$B$13,2,FALSE),"")</f>
        <v/>
      </c>
      <c r="T1686" t="str">
        <f>IFERROR(VLOOKUP(H1686,'VALORES VIAJES'!$A$2:$B$24,2,FALSE),"")</f>
        <v/>
      </c>
      <c r="U1686" t="str">
        <f>IFERROR(VLOOKUP(I1686,'VALORES VIAJES'!$A$2:$B$24,2,FALSE),"")</f>
        <v/>
      </c>
      <c r="V1686" t="str">
        <f>IFERROR(VLOOKUP(K1686,'VALORES VIAJES'!$A$2:$B$24,2,FALSE),"")</f>
        <v/>
      </c>
      <c r="X1686" s="208">
        <f>SUM(Hoja1[[#This Row],[$ X TIP VEHICUL]:[AGREGADO]])</f>
        <v>0</v>
      </c>
    </row>
    <row r="1687" spans="2:24" hidden="1" x14ac:dyDescent="0.25">
      <c r="B1687" s="189"/>
      <c r="J1687" s="189"/>
      <c r="M1687" s="205"/>
      <c r="S1687" t="str">
        <f>IFERROR(VLOOKUP(E1687,'VALORES VIAJES'!$A$2:$B$13,2,FALSE),"")</f>
        <v/>
      </c>
      <c r="T1687" t="str">
        <f>IFERROR(VLOOKUP(H1687,'VALORES VIAJES'!$A$2:$B$24,2,FALSE),"")</f>
        <v/>
      </c>
      <c r="U1687" t="str">
        <f>IFERROR(VLOOKUP(I1687,'VALORES VIAJES'!$A$2:$B$24,2,FALSE),"")</f>
        <v/>
      </c>
      <c r="V1687" t="str">
        <f>IFERROR(VLOOKUP(K1687,'VALORES VIAJES'!$A$2:$B$24,2,FALSE),"")</f>
        <v/>
      </c>
      <c r="X1687" s="208">
        <f>SUM(Hoja1[[#This Row],[$ X TIP VEHICUL]:[AGREGADO]])</f>
        <v>0</v>
      </c>
    </row>
    <row r="1688" spans="2:24" hidden="1" x14ac:dyDescent="0.25">
      <c r="B1688" s="189"/>
      <c r="J1688" s="189"/>
      <c r="M1688" s="205"/>
      <c r="S1688" t="str">
        <f>IFERROR(VLOOKUP(E1688,'VALORES VIAJES'!$A$2:$B$13,2,FALSE),"")</f>
        <v/>
      </c>
      <c r="T1688" t="str">
        <f>IFERROR(VLOOKUP(H1688,'VALORES VIAJES'!$A$2:$B$24,2,FALSE),"")</f>
        <v/>
      </c>
      <c r="U1688" t="str">
        <f>IFERROR(VLOOKUP(I1688,'VALORES VIAJES'!$A$2:$B$24,2,FALSE),"")</f>
        <v/>
      </c>
      <c r="V1688" t="str">
        <f>IFERROR(VLOOKUP(K1688,'VALORES VIAJES'!$A$2:$B$24,2,FALSE),"")</f>
        <v/>
      </c>
      <c r="X1688" s="208">
        <f>SUM(Hoja1[[#This Row],[$ X TIP VEHICUL]:[AGREGADO]])</f>
        <v>0</v>
      </c>
    </row>
    <row r="1689" spans="2:24" hidden="1" x14ac:dyDescent="0.25">
      <c r="B1689" s="189"/>
      <c r="J1689" s="189"/>
      <c r="M1689" s="205"/>
      <c r="S1689" t="str">
        <f>IFERROR(VLOOKUP(E1689,'VALORES VIAJES'!$A$2:$B$13,2,FALSE),"")</f>
        <v/>
      </c>
      <c r="T1689" t="str">
        <f>IFERROR(VLOOKUP(H1689,'VALORES VIAJES'!$A$2:$B$24,2,FALSE),"")</f>
        <v/>
      </c>
      <c r="U1689" t="str">
        <f>IFERROR(VLOOKUP(I1689,'VALORES VIAJES'!$A$2:$B$24,2,FALSE),"")</f>
        <v/>
      </c>
      <c r="V1689" t="str">
        <f>IFERROR(VLOOKUP(K1689,'VALORES VIAJES'!$A$2:$B$24,2,FALSE),"")</f>
        <v/>
      </c>
      <c r="X1689" s="208">
        <f>SUM(Hoja1[[#This Row],[$ X TIP VEHICUL]:[AGREGADO]])</f>
        <v>0</v>
      </c>
    </row>
    <row r="1690" spans="2:24" hidden="1" x14ac:dyDescent="0.25">
      <c r="B1690" s="189"/>
      <c r="J1690" s="189"/>
      <c r="M1690" s="205"/>
      <c r="S1690" t="str">
        <f>IFERROR(VLOOKUP(E1690,'VALORES VIAJES'!$A$2:$B$13,2,FALSE),"")</f>
        <v/>
      </c>
      <c r="T1690" t="str">
        <f>IFERROR(VLOOKUP(H1690,'VALORES VIAJES'!$A$2:$B$24,2,FALSE),"")</f>
        <v/>
      </c>
      <c r="U1690" t="str">
        <f>IFERROR(VLOOKUP(I1690,'VALORES VIAJES'!$A$2:$B$24,2,FALSE),"")</f>
        <v/>
      </c>
      <c r="V1690" t="str">
        <f>IFERROR(VLOOKUP(K1690,'VALORES VIAJES'!$A$2:$B$24,2,FALSE),"")</f>
        <v/>
      </c>
      <c r="X1690" s="208">
        <f>SUM(Hoja1[[#This Row],[$ X TIP VEHICUL]:[AGREGADO]])</f>
        <v>0</v>
      </c>
    </row>
    <row r="1691" spans="2:24" hidden="1" x14ac:dyDescent="0.25">
      <c r="B1691" s="189"/>
      <c r="J1691" s="189"/>
      <c r="M1691" s="205"/>
      <c r="S1691" t="str">
        <f>IFERROR(VLOOKUP(E1691,'VALORES VIAJES'!$A$2:$B$13,2,FALSE),"")</f>
        <v/>
      </c>
      <c r="T1691" t="str">
        <f>IFERROR(VLOOKUP(H1691,'VALORES VIAJES'!$A$2:$B$24,2,FALSE),"")</f>
        <v/>
      </c>
      <c r="U1691" t="str">
        <f>IFERROR(VLOOKUP(I1691,'VALORES VIAJES'!$A$2:$B$24,2,FALSE),"")</f>
        <v/>
      </c>
      <c r="V1691" t="str">
        <f>IFERROR(VLOOKUP(K1691,'VALORES VIAJES'!$A$2:$B$24,2,FALSE),"")</f>
        <v/>
      </c>
      <c r="X1691" s="208">
        <f>SUM(Hoja1[[#This Row],[$ X TIP VEHICUL]:[AGREGADO]])</f>
        <v>0</v>
      </c>
    </row>
    <row r="1692" spans="2:24" hidden="1" x14ac:dyDescent="0.25">
      <c r="B1692" s="189"/>
      <c r="J1692" s="189"/>
      <c r="M1692" s="205"/>
      <c r="S1692" t="str">
        <f>IFERROR(VLOOKUP(E1692,'VALORES VIAJES'!$A$2:$B$13,2,FALSE),"")</f>
        <v/>
      </c>
      <c r="T1692" t="str">
        <f>IFERROR(VLOOKUP(H1692,'VALORES VIAJES'!$A$2:$B$24,2,FALSE),"")</f>
        <v/>
      </c>
      <c r="U1692" t="str">
        <f>IFERROR(VLOOKUP(I1692,'VALORES VIAJES'!$A$2:$B$24,2,FALSE),"")</f>
        <v/>
      </c>
      <c r="V1692" t="str">
        <f>IFERROR(VLOOKUP(K1692,'VALORES VIAJES'!$A$2:$B$24,2,FALSE),"")</f>
        <v/>
      </c>
      <c r="X1692" s="208">
        <f>SUM(Hoja1[[#This Row],[$ X TIP VEHICUL]:[AGREGADO]])</f>
        <v>0</v>
      </c>
    </row>
    <row r="1693" spans="2:24" hidden="1" x14ac:dyDescent="0.25">
      <c r="B1693" s="189"/>
      <c r="J1693" s="189"/>
      <c r="M1693" s="205"/>
      <c r="S1693" t="str">
        <f>IFERROR(VLOOKUP(E1693,'VALORES VIAJES'!$A$2:$B$13,2,FALSE),"")</f>
        <v/>
      </c>
      <c r="T1693" t="str">
        <f>IFERROR(VLOOKUP(H1693,'VALORES VIAJES'!$A$2:$B$24,2,FALSE),"")</f>
        <v/>
      </c>
      <c r="U1693" t="str">
        <f>IFERROR(VLOOKUP(I1693,'VALORES VIAJES'!$A$2:$B$24,2,FALSE),"")</f>
        <v/>
      </c>
      <c r="V1693" t="str">
        <f>IFERROR(VLOOKUP(K1693,'VALORES VIAJES'!$A$2:$B$24,2,FALSE),"")</f>
        <v/>
      </c>
      <c r="X1693" s="208">
        <f>SUM(Hoja1[[#This Row],[$ X TIP VEHICUL]:[AGREGADO]])</f>
        <v>0</v>
      </c>
    </row>
    <row r="1694" spans="2:24" hidden="1" x14ac:dyDescent="0.25">
      <c r="B1694" s="189"/>
      <c r="J1694" s="189"/>
      <c r="M1694" s="205"/>
      <c r="S1694" t="str">
        <f>IFERROR(VLOOKUP(E1694,'VALORES VIAJES'!$A$2:$B$13,2,FALSE),"")</f>
        <v/>
      </c>
      <c r="T1694" t="str">
        <f>IFERROR(VLOOKUP(H1694,'VALORES VIAJES'!$A$2:$B$24,2,FALSE),"")</f>
        <v/>
      </c>
      <c r="U1694" t="str">
        <f>IFERROR(VLOOKUP(I1694,'VALORES VIAJES'!$A$2:$B$24,2,FALSE),"")</f>
        <v/>
      </c>
      <c r="V1694" t="str">
        <f>IFERROR(VLOOKUP(K1694,'VALORES VIAJES'!$A$2:$B$24,2,FALSE),"")</f>
        <v/>
      </c>
      <c r="X1694" s="208">
        <f>SUM(Hoja1[[#This Row],[$ X TIP VEHICUL]:[AGREGADO]])</f>
        <v>0</v>
      </c>
    </row>
    <row r="1695" spans="2:24" hidden="1" x14ac:dyDescent="0.25">
      <c r="B1695" s="189"/>
      <c r="J1695" s="189"/>
      <c r="M1695" s="205"/>
      <c r="S1695" t="str">
        <f>IFERROR(VLOOKUP(E1695,'VALORES VIAJES'!$A$2:$B$13,2,FALSE),"")</f>
        <v/>
      </c>
      <c r="T1695" t="str">
        <f>IFERROR(VLOOKUP(H1695,'VALORES VIAJES'!$A$2:$B$24,2,FALSE),"")</f>
        <v/>
      </c>
      <c r="U1695" t="str">
        <f>IFERROR(VLOOKUP(I1695,'VALORES VIAJES'!$A$2:$B$24,2,FALSE),"")</f>
        <v/>
      </c>
      <c r="V1695" t="str">
        <f>IFERROR(VLOOKUP(K1695,'VALORES VIAJES'!$A$2:$B$24,2,FALSE),"")</f>
        <v/>
      </c>
      <c r="X1695" s="208">
        <f>SUM(Hoja1[[#This Row],[$ X TIP VEHICUL]:[AGREGADO]])</f>
        <v>0</v>
      </c>
    </row>
    <row r="1696" spans="2:24" hidden="1" x14ac:dyDescent="0.25">
      <c r="B1696" s="189"/>
      <c r="J1696" s="189"/>
      <c r="M1696" s="205"/>
      <c r="S1696" t="str">
        <f>IFERROR(VLOOKUP(E1696,'VALORES VIAJES'!$A$2:$B$13,2,FALSE),"")</f>
        <v/>
      </c>
      <c r="T1696" t="str">
        <f>IFERROR(VLOOKUP(H1696,'VALORES VIAJES'!$A$2:$B$24,2,FALSE),"")</f>
        <v/>
      </c>
      <c r="U1696" t="str">
        <f>IFERROR(VLOOKUP(I1696,'VALORES VIAJES'!$A$2:$B$24,2,FALSE),"")</f>
        <v/>
      </c>
      <c r="V1696" t="str">
        <f>IFERROR(VLOOKUP(K1696,'VALORES VIAJES'!$A$2:$B$24,2,FALSE),"")</f>
        <v/>
      </c>
      <c r="X1696" s="208">
        <f>SUM(Hoja1[[#This Row],[$ X TIP VEHICUL]:[AGREGADO]])</f>
        <v>0</v>
      </c>
    </row>
    <row r="1697" spans="2:24" hidden="1" x14ac:dyDescent="0.25">
      <c r="B1697" s="189"/>
      <c r="J1697" s="189"/>
      <c r="M1697" s="205"/>
      <c r="S1697" t="str">
        <f>IFERROR(VLOOKUP(E1697,'VALORES VIAJES'!$A$2:$B$13,2,FALSE),"")</f>
        <v/>
      </c>
      <c r="T1697" t="str">
        <f>IFERROR(VLOOKUP(H1697,'VALORES VIAJES'!$A$2:$B$24,2,FALSE),"")</f>
        <v/>
      </c>
      <c r="U1697" t="str">
        <f>IFERROR(VLOOKUP(I1697,'VALORES VIAJES'!$A$2:$B$24,2,FALSE),"")</f>
        <v/>
      </c>
      <c r="V1697" t="str">
        <f>IFERROR(VLOOKUP(K1697,'VALORES VIAJES'!$A$2:$B$24,2,FALSE),"")</f>
        <v/>
      </c>
      <c r="X1697" s="208">
        <f>SUM(Hoja1[[#This Row],[$ X TIP VEHICUL]:[AGREGADO]])</f>
        <v>0</v>
      </c>
    </row>
    <row r="1698" spans="2:24" hidden="1" x14ac:dyDescent="0.25">
      <c r="B1698" s="189"/>
      <c r="J1698" s="189"/>
      <c r="M1698" s="205"/>
      <c r="S1698" t="str">
        <f>IFERROR(VLOOKUP(E1698,'VALORES VIAJES'!$A$2:$B$13,2,FALSE),"")</f>
        <v/>
      </c>
      <c r="T1698" t="str">
        <f>IFERROR(VLOOKUP(H1698,'VALORES VIAJES'!$A$2:$B$24,2,FALSE),"")</f>
        <v/>
      </c>
      <c r="U1698" t="str">
        <f>IFERROR(VLOOKUP(I1698,'VALORES VIAJES'!$A$2:$B$24,2,FALSE),"")</f>
        <v/>
      </c>
      <c r="V1698" t="str">
        <f>IFERROR(VLOOKUP(K1698,'VALORES VIAJES'!$A$2:$B$24,2,FALSE),"")</f>
        <v/>
      </c>
      <c r="X1698" s="208">
        <f>SUM(Hoja1[[#This Row],[$ X TIP VEHICUL]:[AGREGADO]])</f>
        <v>0</v>
      </c>
    </row>
    <row r="1699" spans="2:24" hidden="1" x14ac:dyDescent="0.25">
      <c r="B1699" s="189"/>
      <c r="J1699" s="189"/>
      <c r="M1699" s="205"/>
      <c r="S1699" t="str">
        <f>IFERROR(VLOOKUP(E1699,'VALORES VIAJES'!$A$2:$B$13,2,FALSE),"")</f>
        <v/>
      </c>
      <c r="T1699" t="str">
        <f>IFERROR(VLOOKUP(H1699,'VALORES VIAJES'!$A$2:$B$24,2,FALSE),"")</f>
        <v/>
      </c>
      <c r="U1699" t="str">
        <f>IFERROR(VLOOKUP(I1699,'VALORES VIAJES'!$A$2:$B$24,2,FALSE),"")</f>
        <v/>
      </c>
      <c r="V1699" t="str">
        <f>IFERROR(VLOOKUP(K1699,'VALORES VIAJES'!$A$2:$B$24,2,FALSE),"")</f>
        <v/>
      </c>
      <c r="X1699" s="208">
        <f>SUM(Hoja1[[#This Row],[$ X TIP VEHICUL]:[AGREGADO]])</f>
        <v>0</v>
      </c>
    </row>
    <row r="1700" spans="2:24" hidden="1" x14ac:dyDescent="0.25">
      <c r="B1700" s="189"/>
      <c r="J1700" s="189"/>
      <c r="M1700" s="205"/>
      <c r="S1700" t="str">
        <f>IFERROR(VLOOKUP(E1700,'VALORES VIAJES'!$A$2:$B$13,2,FALSE),"")</f>
        <v/>
      </c>
      <c r="T1700" t="str">
        <f>IFERROR(VLOOKUP(H1700,'VALORES VIAJES'!$A$2:$B$24,2,FALSE),"")</f>
        <v/>
      </c>
      <c r="U1700" t="str">
        <f>IFERROR(VLOOKUP(I1700,'VALORES VIAJES'!$A$2:$B$24,2,FALSE),"")</f>
        <v/>
      </c>
      <c r="V1700" t="str">
        <f>IFERROR(VLOOKUP(K1700,'VALORES VIAJES'!$A$2:$B$24,2,FALSE),"")</f>
        <v/>
      </c>
      <c r="X1700" s="208">
        <f>SUM(Hoja1[[#This Row],[$ X TIP VEHICUL]:[AGREGADO]])</f>
        <v>0</v>
      </c>
    </row>
    <row r="1701" spans="2:24" hidden="1" x14ac:dyDescent="0.25">
      <c r="B1701" s="189"/>
      <c r="J1701" s="189"/>
      <c r="M1701" s="205"/>
      <c r="S1701" t="str">
        <f>IFERROR(VLOOKUP(E1701,'VALORES VIAJES'!$A$2:$B$13,2,FALSE),"")</f>
        <v/>
      </c>
      <c r="T1701" t="str">
        <f>IFERROR(VLOOKUP(H1701,'VALORES VIAJES'!$A$2:$B$24,2,FALSE),"")</f>
        <v/>
      </c>
      <c r="U1701" t="str">
        <f>IFERROR(VLOOKUP(I1701,'VALORES VIAJES'!$A$2:$B$24,2,FALSE),"")</f>
        <v/>
      </c>
      <c r="V1701" t="str">
        <f>IFERROR(VLOOKUP(K1701,'VALORES VIAJES'!$A$2:$B$24,2,FALSE),"")</f>
        <v/>
      </c>
      <c r="X1701" s="208">
        <f>SUM(Hoja1[[#This Row],[$ X TIP VEHICUL]:[AGREGADO]])</f>
        <v>0</v>
      </c>
    </row>
    <row r="1702" spans="2:24" hidden="1" x14ac:dyDescent="0.25">
      <c r="B1702" s="189"/>
      <c r="J1702" s="189"/>
      <c r="M1702" s="205"/>
      <c r="S1702" t="str">
        <f>IFERROR(VLOOKUP(E1702,'VALORES VIAJES'!$A$2:$B$13,2,FALSE),"")</f>
        <v/>
      </c>
      <c r="T1702" t="str">
        <f>IFERROR(VLOOKUP(H1702,'VALORES VIAJES'!$A$2:$B$24,2,FALSE),"")</f>
        <v/>
      </c>
      <c r="U1702" t="str">
        <f>IFERROR(VLOOKUP(I1702,'VALORES VIAJES'!$A$2:$B$24,2,FALSE),"")</f>
        <v/>
      </c>
      <c r="V1702" t="str">
        <f>IFERROR(VLOOKUP(K1702,'VALORES VIAJES'!$A$2:$B$24,2,FALSE),"")</f>
        <v/>
      </c>
      <c r="X1702" s="208">
        <f>SUM(Hoja1[[#This Row],[$ X TIP VEHICUL]:[AGREGADO]])</f>
        <v>0</v>
      </c>
    </row>
    <row r="1703" spans="2:24" hidden="1" x14ac:dyDescent="0.25">
      <c r="B1703" s="189"/>
      <c r="J1703" s="189"/>
      <c r="M1703" s="205"/>
      <c r="S1703" t="str">
        <f>IFERROR(VLOOKUP(E1703,'VALORES VIAJES'!$A$2:$B$13,2,FALSE),"")</f>
        <v/>
      </c>
      <c r="T1703" t="str">
        <f>IFERROR(VLOOKUP(H1703,'VALORES VIAJES'!$A$2:$B$24,2,FALSE),"")</f>
        <v/>
      </c>
      <c r="U1703" t="str">
        <f>IFERROR(VLOOKUP(I1703,'VALORES VIAJES'!$A$2:$B$24,2,FALSE),"")</f>
        <v/>
      </c>
      <c r="V1703" t="str">
        <f>IFERROR(VLOOKUP(K1703,'VALORES VIAJES'!$A$2:$B$24,2,FALSE),"")</f>
        <v/>
      </c>
      <c r="X1703" s="208">
        <f>SUM(Hoja1[[#This Row],[$ X TIP VEHICUL]:[AGREGADO]])</f>
        <v>0</v>
      </c>
    </row>
    <row r="1704" spans="2:24" hidden="1" x14ac:dyDescent="0.25">
      <c r="B1704" s="189"/>
      <c r="J1704" s="189"/>
      <c r="M1704" s="205"/>
      <c r="S1704" t="str">
        <f>IFERROR(VLOOKUP(E1704,'VALORES VIAJES'!$A$2:$B$13,2,FALSE),"")</f>
        <v/>
      </c>
      <c r="T1704" t="str">
        <f>IFERROR(VLOOKUP(H1704,'VALORES VIAJES'!$A$2:$B$24,2,FALSE),"")</f>
        <v/>
      </c>
      <c r="U1704" t="str">
        <f>IFERROR(VLOOKUP(I1704,'VALORES VIAJES'!$A$2:$B$24,2,FALSE),"")</f>
        <v/>
      </c>
      <c r="V1704" t="str">
        <f>IFERROR(VLOOKUP(K1704,'VALORES VIAJES'!$A$2:$B$24,2,FALSE),"")</f>
        <v/>
      </c>
      <c r="X1704" s="208">
        <f>SUM(Hoja1[[#This Row],[$ X TIP VEHICUL]:[AGREGADO]])</f>
        <v>0</v>
      </c>
    </row>
    <row r="1705" spans="2:24" hidden="1" x14ac:dyDescent="0.25">
      <c r="B1705" s="189"/>
      <c r="J1705" s="189"/>
      <c r="M1705" s="205"/>
      <c r="S1705" t="str">
        <f>IFERROR(VLOOKUP(E1705,'VALORES VIAJES'!$A$2:$B$13,2,FALSE),"")</f>
        <v/>
      </c>
      <c r="T1705" t="str">
        <f>IFERROR(VLOOKUP(H1705,'VALORES VIAJES'!$A$2:$B$24,2,FALSE),"")</f>
        <v/>
      </c>
      <c r="U1705" t="str">
        <f>IFERROR(VLOOKUP(I1705,'VALORES VIAJES'!$A$2:$B$24,2,FALSE),"")</f>
        <v/>
      </c>
      <c r="V1705" t="str">
        <f>IFERROR(VLOOKUP(K1705,'VALORES VIAJES'!$A$2:$B$24,2,FALSE),"")</f>
        <v/>
      </c>
      <c r="X1705" s="208">
        <f>SUM(Hoja1[[#This Row],[$ X TIP VEHICUL]:[AGREGADO]])</f>
        <v>0</v>
      </c>
    </row>
    <row r="1706" spans="2:24" hidden="1" x14ac:dyDescent="0.25">
      <c r="B1706" s="189"/>
      <c r="J1706" s="189"/>
      <c r="M1706" s="205"/>
      <c r="S1706" t="str">
        <f>IFERROR(VLOOKUP(E1706,'VALORES VIAJES'!$A$2:$B$13,2,FALSE),"")</f>
        <v/>
      </c>
      <c r="T1706" t="str">
        <f>IFERROR(VLOOKUP(H1706,'VALORES VIAJES'!$A$2:$B$24,2,FALSE),"")</f>
        <v/>
      </c>
      <c r="U1706" t="str">
        <f>IFERROR(VLOOKUP(I1706,'VALORES VIAJES'!$A$2:$B$24,2,FALSE),"")</f>
        <v/>
      </c>
      <c r="V1706" t="str">
        <f>IFERROR(VLOOKUP(K1706,'VALORES VIAJES'!$A$2:$B$24,2,FALSE),"")</f>
        <v/>
      </c>
      <c r="X1706" s="208">
        <f>SUM(Hoja1[[#This Row],[$ X TIP VEHICUL]:[AGREGADO]])</f>
        <v>0</v>
      </c>
    </row>
    <row r="1707" spans="2:24" hidden="1" x14ac:dyDescent="0.25">
      <c r="B1707" s="189"/>
      <c r="J1707" s="189"/>
      <c r="M1707" s="205"/>
      <c r="S1707" t="str">
        <f>IFERROR(VLOOKUP(E1707,'VALORES VIAJES'!$A$2:$B$13,2,FALSE),"")</f>
        <v/>
      </c>
      <c r="T1707" t="str">
        <f>IFERROR(VLOOKUP(H1707,'VALORES VIAJES'!$A$2:$B$24,2,FALSE),"")</f>
        <v/>
      </c>
      <c r="U1707" t="str">
        <f>IFERROR(VLOOKUP(I1707,'VALORES VIAJES'!$A$2:$B$24,2,FALSE),"")</f>
        <v/>
      </c>
      <c r="V1707" t="str">
        <f>IFERROR(VLOOKUP(K1707,'VALORES VIAJES'!$A$2:$B$24,2,FALSE),"")</f>
        <v/>
      </c>
      <c r="X1707" s="208">
        <f>SUM(Hoja1[[#This Row],[$ X TIP VEHICUL]:[AGREGADO]])</f>
        <v>0</v>
      </c>
    </row>
    <row r="1708" spans="2:24" hidden="1" x14ac:dyDescent="0.25">
      <c r="B1708" s="189"/>
      <c r="J1708" s="189"/>
      <c r="M1708" s="205"/>
      <c r="S1708" t="str">
        <f>IFERROR(VLOOKUP(E1708,'VALORES VIAJES'!$A$2:$B$13,2,FALSE),"")</f>
        <v/>
      </c>
      <c r="T1708" t="str">
        <f>IFERROR(VLOOKUP(H1708,'VALORES VIAJES'!$A$2:$B$24,2,FALSE),"")</f>
        <v/>
      </c>
      <c r="U1708" t="str">
        <f>IFERROR(VLOOKUP(I1708,'VALORES VIAJES'!$A$2:$B$24,2,FALSE),"")</f>
        <v/>
      </c>
      <c r="V1708" t="str">
        <f>IFERROR(VLOOKUP(K1708,'VALORES VIAJES'!$A$2:$B$24,2,FALSE),"")</f>
        <v/>
      </c>
      <c r="X1708" s="208">
        <f>SUM(Hoja1[[#This Row],[$ X TIP VEHICUL]:[AGREGADO]])</f>
        <v>0</v>
      </c>
    </row>
    <row r="1709" spans="2:24" hidden="1" x14ac:dyDescent="0.25">
      <c r="B1709" s="189"/>
      <c r="J1709" s="189"/>
      <c r="M1709" s="205"/>
      <c r="S1709" t="str">
        <f>IFERROR(VLOOKUP(E1709,'VALORES VIAJES'!$A$2:$B$13,2,FALSE),"")</f>
        <v/>
      </c>
      <c r="T1709" t="str">
        <f>IFERROR(VLOOKUP(H1709,'VALORES VIAJES'!$A$2:$B$24,2,FALSE),"")</f>
        <v/>
      </c>
      <c r="U1709" t="str">
        <f>IFERROR(VLOOKUP(I1709,'VALORES VIAJES'!$A$2:$B$24,2,FALSE),"")</f>
        <v/>
      </c>
      <c r="V1709" t="str">
        <f>IFERROR(VLOOKUP(K1709,'VALORES VIAJES'!$A$2:$B$24,2,FALSE),"")</f>
        <v/>
      </c>
      <c r="X1709" s="208">
        <f>SUM(Hoja1[[#This Row],[$ X TIP VEHICUL]:[AGREGADO]])</f>
        <v>0</v>
      </c>
    </row>
    <row r="1710" spans="2:24" hidden="1" x14ac:dyDescent="0.25">
      <c r="B1710" s="189"/>
      <c r="J1710" s="189"/>
      <c r="M1710" s="205"/>
      <c r="S1710" t="str">
        <f>IFERROR(VLOOKUP(E1710,'VALORES VIAJES'!$A$2:$B$13,2,FALSE),"")</f>
        <v/>
      </c>
      <c r="T1710" t="str">
        <f>IFERROR(VLOOKUP(H1710,'VALORES VIAJES'!$A$2:$B$24,2,FALSE),"")</f>
        <v/>
      </c>
      <c r="U1710" t="str">
        <f>IFERROR(VLOOKUP(I1710,'VALORES VIAJES'!$A$2:$B$24,2,FALSE),"")</f>
        <v/>
      </c>
      <c r="V1710" t="str">
        <f>IFERROR(VLOOKUP(K1710,'VALORES VIAJES'!$A$2:$B$24,2,FALSE),"")</f>
        <v/>
      </c>
      <c r="X1710" s="208">
        <f>SUM(Hoja1[[#This Row],[$ X TIP VEHICUL]:[AGREGADO]])</f>
        <v>0</v>
      </c>
    </row>
    <row r="1711" spans="2:24" hidden="1" x14ac:dyDescent="0.25">
      <c r="B1711" s="189"/>
      <c r="J1711" s="189"/>
      <c r="M1711" s="205"/>
      <c r="S1711" t="str">
        <f>IFERROR(VLOOKUP(E1711,'VALORES VIAJES'!$A$2:$B$13,2,FALSE),"")</f>
        <v/>
      </c>
      <c r="T1711" t="str">
        <f>IFERROR(VLOOKUP(H1711,'VALORES VIAJES'!$A$2:$B$24,2,FALSE),"")</f>
        <v/>
      </c>
      <c r="U1711" t="str">
        <f>IFERROR(VLOOKUP(I1711,'VALORES VIAJES'!$A$2:$B$24,2,FALSE),"")</f>
        <v/>
      </c>
      <c r="V1711" t="str">
        <f>IFERROR(VLOOKUP(K1711,'VALORES VIAJES'!$A$2:$B$24,2,FALSE),"")</f>
        <v/>
      </c>
      <c r="X1711" s="208">
        <f>SUM(Hoja1[[#This Row],[$ X TIP VEHICUL]:[AGREGADO]])</f>
        <v>0</v>
      </c>
    </row>
    <row r="1712" spans="2:24" hidden="1" x14ac:dyDescent="0.25">
      <c r="B1712" s="189"/>
      <c r="J1712" s="189"/>
      <c r="M1712" s="205"/>
      <c r="S1712" t="str">
        <f>IFERROR(VLOOKUP(E1712,'VALORES VIAJES'!$A$2:$B$13,2,FALSE),"")</f>
        <v/>
      </c>
      <c r="T1712" t="str">
        <f>IFERROR(VLOOKUP(H1712,'VALORES VIAJES'!$A$2:$B$24,2,FALSE),"")</f>
        <v/>
      </c>
      <c r="U1712" t="str">
        <f>IFERROR(VLOOKUP(I1712,'VALORES VIAJES'!$A$2:$B$24,2,FALSE),"")</f>
        <v/>
      </c>
      <c r="V1712" t="str">
        <f>IFERROR(VLOOKUP(K1712,'VALORES VIAJES'!$A$2:$B$24,2,FALSE),"")</f>
        <v/>
      </c>
      <c r="X1712" s="208">
        <f>SUM(Hoja1[[#This Row],[$ X TIP VEHICUL]:[AGREGADO]])</f>
        <v>0</v>
      </c>
    </row>
    <row r="1713" spans="2:24" hidden="1" x14ac:dyDescent="0.25">
      <c r="B1713" s="189"/>
      <c r="J1713" s="189"/>
      <c r="M1713" s="205"/>
      <c r="S1713" t="str">
        <f>IFERROR(VLOOKUP(E1713,'VALORES VIAJES'!$A$2:$B$13,2,FALSE),"")</f>
        <v/>
      </c>
      <c r="T1713" t="str">
        <f>IFERROR(VLOOKUP(H1713,'VALORES VIAJES'!$A$2:$B$24,2,FALSE),"")</f>
        <v/>
      </c>
      <c r="U1713" t="str">
        <f>IFERROR(VLOOKUP(I1713,'VALORES VIAJES'!$A$2:$B$24,2,FALSE),"")</f>
        <v/>
      </c>
      <c r="V1713" t="str">
        <f>IFERROR(VLOOKUP(K1713,'VALORES VIAJES'!$A$2:$B$24,2,FALSE),"")</f>
        <v/>
      </c>
      <c r="X1713" s="208">
        <f>SUM(Hoja1[[#This Row],[$ X TIP VEHICUL]:[AGREGADO]])</f>
        <v>0</v>
      </c>
    </row>
    <row r="1714" spans="2:24" hidden="1" x14ac:dyDescent="0.25">
      <c r="B1714" s="189"/>
      <c r="J1714" s="189"/>
      <c r="M1714" s="205"/>
      <c r="S1714" t="str">
        <f>IFERROR(VLOOKUP(E1714,'VALORES VIAJES'!$A$2:$B$13,2,FALSE),"")</f>
        <v/>
      </c>
      <c r="T1714" t="str">
        <f>IFERROR(VLOOKUP(H1714,'VALORES VIAJES'!$A$2:$B$24,2,FALSE),"")</f>
        <v/>
      </c>
      <c r="U1714" t="str">
        <f>IFERROR(VLOOKUP(I1714,'VALORES VIAJES'!$A$2:$B$24,2,FALSE),"")</f>
        <v/>
      </c>
      <c r="V1714" t="str">
        <f>IFERROR(VLOOKUP(K1714,'VALORES VIAJES'!$A$2:$B$24,2,FALSE),"")</f>
        <v/>
      </c>
      <c r="X1714" s="208">
        <f>SUM(Hoja1[[#This Row],[$ X TIP VEHICUL]:[AGREGADO]])</f>
        <v>0</v>
      </c>
    </row>
    <row r="1715" spans="2:24" hidden="1" x14ac:dyDescent="0.25">
      <c r="B1715" s="189"/>
      <c r="J1715" s="189"/>
      <c r="M1715" s="205"/>
      <c r="S1715" t="str">
        <f>IFERROR(VLOOKUP(E1715,'VALORES VIAJES'!$A$2:$B$13,2,FALSE),"")</f>
        <v/>
      </c>
      <c r="T1715" t="str">
        <f>IFERROR(VLOOKUP(H1715,'VALORES VIAJES'!$A$2:$B$24,2,FALSE),"")</f>
        <v/>
      </c>
      <c r="U1715" t="str">
        <f>IFERROR(VLOOKUP(I1715,'VALORES VIAJES'!$A$2:$B$24,2,FALSE),"")</f>
        <v/>
      </c>
      <c r="V1715" t="str">
        <f>IFERROR(VLOOKUP(K1715,'VALORES VIAJES'!$A$2:$B$24,2,FALSE),"")</f>
        <v/>
      </c>
      <c r="X1715" s="208">
        <f>SUM(Hoja1[[#This Row],[$ X TIP VEHICUL]:[AGREGADO]])</f>
        <v>0</v>
      </c>
    </row>
    <row r="1716" spans="2:24" hidden="1" x14ac:dyDescent="0.25">
      <c r="B1716" s="189"/>
      <c r="J1716" s="189"/>
      <c r="M1716" s="205"/>
      <c r="S1716" t="str">
        <f>IFERROR(VLOOKUP(E1716,'VALORES VIAJES'!$A$2:$B$13,2,FALSE),"")</f>
        <v/>
      </c>
      <c r="T1716" t="str">
        <f>IFERROR(VLOOKUP(H1716,'VALORES VIAJES'!$A$2:$B$24,2,FALSE),"")</f>
        <v/>
      </c>
      <c r="U1716" t="str">
        <f>IFERROR(VLOOKUP(I1716,'VALORES VIAJES'!$A$2:$B$24,2,FALSE),"")</f>
        <v/>
      </c>
      <c r="V1716" t="str">
        <f>IFERROR(VLOOKUP(K1716,'VALORES VIAJES'!$A$2:$B$24,2,FALSE),"")</f>
        <v/>
      </c>
      <c r="X1716" s="208">
        <f>SUM(Hoja1[[#This Row],[$ X TIP VEHICUL]:[AGREGADO]])</f>
        <v>0</v>
      </c>
    </row>
    <row r="1717" spans="2:24" hidden="1" x14ac:dyDescent="0.25">
      <c r="B1717" s="189"/>
      <c r="J1717" s="189"/>
      <c r="M1717" s="205"/>
      <c r="S1717" t="str">
        <f>IFERROR(VLOOKUP(E1717,'VALORES VIAJES'!$A$2:$B$13,2,FALSE),"")</f>
        <v/>
      </c>
      <c r="T1717" t="str">
        <f>IFERROR(VLOOKUP(H1717,'VALORES VIAJES'!$A$2:$B$24,2,FALSE),"")</f>
        <v/>
      </c>
      <c r="U1717" t="str">
        <f>IFERROR(VLOOKUP(I1717,'VALORES VIAJES'!$A$2:$B$24,2,FALSE),"")</f>
        <v/>
      </c>
      <c r="V1717" t="str">
        <f>IFERROR(VLOOKUP(K1717,'VALORES VIAJES'!$A$2:$B$24,2,FALSE),"")</f>
        <v/>
      </c>
      <c r="X1717" s="208">
        <f>SUM(Hoja1[[#This Row],[$ X TIP VEHICUL]:[AGREGADO]])</f>
        <v>0</v>
      </c>
    </row>
    <row r="1718" spans="2:24" hidden="1" x14ac:dyDescent="0.25">
      <c r="B1718" s="189"/>
      <c r="J1718" s="189"/>
      <c r="M1718" s="205"/>
      <c r="S1718" t="str">
        <f>IFERROR(VLOOKUP(E1718,'VALORES VIAJES'!$A$2:$B$13,2,FALSE),"")</f>
        <v/>
      </c>
      <c r="T1718" t="str">
        <f>IFERROR(VLOOKUP(H1718,'VALORES VIAJES'!$A$2:$B$24,2,FALSE),"")</f>
        <v/>
      </c>
      <c r="U1718" t="str">
        <f>IFERROR(VLOOKUP(I1718,'VALORES VIAJES'!$A$2:$B$24,2,FALSE),"")</f>
        <v/>
      </c>
      <c r="V1718" t="str">
        <f>IFERROR(VLOOKUP(K1718,'VALORES VIAJES'!$A$2:$B$24,2,FALSE),"")</f>
        <v/>
      </c>
      <c r="X1718" s="208">
        <f>SUM(Hoja1[[#This Row],[$ X TIP VEHICUL]:[AGREGADO]])</f>
        <v>0</v>
      </c>
    </row>
    <row r="1719" spans="2:24" hidden="1" x14ac:dyDescent="0.25">
      <c r="B1719" s="189"/>
      <c r="J1719" s="189"/>
      <c r="M1719" s="205"/>
      <c r="S1719" t="str">
        <f>IFERROR(VLOOKUP(E1719,'VALORES VIAJES'!$A$2:$B$13,2,FALSE),"")</f>
        <v/>
      </c>
      <c r="T1719" t="str">
        <f>IFERROR(VLOOKUP(H1719,'VALORES VIAJES'!$A$2:$B$24,2,FALSE),"")</f>
        <v/>
      </c>
      <c r="U1719" t="str">
        <f>IFERROR(VLOOKUP(I1719,'VALORES VIAJES'!$A$2:$B$24,2,FALSE),"")</f>
        <v/>
      </c>
      <c r="V1719" t="str">
        <f>IFERROR(VLOOKUP(K1719,'VALORES VIAJES'!$A$2:$B$24,2,FALSE),"")</f>
        <v/>
      </c>
      <c r="X1719" s="208">
        <f>SUM(Hoja1[[#This Row],[$ X TIP VEHICUL]:[AGREGADO]])</f>
        <v>0</v>
      </c>
    </row>
    <row r="1720" spans="2:24" hidden="1" x14ac:dyDescent="0.25">
      <c r="B1720" s="189"/>
      <c r="J1720" s="189"/>
      <c r="M1720" s="205"/>
      <c r="S1720" t="str">
        <f>IFERROR(VLOOKUP(E1720,'VALORES VIAJES'!$A$2:$B$13,2,FALSE),"")</f>
        <v/>
      </c>
      <c r="T1720" t="str">
        <f>IFERROR(VLOOKUP(H1720,'VALORES VIAJES'!$A$2:$B$24,2,FALSE),"")</f>
        <v/>
      </c>
      <c r="U1720" t="str">
        <f>IFERROR(VLOOKUP(I1720,'VALORES VIAJES'!$A$2:$B$24,2,FALSE),"")</f>
        <v/>
      </c>
      <c r="V1720" t="str">
        <f>IFERROR(VLOOKUP(K1720,'VALORES VIAJES'!$A$2:$B$24,2,FALSE),"")</f>
        <v/>
      </c>
      <c r="X1720" s="208">
        <f>SUM(Hoja1[[#This Row],[$ X TIP VEHICUL]:[AGREGADO]])</f>
        <v>0</v>
      </c>
    </row>
    <row r="1721" spans="2:24" hidden="1" x14ac:dyDescent="0.25">
      <c r="B1721" s="189"/>
      <c r="J1721" s="189"/>
      <c r="M1721" s="205"/>
      <c r="S1721" t="str">
        <f>IFERROR(VLOOKUP(E1721,'VALORES VIAJES'!$A$2:$B$13,2,FALSE),"")</f>
        <v/>
      </c>
      <c r="T1721" t="str">
        <f>IFERROR(VLOOKUP(H1721,'VALORES VIAJES'!$A$2:$B$24,2,FALSE),"")</f>
        <v/>
      </c>
      <c r="U1721" t="str">
        <f>IFERROR(VLOOKUP(I1721,'VALORES VIAJES'!$A$2:$B$24,2,FALSE),"")</f>
        <v/>
      </c>
      <c r="V1721" t="str">
        <f>IFERROR(VLOOKUP(K1721,'VALORES VIAJES'!$A$2:$B$24,2,FALSE),"")</f>
        <v/>
      </c>
      <c r="X1721" s="208">
        <f>SUM(Hoja1[[#This Row],[$ X TIP VEHICUL]:[AGREGADO]])</f>
        <v>0</v>
      </c>
    </row>
    <row r="1722" spans="2:24" hidden="1" x14ac:dyDescent="0.25">
      <c r="B1722" s="189"/>
      <c r="J1722" s="189"/>
      <c r="M1722" s="205"/>
      <c r="S1722" t="str">
        <f>IFERROR(VLOOKUP(E1722,'VALORES VIAJES'!$A$2:$B$13,2,FALSE),"")</f>
        <v/>
      </c>
      <c r="T1722" t="str">
        <f>IFERROR(VLOOKUP(H1722,'VALORES VIAJES'!$A$2:$B$24,2,FALSE),"")</f>
        <v/>
      </c>
      <c r="U1722" t="str">
        <f>IFERROR(VLOOKUP(I1722,'VALORES VIAJES'!$A$2:$B$24,2,FALSE),"")</f>
        <v/>
      </c>
      <c r="V1722" t="str">
        <f>IFERROR(VLOOKUP(K1722,'VALORES VIAJES'!$A$2:$B$24,2,FALSE),"")</f>
        <v/>
      </c>
      <c r="X1722" s="208">
        <f>SUM(Hoja1[[#This Row],[$ X TIP VEHICUL]:[AGREGADO]])</f>
        <v>0</v>
      </c>
    </row>
    <row r="1723" spans="2:24" hidden="1" x14ac:dyDescent="0.25">
      <c r="B1723" s="189"/>
      <c r="J1723" s="189"/>
      <c r="M1723" s="205"/>
      <c r="S1723" t="str">
        <f>IFERROR(VLOOKUP(E1723,'VALORES VIAJES'!$A$2:$B$13,2,FALSE),"")</f>
        <v/>
      </c>
      <c r="T1723" t="str">
        <f>IFERROR(VLOOKUP(H1723,'VALORES VIAJES'!$A$2:$B$24,2,FALSE),"")</f>
        <v/>
      </c>
      <c r="U1723" t="str">
        <f>IFERROR(VLOOKUP(I1723,'VALORES VIAJES'!$A$2:$B$24,2,FALSE),"")</f>
        <v/>
      </c>
      <c r="V1723" t="str">
        <f>IFERROR(VLOOKUP(K1723,'VALORES VIAJES'!$A$2:$B$24,2,FALSE),"")</f>
        <v/>
      </c>
      <c r="X1723" s="208">
        <f>SUM(Hoja1[[#This Row],[$ X TIP VEHICUL]:[AGREGADO]])</f>
        <v>0</v>
      </c>
    </row>
    <row r="1724" spans="2:24" hidden="1" x14ac:dyDescent="0.25">
      <c r="B1724" s="189"/>
      <c r="J1724" s="189"/>
      <c r="M1724" s="205"/>
      <c r="S1724" t="str">
        <f>IFERROR(VLOOKUP(E1724,'VALORES VIAJES'!$A$2:$B$13,2,FALSE),"")</f>
        <v/>
      </c>
      <c r="T1724" t="str">
        <f>IFERROR(VLOOKUP(H1724,'VALORES VIAJES'!$A$2:$B$24,2,FALSE),"")</f>
        <v/>
      </c>
      <c r="U1724" t="str">
        <f>IFERROR(VLOOKUP(I1724,'VALORES VIAJES'!$A$2:$B$24,2,FALSE),"")</f>
        <v/>
      </c>
      <c r="V1724" t="str">
        <f>IFERROR(VLOOKUP(K1724,'VALORES VIAJES'!$A$2:$B$24,2,FALSE),"")</f>
        <v/>
      </c>
      <c r="X1724" s="208">
        <f>SUM(Hoja1[[#This Row],[$ X TIP VEHICUL]:[AGREGADO]])</f>
        <v>0</v>
      </c>
    </row>
    <row r="1725" spans="2:24" hidden="1" x14ac:dyDescent="0.25">
      <c r="B1725" s="189"/>
      <c r="J1725" s="189"/>
      <c r="M1725" s="205"/>
      <c r="S1725" t="str">
        <f>IFERROR(VLOOKUP(E1725,'VALORES VIAJES'!$A$2:$B$13,2,FALSE),"")</f>
        <v/>
      </c>
      <c r="T1725" t="str">
        <f>IFERROR(VLOOKUP(H1725,'VALORES VIAJES'!$A$2:$B$24,2,FALSE),"")</f>
        <v/>
      </c>
      <c r="U1725" t="str">
        <f>IFERROR(VLOOKUP(I1725,'VALORES VIAJES'!$A$2:$B$24,2,FALSE),"")</f>
        <v/>
      </c>
      <c r="V1725" t="str">
        <f>IFERROR(VLOOKUP(K1725,'VALORES VIAJES'!$A$2:$B$24,2,FALSE),"")</f>
        <v/>
      </c>
      <c r="X1725" s="208">
        <f>SUM(Hoja1[[#This Row],[$ X TIP VEHICUL]:[AGREGADO]])</f>
        <v>0</v>
      </c>
    </row>
    <row r="1726" spans="2:24" hidden="1" x14ac:dyDescent="0.25">
      <c r="B1726" s="189"/>
      <c r="J1726" s="189"/>
      <c r="M1726" s="205"/>
      <c r="S1726" t="str">
        <f>IFERROR(VLOOKUP(E1726,'VALORES VIAJES'!$A$2:$B$13,2,FALSE),"")</f>
        <v/>
      </c>
      <c r="T1726" t="str">
        <f>IFERROR(VLOOKUP(H1726,'VALORES VIAJES'!$A$2:$B$24,2,FALSE),"")</f>
        <v/>
      </c>
      <c r="U1726" t="str">
        <f>IFERROR(VLOOKUP(I1726,'VALORES VIAJES'!$A$2:$B$24,2,FALSE),"")</f>
        <v/>
      </c>
      <c r="V1726" t="str">
        <f>IFERROR(VLOOKUP(K1726,'VALORES VIAJES'!$A$2:$B$24,2,FALSE),"")</f>
        <v/>
      </c>
      <c r="X1726" s="208">
        <f>SUM(Hoja1[[#This Row],[$ X TIP VEHICUL]:[AGREGADO]])</f>
        <v>0</v>
      </c>
    </row>
    <row r="1727" spans="2:24" hidden="1" x14ac:dyDescent="0.25">
      <c r="B1727" s="189"/>
      <c r="J1727" s="189"/>
      <c r="M1727" s="205"/>
      <c r="S1727" t="str">
        <f>IFERROR(VLOOKUP(E1727,'VALORES VIAJES'!$A$2:$B$13,2,FALSE),"")</f>
        <v/>
      </c>
      <c r="T1727" t="str">
        <f>IFERROR(VLOOKUP(H1727,'VALORES VIAJES'!$A$2:$B$24,2,FALSE),"")</f>
        <v/>
      </c>
      <c r="U1727" t="str">
        <f>IFERROR(VLOOKUP(I1727,'VALORES VIAJES'!$A$2:$B$24,2,FALSE),"")</f>
        <v/>
      </c>
      <c r="V1727" t="str">
        <f>IFERROR(VLOOKUP(K1727,'VALORES VIAJES'!$A$2:$B$24,2,FALSE),"")</f>
        <v/>
      </c>
      <c r="X1727" s="208">
        <f>SUM(Hoja1[[#This Row],[$ X TIP VEHICUL]:[AGREGADO]])</f>
        <v>0</v>
      </c>
    </row>
    <row r="1728" spans="2:24" hidden="1" x14ac:dyDescent="0.25">
      <c r="B1728" s="189"/>
      <c r="J1728" s="189"/>
      <c r="M1728" s="205"/>
      <c r="S1728" t="str">
        <f>IFERROR(VLOOKUP(E1728,'VALORES VIAJES'!$A$2:$B$13,2,FALSE),"")</f>
        <v/>
      </c>
      <c r="T1728" t="str">
        <f>IFERROR(VLOOKUP(H1728,'VALORES VIAJES'!$A$2:$B$24,2,FALSE),"")</f>
        <v/>
      </c>
      <c r="U1728" t="str">
        <f>IFERROR(VLOOKUP(I1728,'VALORES VIAJES'!$A$2:$B$24,2,FALSE),"")</f>
        <v/>
      </c>
      <c r="V1728" t="str">
        <f>IFERROR(VLOOKUP(K1728,'VALORES VIAJES'!$A$2:$B$24,2,FALSE),"")</f>
        <v/>
      </c>
      <c r="X1728" s="208">
        <f>SUM(Hoja1[[#This Row],[$ X TIP VEHICUL]:[AGREGADO]])</f>
        <v>0</v>
      </c>
    </row>
    <row r="1729" spans="2:24" hidden="1" x14ac:dyDescent="0.25">
      <c r="B1729" s="189"/>
      <c r="J1729" s="189"/>
      <c r="M1729" s="205"/>
      <c r="S1729" t="str">
        <f>IFERROR(VLOOKUP(E1729,'VALORES VIAJES'!$A$2:$B$13,2,FALSE),"")</f>
        <v/>
      </c>
      <c r="T1729" t="str">
        <f>IFERROR(VLOOKUP(H1729,'VALORES VIAJES'!$A$2:$B$24,2,FALSE),"")</f>
        <v/>
      </c>
      <c r="U1729" t="str">
        <f>IFERROR(VLOOKUP(I1729,'VALORES VIAJES'!$A$2:$B$24,2,FALSE),"")</f>
        <v/>
      </c>
      <c r="V1729" t="str">
        <f>IFERROR(VLOOKUP(K1729,'VALORES VIAJES'!$A$2:$B$24,2,FALSE),"")</f>
        <v/>
      </c>
      <c r="X1729" s="208">
        <f>SUM(Hoja1[[#This Row],[$ X TIP VEHICUL]:[AGREGADO]])</f>
        <v>0</v>
      </c>
    </row>
    <row r="1730" spans="2:24" hidden="1" x14ac:dyDescent="0.25">
      <c r="B1730" s="189"/>
      <c r="J1730" s="189"/>
      <c r="M1730" s="205"/>
      <c r="S1730" t="str">
        <f>IFERROR(VLOOKUP(E1730,'VALORES VIAJES'!$A$2:$B$13,2,FALSE),"")</f>
        <v/>
      </c>
      <c r="T1730" t="str">
        <f>IFERROR(VLOOKUP(H1730,'VALORES VIAJES'!$A$2:$B$24,2,FALSE),"")</f>
        <v/>
      </c>
      <c r="U1730" t="str">
        <f>IFERROR(VLOOKUP(I1730,'VALORES VIAJES'!$A$2:$B$24,2,FALSE),"")</f>
        <v/>
      </c>
      <c r="V1730" t="str">
        <f>IFERROR(VLOOKUP(K1730,'VALORES VIAJES'!$A$2:$B$24,2,FALSE),"")</f>
        <v/>
      </c>
      <c r="X1730" s="208">
        <f>SUM(Hoja1[[#This Row],[$ X TIP VEHICUL]:[AGREGADO]])</f>
        <v>0</v>
      </c>
    </row>
    <row r="1731" spans="2:24" hidden="1" x14ac:dyDescent="0.25">
      <c r="B1731" s="189"/>
      <c r="J1731" s="189"/>
      <c r="M1731" s="205"/>
      <c r="S1731" t="str">
        <f>IFERROR(VLOOKUP(E1731,'VALORES VIAJES'!$A$2:$B$13,2,FALSE),"")</f>
        <v/>
      </c>
      <c r="T1731" t="str">
        <f>IFERROR(VLOOKUP(H1731,'VALORES VIAJES'!$A$2:$B$24,2,FALSE),"")</f>
        <v/>
      </c>
      <c r="U1731" t="str">
        <f>IFERROR(VLOOKUP(I1731,'VALORES VIAJES'!$A$2:$B$24,2,FALSE),"")</f>
        <v/>
      </c>
      <c r="V1731" t="str">
        <f>IFERROR(VLOOKUP(K1731,'VALORES VIAJES'!$A$2:$B$24,2,FALSE),"")</f>
        <v/>
      </c>
      <c r="X1731" s="208">
        <f>SUM(Hoja1[[#This Row],[$ X TIP VEHICUL]:[AGREGADO]])</f>
        <v>0</v>
      </c>
    </row>
    <row r="1732" spans="2:24" hidden="1" x14ac:dyDescent="0.25">
      <c r="B1732" s="189"/>
      <c r="J1732" s="189"/>
      <c r="M1732" s="205"/>
      <c r="S1732" t="str">
        <f>IFERROR(VLOOKUP(E1732,'VALORES VIAJES'!$A$2:$B$13,2,FALSE),"")</f>
        <v/>
      </c>
      <c r="T1732" t="str">
        <f>IFERROR(VLOOKUP(H1732,'VALORES VIAJES'!$A$2:$B$24,2,FALSE),"")</f>
        <v/>
      </c>
      <c r="U1732" t="str">
        <f>IFERROR(VLOOKUP(I1732,'VALORES VIAJES'!$A$2:$B$24,2,FALSE),"")</f>
        <v/>
      </c>
      <c r="V1732" t="str">
        <f>IFERROR(VLOOKUP(K1732,'VALORES VIAJES'!$A$2:$B$24,2,FALSE),"")</f>
        <v/>
      </c>
      <c r="X1732" s="208">
        <f>SUM(Hoja1[[#This Row],[$ X TIP VEHICUL]:[AGREGADO]])</f>
        <v>0</v>
      </c>
    </row>
    <row r="1733" spans="2:24" hidden="1" x14ac:dyDescent="0.25">
      <c r="B1733" s="189"/>
      <c r="J1733" s="189"/>
      <c r="M1733" s="205"/>
      <c r="S1733" t="str">
        <f>IFERROR(VLOOKUP(E1733,'VALORES VIAJES'!$A$2:$B$13,2,FALSE),"")</f>
        <v/>
      </c>
      <c r="T1733" t="str">
        <f>IFERROR(VLOOKUP(H1733,'VALORES VIAJES'!$A$2:$B$24,2,FALSE),"")</f>
        <v/>
      </c>
      <c r="U1733" t="str">
        <f>IFERROR(VLOOKUP(I1733,'VALORES VIAJES'!$A$2:$B$24,2,FALSE),"")</f>
        <v/>
      </c>
      <c r="V1733" t="str">
        <f>IFERROR(VLOOKUP(K1733,'VALORES VIAJES'!$A$2:$B$24,2,FALSE),"")</f>
        <v/>
      </c>
      <c r="X1733" s="208">
        <f>SUM(Hoja1[[#This Row],[$ X TIP VEHICUL]:[AGREGADO]])</f>
        <v>0</v>
      </c>
    </row>
    <row r="1734" spans="2:24" hidden="1" x14ac:dyDescent="0.25">
      <c r="B1734" s="189"/>
      <c r="J1734" s="189"/>
      <c r="M1734" s="205"/>
      <c r="S1734" t="str">
        <f>IFERROR(VLOOKUP(E1734,'VALORES VIAJES'!$A$2:$B$13,2,FALSE),"")</f>
        <v/>
      </c>
      <c r="T1734" t="str">
        <f>IFERROR(VLOOKUP(H1734,'VALORES VIAJES'!$A$2:$B$24,2,FALSE),"")</f>
        <v/>
      </c>
      <c r="U1734" t="str">
        <f>IFERROR(VLOOKUP(I1734,'VALORES VIAJES'!$A$2:$B$24,2,FALSE),"")</f>
        <v/>
      </c>
      <c r="V1734" t="str">
        <f>IFERROR(VLOOKUP(K1734,'VALORES VIAJES'!$A$2:$B$24,2,FALSE),"")</f>
        <v/>
      </c>
      <c r="X1734" s="208">
        <f>SUM(Hoja1[[#This Row],[$ X TIP VEHICUL]:[AGREGADO]])</f>
        <v>0</v>
      </c>
    </row>
    <row r="1735" spans="2:24" hidden="1" x14ac:dyDescent="0.25">
      <c r="B1735" s="189"/>
      <c r="J1735" s="189"/>
      <c r="M1735" s="205"/>
      <c r="S1735" t="str">
        <f>IFERROR(VLOOKUP(E1735,'VALORES VIAJES'!$A$2:$B$13,2,FALSE),"")</f>
        <v/>
      </c>
      <c r="T1735" t="str">
        <f>IFERROR(VLOOKUP(H1735,'VALORES VIAJES'!$A$2:$B$24,2,FALSE),"")</f>
        <v/>
      </c>
      <c r="U1735" t="str">
        <f>IFERROR(VLOOKUP(I1735,'VALORES VIAJES'!$A$2:$B$24,2,FALSE),"")</f>
        <v/>
      </c>
      <c r="V1735" t="str">
        <f>IFERROR(VLOOKUP(K1735,'VALORES VIAJES'!$A$2:$B$24,2,FALSE),"")</f>
        <v/>
      </c>
      <c r="X1735" s="208">
        <f>SUM(Hoja1[[#This Row],[$ X TIP VEHICUL]:[AGREGADO]])</f>
        <v>0</v>
      </c>
    </row>
    <row r="1736" spans="2:24" hidden="1" x14ac:dyDescent="0.25">
      <c r="B1736" s="189"/>
      <c r="J1736" s="189"/>
      <c r="M1736" s="205"/>
      <c r="S1736" t="str">
        <f>IFERROR(VLOOKUP(E1736,'VALORES VIAJES'!$A$2:$B$13,2,FALSE),"")</f>
        <v/>
      </c>
      <c r="T1736" t="str">
        <f>IFERROR(VLOOKUP(H1736,'VALORES VIAJES'!$A$2:$B$24,2,FALSE),"")</f>
        <v/>
      </c>
      <c r="U1736" t="str">
        <f>IFERROR(VLOOKUP(I1736,'VALORES VIAJES'!$A$2:$B$24,2,FALSE),"")</f>
        <v/>
      </c>
      <c r="V1736" t="str">
        <f>IFERROR(VLOOKUP(K1736,'VALORES VIAJES'!$A$2:$B$24,2,FALSE),"")</f>
        <v/>
      </c>
      <c r="X1736" s="208">
        <f>SUM(Hoja1[[#This Row],[$ X TIP VEHICUL]:[AGREGADO]])</f>
        <v>0</v>
      </c>
    </row>
    <row r="1737" spans="2:24" hidden="1" x14ac:dyDescent="0.25">
      <c r="B1737" s="189"/>
      <c r="J1737" s="189"/>
      <c r="M1737" s="205"/>
      <c r="S1737" t="str">
        <f>IFERROR(VLOOKUP(E1737,'VALORES VIAJES'!$A$2:$B$13,2,FALSE),"")</f>
        <v/>
      </c>
      <c r="T1737" t="str">
        <f>IFERROR(VLOOKUP(H1737,'VALORES VIAJES'!$A$2:$B$24,2,FALSE),"")</f>
        <v/>
      </c>
      <c r="U1737" t="str">
        <f>IFERROR(VLOOKUP(I1737,'VALORES VIAJES'!$A$2:$B$24,2,FALSE),"")</f>
        <v/>
      </c>
      <c r="V1737" t="str">
        <f>IFERROR(VLOOKUP(K1737,'VALORES VIAJES'!$A$2:$B$24,2,FALSE),"")</f>
        <v/>
      </c>
      <c r="X1737" s="208">
        <f>SUM(Hoja1[[#This Row],[$ X TIP VEHICUL]:[AGREGADO]])</f>
        <v>0</v>
      </c>
    </row>
    <row r="1738" spans="2:24" hidden="1" x14ac:dyDescent="0.25">
      <c r="B1738" s="189"/>
      <c r="J1738" s="189"/>
      <c r="M1738" s="205"/>
      <c r="S1738" t="str">
        <f>IFERROR(VLOOKUP(E1738,'VALORES VIAJES'!$A$2:$B$13,2,FALSE),"")</f>
        <v/>
      </c>
      <c r="T1738" t="str">
        <f>IFERROR(VLOOKUP(H1738,'VALORES VIAJES'!$A$2:$B$24,2,FALSE),"")</f>
        <v/>
      </c>
      <c r="U1738" t="str">
        <f>IFERROR(VLOOKUP(I1738,'VALORES VIAJES'!$A$2:$B$24,2,FALSE),"")</f>
        <v/>
      </c>
      <c r="V1738" t="str">
        <f>IFERROR(VLOOKUP(K1738,'VALORES VIAJES'!$A$2:$B$24,2,FALSE),"")</f>
        <v/>
      </c>
      <c r="X1738" s="208">
        <f>SUM(Hoja1[[#This Row],[$ X TIP VEHICUL]:[AGREGADO]])</f>
        <v>0</v>
      </c>
    </row>
    <row r="1739" spans="2:24" hidden="1" x14ac:dyDescent="0.25">
      <c r="B1739" s="189"/>
      <c r="J1739" s="189"/>
      <c r="M1739" s="205"/>
      <c r="S1739" t="str">
        <f>IFERROR(VLOOKUP(E1739,'VALORES VIAJES'!$A$2:$B$13,2,FALSE),"")</f>
        <v/>
      </c>
      <c r="T1739" t="str">
        <f>IFERROR(VLOOKUP(H1739,'VALORES VIAJES'!$A$2:$B$24,2,FALSE),"")</f>
        <v/>
      </c>
      <c r="U1739" t="str">
        <f>IFERROR(VLOOKUP(I1739,'VALORES VIAJES'!$A$2:$B$24,2,FALSE),"")</f>
        <v/>
      </c>
      <c r="V1739" t="str">
        <f>IFERROR(VLOOKUP(K1739,'VALORES VIAJES'!$A$2:$B$24,2,FALSE),"")</f>
        <v/>
      </c>
      <c r="X1739" s="208">
        <f>SUM(Hoja1[[#This Row],[$ X TIP VEHICUL]:[AGREGADO]])</f>
        <v>0</v>
      </c>
    </row>
    <row r="1740" spans="2:24" hidden="1" x14ac:dyDescent="0.25">
      <c r="B1740" s="189"/>
      <c r="J1740" s="189"/>
      <c r="M1740" s="205"/>
      <c r="S1740" t="str">
        <f>IFERROR(VLOOKUP(E1740,'VALORES VIAJES'!$A$2:$B$13,2,FALSE),"")</f>
        <v/>
      </c>
      <c r="T1740" t="str">
        <f>IFERROR(VLOOKUP(H1740,'VALORES VIAJES'!$A$2:$B$24,2,FALSE),"")</f>
        <v/>
      </c>
      <c r="U1740" t="str">
        <f>IFERROR(VLOOKUP(I1740,'VALORES VIAJES'!$A$2:$B$24,2,FALSE),"")</f>
        <v/>
      </c>
      <c r="V1740" t="str">
        <f>IFERROR(VLOOKUP(K1740,'VALORES VIAJES'!$A$2:$B$24,2,FALSE),"")</f>
        <v/>
      </c>
      <c r="X1740" s="208">
        <f>SUM(Hoja1[[#This Row],[$ X TIP VEHICUL]:[AGREGADO]])</f>
        <v>0</v>
      </c>
    </row>
    <row r="1741" spans="2:24" hidden="1" x14ac:dyDescent="0.25">
      <c r="B1741" s="189"/>
      <c r="J1741" s="189"/>
      <c r="M1741" s="205"/>
      <c r="S1741" t="str">
        <f>IFERROR(VLOOKUP(E1741,'VALORES VIAJES'!$A$2:$B$13,2,FALSE),"")</f>
        <v/>
      </c>
      <c r="T1741" t="str">
        <f>IFERROR(VLOOKUP(H1741,'VALORES VIAJES'!$A$2:$B$24,2,FALSE),"")</f>
        <v/>
      </c>
      <c r="U1741" t="str">
        <f>IFERROR(VLOOKUP(I1741,'VALORES VIAJES'!$A$2:$B$24,2,FALSE),"")</f>
        <v/>
      </c>
      <c r="V1741" t="str">
        <f>IFERROR(VLOOKUP(K1741,'VALORES VIAJES'!$A$2:$B$24,2,FALSE),"")</f>
        <v/>
      </c>
      <c r="X1741" s="208">
        <f>SUM(Hoja1[[#This Row],[$ X TIP VEHICUL]:[AGREGADO]])</f>
        <v>0</v>
      </c>
    </row>
    <row r="1742" spans="2:24" hidden="1" x14ac:dyDescent="0.25">
      <c r="B1742" s="189"/>
      <c r="J1742" s="189"/>
      <c r="M1742" s="205"/>
      <c r="S1742" t="str">
        <f>IFERROR(VLOOKUP(E1742,'VALORES VIAJES'!$A$2:$B$13,2,FALSE),"")</f>
        <v/>
      </c>
      <c r="T1742" t="str">
        <f>IFERROR(VLOOKUP(H1742,'VALORES VIAJES'!$A$2:$B$24,2,FALSE),"")</f>
        <v/>
      </c>
      <c r="U1742" t="str">
        <f>IFERROR(VLOOKUP(I1742,'VALORES VIAJES'!$A$2:$B$24,2,FALSE),"")</f>
        <v/>
      </c>
      <c r="V1742" t="str">
        <f>IFERROR(VLOOKUP(K1742,'VALORES VIAJES'!$A$2:$B$24,2,FALSE),"")</f>
        <v/>
      </c>
      <c r="X1742" s="208">
        <f>SUM(Hoja1[[#This Row],[$ X TIP VEHICUL]:[AGREGADO]])</f>
        <v>0</v>
      </c>
    </row>
    <row r="1743" spans="2:24" hidden="1" x14ac:dyDescent="0.25">
      <c r="B1743" s="189"/>
      <c r="J1743" s="189"/>
      <c r="M1743" s="205"/>
      <c r="S1743" t="str">
        <f>IFERROR(VLOOKUP(E1743,'VALORES VIAJES'!$A$2:$B$13,2,FALSE),"")</f>
        <v/>
      </c>
      <c r="T1743" t="str">
        <f>IFERROR(VLOOKUP(H1743,'VALORES VIAJES'!$A$2:$B$24,2,FALSE),"")</f>
        <v/>
      </c>
      <c r="U1743" t="str">
        <f>IFERROR(VLOOKUP(I1743,'VALORES VIAJES'!$A$2:$B$24,2,FALSE),"")</f>
        <v/>
      </c>
      <c r="V1743" t="str">
        <f>IFERROR(VLOOKUP(K1743,'VALORES VIAJES'!$A$2:$B$24,2,FALSE),"")</f>
        <v/>
      </c>
      <c r="X1743" s="208">
        <f>SUM(Hoja1[[#This Row],[$ X TIP VEHICUL]:[AGREGADO]])</f>
        <v>0</v>
      </c>
    </row>
    <row r="1744" spans="2:24" hidden="1" x14ac:dyDescent="0.25">
      <c r="B1744" s="189"/>
      <c r="J1744" s="189"/>
      <c r="M1744" s="205"/>
      <c r="S1744" t="str">
        <f>IFERROR(VLOOKUP(E1744,'VALORES VIAJES'!$A$2:$B$13,2,FALSE),"")</f>
        <v/>
      </c>
      <c r="T1744" t="str">
        <f>IFERROR(VLOOKUP(H1744,'VALORES VIAJES'!$A$2:$B$24,2,FALSE),"")</f>
        <v/>
      </c>
      <c r="U1744" t="str">
        <f>IFERROR(VLOOKUP(I1744,'VALORES VIAJES'!$A$2:$B$24,2,FALSE),"")</f>
        <v/>
      </c>
      <c r="V1744" t="str">
        <f>IFERROR(VLOOKUP(K1744,'VALORES VIAJES'!$A$2:$B$24,2,FALSE),"")</f>
        <v/>
      </c>
      <c r="X1744" s="208">
        <f>SUM(Hoja1[[#This Row],[$ X TIP VEHICUL]:[AGREGADO]])</f>
        <v>0</v>
      </c>
    </row>
    <row r="1745" spans="2:24" hidden="1" x14ac:dyDescent="0.25">
      <c r="B1745" s="189"/>
      <c r="J1745" s="189"/>
      <c r="M1745" s="205"/>
      <c r="S1745" t="str">
        <f>IFERROR(VLOOKUP(E1745,'VALORES VIAJES'!$A$2:$B$13,2,FALSE),"")</f>
        <v/>
      </c>
      <c r="T1745" t="str">
        <f>IFERROR(VLOOKUP(H1745,'VALORES VIAJES'!$A$2:$B$24,2,FALSE),"")</f>
        <v/>
      </c>
      <c r="U1745" t="str">
        <f>IFERROR(VLOOKUP(I1745,'VALORES VIAJES'!$A$2:$B$24,2,FALSE),"")</f>
        <v/>
      </c>
      <c r="V1745" t="str">
        <f>IFERROR(VLOOKUP(K1745,'VALORES VIAJES'!$A$2:$B$24,2,FALSE),"")</f>
        <v/>
      </c>
      <c r="X1745" s="208">
        <f>SUM(Hoja1[[#This Row],[$ X TIP VEHICUL]:[AGREGADO]])</f>
        <v>0</v>
      </c>
    </row>
    <row r="1746" spans="2:24" hidden="1" x14ac:dyDescent="0.25">
      <c r="B1746" s="189"/>
      <c r="J1746" s="189"/>
      <c r="M1746" s="205"/>
      <c r="S1746" t="str">
        <f>IFERROR(VLOOKUP(E1746,'VALORES VIAJES'!$A$2:$B$13,2,FALSE),"")</f>
        <v/>
      </c>
      <c r="T1746" t="str">
        <f>IFERROR(VLOOKUP(H1746,'VALORES VIAJES'!$A$2:$B$24,2,FALSE),"")</f>
        <v/>
      </c>
      <c r="U1746" t="str">
        <f>IFERROR(VLOOKUP(I1746,'VALORES VIAJES'!$A$2:$B$24,2,FALSE),"")</f>
        <v/>
      </c>
      <c r="V1746" t="str">
        <f>IFERROR(VLOOKUP(K1746,'VALORES VIAJES'!$A$2:$B$24,2,FALSE),"")</f>
        <v/>
      </c>
      <c r="X1746" s="208">
        <f>SUM(Hoja1[[#This Row],[$ X TIP VEHICUL]:[AGREGADO]])</f>
        <v>0</v>
      </c>
    </row>
    <row r="1747" spans="2:24" hidden="1" x14ac:dyDescent="0.25">
      <c r="B1747" s="189"/>
      <c r="J1747" s="189"/>
      <c r="M1747" s="205"/>
      <c r="S1747" t="str">
        <f>IFERROR(VLOOKUP(E1747,'VALORES VIAJES'!$A$2:$B$13,2,FALSE),"")</f>
        <v/>
      </c>
      <c r="T1747" t="str">
        <f>IFERROR(VLOOKUP(H1747,'VALORES VIAJES'!$A$2:$B$24,2,FALSE),"")</f>
        <v/>
      </c>
      <c r="U1747" t="str">
        <f>IFERROR(VLOOKUP(I1747,'VALORES VIAJES'!$A$2:$B$24,2,FALSE),"")</f>
        <v/>
      </c>
      <c r="V1747" t="str">
        <f>IFERROR(VLOOKUP(K1747,'VALORES VIAJES'!$A$2:$B$24,2,FALSE),"")</f>
        <v/>
      </c>
      <c r="X1747" s="208">
        <f>SUM(Hoja1[[#This Row],[$ X TIP VEHICUL]:[AGREGADO]])</f>
        <v>0</v>
      </c>
    </row>
    <row r="1748" spans="2:24" hidden="1" x14ac:dyDescent="0.25">
      <c r="B1748" s="189"/>
      <c r="J1748" s="189"/>
      <c r="M1748" s="205"/>
      <c r="S1748" t="str">
        <f>IFERROR(VLOOKUP(E1748,'VALORES VIAJES'!$A$2:$B$13,2,FALSE),"")</f>
        <v/>
      </c>
      <c r="T1748" t="str">
        <f>IFERROR(VLOOKUP(H1748,'VALORES VIAJES'!$A$2:$B$24,2,FALSE),"")</f>
        <v/>
      </c>
      <c r="U1748" t="str">
        <f>IFERROR(VLOOKUP(I1748,'VALORES VIAJES'!$A$2:$B$24,2,FALSE),"")</f>
        <v/>
      </c>
      <c r="V1748" t="str">
        <f>IFERROR(VLOOKUP(K1748,'VALORES VIAJES'!$A$2:$B$24,2,FALSE),"")</f>
        <v/>
      </c>
      <c r="X1748" s="208">
        <f>SUM(Hoja1[[#This Row],[$ X TIP VEHICUL]:[AGREGADO]])</f>
        <v>0</v>
      </c>
    </row>
    <row r="1749" spans="2:24" hidden="1" x14ac:dyDescent="0.25">
      <c r="B1749" s="189"/>
      <c r="J1749" s="189"/>
      <c r="M1749" s="205"/>
      <c r="S1749" t="str">
        <f>IFERROR(VLOOKUP(E1749,'VALORES VIAJES'!$A$2:$B$13,2,FALSE),"")</f>
        <v/>
      </c>
      <c r="T1749" t="str">
        <f>IFERROR(VLOOKUP(H1749,'VALORES VIAJES'!$A$2:$B$24,2,FALSE),"")</f>
        <v/>
      </c>
      <c r="U1749" t="str">
        <f>IFERROR(VLOOKUP(I1749,'VALORES VIAJES'!$A$2:$B$24,2,FALSE),"")</f>
        <v/>
      </c>
      <c r="V1749" t="str">
        <f>IFERROR(VLOOKUP(K1749,'VALORES VIAJES'!$A$2:$B$24,2,FALSE),"")</f>
        <v/>
      </c>
      <c r="X1749" s="208">
        <f>SUM(Hoja1[[#This Row],[$ X TIP VEHICUL]:[AGREGADO]])</f>
        <v>0</v>
      </c>
    </row>
    <row r="1750" spans="2:24" hidden="1" x14ac:dyDescent="0.25">
      <c r="B1750" s="189"/>
      <c r="J1750" s="189"/>
      <c r="M1750" s="205"/>
      <c r="S1750" t="str">
        <f>IFERROR(VLOOKUP(E1750,'VALORES VIAJES'!$A$2:$B$13,2,FALSE),"")</f>
        <v/>
      </c>
      <c r="T1750" t="str">
        <f>IFERROR(VLOOKUP(H1750,'VALORES VIAJES'!$A$2:$B$24,2,FALSE),"")</f>
        <v/>
      </c>
      <c r="U1750" t="str">
        <f>IFERROR(VLOOKUP(I1750,'VALORES VIAJES'!$A$2:$B$24,2,FALSE),"")</f>
        <v/>
      </c>
      <c r="V1750" t="str">
        <f>IFERROR(VLOOKUP(K1750,'VALORES VIAJES'!$A$2:$B$24,2,FALSE),"")</f>
        <v/>
      </c>
      <c r="X1750" s="208">
        <f>SUM(Hoja1[[#This Row],[$ X TIP VEHICUL]:[AGREGADO]])</f>
        <v>0</v>
      </c>
    </row>
    <row r="1751" spans="2:24" hidden="1" x14ac:dyDescent="0.25">
      <c r="B1751" s="189"/>
      <c r="J1751" s="189"/>
      <c r="M1751" s="205"/>
      <c r="S1751" t="str">
        <f>IFERROR(VLOOKUP(E1751,'VALORES VIAJES'!$A$2:$B$13,2,FALSE),"")</f>
        <v/>
      </c>
      <c r="T1751" t="str">
        <f>IFERROR(VLOOKUP(H1751,'VALORES VIAJES'!$A$2:$B$24,2,FALSE),"")</f>
        <v/>
      </c>
      <c r="U1751" t="str">
        <f>IFERROR(VLOOKUP(I1751,'VALORES VIAJES'!$A$2:$B$24,2,FALSE),"")</f>
        <v/>
      </c>
      <c r="V1751" t="str">
        <f>IFERROR(VLOOKUP(K1751,'VALORES VIAJES'!$A$2:$B$24,2,FALSE),"")</f>
        <v/>
      </c>
      <c r="X1751" s="208">
        <f>SUM(Hoja1[[#This Row],[$ X TIP VEHICUL]:[AGREGADO]])</f>
        <v>0</v>
      </c>
    </row>
    <row r="1752" spans="2:24" hidden="1" x14ac:dyDescent="0.25">
      <c r="B1752" s="189"/>
      <c r="J1752" s="189"/>
      <c r="M1752" s="205"/>
      <c r="S1752" t="str">
        <f>IFERROR(VLOOKUP(E1752,'VALORES VIAJES'!$A$2:$B$13,2,FALSE),"")</f>
        <v/>
      </c>
      <c r="T1752" t="str">
        <f>IFERROR(VLOOKUP(H1752,'VALORES VIAJES'!$A$2:$B$24,2,FALSE),"")</f>
        <v/>
      </c>
      <c r="U1752" t="str">
        <f>IFERROR(VLOOKUP(I1752,'VALORES VIAJES'!$A$2:$B$24,2,FALSE),"")</f>
        <v/>
      </c>
      <c r="V1752" t="str">
        <f>IFERROR(VLOOKUP(K1752,'VALORES VIAJES'!$A$2:$B$24,2,FALSE),"")</f>
        <v/>
      </c>
      <c r="X1752" s="208">
        <f>SUM(Hoja1[[#This Row],[$ X TIP VEHICUL]:[AGREGADO]])</f>
        <v>0</v>
      </c>
    </row>
    <row r="1753" spans="2:24" hidden="1" x14ac:dyDescent="0.25">
      <c r="B1753" s="189"/>
      <c r="J1753" s="189"/>
      <c r="M1753" s="205"/>
      <c r="S1753" t="str">
        <f>IFERROR(VLOOKUP(E1753,'VALORES VIAJES'!$A$2:$B$13,2,FALSE),"")</f>
        <v/>
      </c>
      <c r="T1753" t="str">
        <f>IFERROR(VLOOKUP(H1753,'VALORES VIAJES'!$A$2:$B$24,2,FALSE),"")</f>
        <v/>
      </c>
      <c r="U1753" t="str">
        <f>IFERROR(VLOOKUP(I1753,'VALORES VIAJES'!$A$2:$B$24,2,FALSE),"")</f>
        <v/>
      </c>
      <c r="V1753" t="str">
        <f>IFERROR(VLOOKUP(K1753,'VALORES VIAJES'!$A$2:$B$24,2,FALSE),"")</f>
        <v/>
      </c>
      <c r="X1753" s="208">
        <f>SUM(Hoja1[[#This Row],[$ X TIP VEHICUL]:[AGREGADO]])</f>
        <v>0</v>
      </c>
    </row>
    <row r="1754" spans="2:24" hidden="1" x14ac:dyDescent="0.25">
      <c r="B1754" s="189"/>
      <c r="J1754" s="189"/>
      <c r="M1754" s="205"/>
      <c r="S1754" t="str">
        <f>IFERROR(VLOOKUP(E1754,'VALORES VIAJES'!$A$2:$B$13,2,FALSE),"")</f>
        <v/>
      </c>
      <c r="T1754" t="str">
        <f>IFERROR(VLOOKUP(H1754,'VALORES VIAJES'!$A$2:$B$24,2,FALSE),"")</f>
        <v/>
      </c>
      <c r="U1754" t="str">
        <f>IFERROR(VLOOKUP(I1754,'VALORES VIAJES'!$A$2:$B$24,2,FALSE),"")</f>
        <v/>
      </c>
      <c r="V1754" t="str">
        <f>IFERROR(VLOOKUP(K1754,'VALORES VIAJES'!$A$2:$B$24,2,FALSE),"")</f>
        <v/>
      </c>
      <c r="X1754" s="208">
        <f>SUM(Hoja1[[#This Row],[$ X TIP VEHICUL]:[AGREGADO]])</f>
        <v>0</v>
      </c>
    </row>
    <row r="1755" spans="2:24" hidden="1" x14ac:dyDescent="0.25">
      <c r="B1755" s="189"/>
      <c r="J1755" s="189"/>
      <c r="M1755" s="205"/>
      <c r="S1755" t="str">
        <f>IFERROR(VLOOKUP(E1755,'VALORES VIAJES'!$A$2:$B$13,2,FALSE),"")</f>
        <v/>
      </c>
      <c r="T1755" t="str">
        <f>IFERROR(VLOOKUP(H1755,'VALORES VIAJES'!$A$2:$B$24,2,FALSE),"")</f>
        <v/>
      </c>
      <c r="U1755" t="str">
        <f>IFERROR(VLOOKUP(I1755,'VALORES VIAJES'!$A$2:$B$24,2,FALSE),"")</f>
        <v/>
      </c>
      <c r="V1755" t="str">
        <f>IFERROR(VLOOKUP(K1755,'VALORES VIAJES'!$A$2:$B$24,2,FALSE),"")</f>
        <v/>
      </c>
      <c r="X1755" s="208">
        <f>SUM(Hoja1[[#This Row],[$ X TIP VEHICUL]:[AGREGADO]])</f>
        <v>0</v>
      </c>
    </row>
    <row r="1756" spans="2:24" hidden="1" x14ac:dyDescent="0.25">
      <c r="B1756" s="189"/>
      <c r="J1756" s="189"/>
      <c r="M1756" s="205"/>
      <c r="S1756" t="str">
        <f>IFERROR(VLOOKUP(E1756,'VALORES VIAJES'!$A$2:$B$13,2,FALSE),"")</f>
        <v/>
      </c>
      <c r="T1756" t="str">
        <f>IFERROR(VLOOKUP(H1756,'VALORES VIAJES'!$A$2:$B$24,2,FALSE),"")</f>
        <v/>
      </c>
      <c r="U1756" t="str">
        <f>IFERROR(VLOOKUP(I1756,'VALORES VIAJES'!$A$2:$B$24,2,FALSE),"")</f>
        <v/>
      </c>
      <c r="V1756" t="str">
        <f>IFERROR(VLOOKUP(K1756,'VALORES VIAJES'!$A$2:$B$24,2,FALSE),"")</f>
        <v/>
      </c>
      <c r="X1756" s="208">
        <f>SUM(Hoja1[[#This Row],[$ X TIP VEHICUL]:[AGREGADO]])</f>
        <v>0</v>
      </c>
    </row>
    <row r="1757" spans="2:24" hidden="1" x14ac:dyDescent="0.25">
      <c r="B1757" s="189"/>
      <c r="J1757" s="189"/>
      <c r="M1757" s="205"/>
      <c r="S1757" t="str">
        <f>IFERROR(VLOOKUP(E1757,'VALORES VIAJES'!$A$2:$B$13,2,FALSE),"")</f>
        <v/>
      </c>
      <c r="T1757" t="str">
        <f>IFERROR(VLOOKUP(H1757,'VALORES VIAJES'!$A$2:$B$24,2,FALSE),"")</f>
        <v/>
      </c>
      <c r="U1757" t="str">
        <f>IFERROR(VLOOKUP(I1757,'VALORES VIAJES'!$A$2:$B$24,2,FALSE),"")</f>
        <v/>
      </c>
      <c r="V1757" t="str">
        <f>IFERROR(VLOOKUP(K1757,'VALORES VIAJES'!$A$2:$B$24,2,FALSE),"")</f>
        <v/>
      </c>
      <c r="X1757" s="208">
        <f>SUM(Hoja1[[#This Row],[$ X TIP VEHICUL]:[AGREGADO]])</f>
        <v>0</v>
      </c>
    </row>
    <row r="1758" spans="2:24" hidden="1" x14ac:dyDescent="0.25">
      <c r="B1758" s="189"/>
      <c r="J1758" s="189"/>
      <c r="M1758" s="205"/>
      <c r="S1758" t="str">
        <f>IFERROR(VLOOKUP(E1758,'VALORES VIAJES'!$A$2:$B$13,2,FALSE),"")</f>
        <v/>
      </c>
      <c r="T1758" t="str">
        <f>IFERROR(VLOOKUP(H1758,'VALORES VIAJES'!$A$2:$B$24,2,FALSE),"")</f>
        <v/>
      </c>
      <c r="U1758" t="str">
        <f>IFERROR(VLOOKUP(I1758,'VALORES VIAJES'!$A$2:$B$24,2,FALSE),"")</f>
        <v/>
      </c>
      <c r="V1758" t="str">
        <f>IFERROR(VLOOKUP(K1758,'VALORES VIAJES'!$A$2:$B$24,2,FALSE),"")</f>
        <v/>
      </c>
      <c r="X1758" s="208">
        <f>SUM(Hoja1[[#This Row],[$ X TIP VEHICUL]:[AGREGADO]])</f>
        <v>0</v>
      </c>
    </row>
    <row r="1759" spans="2:24" hidden="1" x14ac:dyDescent="0.25">
      <c r="B1759" s="189"/>
      <c r="J1759" s="189"/>
      <c r="M1759" s="205"/>
      <c r="S1759" t="str">
        <f>IFERROR(VLOOKUP(E1759,'VALORES VIAJES'!$A$2:$B$13,2,FALSE),"")</f>
        <v/>
      </c>
      <c r="T1759" t="str">
        <f>IFERROR(VLOOKUP(H1759,'VALORES VIAJES'!$A$2:$B$24,2,FALSE),"")</f>
        <v/>
      </c>
      <c r="U1759" t="str">
        <f>IFERROR(VLOOKUP(I1759,'VALORES VIAJES'!$A$2:$B$24,2,FALSE),"")</f>
        <v/>
      </c>
      <c r="V1759" t="str">
        <f>IFERROR(VLOOKUP(K1759,'VALORES VIAJES'!$A$2:$B$24,2,FALSE),"")</f>
        <v/>
      </c>
      <c r="X1759" s="208">
        <f>SUM(Hoja1[[#This Row],[$ X TIP VEHICUL]:[AGREGADO]])</f>
        <v>0</v>
      </c>
    </row>
    <row r="1760" spans="2:24" hidden="1" x14ac:dyDescent="0.25">
      <c r="B1760" s="189"/>
      <c r="J1760" s="189"/>
      <c r="M1760" s="205"/>
      <c r="S1760" t="str">
        <f>IFERROR(VLOOKUP(E1760,'VALORES VIAJES'!$A$2:$B$13,2,FALSE),"")</f>
        <v/>
      </c>
      <c r="T1760" t="str">
        <f>IFERROR(VLOOKUP(H1760,'VALORES VIAJES'!$A$2:$B$24,2,FALSE),"")</f>
        <v/>
      </c>
      <c r="U1760" t="str">
        <f>IFERROR(VLOOKUP(I1760,'VALORES VIAJES'!$A$2:$B$24,2,FALSE),"")</f>
        <v/>
      </c>
      <c r="V1760" t="str">
        <f>IFERROR(VLOOKUP(K1760,'VALORES VIAJES'!$A$2:$B$24,2,FALSE),"")</f>
        <v/>
      </c>
      <c r="X1760" s="208">
        <f>SUM(Hoja1[[#This Row],[$ X TIP VEHICUL]:[AGREGADO]])</f>
        <v>0</v>
      </c>
    </row>
    <row r="1761" spans="2:24" hidden="1" x14ac:dyDescent="0.25">
      <c r="B1761" s="189"/>
      <c r="J1761" s="189"/>
      <c r="M1761" s="205"/>
      <c r="S1761" t="str">
        <f>IFERROR(VLOOKUP(E1761,'VALORES VIAJES'!$A$2:$B$13,2,FALSE),"")</f>
        <v/>
      </c>
      <c r="T1761" t="str">
        <f>IFERROR(VLOOKUP(H1761,'VALORES VIAJES'!$A$2:$B$24,2,FALSE),"")</f>
        <v/>
      </c>
      <c r="U1761" t="str">
        <f>IFERROR(VLOOKUP(I1761,'VALORES VIAJES'!$A$2:$B$24,2,FALSE),"")</f>
        <v/>
      </c>
      <c r="V1761" t="str">
        <f>IFERROR(VLOOKUP(K1761,'VALORES VIAJES'!$A$2:$B$24,2,FALSE),"")</f>
        <v/>
      </c>
      <c r="X1761" s="208">
        <f>SUM(Hoja1[[#This Row],[$ X TIP VEHICUL]:[AGREGADO]])</f>
        <v>0</v>
      </c>
    </row>
    <row r="1762" spans="2:24" hidden="1" x14ac:dyDescent="0.25">
      <c r="B1762" s="189"/>
      <c r="J1762" s="189"/>
      <c r="M1762" s="205"/>
      <c r="S1762" t="str">
        <f>IFERROR(VLOOKUP(E1762,'VALORES VIAJES'!$A$2:$B$13,2,FALSE),"")</f>
        <v/>
      </c>
      <c r="T1762" t="str">
        <f>IFERROR(VLOOKUP(H1762,'VALORES VIAJES'!$A$2:$B$24,2,FALSE),"")</f>
        <v/>
      </c>
      <c r="U1762" t="str">
        <f>IFERROR(VLOOKUP(I1762,'VALORES VIAJES'!$A$2:$B$24,2,FALSE),"")</f>
        <v/>
      </c>
      <c r="V1762" t="str">
        <f>IFERROR(VLOOKUP(K1762,'VALORES VIAJES'!$A$2:$B$24,2,FALSE),"")</f>
        <v/>
      </c>
      <c r="X1762" s="208">
        <f>SUM(Hoja1[[#This Row],[$ X TIP VEHICUL]:[AGREGADO]])</f>
        <v>0</v>
      </c>
    </row>
    <row r="1763" spans="2:24" hidden="1" x14ac:dyDescent="0.25">
      <c r="B1763" s="189"/>
      <c r="J1763" s="189"/>
      <c r="M1763" s="205"/>
      <c r="S1763" t="str">
        <f>IFERROR(VLOOKUP(E1763,'VALORES VIAJES'!$A$2:$B$13,2,FALSE),"")</f>
        <v/>
      </c>
      <c r="T1763" t="str">
        <f>IFERROR(VLOOKUP(H1763,'VALORES VIAJES'!$A$2:$B$24,2,FALSE),"")</f>
        <v/>
      </c>
      <c r="U1763" t="str">
        <f>IFERROR(VLOOKUP(I1763,'VALORES VIAJES'!$A$2:$B$24,2,FALSE),"")</f>
        <v/>
      </c>
      <c r="V1763" t="str">
        <f>IFERROR(VLOOKUP(K1763,'VALORES VIAJES'!$A$2:$B$24,2,FALSE),"")</f>
        <v/>
      </c>
      <c r="X1763" s="208">
        <f>SUM(Hoja1[[#This Row],[$ X TIP VEHICUL]:[AGREGADO]])</f>
        <v>0</v>
      </c>
    </row>
    <row r="1764" spans="2:24" hidden="1" x14ac:dyDescent="0.25">
      <c r="B1764" s="189"/>
      <c r="J1764" s="189"/>
      <c r="M1764" s="205"/>
      <c r="S1764" t="str">
        <f>IFERROR(VLOOKUP(E1764,'VALORES VIAJES'!$A$2:$B$13,2,FALSE),"")</f>
        <v/>
      </c>
      <c r="T1764" t="str">
        <f>IFERROR(VLOOKUP(H1764,'VALORES VIAJES'!$A$2:$B$24,2,FALSE),"")</f>
        <v/>
      </c>
      <c r="U1764" t="str">
        <f>IFERROR(VLOOKUP(I1764,'VALORES VIAJES'!$A$2:$B$24,2,FALSE),"")</f>
        <v/>
      </c>
      <c r="V1764" t="str">
        <f>IFERROR(VLOOKUP(K1764,'VALORES VIAJES'!$A$2:$B$24,2,FALSE),"")</f>
        <v/>
      </c>
      <c r="X1764" s="208">
        <f>SUM(Hoja1[[#This Row],[$ X TIP VEHICUL]:[AGREGADO]])</f>
        <v>0</v>
      </c>
    </row>
    <row r="1765" spans="2:24" hidden="1" x14ac:dyDescent="0.25">
      <c r="B1765" s="189"/>
      <c r="J1765" s="189"/>
      <c r="M1765" s="205"/>
      <c r="S1765" t="str">
        <f>IFERROR(VLOOKUP(E1765,'VALORES VIAJES'!$A$2:$B$13,2,FALSE),"")</f>
        <v/>
      </c>
      <c r="T1765" t="str">
        <f>IFERROR(VLOOKUP(H1765,'VALORES VIAJES'!$A$2:$B$24,2,FALSE),"")</f>
        <v/>
      </c>
      <c r="U1765" t="str">
        <f>IFERROR(VLOOKUP(I1765,'VALORES VIAJES'!$A$2:$B$24,2,FALSE),"")</f>
        <v/>
      </c>
      <c r="V1765" t="str">
        <f>IFERROR(VLOOKUP(K1765,'VALORES VIAJES'!$A$2:$B$24,2,FALSE),"")</f>
        <v/>
      </c>
      <c r="X1765" s="208">
        <f>SUM(Hoja1[[#This Row],[$ X TIP VEHICUL]:[AGREGADO]])</f>
        <v>0</v>
      </c>
    </row>
    <row r="1766" spans="2:24" hidden="1" x14ac:dyDescent="0.25">
      <c r="B1766" s="189"/>
      <c r="J1766" s="189"/>
      <c r="M1766" s="205"/>
      <c r="S1766" t="str">
        <f>IFERROR(VLOOKUP(E1766,'VALORES VIAJES'!$A$2:$B$13,2,FALSE),"")</f>
        <v/>
      </c>
      <c r="T1766" t="str">
        <f>IFERROR(VLOOKUP(H1766,'VALORES VIAJES'!$A$2:$B$24,2,FALSE),"")</f>
        <v/>
      </c>
      <c r="U1766" t="str">
        <f>IFERROR(VLOOKUP(I1766,'VALORES VIAJES'!$A$2:$B$24,2,FALSE),"")</f>
        <v/>
      </c>
      <c r="V1766" t="str">
        <f>IFERROR(VLOOKUP(K1766,'VALORES VIAJES'!$A$2:$B$24,2,FALSE),"")</f>
        <v/>
      </c>
      <c r="X1766" s="208">
        <f>SUM(Hoja1[[#This Row],[$ X TIP VEHICUL]:[AGREGADO]])</f>
        <v>0</v>
      </c>
    </row>
    <row r="1767" spans="2:24" hidden="1" x14ac:dyDescent="0.25">
      <c r="B1767" s="189"/>
      <c r="J1767" s="189"/>
      <c r="M1767" s="205"/>
      <c r="S1767" t="str">
        <f>IFERROR(VLOOKUP(E1767,'VALORES VIAJES'!$A$2:$B$13,2,FALSE),"")</f>
        <v/>
      </c>
      <c r="T1767" t="str">
        <f>IFERROR(VLOOKUP(H1767,'VALORES VIAJES'!$A$2:$B$24,2,FALSE),"")</f>
        <v/>
      </c>
      <c r="U1767" t="str">
        <f>IFERROR(VLOOKUP(I1767,'VALORES VIAJES'!$A$2:$B$24,2,FALSE),"")</f>
        <v/>
      </c>
      <c r="V1767" t="str">
        <f>IFERROR(VLOOKUP(K1767,'VALORES VIAJES'!$A$2:$B$24,2,FALSE),"")</f>
        <v/>
      </c>
      <c r="X1767" s="208">
        <f>SUM(Hoja1[[#This Row],[$ X TIP VEHICUL]:[AGREGADO]])</f>
        <v>0</v>
      </c>
    </row>
    <row r="1768" spans="2:24" hidden="1" x14ac:dyDescent="0.25">
      <c r="B1768" s="189"/>
      <c r="J1768" s="189"/>
      <c r="M1768" s="205"/>
      <c r="S1768" t="str">
        <f>IFERROR(VLOOKUP(E1768,'VALORES VIAJES'!$A$2:$B$13,2,FALSE),"")</f>
        <v/>
      </c>
      <c r="T1768" t="str">
        <f>IFERROR(VLOOKUP(H1768,'VALORES VIAJES'!$A$2:$B$24,2,FALSE),"")</f>
        <v/>
      </c>
      <c r="U1768" t="str">
        <f>IFERROR(VLOOKUP(I1768,'VALORES VIAJES'!$A$2:$B$24,2,FALSE),"")</f>
        <v/>
      </c>
      <c r="V1768" t="str">
        <f>IFERROR(VLOOKUP(K1768,'VALORES VIAJES'!$A$2:$B$24,2,FALSE),"")</f>
        <v/>
      </c>
      <c r="X1768" s="208">
        <f>SUM(Hoja1[[#This Row],[$ X TIP VEHICUL]:[AGREGADO]])</f>
        <v>0</v>
      </c>
    </row>
    <row r="1769" spans="2:24" hidden="1" x14ac:dyDescent="0.25">
      <c r="B1769" s="189"/>
      <c r="J1769" s="189"/>
      <c r="M1769" s="205"/>
      <c r="S1769" t="str">
        <f>IFERROR(VLOOKUP(E1769,'VALORES VIAJES'!$A$2:$B$13,2,FALSE),"")</f>
        <v/>
      </c>
      <c r="T1769" t="str">
        <f>IFERROR(VLOOKUP(H1769,'VALORES VIAJES'!$A$2:$B$24,2,FALSE),"")</f>
        <v/>
      </c>
      <c r="U1769" t="str">
        <f>IFERROR(VLOOKUP(I1769,'VALORES VIAJES'!$A$2:$B$24,2,FALSE),"")</f>
        <v/>
      </c>
      <c r="V1769" t="str">
        <f>IFERROR(VLOOKUP(K1769,'VALORES VIAJES'!$A$2:$B$24,2,FALSE),"")</f>
        <v/>
      </c>
      <c r="X1769" s="208">
        <f>SUM(Hoja1[[#This Row],[$ X TIP VEHICUL]:[AGREGADO]])</f>
        <v>0</v>
      </c>
    </row>
    <row r="1770" spans="2:24" hidden="1" x14ac:dyDescent="0.25">
      <c r="B1770" s="189"/>
      <c r="J1770" s="189"/>
      <c r="M1770" s="205"/>
      <c r="S1770" t="str">
        <f>IFERROR(VLOOKUP(E1770,'VALORES VIAJES'!$A$2:$B$13,2,FALSE),"")</f>
        <v/>
      </c>
      <c r="T1770" t="str">
        <f>IFERROR(VLOOKUP(H1770,'VALORES VIAJES'!$A$2:$B$24,2,FALSE),"")</f>
        <v/>
      </c>
      <c r="U1770" t="str">
        <f>IFERROR(VLOOKUP(I1770,'VALORES VIAJES'!$A$2:$B$24,2,FALSE),"")</f>
        <v/>
      </c>
      <c r="V1770" t="str">
        <f>IFERROR(VLOOKUP(K1770,'VALORES VIAJES'!$A$2:$B$24,2,FALSE),"")</f>
        <v/>
      </c>
      <c r="X1770" s="208">
        <f>SUM(Hoja1[[#This Row],[$ X TIP VEHICUL]:[AGREGADO]])</f>
        <v>0</v>
      </c>
    </row>
    <row r="1771" spans="2:24" hidden="1" x14ac:dyDescent="0.25">
      <c r="B1771" s="189"/>
      <c r="J1771" s="189"/>
      <c r="M1771" s="205"/>
      <c r="S1771" t="str">
        <f>IFERROR(VLOOKUP(E1771,'VALORES VIAJES'!$A$2:$B$13,2,FALSE),"")</f>
        <v/>
      </c>
      <c r="T1771" t="str">
        <f>IFERROR(VLOOKUP(H1771,'VALORES VIAJES'!$A$2:$B$24,2,FALSE),"")</f>
        <v/>
      </c>
      <c r="U1771" t="str">
        <f>IFERROR(VLOOKUP(I1771,'VALORES VIAJES'!$A$2:$B$24,2,FALSE),"")</f>
        <v/>
      </c>
      <c r="V1771" t="str">
        <f>IFERROR(VLOOKUP(K1771,'VALORES VIAJES'!$A$2:$B$24,2,FALSE),"")</f>
        <v/>
      </c>
      <c r="X1771" s="208">
        <f>SUM(Hoja1[[#This Row],[$ X TIP VEHICUL]:[AGREGADO]])</f>
        <v>0</v>
      </c>
    </row>
    <row r="1772" spans="2:24" hidden="1" x14ac:dyDescent="0.25">
      <c r="B1772" s="189"/>
      <c r="J1772" s="189"/>
      <c r="M1772" s="205"/>
      <c r="S1772" t="str">
        <f>IFERROR(VLOOKUP(E1772,'VALORES VIAJES'!$A$2:$B$13,2,FALSE),"")</f>
        <v/>
      </c>
      <c r="T1772" t="str">
        <f>IFERROR(VLOOKUP(H1772,'VALORES VIAJES'!$A$2:$B$24,2,FALSE),"")</f>
        <v/>
      </c>
      <c r="U1772" t="str">
        <f>IFERROR(VLOOKUP(I1772,'VALORES VIAJES'!$A$2:$B$24,2,FALSE),"")</f>
        <v/>
      </c>
      <c r="V1772" t="str">
        <f>IFERROR(VLOOKUP(K1772,'VALORES VIAJES'!$A$2:$B$24,2,FALSE),"")</f>
        <v/>
      </c>
      <c r="X1772" s="208">
        <f>SUM(Hoja1[[#This Row],[$ X TIP VEHICUL]:[AGREGADO]])</f>
        <v>0</v>
      </c>
    </row>
    <row r="1773" spans="2:24" hidden="1" x14ac:dyDescent="0.25">
      <c r="B1773" s="189"/>
      <c r="J1773" s="189"/>
      <c r="M1773" s="205"/>
      <c r="S1773" t="str">
        <f>IFERROR(VLOOKUP(E1773,'VALORES VIAJES'!$A$2:$B$13,2,FALSE),"")</f>
        <v/>
      </c>
      <c r="T1773" t="str">
        <f>IFERROR(VLOOKUP(H1773,'VALORES VIAJES'!$A$2:$B$24,2,FALSE),"")</f>
        <v/>
      </c>
      <c r="U1773" t="str">
        <f>IFERROR(VLOOKUP(I1773,'VALORES VIAJES'!$A$2:$B$24,2,FALSE),"")</f>
        <v/>
      </c>
      <c r="V1773" t="str">
        <f>IFERROR(VLOOKUP(K1773,'VALORES VIAJES'!$A$2:$B$24,2,FALSE),"")</f>
        <v/>
      </c>
      <c r="X1773" s="208">
        <f>SUM(Hoja1[[#This Row],[$ X TIP VEHICUL]:[AGREGADO]])</f>
        <v>0</v>
      </c>
    </row>
    <row r="1774" spans="2:24" hidden="1" x14ac:dyDescent="0.25">
      <c r="B1774" s="189"/>
      <c r="J1774" s="189"/>
      <c r="M1774" s="205"/>
      <c r="S1774" t="str">
        <f>IFERROR(VLOOKUP(E1774,'VALORES VIAJES'!$A$2:$B$13,2,FALSE),"")</f>
        <v/>
      </c>
      <c r="T1774" t="str">
        <f>IFERROR(VLOOKUP(H1774,'VALORES VIAJES'!$A$2:$B$24,2,FALSE),"")</f>
        <v/>
      </c>
      <c r="U1774" t="str">
        <f>IFERROR(VLOOKUP(I1774,'VALORES VIAJES'!$A$2:$B$24,2,FALSE),"")</f>
        <v/>
      </c>
      <c r="V1774" t="str">
        <f>IFERROR(VLOOKUP(K1774,'VALORES VIAJES'!$A$2:$B$24,2,FALSE),"")</f>
        <v/>
      </c>
      <c r="X1774" s="208">
        <f>SUM(Hoja1[[#This Row],[$ X TIP VEHICUL]:[AGREGADO]])</f>
        <v>0</v>
      </c>
    </row>
    <row r="1775" spans="2:24" hidden="1" x14ac:dyDescent="0.25">
      <c r="B1775" s="189"/>
      <c r="J1775" s="189"/>
      <c r="M1775" s="205"/>
      <c r="S1775" t="str">
        <f>IFERROR(VLOOKUP(E1775,'VALORES VIAJES'!$A$2:$B$13,2,FALSE),"")</f>
        <v/>
      </c>
      <c r="T1775" t="str">
        <f>IFERROR(VLOOKUP(H1775,'VALORES VIAJES'!$A$2:$B$24,2,FALSE),"")</f>
        <v/>
      </c>
      <c r="U1775" t="str">
        <f>IFERROR(VLOOKUP(I1775,'VALORES VIAJES'!$A$2:$B$24,2,FALSE),"")</f>
        <v/>
      </c>
      <c r="V1775" t="str">
        <f>IFERROR(VLOOKUP(K1775,'VALORES VIAJES'!$A$2:$B$24,2,FALSE),"")</f>
        <v/>
      </c>
      <c r="X1775" s="208">
        <f>SUM(Hoja1[[#This Row],[$ X TIP VEHICUL]:[AGREGADO]])</f>
        <v>0</v>
      </c>
    </row>
    <row r="1776" spans="2:24" hidden="1" x14ac:dyDescent="0.25">
      <c r="B1776" s="189"/>
      <c r="J1776" s="189"/>
      <c r="M1776" s="205"/>
      <c r="S1776" t="str">
        <f>IFERROR(VLOOKUP(E1776,'VALORES VIAJES'!$A$2:$B$13,2,FALSE),"")</f>
        <v/>
      </c>
      <c r="T1776" t="str">
        <f>IFERROR(VLOOKUP(H1776,'VALORES VIAJES'!$A$2:$B$24,2,FALSE),"")</f>
        <v/>
      </c>
      <c r="U1776" t="str">
        <f>IFERROR(VLOOKUP(I1776,'VALORES VIAJES'!$A$2:$B$24,2,FALSE),"")</f>
        <v/>
      </c>
      <c r="V1776" t="str">
        <f>IFERROR(VLOOKUP(K1776,'VALORES VIAJES'!$A$2:$B$24,2,FALSE),"")</f>
        <v/>
      </c>
      <c r="X1776" s="208">
        <f>SUM(Hoja1[[#This Row],[$ X TIP VEHICUL]:[AGREGADO]])</f>
        <v>0</v>
      </c>
    </row>
    <row r="1777" spans="2:24" hidden="1" x14ac:dyDescent="0.25">
      <c r="B1777" s="189"/>
      <c r="J1777" s="189"/>
      <c r="M1777" s="205"/>
      <c r="S1777" t="str">
        <f>IFERROR(VLOOKUP(E1777,'VALORES VIAJES'!$A$2:$B$13,2,FALSE),"")</f>
        <v/>
      </c>
      <c r="T1777" t="str">
        <f>IFERROR(VLOOKUP(H1777,'VALORES VIAJES'!$A$2:$B$24,2,FALSE),"")</f>
        <v/>
      </c>
      <c r="U1777" t="str">
        <f>IFERROR(VLOOKUP(I1777,'VALORES VIAJES'!$A$2:$B$24,2,FALSE),"")</f>
        <v/>
      </c>
      <c r="V1777" t="str">
        <f>IFERROR(VLOOKUP(K1777,'VALORES VIAJES'!$A$2:$B$24,2,FALSE),"")</f>
        <v/>
      </c>
      <c r="X1777" s="208">
        <f>SUM(Hoja1[[#This Row],[$ X TIP VEHICUL]:[AGREGADO]])</f>
        <v>0</v>
      </c>
    </row>
    <row r="1778" spans="2:24" hidden="1" x14ac:dyDescent="0.25">
      <c r="B1778" s="189"/>
      <c r="J1778" s="189"/>
      <c r="M1778" s="205"/>
      <c r="S1778" t="str">
        <f>IFERROR(VLOOKUP(E1778,'VALORES VIAJES'!$A$2:$B$13,2,FALSE),"")</f>
        <v/>
      </c>
      <c r="T1778" t="str">
        <f>IFERROR(VLOOKUP(H1778,'VALORES VIAJES'!$A$2:$B$24,2,FALSE),"")</f>
        <v/>
      </c>
      <c r="U1778" t="str">
        <f>IFERROR(VLOOKUP(I1778,'VALORES VIAJES'!$A$2:$B$24,2,FALSE),"")</f>
        <v/>
      </c>
      <c r="V1778" t="str">
        <f>IFERROR(VLOOKUP(K1778,'VALORES VIAJES'!$A$2:$B$24,2,FALSE),"")</f>
        <v/>
      </c>
      <c r="X1778" s="208">
        <f>SUM(Hoja1[[#This Row],[$ X TIP VEHICUL]:[AGREGADO]])</f>
        <v>0</v>
      </c>
    </row>
    <row r="1779" spans="2:24" hidden="1" x14ac:dyDescent="0.25">
      <c r="B1779" s="189"/>
      <c r="J1779" s="189"/>
      <c r="M1779" s="205"/>
      <c r="S1779" t="str">
        <f>IFERROR(VLOOKUP(E1779,'VALORES VIAJES'!$A$2:$B$13,2,FALSE),"")</f>
        <v/>
      </c>
      <c r="T1779" t="str">
        <f>IFERROR(VLOOKUP(H1779,'VALORES VIAJES'!$A$2:$B$24,2,FALSE),"")</f>
        <v/>
      </c>
      <c r="U1779" t="str">
        <f>IFERROR(VLOOKUP(I1779,'VALORES VIAJES'!$A$2:$B$24,2,FALSE),"")</f>
        <v/>
      </c>
      <c r="V1779" t="str">
        <f>IFERROR(VLOOKUP(K1779,'VALORES VIAJES'!$A$2:$B$24,2,FALSE),"")</f>
        <v/>
      </c>
      <c r="X1779" s="208">
        <f>SUM(Hoja1[[#This Row],[$ X TIP VEHICUL]:[AGREGADO]])</f>
        <v>0</v>
      </c>
    </row>
    <row r="1780" spans="2:24" hidden="1" x14ac:dyDescent="0.25">
      <c r="B1780" s="189"/>
      <c r="J1780" s="189"/>
      <c r="M1780" s="205"/>
      <c r="S1780" t="str">
        <f>IFERROR(VLOOKUP(E1780,'VALORES VIAJES'!$A$2:$B$13,2,FALSE),"")</f>
        <v/>
      </c>
      <c r="T1780" t="str">
        <f>IFERROR(VLOOKUP(H1780,'VALORES VIAJES'!$A$2:$B$24,2,FALSE),"")</f>
        <v/>
      </c>
      <c r="U1780" t="str">
        <f>IFERROR(VLOOKUP(I1780,'VALORES VIAJES'!$A$2:$B$24,2,FALSE),"")</f>
        <v/>
      </c>
      <c r="V1780" t="str">
        <f>IFERROR(VLOOKUP(K1780,'VALORES VIAJES'!$A$2:$B$24,2,FALSE),"")</f>
        <v/>
      </c>
      <c r="X1780" s="208">
        <f>SUM(Hoja1[[#This Row],[$ X TIP VEHICUL]:[AGREGADO]])</f>
        <v>0</v>
      </c>
    </row>
    <row r="1781" spans="2:24" hidden="1" x14ac:dyDescent="0.25">
      <c r="B1781" s="189"/>
      <c r="J1781" s="189"/>
      <c r="M1781" s="205"/>
      <c r="S1781" t="str">
        <f>IFERROR(VLOOKUP(E1781,'VALORES VIAJES'!$A$2:$B$13,2,FALSE),"")</f>
        <v/>
      </c>
      <c r="T1781" t="str">
        <f>IFERROR(VLOOKUP(H1781,'VALORES VIAJES'!$A$2:$B$24,2,FALSE),"")</f>
        <v/>
      </c>
      <c r="U1781" t="str">
        <f>IFERROR(VLOOKUP(I1781,'VALORES VIAJES'!$A$2:$B$24,2,FALSE),"")</f>
        <v/>
      </c>
      <c r="V1781" t="str">
        <f>IFERROR(VLOOKUP(K1781,'VALORES VIAJES'!$A$2:$B$24,2,FALSE),"")</f>
        <v/>
      </c>
      <c r="X1781" s="208">
        <f>SUM(Hoja1[[#This Row],[$ X TIP VEHICUL]:[AGREGADO]])</f>
        <v>0</v>
      </c>
    </row>
    <row r="1782" spans="2:24" hidden="1" x14ac:dyDescent="0.25">
      <c r="B1782" s="189"/>
      <c r="J1782" s="189"/>
      <c r="M1782" s="205"/>
      <c r="S1782" t="str">
        <f>IFERROR(VLOOKUP(E1782,'VALORES VIAJES'!$A$2:$B$13,2,FALSE),"")</f>
        <v/>
      </c>
      <c r="T1782" t="str">
        <f>IFERROR(VLOOKUP(H1782,'VALORES VIAJES'!$A$2:$B$24,2,FALSE),"")</f>
        <v/>
      </c>
      <c r="U1782" t="str">
        <f>IFERROR(VLOOKUP(I1782,'VALORES VIAJES'!$A$2:$B$24,2,FALSE),"")</f>
        <v/>
      </c>
      <c r="V1782" t="str">
        <f>IFERROR(VLOOKUP(K1782,'VALORES VIAJES'!$A$2:$B$24,2,FALSE),"")</f>
        <v/>
      </c>
      <c r="X1782" s="208">
        <f>SUM(Hoja1[[#This Row],[$ X TIP VEHICUL]:[AGREGADO]])</f>
        <v>0</v>
      </c>
    </row>
    <row r="1783" spans="2:24" hidden="1" x14ac:dyDescent="0.25">
      <c r="B1783" s="189"/>
      <c r="J1783" s="189"/>
      <c r="M1783" s="205"/>
      <c r="S1783" t="str">
        <f>IFERROR(VLOOKUP(E1783,'VALORES VIAJES'!$A$2:$B$13,2,FALSE),"")</f>
        <v/>
      </c>
      <c r="T1783" t="str">
        <f>IFERROR(VLOOKUP(H1783,'VALORES VIAJES'!$A$2:$B$24,2,FALSE),"")</f>
        <v/>
      </c>
      <c r="U1783" t="str">
        <f>IFERROR(VLOOKUP(I1783,'VALORES VIAJES'!$A$2:$B$24,2,FALSE),"")</f>
        <v/>
      </c>
      <c r="V1783" t="str">
        <f>IFERROR(VLOOKUP(K1783,'VALORES VIAJES'!$A$2:$B$24,2,FALSE),"")</f>
        <v/>
      </c>
      <c r="X1783" s="208">
        <f>SUM(Hoja1[[#This Row],[$ X TIP VEHICUL]:[AGREGADO]])</f>
        <v>0</v>
      </c>
    </row>
    <row r="1784" spans="2:24" hidden="1" x14ac:dyDescent="0.25">
      <c r="B1784" s="189"/>
      <c r="J1784" s="189"/>
      <c r="M1784" s="205"/>
      <c r="S1784" t="str">
        <f>IFERROR(VLOOKUP(E1784,'VALORES VIAJES'!$A$2:$B$13,2,FALSE),"")</f>
        <v/>
      </c>
      <c r="T1784" t="str">
        <f>IFERROR(VLOOKUP(H1784,'VALORES VIAJES'!$A$2:$B$24,2,FALSE),"")</f>
        <v/>
      </c>
      <c r="U1784" t="str">
        <f>IFERROR(VLOOKUP(I1784,'VALORES VIAJES'!$A$2:$B$24,2,FALSE),"")</f>
        <v/>
      </c>
      <c r="V1784" t="str">
        <f>IFERROR(VLOOKUP(K1784,'VALORES VIAJES'!$A$2:$B$24,2,FALSE),"")</f>
        <v/>
      </c>
      <c r="X1784" s="208">
        <f>SUM(Hoja1[[#This Row],[$ X TIP VEHICUL]:[AGREGADO]])</f>
        <v>0</v>
      </c>
    </row>
    <row r="1785" spans="2:24" hidden="1" x14ac:dyDescent="0.25">
      <c r="B1785" s="189"/>
      <c r="J1785" s="189"/>
      <c r="M1785" s="205"/>
      <c r="S1785" t="str">
        <f>IFERROR(VLOOKUP(E1785,'VALORES VIAJES'!$A$2:$B$13,2,FALSE),"")</f>
        <v/>
      </c>
      <c r="T1785" t="str">
        <f>IFERROR(VLOOKUP(H1785,'VALORES VIAJES'!$A$2:$B$24,2,FALSE),"")</f>
        <v/>
      </c>
      <c r="U1785" t="str">
        <f>IFERROR(VLOOKUP(I1785,'VALORES VIAJES'!$A$2:$B$24,2,FALSE),"")</f>
        <v/>
      </c>
      <c r="V1785" t="str">
        <f>IFERROR(VLOOKUP(K1785,'VALORES VIAJES'!$A$2:$B$24,2,FALSE),"")</f>
        <v/>
      </c>
      <c r="X1785" s="208">
        <f>SUM(Hoja1[[#This Row],[$ X TIP VEHICUL]:[AGREGADO]])</f>
        <v>0</v>
      </c>
    </row>
    <row r="1786" spans="2:24" hidden="1" x14ac:dyDescent="0.25">
      <c r="B1786" s="189"/>
      <c r="J1786" s="189"/>
      <c r="M1786" s="205"/>
      <c r="S1786" t="str">
        <f>IFERROR(VLOOKUP(E1786,'VALORES VIAJES'!$A$2:$B$13,2,FALSE),"")</f>
        <v/>
      </c>
      <c r="T1786" t="str">
        <f>IFERROR(VLOOKUP(H1786,'VALORES VIAJES'!$A$2:$B$24,2,FALSE),"")</f>
        <v/>
      </c>
      <c r="U1786" t="str">
        <f>IFERROR(VLOOKUP(I1786,'VALORES VIAJES'!$A$2:$B$24,2,FALSE),"")</f>
        <v/>
      </c>
      <c r="V1786" t="str">
        <f>IFERROR(VLOOKUP(K1786,'VALORES VIAJES'!$A$2:$B$24,2,FALSE),"")</f>
        <v/>
      </c>
      <c r="X1786" s="208">
        <f>SUM(Hoja1[[#This Row],[$ X TIP VEHICUL]:[AGREGADO]])</f>
        <v>0</v>
      </c>
    </row>
    <row r="1787" spans="2:24" hidden="1" x14ac:dyDescent="0.25">
      <c r="B1787" s="189"/>
      <c r="J1787" s="189"/>
      <c r="M1787" s="205"/>
      <c r="S1787" t="str">
        <f>IFERROR(VLOOKUP(E1787,'VALORES VIAJES'!$A$2:$B$13,2,FALSE),"")</f>
        <v/>
      </c>
      <c r="T1787" t="str">
        <f>IFERROR(VLOOKUP(H1787,'VALORES VIAJES'!$A$2:$B$24,2,FALSE),"")</f>
        <v/>
      </c>
      <c r="U1787" t="str">
        <f>IFERROR(VLOOKUP(I1787,'VALORES VIAJES'!$A$2:$B$24,2,FALSE),"")</f>
        <v/>
      </c>
      <c r="V1787" t="str">
        <f>IFERROR(VLOOKUP(K1787,'VALORES VIAJES'!$A$2:$B$24,2,FALSE),"")</f>
        <v/>
      </c>
      <c r="X1787" s="208">
        <f>SUM(Hoja1[[#This Row],[$ X TIP VEHICUL]:[AGREGADO]])</f>
        <v>0</v>
      </c>
    </row>
    <row r="1788" spans="2:24" hidden="1" x14ac:dyDescent="0.25">
      <c r="B1788" s="189"/>
      <c r="J1788" s="189"/>
      <c r="M1788" s="205"/>
      <c r="S1788" t="str">
        <f>IFERROR(VLOOKUP(E1788,'VALORES VIAJES'!$A$2:$B$13,2,FALSE),"")</f>
        <v/>
      </c>
      <c r="T1788" t="str">
        <f>IFERROR(VLOOKUP(H1788,'VALORES VIAJES'!$A$2:$B$24,2,FALSE),"")</f>
        <v/>
      </c>
      <c r="U1788" t="str">
        <f>IFERROR(VLOOKUP(I1788,'VALORES VIAJES'!$A$2:$B$24,2,FALSE),"")</f>
        <v/>
      </c>
      <c r="V1788" t="str">
        <f>IFERROR(VLOOKUP(K1788,'VALORES VIAJES'!$A$2:$B$24,2,FALSE),"")</f>
        <v/>
      </c>
      <c r="X1788" s="208">
        <f>SUM(Hoja1[[#This Row],[$ X TIP VEHICUL]:[AGREGADO]])</f>
        <v>0</v>
      </c>
    </row>
    <row r="1789" spans="2:24" hidden="1" x14ac:dyDescent="0.25">
      <c r="B1789" s="189"/>
      <c r="J1789" s="189"/>
      <c r="M1789" s="205"/>
      <c r="S1789" t="str">
        <f>IFERROR(VLOOKUP(E1789,'VALORES VIAJES'!$A$2:$B$13,2,FALSE),"")</f>
        <v/>
      </c>
      <c r="T1789" t="str">
        <f>IFERROR(VLOOKUP(H1789,'VALORES VIAJES'!$A$2:$B$24,2,FALSE),"")</f>
        <v/>
      </c>
      <c r="U1789" t="str">
        <f>IFERROR(VLOOKUP(I1789,'VALORES VIAJES'!$A$2:$B$24,2,FALSE),"")</f>
        <v/>
      </c>
      <c r="V1789" t="str">
        <f>IFERROR(VLOOKUP(K1789,'VALORES VIAJES'!$A$2:$B$24,2,FALSE),"")</f>
        <v/>
      </c>
      <c r="X1789" s="208">
        <f>SUM(Hoja1[[#This Row],[$ X TIP VEHICUL]:[AGREGADO]])</f>
        <v>0</v>
      </c>
    </row>
    <row r="1790" spans="2:24" hidden="1" x14ac:dyDescent="0.25">
      <c r="B1790" s="189"/>
      <c r="J1790" s="189"/>
      <c r="M1790" s="205"/>
      <c r="S1790" t="str">
        <f>IFERROR(VLOOKUP(E1790,'VALORES VIAJES'!$A$2:$B$13,2,FALSE),"")</f>
        <v/>
      </c>
      <c r="T1790" t="str">
        <f>IFERROR(VLOOKUP(H1790,'VALORES VIAJES'!$A$2:$B$24,2,FALSE),"")</f>
        <v/>
      </c>
      <c r="U1790" t="str">
        <f>IFERROR(VLOOKUP(I1790,'VALORES VIAJES'!$A$2:$B$24,2,FALSE),"")</f>
        <v/>
      </c>
      <c r="V1790" t="str">
        <f>IFERROR(VLOOKUP(K1790,'VALORES VIAJES'!$A$2:$B$24,2,FALSE),"")</f>
        <v/>
      </c>
      <c r="X1790" s="208">
        <f>SUM(Hoja1[[#This Row],[$ X TIP VEHICUL]:[AGREGADO]])</f>
        <v>0</v>
      </c>
    </row>
    <row r="1791" spans="2:24" hidden="1" x14ac:dyDescent="0.25">
      <c r="B1791" s="189"/>
      <c r="J1791" s="189"/>
      <c r="M1791" s="205"/>
      <c r="S1791" t="str">
        <f>IFERROR(VLOOKUP(E1791,'VALORES VIAJES'!$A$2:$B$13,2,FALSE),"")</f>
        <v/>
      </c>
      <c r="T1791" t="str">
        <f>IFERROR(VLOOKUP(H1791,'VALORES VIAJES'!$A$2:$B$24,2,FALSE),"")</f>
        <v/>
      </c>
      <c r="U1791" t="str">
        <f>IFERROR(VLOOKUP(I1791,'VALORES VIAJES'!$A$2:$B$24,2,FALSE),"")</f>
        <v/>
      </c>
      <c r="V1791" t="str">
        <f>IFERROR(VLOOKUP(K1791,'VALORES VIAJES'!$A$2:$B$24,2,FALSE),"")</f>
        <v/>
      </c>
      <c r="X1791" s="208">
        <f>SUM(Hoja1[[#This Row],[$ X TIP VEHICUL]:[AGREGADO]])</f>
        <v>0</v>
      </c>
    </row>
    <row r="1792" spans="2:24" hidden="1" x14ac:dyDescent="0.25">
      <c r="B1792" s="189"/>
      <c r="J1792" s="189"/>
      <c r="M1792" s="205"/>
      <c r="S1792" t="str">
        <f>IFERROR(VLOOKUP(E1792,'VALORES VIAJES'!$A$2:$B$13,2,FALSE),"")</f>
        <v/>
      </c>
      <c r="T1792" t="str">
        <f>IFERROR(VLOOKUP(H1792,'VALORES VIAJES'!$A$2:$B$24,2,FALSE),"")</f>
        <v/>
      </c>
      <c r="U1792" t="str">
        <f>IFERROR(VLOOKUP(I1792,'VALORES VIAJES'!$A$2:$B$24,2,FALSE),"")</f>
        <v/>
      </c>
      <c r="V1792" t="str">
        <f>IFERROR(VLOOKUP(K1792,'VALORES VIAJES'!$A$2:$B$24,2,FALSE),"")</f>
        <v/>
      </c>
      <c r="X1792" s="208">
        <f>SUM(Hoja1[[#This Row],[$ X TIP VEHICUL]:[AGREGADO]])</f>
        <v>0</v>
      </c>
    </row>
    <row r="1793" spans="2:24" hidden="1" x14ac:dyDescent="0.25">
      <c r="B1793" s="189"/>
      <c r="J1793" s="189"/>
      <c r="M1793" s="205"/>
      <c r="S1793" t="str">
        <f>IFERROR(VLOOKUP(E1793,'VALORES VIAJES'!$A$2:$B$13,2,FALSE),"")</f>
        <v/>
      </c>
      <c r="T1793" t="str">
        <f>IFERROR(VLOOKUP(H1793,'VALORES VIAJES'!$A$2:$B$24,2,FALSE),"")</f>
        <v/>
      </c>
      <c r="U1793" t="str">
        <f>IFERROR(VLOOKUP(I1793,'VALORES VIAJES'!$A$2:$B$24,2,FALSE),"")</f>
        <v/>
      </c>
      <c r="V1793" t="str">
        <f>IFERROR(VLOOKUP(K1793,'VALORES VIAJES'!$A$2:$B$24,2,FALSE),"")</f>
        <v/>
      </c>
      <c r="X1793" s="208">
        <f>SUM(Hoja1[[#This Row],[$ X TIP VEHICUL]:[AGREGADO]])</f>
        <v>0</v>
      </c>
    </row>
    <row r="1794" spans="2:24" hidden="1" x14ac:dyDescent="0.25">
      <c r="B1794" s="189"/>
      <c r="J1794" s="189"/>
      <c r="M1794" s="205"/>
      <c r="S1794" t="str">
        <f>IFERROR(VLOOKUP(E1794,'VALORES VIAJES'!$A$2:$B$13,2,FALSE),"")</f>
        <v/>
      </c>
      <c r="T1794" t="str">
        <f>IFERROR(VLOOKUP(H1794,'VALORES VIAJES'!$A$2:$B$24,2,FALSE),"")</f>
        <v/>
      </c>
      <c r="U1794" t="str">
        <f>IFERROR(VLOOKUP(I1794,'VALORES VIAJES'!$A$2:$B$24,2,FALSE),"")</f>
        <v/>
      </c>
      <c r="V1794" t="str">
        <f>IFERROR(VLOOKUP(K1794,'VALORES VIAJES'!$A$2:$B$24,2,FALSE),"")</f>
        <v/>
      </c>
      <c r="X1794" s="208">
        <f>SUM(Hoja1[[#This Row],[$ X TIP VEHICUL]:[AGREGADO]])</f>
        <v>0</v>
      </c>
    </row>
    <row r="1795" spans="2:24" hidden="1" x14ac:dyDescent="0.25">
      <c r="B1795" s="189"/>
      <c r="J1795" s="189"/>
      <c r="M1795" s="205"/>
      <c r="S1795" t="str">
        <f>IFERROR(VLOOKUP(E1795,'VALORES VIAJES'!$A$2:$B$13,2,FALSE),"")</f>
        <v/>
      </c>
      <c r="T1795" t="str">
        <f>IFERROR(VLOOKUP(H1795,'VALORES VIAJES'!$A$2:$B$24,2,FALSE),"")</f>
        <v/>
      </c>
      <c r="U1795" t="str">
        <f>IFERROR(VLOOKUP(I1795,'VALORES VIAJES'!$A$2:$B$24,2,FALSE),"")</f>
        <v/>
      </c>
      <c r="V1795" t="str">
        <f>IFERROR(VLOOKUP(K1795,'VALORES VIAJES'!$A$2:$B$24,2,FALSE),"")</f>
        <v/>
      </c>
      <c r="X1795" s="208">
        <f>SUM(Hoja1[[#This Row],[$ X TIP VEHICUL]:[AGREGADO]])</f>
        <v>0</v>
      </c>
    </row>
    <row r="1796" spans="2:24" hidden="1" x14ac:dyDescent="0.25">
      <c r="B1796" s="189"/>
      <c r="J1796" s="189"/>
      <c r="M1796" s="205"/>
      <c r="S1796" t="str">
        <f>IFERROR(VLOOKUP(E1796,'VALORES VIAJES'!$A$2:$B$13,2,FALSE),"")</f>
        <v/>
      </c>
      <c r="T1796" t="str">
        <f>IFERROR(VLOOKUP(H1796,'VALORES VIAJES'!$A$2:$B$24,2,FALSE),"")</f>
        <v/>
      </c>
      <c r="U1796" t="str">
        <f>IFERROR(VLOOKUP(I1796,'VALORES VIAJES'!$A$2:$B$24,2,FALSE),"")</f>
        <v/>
      </c>
      <c r="V1796" t="str">
        <f>IFERROR(VLOOKUP(K1796,'VALORES VIAJES'!$A$2:$B$24,2,FALSE),"")</f>
        <v/>
      </c>
      <c r="X1796" s="208">
        <f>SUM(Hoja1[[#This Row],[$ X TIP VEHICUL]:[AGREGADO]])</f>
        <v>0</v>
      </c>
    </row>
    <row r="1797" spans="2:24" hidden="1" x14ac:dyDescent="0.25">
      <c r="B1797" s="189"/>
      <c r="J1797" s="189"/>
      <c r="M1797" s="205"/>
      <c r="S1797" t="str">
        <f>IFERROR(VLOOKUP(E1797,'VALORES VIAJES'!$A$2:$B$13,2,FALSE),"")</f>
        <v/>
      </c>
      <c r="T1797" t="str">
        <f>IFERROR(VLOOKUP(H1797,'VALORES VIAJES'!$A$2:$B$24,2,FALSE),"")</f>
        <v/>
      </c>
      <c r="U1797" t="str">
        <f>IFERROR(VLOOKUP(I1797,'VALORES VIAJES'!$A$2:$B$24,2,FALSE),"")</f>
        <v/>
      </c>
      <c r="V1797" t="str">
        <f>IFERROR(VLOOKUP(K1797,'VALORES VIAJES'!$A$2:$B$24,2,FALSE),"")</f>
        <v/>
      </c>
      <c r="X1797" s="208">
        <f>SUM(Hoja1[[#This Row],[$ X TIP VEHICUL]:[AGREGADO]])</f>
        <v>0</v>
      </c>
    </row>
    <row r="1798" spans="2:24" hidden="1" x14ac:dyDescent="0.25">
      <c r="B1798" s="189"/>
      <c r="J1798" s="189"/>
      <c r="M1798" s="205"/>
      <c r="S1798" t="str">
        <f>IFERROR(VLOOKUP(E1798,'VALORES VIAJES'!$A$2:$B$13,2,FALSE),"")</f>
        <v/>
      </c>
      <c r="T1798" t="str">
        <f>IFERROR(VLOOKUP(H1798,'VALORES VIAJES'!$A$2:$B$24,2,FALSE),"")</f>
        <v/>
      </c>
      <c r="U1798" t="str">
        <f>IFERROR(VLOOKUP(I1798,'VALORES VIAJES'!$A$2:$B$24,2,FALSE),"")</f>
        <v/>
      </c>
      <c r="V1798" t="str">
        <f>IFERROR(VLOOKUP(K1798,'VALORES VIAJES'!$A$2:$B$24,2,FALSE),"")</f>
        <v/>
      </c>
      <c r="X1798" s="208">
        <f>SUM(Hoja1[[#This Row],[$ X TIP VEHICUL]:[AGREGADO]])</f>
        <v>0</v>
      </c>
    </row>
    <row r="1799" spans="2:24" hidden="1" x14ac:dyDescent="0.25">
      <c r="B1799" s="189"/>
      <c r="J1799" s="189"/>
      <c r="M1799" s="205"/>
      <c r="S1799" t="str">
        <f>IFERROR(VLOOKUP(E1799,'VALORES VIAJES'!$A$2:$B$13,2,FALSE),"")</f>
        <v/>
      </c>
      <c r="T1799" t="str">
        <f>IFERROR(VLOOKUP(H1799,'VALORES VIAJES'!$A$2:$B$24,2,FALSE),"")</f>
        <v/>
      </c>
      <c r="U1799" t="str">
        <f>IFERROR(VLOOKUP(I1799,'VALORES VIAJES'!$A$2:$B$24,2,FALSE),"")</f>
        <v/>
      </c>
      <c r="V1799" t="str">
        <f>IFERROR(VLOOKUP(K1799,'VALORES VIAJES'!$A$2:$B$24,2,FALSE),"")</f>
        <v/>
      </c>
      <c r="X1799" s="208">
        <f>SUM(Hoja1[[#This Row],[$ X TIP VEHICUL]:[AGREGADO]])</f>
        <v>0</v>
      </c>
    </row>
    <row r="1800" spans="2:24" hidden="1" x14ac:dyDescent="0.25">
      <c r="B1800" s="189"/>
      <c r="J1800" s="189"/>
      <c r="M1800" s="205"/>
      <c r="S1800" t="str">
        <f>IFERROR(VLOOKUP(E1800,'VALORES VIAJES'!$A$2:$B$13,2,FALSE),"")</f>
        <v/>
      </c>
      <c r="T1800" t="str">
        <f>IFERROR(VLOOKUP(H1800,'VALORES VIAJES'!$A$2:$B$24,2,FALSE),"")</f>
        <v/>
      </c>
      <c r="U1800" t="str">
        <f>IFERROR(VLOOKUP(I1800,'VALORES VIAJES'!$A$2:$B$24,2,FALSE),"")</f>
        <v/>
      </c>
      <c r="V1800" t="str">
        <f>IFERROR(VLOOKUP(K1800,'VALORES VIAJES'!$A$2:$B$24,2,FALSE),"")</f>
        <v/>
      </c>
      <c r="X1800" s="208">
        <f>SUM(Hoja1[[#This Row],[$ X TIP VEHICUL]:[AGREGADO]])</f>
        <v>0</v>
      </c>
    </row>
    <row r="1801" spans="2:24" hidden="1" x14ac:dyDescent="0.25">
      <c r="B1801" s="189"/>
      <c r="J1801" s="189"/>
      <c r="M1801" s="205"/>
      <c r="S1801" t="str">
        <f>IFERROR(VLOOKUP(E1801,'VALORES VIAJES'!$A$2:$B$13,2,FALSE),"")</f>
        <v/>
      </c>
      <c r="T1801" t="str">
        <f>IFERROR(VLOOKUP(H1801,'VALORES VIAJES'!$A$2:$B$24,2,FALSE),"")</f>
        <v/>
      </c>
      <c r="U1801" t="str">
        <f>IFERROR(VLOOKUP(I1801,'VALORES VIAJES'!$A$2:$B$24,2,FALSE),"")</f>
        <v/>
      </c>
      <c r="V1801" t="str">
        <f>IFERROR(VLOOKUP(K1801,'VALORES VIAJES'!$A$2:$B$24,2,FALSE),"")</f>
        <v/>
      </c>
      <c r="X1801" s="208">
        <f>SUM(Hoja1[[#This Row],[$ X TIP VEHICUL]:[AGREGADO]])</f>
        <v>0</v>
      </c>
    </row>
    <row r="1802" spans="2:24" hidden="1" x14ac:dyDescent="0.25">
      <c r="B1802" s="189"/>
      <c r="J1802" s="189"/>
      <c r="M1802" s="205"/>
      <c r="S1802" t="str">
        <f>IFERROR(VLOOKUP(E1802,'VALORES VIAJES'!$A$2:$B$13,2,FALSE),"")</f>
        <v/>
      </c>
      <c r="T1802" t="str">
        <f>IFERROR(VLOOKUP(H1802,'VALORES VIAJES'!$A$2:$B$24,2,FALSE),"")</f>
        <v/>
      </c>
      <c r="U1802" t="str">
        <f>IFERROR(VLOOKUP(I1802,'VALORES VIAJES'!$A$2:$B$24,2,FALSE),"")</f>
        <v/>
      </c>
      <c r="V1802" t="str">
        <f>IFERROR(VLOOKUP(K1802,'VALORES VIAJES'!$A$2:$B$24,2,FALSE),"")</f>
        <v/>
      </c>
      <c r="X1802" s="208">
        <f>SUM(Hoja1[[#This Row],[$ X TIP VEHICUL]:[AGREGADO]])</f>
        <v>0</v>
      </c>
    </row>
    <row r="1803" spans="2:24" hidden="1" x14ac:dyDescent="0.25">
      <c r="B1803" s="189"/>
      <c r="J1803" s="189"/>
      <c r="M1803" s="205"/>
      <c r="S1803" t="str">
        <f>IFERROR(VLOOKUP(E1803,'VALORES VIAJES'!$A$2:$B$13,2,FALSE),"")</f>
        <v/>
      </c>
      <c r="T1803" t="str">
        <f>IFERROR(VLOOKUP(H1803,'VALORES VIAJES'!$A$2:$B$24,2,FALSE),"")</f>
        <v/>
      </c>
      <c r="U1803" t="str">
        <f>IFERROR(VLOOKUP(I1803,'VALORES VIAJES'!$A$2:$B$24,2,FALSE),"")</f>
        <v/>
      </c>
      <c r="V1803" t="str">
        <f>IFERROR(VLOOKUP(K1803,'VALORES VIAJES'!$A$2:$B$24,2,FALSE),"")</f>
        <v/>
      </c>
      <c r="X1803" s="208">
        <f>SUM(Hoja1[[#This Row],[$ X TIP VEHICUL]:[AGREGADO]])</f>
        <v>0</v>
      </c>
    </row>
    <row r="1804" spans="2:24" hidden="1" x14ac:dyDescent="0.25">
      <c r="B1804" s="189"/>
      <c r="J1804" s="189"/>
      <c r="M1804" s="205"/>
      <c r="S1804" t="str">
        <f>IFERROR(VLOOKUP(E1804,'VALORES VIAJES'!$A$2:$B$13,2,FALSE),"")</f>
        <v/>
      </c>
      <c r="T1804" t="str">
        <f>IFERROR(VLOOKUP(H1804,'VALORES VIAJES'!$A$2:$B$24,2,FALSE),"")</f>
        <v/>
      </c>
      <c r="U1804" t="str">
        <f>IFERROR(VLOOKUP(I1804,'VALORES VIAJES'!$A$2:$B$24,2,FALSE),"")</f>
        <v/>
      </c>
      <c r="V1804" t="str">
        <f>IFERROR(VLOOKUP(K1804,'VALORES VIAJES'!$A$2:$B$24,2,FALSE),"")</f>
        <v/>
      </c>
      <c r="X1804" s="208">
        <f>SUM(Hoja1[[#This Row],[$ X TIP VEHICUL]:[AGREGADO]])</f>
        <v>0</v>
      </c>
    </row>
    <row r="1805" spans="2:24" hidden="1" x14ac:dyDescent="0.25">
      <c r="B1805" s="189"/>
      <c r="J1805" s="189"/>
      <c r="M1805" s="205"/>
      <c r="S1805" t="str">
        <f>IFERROR(VLOOKUP(E1805,'VALORES VIAJES'!$A$2:$B$13,2,FALSE),"")</f>
        <v/>
      </c>
      <c r="T1805" t="str">
        <f>IFERROR(VLOOKUP(H1805,'VALORES VIAJES'!$A$2:$B$24,2,FALSE),"")</f>
        <v/>
      </c>
      <c r="U1805" t="str">
        <f>IFERROR(VLOOKUP(I1805,'VALORES VIAJES'!$A$2:$B$24,2,FALSE),"")</f>
        <v/>
      </c>
      <c r="V1805" t="str">
        <f>IFERROR(VLOOKUP(K1805,'VALORES VIAJES'!$A$2:$B$24,2,FALSE),"")</f>
        <v/>
      </c>
      <c r="X1805" s="208">
        <f>SUM(Hoja1[[#This Row],[$ X TIP VEHICUL]:[AGREGADO]])</f>
        <v>0</v>
      </c>
    </row>
    <row r="1806" spans="2:24" hidden="1" x14ac:dyDescent="0.25">
      <c r="B1806" s="189"/>
      <c r="J1806" s="189"/>
      <c r="M1806" s="205"/>
      <c r="S1806" t="str">
        <f>IFERROR(VLOOKUP(E1806,'VALORES VIAJES'!$A$2:$B$13,2,FALSE),"")</f>
        <v/>
      </c>
      <c r="T1806" t="str">
        <f>IFERROR(VLOOKUP(H1806,'VALORES VIAJES'!$A$2:$B$24,2,FALSE),"")</f>
        <v/>
      </c>
      <c r="U1806" t="str">
        <f>IFERROR(VLOOKUP(I1806,'VALORES VIAJES'!$A$2:$B$24,2,FALSE),"")</f>
        <v/>
      </c>
      <c r="V1806" t="str">
        <f>IFERROR(VLOOKUP(K1806,'VALORES VIAJES'!$A$2:$B$24,2,FALSE),"")</f>
        <v/>
      </c>
      <c r="X1806" s="208">
        <f>SUM(Hoja1[[#This Row],[$ X TIP VEHICUL]:[AGREGADO]])</f>
        <v>0</v>
      </c>
    </row>
    <row r="1807" spans="2:24" hidden="1" x14ac:dyDescent="0.25">
      <c r="B1807" s="189"/>
      <c r="J1807" s="189"/>
      <c r="M1807" s="205"/>
      <c r="S1807" t="str">
        <f>IFERROR(VLOOKUP(E1807,'VALORES VIAJES'!$A$2:$B$13,2,FALSE),"")</f>
        <v/>
      </c>
      <c r="T1807" t="str">
        <f>IFERROR(VLOOKUP(H1807,'VALORES VIAJES'!$A$2:$B$24,2,FALSE),"")</f>
        <v/>
      </c>
      <c r="U1807" t="str">
        <f>IFERROR(VLOOKUP(I1807,'VALORES VIAJES'!$A$2:$B$24,2,FALSE),"")</f>
        <v/>
      </c>
      <c r="V1807" t="str">
        <f>IFERROR(VLOOKUP(K1807,'VALORES VIAJES'!$A$2:$B$24,2,FALSE),"")</f>
        <v/>
      </c>
      <c r="X1807" s="208">
        <f>SUM(Hoja1[[#This Row],[$ X TIP VEHICUL]:[AGREGADO]])</f>
        <v>0</v>
      </c>
    </row>
    <row r="1808" spans="2:24" hidden="1" x14ac:dyDescent="0.25">
      <c r="B1808" s="189"/>
      <c r="J1808" s="189"/>
      <c r="M1808" s="205"/>
      <c r="S1808" t="str">
        <f>IFERROR(VLOOKUP(E1808,'VALORES VIAJES'!$A$2:$B$13,2,FALSE),"")</f>
        <v/>
      </c>
      <c r="T1808" t="str">
        <f>IFERROR(VLOOKUP(H1808,'VALORES VIAJES'!$A$2:$B$24,2,FALSE),"")</f>
        <v/>
      </c>
      <c r="U1808" t="str">
        <f>IFERROR(VLOOKUP(I1808,'VALORES VIAJES'!$A$2:$B$24,2,FALSE),"")</f>
        <v/>
      </c>
      <c r="V1808" t="str">
        <f>IFERROR(VLOOKUP(K1808,'VALORES VIAJES'!$A$2:$B$24,2,FALSE),"")</f>
        <v/>
      </c>
      <c r="X1808" s="208">
        <f>SUM(Hoja1[[#This Row],[$ X TIP VEHICUL]:[AGREGADO]])</f>
        <v>0</v>
      </c>
    </row>
    <row r="1809" spans="2:24" hidden="1" x14ac:dyDescent="0.25">
      <c r="B1809" s="189"/>
      <c r="J1809" s="189"/>
      <c r="M1809" s="205"/>
      <c r="S1809" t="str">
        <f>IFERROR(VLOOKUP(E1809,'VALORES VIAJES'!$A$2:$B$13,2,FALSE),"")</f>
        <v/>
      </c>
      <c r="T1809" t="str">
        <f>IFERROR(VLOOKUP(H1809,'VALORES VIAJES'!$A$2:$B$24,2,FALSE),"")</f>
        <v/>
      </c>
      <c r="U1809" t="str">
        <f>IFERROR(VLOOKUP(I1809,'VALORES VIAJES'!$A$2:$B$24,2,FALSE),"")</f>
        <v/>
      </c>
      <c r="V1809" t="str">
        <f>IFERROR(VLOOKUP(K1809,'VALORES VIAJES'!$A$2:$B$24,2,FALSE),"")</f>
        <v/>
      </c>
      <c r="X1809" s="208">
        <f>SUM(Hoja1[[#This Row],[$ X TIP VEHICUL]:[AGREGADO]])</f>
        <v>0</v>
      </c>
    </row>
    <row r="1810" spans="2:24" hidden="1" x14ac:dyDescent="0.25">
      <c r="B1810" s="189"/>
      <c r="J1810" s="189"/>
      <c r="M1810" s="205"/>
      <c r="S1810" t="str">
        <f>IFERROR(VLOOKUP(E1810,'VALORES VIAJES'!$A$2:$B$13,2,FALSE),"")</f>
        <v/>
      </c>
      <c r="T1810" t="str">
        <f>IFERROR(VLOOKUP(H1810,'VALORES VIAJES'!$A$2:$B$24,2,FALSE),"")</f>
        <v/>
      </c>
      <c r="U1810" t="str">
        <f>IFERROR(VLOOKUP(I1810,'VALORES VIAJES'!$A$2:$B$24,2,FALSE),"")</f>
        <v/>
      </c>
      <c r="V1810" t="str">
        <f>IFERROR(VLOOKUP(K1810,'VALORES VIAJES'!$A$2:$B$24,2,FALSE),"")</f>
        <v/>
      </c>
      <c r="X1810" s="208">
        <f>SUM(Hoja1[[#This Row],[$ X TIP VEHICUL]:[AGREGADO]])</f>
        <v>0</v>
      </c>
    </row>
    <row r="1811" spans="2:24" hidden="1" x14ac:dyDescent="0.25">
      <c r="B1811" s="189"/>
      <c r="J1811" s="189"/>
      <c r="M1811" s="205"/>
      <c r="S1811" t="str">
        <f>IFERROR(VLOOKUP(E1811,'VALORES VIAJES'!$A$2:$B$13,2,FALSE),"")</f>
        <v/>
      </c>
      <c r="T1811" t="str">
        <f>IFERROR(VLOOKUP(H1811,'VALORES VIAJES'!$A$2:$B$24,2,FALSE),"")</f>
        <v/>
      </c>
      <c r="U1811" t="str">
        <f>IFERROR(VLOOKUP(I1811,'VALORES VIAJES'!$A$2:$B$24,2,FALSE),"")</f>
        <v/>
      </c>
      <c r="V1811" t="str">
        <f>IFERROR(VLOOKUP(K1811,'VALORES VIAJES'!$A$2:$B$24,2,FALSE),"")</f>
        <v/>
      </c>
      <c r="X1811" s="208">
        <f>SUM(Hoja1[[#This Row],[$ X TIP VEHICUL]:[AGREGADO]])</f>
        <v>0</v>
      </c>
    </row>
    <row r="1812" spans="2:24" hidden="1" x14ac:dyDescent="0.25">
      <c r="B1812" s="189"/>
      <c r="J1812" s="189"/>
      <c r="M1812" s="205"/>
      <c r="S1812" t="str">
        <f>IFERROR(VLOOKUP(E1812,'VALORES VIAJES'!$A$2:$B$13,2,FALSE),"")</f>
        <v/>
      </c>
      <c r="T1812" t="str">
        <f>IFERROR(VLOOKUP(H1812,'VALORES VIAJES'!$A$2:$B$24,2,FALSE),"")</f>
        <v/>
      </c>
      <c r="U1812" t="str">
        <f>IFERROR(VLOOKUP(I1812,'VALORES VIAJES'!$A$2:$B$24,2,FALSE),"")</f>
        <v/>
      </c>
      <c r="V1812" t="str">
        <f>IFERROR(VLOOKUP(K1812,'VALORES VIAJES'!$A$2:$B$24,2,FALSE),"")</f>
        <v/>
      </c>
      <c r="X1812" s="208">
        <f>SUM(Hoja1[[#This Row],[$ X TIP VEHICUL]:[AGREGADO]])</f>
        <v>0</v>
      </c>
    </row>
    <row r="1813" spans="2:24" hidden="1" x14ac:dyDescent="0.25">
      <c r="B1813" s="189"/>
      <c r="J1813" s="189"/>
      <c r="M1813" s="205"/>
      <c r="S1813" t="str">
        <f>IFERROR(VLOOKUP(E1813,'VALORES VIAJES'!$A$2:$B$13,2,FALSE),"")</f>
        <v/>
      </c>
      <c r="T1813" t="str">
        <f>IFERROR(VLOOKUP(H1813,'VALORES VIAJES'!$A$2:$B$24,2,FALSE),"")</f>
        <v/>
      </c>
      <c r="U1813" t="str">
        <f>IFERROR(VLOOKUP(I1813,'VALORES VIAJES'!$A$2:$B$24,2,FALSE),"")</f>
        <v/>
      </c>
      <c r="V1813" t="str">
        <f>IFERROR(VLOOKUP(K1813,'VALORES VIAJES'!$A$2:$B$24,2,FALSE),"")</f>
        <v/>
      </c>
      <c r="X1813" s="208">
        <f>SUM(Hoja1[[#This Row],[$ X TIP VEHICUL]:[AGREGADO]])</f>
        <v>0</v>
      </c>
    </row>
    <row r="1814" spans="2:24" hidden="1" x14ac:dyDescent="0.25">
      <c r="B1814" s="189"/>
      <c r="J1814" s="189"/>
      <c r="M1814" s="205"/>
      <c r="S1814" t="str">
        <f>IFERROR(VLOOKUP(E1814,'VALORES VIAJES'!$A$2:$B$13,2,FALSE),"")</f>
        <v/>
      </c>
      <c r="T1814" t="str">
        <f>IFERROR(VLOOKUP(H1814,'VALORES VIAJES'!$A$2:$B$24,2,FALSE),"")</f>
        <v/>
      </c>
      <c r="U1814" t="str">
        <f>IFERROR(VLOOKUP(I1814,'VALORES VIAJES'!$A$2:$B$24,2,FALSE),"")</f>
        <v/>
      </c>
      <c r="V1814" t="str">
        <f>IFERROR(VLOOKUP(K1814,'VALORES VIAJES'!$A$2:$B$24,2,FALSE),"")</f>
        <v/>
      </c>
      <c r="X1814" s="208">
        <f>SUM(Hoja1[[#This Row],[$ X TIP VEHICUL]:[AGREGADO]])</f>
        <v>0</v>
      </c>
    </row>
    <row r="1815" spans="2:24" hidden="1" x14ac:dyDescent="0.25">
      <c r="B1815" s="189"/>
      <c r="J1815" s="189"/>
      <c r="M1815" s="205"/>
      <c r="S1815" t="str">
        <f>IFERROR(VLOOKUP(E1815,'VALORES VIAJES'!$A$2:$B$13,2,FALSE),"")</f>
        <v/>
      </c>
      <c r="T1815" t="str">
        <f>IFERROR(VLOOKUP(H1815,'VALORES VIAJES'!$A$2:$B$24,2,FALSE),"")</f>
        <v/>
      </c>
      <c r="U1815" t="str">
        <f>IFERROR(VLOOKUP(I1815,'VALORES VIAJES'!$A$2:$B$24,2,FALSE),"")</f>
        <v/>
      </c>
      <c r="V1815" t="str">
        <f>IFERROR(VLOOKUP(K1815,'VALORES VIAJES'!$A$2:$B$24,2,FALSE),"")</f>
        <v/>
      </c>
      <c r="X1815" s="208">
        <f>SUM(Hoja1[[#This Row],[$ X TIP VEHICUL]:[AGREGADO]])</f>
        <v>0</v>
      </c>
    </row>
    <row r="1816" spans="2:24" hidden="1" x14ac:dyDescent="0.25">
      <c r="B1816" s="189"/>
      <c r="J1816" s="189"/>
      <c r="M1816" s="205"/>
      <c r="S1816" t="str">
        <f>IFERROR(VLOOKUP(E1816,'VALORES VIAJES'!$A$2:$B$13,2,FALSE),"")</f>
        <v/>
      </c>
      <c r="T1816" t="str">
        <f>IFERROR(VLOOKUP(H1816,'VALORES VIAJES'!$A$2:$B$24,2,FALSE),"")</f>
        <v/>
      </c>
      <c r="U1816" t="str">
        <f>IFERROR(VLOOKUP(I1816,'VALORES VIAJES'!$A$2:$B$24,2,FALSE),"")</f>
        <v/>
      </c>
      <c r="V1816" t="str">
        <f>IFERROR(VLOOKUP(K1816,'VALORES VIAJES'!$A$2:$B$24,2,FALSE),"")</f>
        <v/>
      </c>
      <c r="X1816" s="208">
        <f>SUM(Hoja1[[#This Row],[$ X TIP VEHICUL]:[AGREGADO]])</f>
        <v>0</v>
      </c>
    </row>
    <row r="1817" spans="2:24" hidden="1" x14ac:dyDescent="0.25">
      <c r="B1817" s="189"/>
      <c r="J1817" s="189"/>
      <c r="M1817" s="205"/>
      <c r="S1817" t="str">
        <f>IFERROR(VLOOKUP(E1817,'VALORES VIAJES'!$A$2:$B$13,2,FALSE),"")</f>
        <v/>
      </c>
      <c r="T1817" t="str">
        <f>IFERROR(VLOOKUP(H1817,'VALORES VIAJES'!$A$2:$B$24,2,FALSE),"")</f>
        <v/>
      </c>
      <c r="U1817" t="str">
        <f>IFERROR(VLOOKUP(I1817,'VALORES VIAJES'!$A$2:$B$24,2,FALSE),"")</f>
        <v/>
      </c>
      <c r="V1817" t="str">
        <f>IFERROR(VLOOKUP(K1817,'VALORES VIAJES'!$A$2:$B$24,2,FALSE),"")</f>
        <v/>
      </c>
      <c r="X1817" s="208">
        <f>SUM(Hoja1[[#This Row],[$ X TIP VEHICUL]:[AGREGADO]])</f>
        <v>0</v>
      </c>
    </row>
    <row r="1818" spans="2:24" hidden="1" x14ac:dyDescent="0.25">
      <c r="B1818" s="189"/>
      <c r="J1818" s="189"/>
      <c r="M1818" s="205"/>
      <c r="S1818" t="str">
        <f>IFERROR(VLOOKUP(E1818,'VALORES VIAJES'!$A$2:$B$13,2,FALSE),"")</f>
        <v/>
      </c>
      <c r="T1818" t="str">
        <f>IFERROR(VLOOKUP(H1818,'VALORES VIAJES'!$A$2:$B$24,2,FALSE),"")</f>
        <v/>
      </c>
      <c r="U1818" t="str">
        <f>IFERROR(VLOOKUP(I1818,'VALORES VIAJES'!$A$2:$B$24,2,FALSE),"")</f>
        <v/>
      </c>
      <c r="V1818" t="str">
        <f>IFERROR(VLOOKUP(K1818,'VALORES VIAJES'!$A$2:$B$24,2,FALSE),"")</f>
        <v/>
      </c>
      <c r="X1818" s="208">
        <f>SUM(Hoja1[[#This Row],[$ X TIP VEHICUL]:[AGREGADO]])</f>
        <v>0</v>
      </c>
    </row>
    <row r="1819" spans="2:24" hidden="1" x14ac:dyDescent="0.25">
      <c r="B1819" s="189"/>
      <c r="J1819" s="189"/>
      <c r="M1819" s="205"/>
      <c r="S1819" t="str">
        <f>IFERROR(VLOOKUP(E1819,'VALORES VIAJES'!$A$2:$B$13,2,FALSE),"")</f>
        <v/>
      </c>
      <c r="T1819" t="str">
        <f>IFERROR(VLOOKUP(H1819,'VALORES VIAJES'!$A$2:$B$24,2,FALSE),"")</f>
        <v/>
      </c>
      <c r="U1819" t="str">
        <f>IFERROR(VLOOKUP(I1819,'VALORES VIAJES'!$A$2:$B$24,2,FALSE),"")</f>
        <v/>
      </c>
      <c r="V1819" t="str">
        <f>IFERROR(VLOOKUP(K1819,'VALORES VIAJES'!$A$2:$B$24,2,FALSE),"")</f>
        <v/>
      </c>
      <c r="X1819" s="208">
        <f>SUM(Hoja1[[#This Row],[$ X TIP VEHICUL]:[AGREGADO]])</f>
        <v>0</v>
      </c>
    </row>
    <row r="1820" spans="2:24" hidden="1" x14ac:dyDescent="0.25">
      <c r="B1820" s="189"/>
      <c r="J1820" s="189"/>
      <c r="M1820" s="205"/>
      <c r="S1820" t="str">
        <f>IFERROR(VLOOKUP(E1820,'VALORES VIAJES'!$A$2:$B$13,2,FALSE),"")</f>
        <v/>
      </c>
      <c r="T1820" t="str">
        <f>IFERROR(VLOOKUP(H1820,'VALORES VIAJES'!$A$2:$B$24,2,FALSE),"")</f>
        <v/>
      </c>
      <c r="U1820" t="str">
        <f>IFERROR(VLOOKUP(I1820,'VALORES VIAJES'!$A$2:$B$24,2,FALSE),"")</f>
        <v/>
      </c>
      <c r="V1820" t="str">
        <f>IFERROR(VLOOKUP(K1820,'VALORES VIAJES'!$A$2:$B$24,2,FALSE),"")</f>
        <v/>
      </c>
      <c r="X1820" s="208">
        <f>SUM(Hoja1[[#This Row],[$ X TIP VEHICUL]:[AGREGADO]])</f>
        <v>0</v>
      </c>
    </row>
    <row r="1821" spans="2:24" hidden="1" x14ac:dyDescent="0.25">
      <c r="B1821" s="189"/>
      <c r="J1821" s="189"/>
      <c r="M1821" s="205"/>
      <c r="S1821" t="str">
        <f>IFERROR(VLOOKUP(E1821,'VALORES VIAJES'!$A$2:$B$13,2,FALSE),"")</f>
        <v/>
      </c>
      <c r="T1821" t="str">
        <f>IFERROR(VLOOKUP(H1821,'VALORES VIAJES'!$A$2:$B$24,2,FALSE),"")</f>
        <v/>
      </c>
      <c r="U1821" t="str">
        <f>IFERROR(VLOOKUP(I1821,'VALORES VIAJES'!$A$2:$B$24,2,FALSE),"")</f>
        <v/>
      </c>
      <c r="V1821" t="str">
        <f>IFERROR(VLOOKUP(K1821,'VALORES VIAJES'!$A$2:$B$24,2,FALSE),"")</f>
        <v/>
      </c>
      <c r="X1821" s="208">
        <f>SUM(Hoja1[[#This Row],[$ X TIP VEHICUL]:[AGREGADO]])</f>
        <v>0</v>
      </c>
    </row>
    <row r="1822" spans="2:24" hidden="1" x14ac:dyDescent="0.25">
      <c r="B1822" s="189"/>
      <c r="J1822" s="189"/>
      <c r="M1822" s="205"/>
      <c r="S1822" t="str">
        <f>IFERROR(VLOOKUP(E1822,'VALORES VIAJES'!$A$2:$B$13,2,FALSE),"")</f>
        <v/>
      </c>
      <c r="T1822" t="str">
        <f>IFERROR(VLOOKUP(H1822,'VALORES VIAJES'!$A$2:$B$24,2,FALSE),"")</f>
        <v/>
      </c>
      <c r="U1822" t="str">
        <f>IFERROR(VLOOKUP(I1822,'VALORES VIAJES'!$A$2:$B$24,2,FALSE),"")</f>
        <v/>
      </c>
      <c r="V1822" t="str">
        <f>IFERROR(VLOOKUP(K1822,'VALORES VIAJES'!$A$2:$B$24,2,FALSE),"")</f>
        <v/>
      </c>
      <c r="X1822" s="208">
        <f>SUM(Hoja1[[#This Row],[$ X TIP VEHICUL]:[AGREGADO]])</f>
        <v>0</v>
      </c>
    </row>
    <row r="1823" spans="2:24" hidden="1" x14ac:dyDescent="0.25">
      <c r="B1823" s="189"/>
      <c r="J1823" s="189"/>
      <c r="M1823" s="205"/>
      <c r="S1823" t="str">
        <f>IFERROR(VLOOKUP(E1823,'VALORES VIAJES'!$A$2:$B$13,2,FALSE),"")</f>
        <v/>
      </c>
      <c r="T1823" t="str">
        <f>IFERROR(VLOOKUP(H1823,'VALORES VIAJES'!$A$2:$B$24,2,FALSE),"")</f>
        <v/>
      </c>
      <c r="U1823" t="str">
        <f>IFERROR(VLOOKUP(I1823,'VALORES VIAJES'!$A$2:$B$24,2,FALSE),"")</f>
        <v/>
      </c>
      <c r="V1823" t="str">
        <f>IFERROR(VLOOKUP(K1823,'VALORES VIAJES'!$A$2:$B$24,2,FALSE),"")</f>
        <v/>
      </c>
      <c r="X1823" s="208">
        <f>SUM(Hoja1[[#This Row],[$ X TIP VEHICUL]:[AGREGADO]])</f>
        <v>0</v>
      </c>
    </row>
    <row r="1824" spans="2:24" hidden="1" x14ac:dyDescent="0.25">
      <c r="B1824" s="189"/>
      <c r="J1824" s="189"/>
      <c r="M1824" s="205"/>
      <c r="S1824" t="str">
        <f>IFERROR(VLOOKUP(E1824,'VALORES VIAJES'!$A$2:$B$13,2,FALSE),"")</f>
        <v/>
      </c>
      <c r="T1824" t="str">
        <f>IFERROR(VLOOKUP(H1824,'VALORES VIAJES'!$A$2:$B$24,2,FALSE),"")</f>
        <v/>
      </c>
      <c r="U1824" t="str">
        <f>IFERROR(VLOOKUP(I1824,'VALORES VIAJES'!$A$2:$B$24,2,FALSE),"")</f>
        <v/>
      </c>
      <c r="V1824" t="str">
        <f>IFERROR(VLOOKUP(K1824,'VALORES VIAJES'!$A$2:$B$24,2,FALSE),"")</f>
        <v/>
      </c>
      <c r="X1824" s="208">
        <f>SUM(Hoja1[[#This Row],[$ X TIP VEHICUL]:[AGREGADO]])</f>
        <v>0</v>
      </c>
    </row>
    <row r="1825" spans="2:24" hidden="1" x14ac:dyDescent="0.25">
      <c r="B1825" s="189"/>
      <c r="J1825" s="189"/>
      <c r="M1825" s="205"/>
      <c r="S1825" t="str">
        <f>IFERROR(VLOOKUP(E1825,'VALORES VIAJES'!$A$2:$B$13,2,FALSE),"")</f>
        <v/>
      </c>
      <c r="T1825" t="str">
        <f>IFERROR(VLOOKUP(H1825,'VALORES VIAJES'!$A$2:$B$24,2,FALSE),"")</f>
        <v/>
      </c>
      <c r="U1825" t="str">
        <f>IFERROR(VLOOKUP(I1825,'VALORES VIAJES'!$A$2:$B$24,2,FALSE),"")</f>
        <v/>
      </c>
      <c r="V1825" t="str">
        <f>IFERROR(VLOOKUP(K1825,'VALORES VIAJES'!$A$2:$B$24,2,FALSE),"")</f>
        <v/>
      </c>
      <c r="X1825" s="208">
        <f>SUM(Hoja1[[#This Row],[$ X TIP VEHICUL]:[AGREGADO]])</f>
        <v>0</v>
      </c>
    </row>
    <row r="1826" spans="2:24" hidden="1" x14ac:dyDescent="0.25">
      <c r="B1826" s="189"/>
      <c r="J1826" s="189"/>
      <c r="M1826" s="205"/>
      <c r="S1826" t="str">
        <f>IFERROR(VLOOKUP(E1826,'VALORES VIAJES'!$A$2:$B$13,2,FALSE),"")</f>
        <v/>
      </c>
      <c r="T1826" t="str">
        <f>IFERROR(VLOOKUP(H1826,'VALORES VIAJES'!$A$2:$B$24,2,FALSE),"")</f>
        <v/>
      </c>
      <c r="U1826" t="str">
        <f>IFERROR(VLOOKUP(I1826,'VALORES VIAJES'!$A$2:$B$24,2,FALSE),"")</f>
        <v/>
      </c>
      <c r="V1826" t="str">
        <f>IFERROR(VLOOKUP(K1826,'VALORES VIAJES'!$A$2:$B$24,2,FALSE),"")</f>
        <v/>
      </c>
      <c r="X1826" s="208">
        <f>SUM(Hoja1[[#This Row],[$ X TIP VEHICUL]:[AGREGADO]])</f>
        <v>0</v>
      </c>
    </row>
    <row r="1827" spans="2:24" hidden="1" x14ac:dyDescent="0.25">
      <c r="B1827" s="189"/>
      <c r="J1827" s="189"/>
      <c r="M1827" s="205"/>
      <c r="S1827" t="str">
        <f>IFERROR(VLOOKUP(E1827,'VALORES VIAJES'!$A$2:$B$13,2,FALSE),"")</f>
        <v/>
      </c>
      <c r="T1827" t="str">
        <f>IFERROR(VLOOKUP(H1827,'VALORES VIAJES'!$A$2:$B$24,2,FALSE),"")</f>
        <v/>
      </c>
      <c r="U1827" t="str">
        <f>IFERROR(VLOOKUP(I1827,'VALORES VIAJES'!$A$2:$B$24,2,FALSE),"")</f>
        <v/>
      </c>
      <c r="V1827" t="str">
        <f>IFERROR(VLOOKUP(K1827,'VALORES VIAJES'!$A$2:$B$24,2,FALSE),"")</f>
        <v/>
      </c>
      <c r="X1827" s="208">
        <f>SUM(Hoja1[[#This Row],[$ X TIP VEHICUL]:[AGREGADO]])</f>
        <v>0</v>
      </c>
    </row>
    <row r="1828" spans="2:24" hidden="1" x14ac:dyDescent="0.25">
      <c r="B1828" s="189"/>
      <c r="J1828" s="189"/>
      <c r="M1828" s="205"/>
      <c r="S1828" t="str">
        <f>IFERROR(VLOOKUP(E1828,'VALORES VIAJES'!$A$2:$B$13,2,FALSE),"")</f>
        <v/>
      </c>
      <c r="T1828" t="str">
        <f>IFERROR(VLOOKUP(H1828,'VALORES VIAJES'!$A$2:$B$24,2,FALSE),"")</f>
        <v/>
      </c>
      <c r="U1828" t="str">
        <f>IFERROR(VLOOKUP(I1828,'VALORES VIAJES'!$A$2:$B$24,2,FALSE),"")</f>
        <v/>
      </c>
      <c r="V1828" t="str">
        <f>IFERROR(VLOOKUP(K1828,'VALORES VIAJES'!$A$2:$B$24,2,FALSE),"")</f>
        <v/>
      </c>
      <c r="X1828" s="208">
        <f>SUM(Hoja1[[#This Row],[$ X TIP VEHICUL]:[AGREGADO]])</f>
        <v>0</v>
      </c>
    </row>
    <row r="1829" spans="2:24" hidden="1" x14ac:dyDescent="0.25">
      <c r="B1829" s="189"/>
      <c r="J1829" s="189"/>
      <c r="M1829" s="205"/>
      <c r="S1829" t="str">
        <f>IFERROR(VLOOKUP(E1829,'VALORES VIAJES'!$A$2:$B$13,2,FALSE),"")</f>
        <v/>
      </c>
      <c r="T1829" t="str">
        <f>IFERROR(VLOOKUP(H1829,'VALORES VIAJES'!$A$2:$B$24,2,FALSE),"")</f>
        <v/>
      </c>
      <c r="U1829" t="str">
        <f>IFERROR(VLOOKUP(I1829,'VALORES VIAJES'!$A$2:$B$24,2,FALSE),"")</f>
        <v/>
      </c>
      <c r="V1829" t="str">
        <f>IFERROR(VLOOKUP(K1829,'VALORES VIAJES'!$A$2:$B$24,2,FALSE),"")</f>
        <v/>
      </c>
      <c r="X1829" s="208">
        <f>SUM(Hoja1[[#This Row],[$ X TIP VEHICUL]:[AGREGADO]])</f>
        <v>0</v>
      </c>
    </row>
    <row r="1830" spans="2:24" hidden="1" x14ac:dyDescent="0.25">
      <c r="B1830" s="189"/>
      <c r="J1830" s="189"/>
      <c r="M1830" s="205"/>
      <c r="S1830" t="str">
        <f>IFERROR(VLOOKUP(E1830,'VALORES VIAJES'!$A$2:$B$13,2,FALSE),"")</f>
        <v/>
      </c>
      <c r="T1830" t="str">
        <f>IFERROR(VLOOKUP(H1830,'VALORES VIAJES'!$A$2:$B$24,2,FALSE),"")</f>
        <v/>
      </c>
      <c r="U1830" t="str">
        <f>IFERROR(VLOOKUP(I1830,'VALORES VIAJES'!$A$2:$B$24,2,FALSE),"")</f>
        <v/>
      </c>
      <c r="V1830" t="str">
        <f>IFERROR(VLOOKUP(K1830,'VALORES VIAJES'!$A$2:$B$24,2,FALSE),"")</f>
        <v/>
      </c>
      <c r="X1830" s="208">
        <f>SUM(Hoja1[[#This Row],[$ X TIP VEHICUL]:[AGREGADO]])</f>
        <v>0</v>
      </c>
    </row>
    <row r="1831" spans="2:24" hidden="1" x14ac:dyDescent="0.25">
      <c r="B1831" s="189"/>
      <c r="J1831" s="189"/>
      <c r="M1831" s="205"/>
      <c r="S1831" t="str">
        <f>IFERROR(VLOOKUP(E1831,'VALORES VIAJES'!$A$2:$B$13,2,FALSE),"")</f>
        <v/>
      </c>
      <c r="T1831" t="str">
        <f>IFERROR(VLOOKUP(H1831,'VALORES VIAJES'!$A$2:$B$24,2,FALSE),"")</f>
        <v/>
      </c>
      <c r="U1831" t="str">
        <f>IFERROR(VLOOKUP(I1831,'VALORES VIAJES'!$A$2:$B$24,2,FALSE),"")</f>
        <v/>
      </c>
      <c r="V1831" t="str">
        <f>IFERROR(VLOOKUP(K1831,'VALORES VIAJES'!$A$2:$B$24,2,FALSE),"")</f>
        <v/>
      </c>
      <c r="X1831" s="208">
        <f>SUM(Hoja1[[#This Row],[$ X TIP VEHICUL]:[AGREGADO]])</f>
        <v>0</v>
      </c>
    </row>
    <row r="1832" spans="2:24" hidden="1" x14ac:dyDescent="0.25">
      <c r="B1832" s="189"/>
      <c r="J1832" s="189"/>
      <c r="M1832" s="205"/>
      <c r="S1832" t="str">
        <f>IFERROR(VLOOKUP(E1832,'VALORES VIAJES'!$A$2:$B$13,2,FALSE),"")</f>
        <v/>
      </c>
      <c r="T1832" t="str">
        <f>IFERROR(VLOOKUP(H1832,'VALORES VIAJES'!$A$2:$B$24,2,FALSE),"")</f>
        <v/>
      </c>
      <c r="U1832" t="str">
        <f>IFERROR(VLOOKUP(I1832,'VALORES VIAJES'!$A$2:$B$24,2,FALSE),"")</f>
        <v/>
      </c>
      <c r="V1832" t="str">
        <f>IFERROR(VLOOKUP(K1832,'VALORES VIAJES'!$A$2:$B$24,2,FALSE),"")</f>
        <v/>
      </c>
      <c r="X1832" s="208">
        <f>SUM(Hoja1[[#This Row],[$ X TIP VEHICUL]:[AGREGADO]])</f>
        <v>0</v>
      </c>
    </row>
    <row r="1833" spans="2:24" hidden="1" x14ac:dyDescent="0.25">
      <c r="B1833" s="189"/>
      <c r="J1833" s="189"/>
      <c r="M1833" s="205"/>
      <c r="S1833" t="str">
        <f>IFERROR(VLOOKUP(E1833,'VALORES VIAJES'!$A$2:$B$13,2,FALSE),"")</f>
        <v/>
      </c>
      <c r="T1833" t="str">
        <f>IFERROR(VLOOKUP(H1833,'VALORES VIAJES'!$A$2:$B$24,2,FALSE),"")</f>
        <v/>
      </c>
      <c r="U1833" t="str">
        <f>IFERROR(VLOOKUP(I1833,'VALORES VIAJES'!$A$2:$B$24,2,FALSE),"")</f>
        <v/>
      </c>
      <c r="V1833" t="str">
        <f>IFERROR(VLOOKUP(K1833,'VALORES VIAJES'!$A$2:$B$24,2,FALSE),"")</f>
        <v/>
      </c>
      <c r="X1833" s="208">
        <f>SUM(Hoja1[[#This Row],[$ X TIP VEHICUL]:[AGREGADO]])</f>
        <v>0</v>
      </c>
    </row>
    <row r="1834" spans="2:24" hidden="1" x14ac:dyDescent="0.25">
      <c r="B1834" s="189"/>
      <c r="J1834" s="189"/>
      <c r="M1834" s="205"/>
      <c r="S1834" t="str">
        <f>IFERROR(VLOOKUP(E1834,'VALORES VIAJES'!$A$2:$B$13,2,FALSE),"")</f>
        <v/>
      </c>
      <c r="T1834" t="str">
        <f>IFERROR(VLOOKUP(H1834,'VALORES VIAJES'!$A$2:$B$24,2,FALSE),"")</f>
        <v/>
      </c>
      <c r="U1834" t="str">
        <f>IFERROR(VLOOKUP(I1834,'VALORES VIAJES'!$A$2:$B$24,2,FALSE),"")</f>
        <v/>
      </c>
      <c r="V1834" t="str">
        <f>IFERROR(VLOOKUP(K1834,'VALORES VIAJES'!$A$2:$B$24,2,FALSE),"")</f>
        <v/>
      </c>
      <c r="X1834" s="208">
        <f>SUM(Hoja1[[#This Row],[$ X TIP VEHICUL]:[AGREGADO]])</f>
        <v>0</v>
      </c>
    </row>
    <row r="1835" spans="2:24" hidden="1" x14ac:dyDescent="0.25">
      <c r="B1835" s="189"/>
      <c r="J1835" s="189"/>
      <c r="M1835" s="205"/>
      <c r="S1835" t="str">
        <f>IFERROR(VLOOKUP(E1835,'VALORES VIAJES'!$A$2:$B$13,2,FALSE),"")</f>
        <v/>
      </c>
      <c r="T1835" t="str">
        <f>IFERROR(VLOOKUP(H1835,'VALORES VIAJES'!$A$2:$B$24,2,FALSE),"")</f>
        <v/>
      </c>
      <c r="U1835" t="str">
        <f>IFERROR(VLOOKUP(I1835,'VALORES VIAJES'!$A$2:$B$24,2,FALSE),"")</f>
        <v/>
      </c>
      <c r="V1835" t="str">
        <f>IFERROR(VLOOKUP(K1835,'VALORES VIAJES'!$A$2:$B$24,2,FALSE),"")</f>
        <v/>
      </c>
      <c r="X1835" s="208">
        <f>SUM(Hoja1[[#This Row],[$ X TIP VEHICUL]:[AGREGADO]])</f>
        <v>0</v>
      </c>
    </row>
    <row r="1836" spans="2:24" hidden="1" x14ac:dyDescent="0.25">
      <c r="B1836" s="189"/>
      <c r="J1836" s="189"/>
      <c r="M1836" s="205"/>
      <c r="S1836" t="str">
        <f>IFERROR(VLOOKUP(E1836,'VALORES VIAJES'!$A$2:$B$13,2,FALSE),"")</f>
        <v/>
      </c>
      <c r="T1836" t="str">
        <f>IFERROR(VLOOKUP(H1836,'VALORES VIAJES'!$A$2:$B$24,2,FALSE),"")</f>
        <v/>
      </c>
      <c r="U1836" t="str">
        <f>IFERROR(VLOOKUP(I1836,'VALORES VIAJES'!$A$2:$B$24,2,FALSE),"")</f>
        <v/>
      </c>
      <c r="V1836" t="str">
        <f>IFERROR(VLOOKUP(K1836,'VALORES VIAJES'!$A$2:$B$24,2,FALSE),"")</f>
        <v/>
      </c>
      <c r="X1836" s="208">
        <f>SUM(Hoja1[[#This Row],[$ X TIP VEHICUL]:[AGREGADO]])</f>
        <v>0</v>
      </c>
    </row>
    <row r="1837" spans="2:24" hidden="1" x14ac:dyDescent="0.25">
      <c r="B1837" s="189"/>
      <c r="J1837" s="189"/>
      <c r="M1837" s="205"/>
      <c r="S1837" t="str">
        <f>IFERROR(VLOOKUP(E1837,'VALORES VIAJES'!$A$2:$B$13,2,FALSE),"")</f>
        <v/>
      </c>
      <c r="T1837" t="str">
        <f>IFERROR(VLOOKUP(H1837,'VALORES VIAJES'!$A$2:$B$24,2,FALSE),"")</f>
        <v/>
      </c>
      <c r="U1837" t="str">
        <f>IFERROR(VLOOKUP(I1837,'VALORES VIAJES'!$A$2:$B$24,2,FALSE),"")</f>
        <v/>
      </c>
      <c r="V1837" t="str">
        <f>IFERROR(VLOOKUP(K1837,'VALORES VIAJES'!$A$2:$B$24,2,FALSE),"")</f>
        <v/>
      </c>
      <c r="X1837" s="208">
        <f>SUM(Hoja1[[#This Row],[$ X TIP VEHICUL]:[AGREGADO]])</f>
        <v>0</v>
      </c>
    </row>
    <row r="1838" spans="2:24" hidden="1" x14ac:dyDescent="0.25">
      <c r="B1838" s="189"/>
      <c r="J1838" s="189"/>
      <c r="M1838" s="205"/>
      <c r="S1838" t="str">
        <f>IFERROR(VLOOKUP(E1838,'VALORES VIAJES'!$A$2:$B$13,2,FALSE),"")</f>
        <v/>
      </c>
      <c r="T1838" t="str">
        <f>IFERROR(VLOOKUP(H1838,'VALORES VIAJES'!$A$2:$B$24,2,FALSE),"")</f>
        <v/>
      </c>
      <c r="U1838" t="str">
        <f>IFERROR(VLOOKUP(I1838,'VALORES VIAJES'!$A$2:$B$24,2,FALSE),"")</f>
        <v/>
      </c>
      <c r="V1838" t="str">
        <f>IFERROR(VLOOKUP(K1838,'VALORES VIAJES'!$A$2:$B$24,2,FALSE),"")</f>
        <v/>
      </c>
      <c r="X1838" s="208">
        <f>SUM(Hoja1[[#This Row],[$ X TIP VEHICUL]:[AGREGADO]])</f>
        <v>0</v>
      </c>
    </row>
    <row r="1839" spans="2:24" hidden="1" x14ac:dyDescent="0.25">
      <c r="B1839" s="189"/>
      <c r="J1839" s="189"/>
      <c r="M1839" s="205"/>
      <c r="S1839" t="str">
        <f>IFERROR(VLOOKUP(E1839,'VALORES VIAJES'!$A$2:$B$13,2,FALSE),"")</f>
        <v/>
      </c>
      <c r="T1839" t="str">
        <f>IFERROR(VLOOKUP(H1839,'VALORES VIAJES'!$A$2:$B$24,2,FALSE),"")</f>
        <v/>
      </c>
      <c r="U1839" t="str">
        <f>IFERROR(VLOOKUP(I1839,'VALORES VIAJES'!$A$2:$B$24,2,FALSE),"")</f>
        <v/>
      </c>
      <c r="V1839" t="str">
        <f>IFERROR(VLOOKUP(K1839,'VALORES VIAJES'!$A$2:$B$24,2,FALSE),"")</f>
        <v/>
      </c>
      <c r="X1839" s="208">
        <f>SUM(Hoja1[[#This Row],[$ X TIP VEHICUL]:[AGREGADO]])</f>
        <v>0</v>
      </c>
    </row>
    <row r="1840" spans="2:24" hidden="1" x14ac:dyDescent="0.25">
      <c r="B1840" s="189"/>
      <c r="J1840" s="189"/>
      <c r="M1840" s="205"/>
      <c r="S1840" t="str">
        <f>IFERROR(VLOOKUP(E1840,'VALORES VIAJES'!$A$2:$B$13,2,FALSE),"")</f>
        <v/>
      </c>
      <c r="T1840" t="str">
        <f>IFERROR(VLOOKUP(H1840,'VALORES VIAJES'!$A$2:$B$24,2,FALSE),"")</f>
        <v/>
      </c>
      <c r="U1840" t="str">
        <f>IFERROR(VLOOKUP(I1840,'VALORES VIAJES'!$A$2:$B$24,2,FALSE),"")</f>
        <v/>
      </c>
      <c r="V1840" t="str">
        <f>IFERROR(VLOOKUP(K1840,'VALORES VIAJES'!$A$2:$B$24,2,FALSE),"")</f>
        <v/>
      </c>
      <c r="X1840" s="208">
        <f>SUM(Hoja1[[#This Row],[$ X TIP VEHICUL]:[AGREGADO]])</f>
        <v>0</v>
      </c>
    </row>
    <row r="1841" spans="2:24" hidden="1" x14ac:dyDescent="0.25">
      <c r="B1841" s="189"/>
      <c r="J1841" s="189"/>
      <c r="M1841" s="205"/>
      <c r="S1841" t="str">
        <f>IFERROR(VLOOKUP(E1841,'VALORES VIAJES'!$A$2:$B$13,2,FALSE),"")</f>
        <v/>
      </c>
      <c r="T1841" t="str">
        <f>IFERROR(VLOOKUP(H1841,'VALORES VIAJES'!$A$2:$B$24,2,FALSE),"")</f>
        <v/>
      </c>
      <c r="U1841" t="str">
        <f>IFERROR(VLOOKUP(I1841,'VALORES VIAJES'!$A$2:$B$24,2,FALSE),"")</f>
        <v/>
      </c>
      <c r="V1841" t="str">
        <f>IFERROR(VLOOKUP(K1841,'VALORES VIAJES'!$A$2:$B$24,2,FALSE),"")</f>
        <v/>
      </c>
      <c r="X1841" s="208">
        <f>SUM(Hoja1[[#This Row],[$ X TIP VEHICUL]:[AGREGADO]])</f>
        <v>0</v>
      </c>
    </row>
    <row r="1842" spans="2:24" hidden="1" x14ac:dyDescent="0.25">
      <c r="B1842" s="189"/>
      <c r="J1842" s="189"/>
      <c r="M1842" s="205"/>
      <c r="S1842" t="str">
        <f>IFERROR(VLOOKUP(E1842,'VALORES VIAJES'!$A$2:$B$13,2,FALSE),"")</f>
        <v/>
      </c>
      <c r="T1842" t="str">
        <f>IFERROR(VLOOKUP(H1842,'VALORES VIAJES'!$A$2:$B$24,2,FALSE),"")</f>
        <v/>
      </c>
      <c r="U1842" t="str">
        <f>IFERROR(VLOOKUP(I1842,'VALORES VIAJES'!$A$2:$B$24,2,FALSE),"")</f>
        <v/>
      </c>
      <c r="V1842" t="str">
        <f>IFERROR(VLOOKUP(K1842,'VALORES VIAJES'!$A$2:$B$24,2,FALSE),"")</f>
        <v/>
      </c>
      <c r="X1842" s="208">
        <f>SUM(Hoja1[[#This Row],[$ X TIP VEHICUL]:[AGREGADO]])</f>
        <v>0</v>
      </c>
    </row>
    <row r="1843" spans="2:24" hidden="1" x14ac:dyDescent="0.25">
      <c r="B1843" s="189"/>
      <c r="J1843" s="189"/>
      <c r="M1843" s="205"/>
      <c r="S1843" t="str">
        <f>IFERROR(VLOOKUP(E1843,'VALORES VIAJES'!$A$2:$B$13,2,FALSE),"")</f>
        <v/>
      </c>
      <c r="T1843" t="str">
        <f>IFERROR(VLOOKUP(H1843,'VALORES VIAJES'!$A$2:$B$24,2,FALSE),"")</f>
        <v/>
      </c>
      <c r="U1843" t="str">
        <f>IFERROR(VLOOKUP(I1843,'VALORES VIAJES'!$A$2:$B$24,2,FALSE),"")</f>
        <v/>
      </c>
      <c r="V1843" t="str">
        <f>IFERROR(VLOOKUP(K1843,'VALORES VIAJES'!$A$2:$B$24,2,FALSE),"")</f>
        <v/>
      </c>
      <c r="X1843" s="208">
        <f>SUM(Hoja1[[#This Row],[$ X TIP VEHICUL]:[AGREGADO]])</f>
        <v>0</v>
      </c>
    </row>
    <row r="1844" spans="2:24" hidden="1" x14ac:dyDescent="0.25">
      <c r="B1844" s="189"/>
      <c r="J1844" s="189"/>
      <c r="M1844" s="205"/>
      <c r="S1844" t="str">
        <f>IFERROR(VLOOKUP(E1844,'VALORES VIAJES'!$A$2:$B$13,2,FALSE),"")</f>
        <v/>
      </c>
      <c r="T1844" t="str">
        <f>IFERROR(VLOOKUP(H1844,'VALORES VIAJES'!$A$2:$B$24,2,FALSE),"")</f>
        <v/>
      </c>
      <c r="U1844" t="str">
        <f>IFERROR(VLOOKUP(I1844,'VALORES VIAJES'!$A$2:$B$24,2,FALSE),"")</f>
        <v/>
      </c>
      <c r="V1844" t="str">
        <f>IFERROR(VLOOKUP(K1844,'VALORES VIAJES'!$A$2:$B$24,2,FALSE),"")</f>
        <v/>
      </c>
      <c r="X1844" s="208">
        <f>SUM(Hoja1[[#This Row],[$ X TIP VEHICUL]:[AGREGADO]])</f>
        <v>0</v>
      </c>
    </row>
    <row r="1845" spans="2:24" hidden="1" x14ac:dyDescent="0.25">
      <c r="B1845" s="189"/>
      <c r="J1845" s="189"/>
      <c r="M1845" s="205"/>
      <c r="S1845" t="str">
        <f>IFERROR(VLOOKUP(E1845,'VALORES VIAJES'!$A$2:$B$13,2,FALSE),"")</f>
        <v/>
      </c>
      <c r="T1845" t="str">
        <f>IFERROR(VLOOKUP(H1845,'VALORES VIAJES'!$A$2:$B$24,2,FALSE),"")</f>
        <v/>
      </c>
      <c r="U1845" t="str">
        <f>IFERROR(VLOOKUP(I1845,'VALORES VIAJES'!$A$2:$B$24,2,FALSE),"")</f>
        <v/>
      </c>
      <c r="V1845" t="str">
        <f>IFERROR(VLOOKUP(K1845,'VALORES VIAJES'!$A$2:$B$24,2,FALSE),"")</f>
        <v/>
      </c>
      <c r="X1845" s="208">
        <f>SUM(Hoja1[[#This Row],[$ X TIP VEHICUL]:[AGREGADO]])</f>
        <v>0</v>
      </c>
    </row>
    <row r="1846" spans="2:24" hidden="1" x14ac:dyDescent="0.25">
      <c r="B1846" s="189"/>
      <c r="J1846" s="189"/>
      <c r="M1846" s="205"/>
      <c r="S1846" t="str">
        <f>IFERROR(VLOOKUP(E1846,'VALORES VIAJES'!$A$2:$B$13,2,FALSE),"")</f>
        <v/>
      </c>
      <c r="T1846" t="str">
        <f>IFERROR(VLOOKUP(H1846,'VALORES VIAJES'!$A$2:$B$24,2,FALSE),"")</f>
        <v/>
      </c>
      <c r="U1846" t="str">
        <f>IFERROR(VLOOKUP(I1846,'VALORES VIAJES'!$A$2:$B$24,2,FALSE),"")</f>
        <v/>
      </c>
      <c r="V1846" t="str">
        <f>IFERROR(VLOOKUP(K1846,'VALORES VIAJES'!$A$2:$B$24,2,FALSE),"")</f>
        <v/>
      </c>
      <c r="X1846" s="208">
        <f>SUM(Hoja1[[#This Row],[$ X TIP VEHICUL]:[AGREGADO]])</f>
        <v>0</v>
      </c>
    </row>
    <row r="1847" spans="2:24" hidden="1" x14ac:dyDescent="0.25">
      <c r="B1847" s="189"/>
      <c r="J1847" s="189"/>
      <c r="M1847" s="205"/>
      <c r="S1847" t="str">
        <f>IFERROR(VLOOKUP(E1847,'VALORES VIAJES'!$A$2:$B$13,2,FALSE),"")</f>
        <v/>
      </c>
      <c r="T1847" t="str">
        <f>IFERROR(VLOOKUP(H1847,'VALORES VIAJES'!$A$2:$B$24,2,FALSE),"")</f>
        <v/>
      </c>
      <c r="U1847" t="str">
        <f>IFERROR(VLOOKUP(I1847,'VALORES VIAJES'!$A$2:$B$24,2,FALSE),"")</f>
        <v/>
      </c>
      <c r="V1847" t="str">
        <f>IFERROR(VLOOKUP(K1847,'VALORES VIAJES'!$A$2:$B$24,2,FALSE),"")</f>
        <v/>
      </c>
      <c r="X1847" s="208">
        <f>SUM(Hoja1[[#This Row],[$ X TIP VEHICUL]:[AGREGADO]])</f>
        <v>0</v>
      </c>
    </row>
    <row r="1848" spans="2:24" hidden="1" x14ac:dyDescent="0.25">
      <c r="B1848" s="189"/>
      <c r="J1848" s="189"/>
      <c r="M1848" s="205"/>
      <c r="S1848" t="str">
        <f>IFERROR(VLOOKUP(E1848,'VALORES VIAJES'!$A$2:$B$13,2,FALSE),"")</f>
        <v/>
      </c>
      <c r="T1848" t="str">
        <f>IFERROR(VLOOKUP(H1848,'VALORES VIAJES'!$A$2:$B$24,2,FALSE),"")</f>
        <v/>
      </c>
      <c r="U1848" t="str">
        <f>IFERROR(VLOOKUP(I1848,'VALORES VIAJES'!$A$2:$B$24,2,FALSE),"")</f>
        <v/>
      </c>
      <c r="V1848" t="str">
        <f>IFERROR(VLOOKUP(K1848,'VALORES VIAJES'!$A$2:$B$24,2,FALSE),"")</f>
        <v/>
      </c>
      <c r="X1848" s="208">
        <f>SUM(Hoja1[[#This Row],[$ X TIP VEHICUL]:[AGREGADO]])</f>
        <v>0</v>
      </c>
    </row>
    <row r="1849" spans="2:24" hidden="1" x14ac:dyDescent="0.25">
      <c r="B1849" s="189"/>
      <c r="J1849" s="189"/>
      <c r="M1849" s="205"/>
      <c r="S1849" t="str">
        <f>IFERROR(VLOOKUP(E1849,'VALORES VIAJES'!$A$2:$B$13,2,FALSE),"")</f>
        <v/>
      </c>
      <c r="T1849" t="str">
        <f>IFERROR(VLOOKUP(H1849,'VALORES VIAJES'!$A$2:$B$24,2,FALSE),"")</f>
        <v/>
      </c>
      <c r="U1849" t="str">
        <f>IFERROR(VLOOKUP(I1849,'VALORES VIAJES'!$A$2:$B$24,2,FALSE),"")</f>
        <v/>
      </c>
      <c r="V1849" t="str">
        <f>IFERROR(VLOOKUP(K1849,'VALORES VIAJES'!$A$2:$B$24,2,FALSE),"")</f>
        <v/>
      </c>
      <c r="X1849" s="208">
        <f>SUM(Hoja1[[#This Row],[$ X TIP VEHICUL]:[AGREGADO]])</f>
        <v>0</v>
      </c>
    </row>
    <row r="1850" spans="2:24" hidden="1" x14ac:dyDescent="0.25">
      <c r="B1850" s="189"/>
      <c r="J1850" s="189"/>
      <c r="M1850" s="205"/>
      <c r="S1850" t="str">
        <f>IFERROR(VLOOKUP(E1850,'VALORES VIAJES'!$A$2:$B$13,2,FALSE),"")</f>
        <v/>
      </c>
      <c r="T1850" t="str">
        <f>IFERROR(VLOOKUP(H1850,'VALORES VIAJES'!$A$2:$B$24,2,FALSE),"")</f>
        <v/>
      </c>
      <c r="U1850" t="str">
        <f>IFERROR(VLOOKUP(I1850,'VALORES VIAJES'!$A$2:$B$24,2,FALSE),"")</f>
        <v/>
      </c>
      <c r="V1850" t="str">
        <f>IFERROR(VLOOKUP(K1850,'VALORES VIAJES'!$A$2:$B$24,2,FALSE),"")</f>
        <v/>
      </c>
      <c r="X1850" s="208">
        <f>SUM(Hoja1[[#This Row],[$ X TIP VEHICUL]:[AGREGADO]])</f>
        <v>0</v>
      </c>
    </row>
    <row r="1851" spans="2:24" hidden="1" x14ac:dyDescent="0.25">
      <c r="B1851" s="189"/>
      <c r="J1851" s="189"/>
      <c r="M1851" s="205"/>
      <c r="S1851" t="str">
        <f>IFERROR(VLOOKUP(E1851,'VALORES VIAJES'!$A$2:$B$13,2,FALSE),"")</f>
        <v/>
      </c>
      <c r="T1851" t="str">
        <f>IFERROR(VLOOKUP(H1851,'VALORES VIAJES'!$A$2:$B$24,2,FALSE),"")</f>
        <v/>
      </c>
      <c r="U1851" t="str">
        <f>IFERROR(VLOOKUP(I1851,'VALORES VIAJES'!$A$2:$B$24,2,FALSE),"")</f>
        <v/>
      </c>
      <c r="V1851" t="str">
        <f>IFERROR(VLOOKUP(K1851,'VALORES VIAJES'!$A$2:$B$24,2,FALSE),"")</f>
        <v/>
      </c>
      <c r="X1851" s="208">
        <f>SUM(Hoja1[[#This Row],[$ X TIP VEHICUL]:[AGREGADO]])</f>
        <v>0</v>
      </c>
    </row>
    <row r="1852" spans="2:24" hidden="1" x14ac:dyDescent="0.25">
      <c r="B1852" s="189"/>
      <c r="J1852" s="189"/>
      <c r="M1852" s="205"/>
      <c r="S1852" t="str">
        <f>IFERROR(VLOOKUP(E1852,'VALORES VIAJES'!$A$2:$B$13,2,FALSE),"")</f>
        <v/>
      </c>
      <c r="T1852" t="str">
        <f>IFERROR(VLOOKUP(H1852,'VALORES VIAJES'!$A$2:$B$24,2,FALSE),"")</f>
        <v/>
      </c>
      <c r="U1852" t="str">
        <f>IFERROR(VLOOKUP(I1852,'VALORES VIAJES'!$A$2:$B$24,2,FALSE),"")</f>
        <v/>
      </c>
      <c r="V1852" t="str">
        <f>IFERROR(VLOOKUP(K1852,'VALORES VIAJES'!$A$2:$B$24,2,FALSE),"")</f>
        <v/>
      </c>
      <c r="X1852" s="208">
        <f>SUM(Hoja1[[#This Row],[$ X TIP VEHICUL]:[AGREGADO]])</f>
        <v>0</v>
      </c>
    </row>
    <row r="1853" spans="2:24" hidden="1" x14ac:dyDescent="0.25">
      <c r="B1853" s="189"/>
      <c r="J1853" s="189"/>
      <c r="M1853" s="205"/>
      <c r="S1853" t="str">
        <f>IFERROR(VLOOKUP(E1853,'VALORES VIAJES'!$A$2:$B$13,2,FALSE),"")</f>
        <v/>
      </c>
      <c r="T1853" t="str">
        <f>IFERROR(VLOOKUP(H1853,'VALORES VIAJES'!$A$2:$B$24,2,FALSE),"")</f>
        <v/>
      </c>
      <c r="U1853" t="str">
        <f>IFERROR(VLOOKUP(I1853,'VALORES VIAJES'!$A$2:$B$24,2,FALSE),"")</f>
        <v/>
      </c>
      <c r="V1853" t="str">
        <f>IFERROR(VLOOKUP(K1853,'VALORES VIAJES'!$A$2:$B$24,2,FALSE),"")</f>
        <v/>
      </c>
      <c r="X1853" s="208">
        <f>SUM(Hoja1[[#This Row],[$ X TIP VEHICUL]:[AGREGADO]])</f>
        <v>0</v>
      </c>
    </row>
    <row r="1854" spans="2:24" hidden="1" x14ac:dyDescent="0.25">
      <c r="B1854" s="189"/>
      <c r="J1854" s="189"/>
      <c r="M1854" s="205"/>
      <c r="S1854" t="str">
        <f>IFERROR(VLOOKUP(E1854,'VALORES VIAJES'!$A$2:$B$13,2,FALSE),"")</f>
        <v/>
      </c>
      <c r="T1854" t="str">
        <f>IFERROR(VLOOKUP(H1854,'VALORES VIAJES'!$A$2:$B$24,2,FALSE),"")</f>
        <v/>
      </c>
      <c r="U1854" t="str">
        <f>IFERROR(VLOOKUP(I1854,'VALORES VIAJES'!$A$2:$B$24,2,FALSE),"")</f>
        <v/>
      </c>
      <c r="V1854" t="str">
        <f>IFERROR(VLOOKUP(K1854,'VALORES VIAJES'!$A$2:$B$24,2,FALSE),"")</f>
        <v/>
      </c>
      <c r="X1854" s="208">
        <f>SUM(Hoja1[[#This Row],[$ X TIP VEHICUL]:[AGREGADO]])</f>
        <v>0</v>
      </c>
    </row>
    <row r="1855" spans="2:24" hidden="1" x14ac:dyDescent="0.25">
      <c r="B1855" s="189"/>
      <c r="J1855" s="189"/>
      <c r="M1855" s="205"/>
      <c r="S1855" t="str">
        <f>IFERROR(VLOOKUP(E1855,'VALORES VIAJES'!$A$2:$B$13,2,FALSE),"")</f>
        <v/>
      </c>
      <c r="T1855" t="str">
        <f>IFERROR(VLOOKUP(H1855,'VALORES VIAJES'!$A$2:$B$24,2,FALSE),"")</f>
        <v/>
      </c>
      <c r="U1855" t="str">
        <f>IFERROR(VLOOKUP(I1855,'VALORES VIAJES'!$A$2:$B$24,2,FALSE),"")</f>
        <v/>
      </c>
      <c r="V1855" t="str">
        <f>IFERROR(VLOOKUP(K1855,'VALORES VIAJES'!$A$2:$B$24,2,FALSE),"")</f>
        <v/>
      </c>
      <c r="X1855" s="208">
        <f>SUM(Hoja1[[#This Row],[$ X TIP VEHICUL]:[AGREGADO]])</f>
        <v>0</v>
      </c>
    </row>
    <row r="1856" spans="2:24" hidden="1" x14ac:dyDescent="0.25">
      <c r="B1856" s="189"/>
      <c r="J1856" s="189"/>
      <c r="M1856" s="205"/>
      <c r="S1856" t="str">
        <f>IFERROR(VLOOKUP(E1856,'VALORES VIAJES'!$A$2:$B$13,2,FALSE),"")</f>
        <v/>
      </c>
      <c r="T1856" t="str">
        <f>IFERROR(VLOOKUP(H1856,'VALORES VIAJES'!$A$2:$B$24,2,FALSE),"")</f>
        <v/>
      </c>
      <c r="U1856" t="str">
        <f>IFERROR(VLOOKUP(I1856,'VALORES VIAJES'!$A$2:$B$24,2,FALSE),"")</f>
        <v/>
      </c>
      <c r="V1856" t="str">
        <f>IFERROR(VLOOKUP(K1856,'VALORES VIAJES'!$A$2:$B$24,2,FALSE),"")</f>
        <v/>
      </c>
      <c r="X1856" s="208">
        <f>SUM(Hoja1[[#This Row],[$ X TIP VEHICUL]:[AGREGADO]])</f>
        <v>0</v>
      </c>
    </row>
    <row r="1857" spans="2:24" hidden="1" x14ac:dyDescent="0.25">
      <c r="B1857" s="189"/>
      <c r="J1857" s="189"/>
      <c r="M1857" s="205"/>
      <c r="S1857" t="str">
        <f>IFERROR(VLOOKUP(E1857,'VALORES VIAJES'!$A$2:$B$13,2,FALSE),"")</f>
        <v/>
      </c>
      <c r="T1857" t="str">
        <f>IFERROR(VLOOKUP(H1857,'VALORES VIAJES'!$A$2:$B$24,2,FALSE),"")</f>
        <v/>
      </c>
      <c r="U1857" t="str">
        <f>IFERROR(VLOOKUP(I1857,'VALORES VIAJES'!$A$2:$B$24,2,FALSE),"")</f>
        <v/>
      </c>
      <c r="V1857" t="str">
        <f>IFERROR(VLOOKUP(K1857,'VALORES VIAJES'!$A$2:$B$24,2,FALSE),"")</f>
        <v/>
      </c>
      <c r="X1857" s="208">
        <f>SUM(Hoja1[[#This Row],[$ X TIP VEHICUL]:[AGREGADO]])</f>
        <v>0</v>
      </c>
    </row>
    <row r="1858" spans="2:24" hidden="1" x14ac:dyDescent="0.25">
      <c r="B1858" s="189"/>
      <c r="J1858" s="189"/>
      <c r="M1858" s="205"/>
      <c r="S1858" t="str">
        <f>IFERROR(VLOOKUP(E1858,'VALORES VIAJES'!$A$2:$B$13,2,FALSE),"")</f>
        <v/>
      </c>
      <c r="T1858" t="str">
        <f>IFERROR(VLOOKUP(H1858,'VALORES VIAJES'!$A$2:$B$24,2,FALSE),"")</f>
        <v/>
      </c>
      <c r="U1858" t="str">
        <f>IFERROR(VLOOKUP(I1858,'VALORES VIAJES'!$A$2:$B$24,2,FALSE),"")</f>
        <v/>
      </c>
      <c r="V1858" t="str">
        <f>IFERROR(VLOOKUP(K1858,'VALORES VIAJES'!$A$2:$B$24,2,FALSE),"")</f>
        <v/>
      </c>
      <c r="X1858" s="208">
        <f>SUM(Hoja1[[#This Row],[$ X TIP VEHICUL]:[AGREGADO]])</f>
        <v>0</v>
      </c>
    </row>
    <row r="1859" spans="2:24" hidden="1" x14ac:dyDescent="0.25">
      <c r="B1859" s="189"/>
      <c r="J1859" s="189"/>
      <c r="M1859" s="205"/>
      <c r="S1859" t="str">
        <f>IFERROR(VLOOKUP(E1859,'VALORES VIAJES'!$A$2:$B$13,2,FALSE),"")</f>
        <v/>
      </c>
      <c r="T1859" t="str">
        <f>IFERROR(VLOOKUP(H1859,'VALORES VIAJES'!$A$2:$B$24,2,FALSE),"")</f>
        <v/>
      </c>
      <c r="U1859" t="str">
        <f>IFERROR(VLOOKUP(I1859,'VALORES VIAJES'!$A$2:$B$24,2,FALSE),"")</f>
        <v/>
      </c>
      <c r="V1859" t="str">
        <f>IFERROR(VLOOKUP(K1859,'VALORES VIAJES'!$A$2:$B$24,2,FALSE),"")</f>
        <v/>
      </c>
      <c r="X1859" s="208">
        <f>SUM(Hoja1[[#This Row],[$ X TIP VEHICUL]:[AGREGADO]])</f>
        <v>0</v>
      </c>
    </row>
    <row r="1860" spans="2:24" hidden="1" x14ac:dyDescent="0.25">
      <c r="B1860" s="189"/>
      <c r="J1860" s="189"/>
      <c r="M1860" s="205"/>
      <c r="S1860" t="str">
        <f>IFERROR(VLOOKUP(E1860,'VALORES VIAJES'!$A$2:$B$13,2,FALSE),"")</f>
        <v/>
      </c>
      <c r="T1860" t="str">
        <f>IFERROR(VLOOKUP(H1860,'VALORES VIAJES'!$A$2:$B$24,2,FALSE),"")</f>
        <v/>
      </c>
      <c r="U1860" t="str">
        <f>IFERROR(VLOOKUP(I1860,'VALORES VIAJES'!$A$2:$B$24,2,FALSE),"")</f>
        <v/>
      </c>
      <c r="V1860" t="str">
        <f>IFERROR(VLOOKUP(K1860,'VALORES VIAJES'!$A$2:$B$24,2,FALSE),"")</f>
        <v/>
      </c>
      <c r="X1860" s="208">
        <f>SUM(Hoja1[[#This Row],[$ X TIP VEHICUL]:[AGREGADO]])</f>
        <v>0</v>
      </c>
    </row>
    <row r="1861" spans="2:24" hidden="1" x14ac:dyDescent="0.25">
      <c r="B1861" s="189"/>
      <c r="J1861" s="189"/>
      <c r="M1861" s="205"/>
      <c r="S1861" t="str">
        <f>IFERROR(VLOOKUP(E1861,'VALORES VIAJES'!$A$2:$B$13,2,FALSE),"")</f>
        <v/>
      </c>
      <c r="T1861" t="str">
        <f>IFERROR(VLOOKUP(H1861,'VALORES VIAJES'!$A$2:$B$24,2,FALSE),"")</f>
        <v/>
      </c>
      <c r="U1861" t="str">
        <f>IFERROR(VLOOKUP(I1861,'VALORES VIAJES'!$A$2:$B$24,2,FALSE),"")</f>
        <v/>
      </c>
      <c r="V1861" t="str">
        <f>IFERROR(VLOOKUP(K1861,'VALORES VIAJES'!$A$2:$B$24,2,FALSE),"")</f>
        <v/>
      </c>
      <c r="X1861" s="208">
        <f>SUM(Hoja1[[#This Row],[$ X TIP VEHICUL]:[AGREGADO]])</f>
        <v>0</v>
      </c>
    </row>
    <row r="1862" spans="2:24" hidden="1" x14ac:dyDescent="0.25">
      <c r="B1862" s="189"/>
      <c r="J1862" s="189"/>
      <c r="M1862" s="205"/>
      <c r="S1862" t="str">
        <f>IFERROR(VLOOKUP(E1862,'VALORES VIAJES'!$A$2:$B$13,2,FALSE),"")</f>
        <v/>
      </c>
      <c r="T1862" t="str">
        <f>IFERROR(VLOOKUP(H1862,'VALORES VIAJES'!$A$2:$B$24,2,FALSE),"")</f>
        <v/>
      </c>
      <c r="U1862" t="str">
        <f>IFERROR(VLOOKUP(I1862,'VALORES VIAJES'!$A$2:$B$24,2,FALSE),"")</f>
        <v/>
      </c>
      <c r="V1862" t="str">
        <f>IFERROR(VLOOKUP(K1862,'VALORES VIAJES'!$A$2:$B$24,2,FALSE),"")</f>
        <v/>
      </c>
      <c r="X1862" s="208">
        <f>SUM(Hoja1[[#This Row],[$ X TIP VEHICUL]:[AGREGADO]])</f>
        <v>0</v>
      </c>
    </row>
    <row r="1863" spans="2:24" hidden="1" x14ac:dyDescent="0.25">
      <c r="B1863" s="189"/>
      <c r="J1863" s="189"/>
      <c r="M1863" s="205"/>
      <c r="S1863" t="str">
        <f>IFERROR(VLOOKUP(E1863,'VALORES VIAJES'!$A$2:$B$13,2,FALSE),"")</f>
        <v/>
      </c>
      <c r="T1863" t="str">
        <f>IFERROR(VLOOKUP(H1863,'VALORES VIAJES'!$A$2:$B$24,2,FALSE),"")</f>
        <v/>
      </c>
      <c r="U1863" t="str">
        <f>IFERROR(VLOOKUP(I1863,'VALORES VIAJES'!$A$2:$B$24,2,FALSE),"")</f>
        <v/>
      </c>
      <c r="V1863" t="str">
        <f>IFERROR(VLOOKUP(K1863,'VALORES VIAJES'!$A$2:$B$24,2,FALSE),"")</f>
        <v/>
      </c>
      <c r="X1863" s="208">
        <f>SUM(Hoja1[[#This Row],[$ X TIP VEHICUL]:[AGREGADO]])</f>
        <v>0</v>
      </c>
    </row>
    <row r="1864" spans="2:24" hidden="1" x14ac:dyDescent="0.25">
      <c r="B1864" s="189"/>
      <c r="J1864" s="189"/>
      <c r="M1864" s="205"/>
      <c r="S1864" t="str">
        <f>IFERROR(VLOOKUP(E1864,'VALORES VIAJES'!$A$2:$B$13,2,FALSE),"")</f>
        <v/>
      </c>
      <c r="T1864" t="str">
        <f>IFERROR(VLOOKUP(H1864,'VALORES VIAJES'!$A$2:$B$24,2,FALSE),"")</f>
        <v/>
      </c>
      <c r="U1864" t="str">
        <f>IFERROR(VLOOKUP(I1864,'VALORES VIAJES'!$A$2:$B$24,2,FALSE),"")</f>
        <v/>
      </c>
      <c r="V1864" t="str">
        <f>IFERROR(VLOOKUP(K1864,'VALORES VIAJES'!$A$2:$B$24,2,FALSE),"")</f>
        <v/>
      </c>
      <c r="X1864" s="208">
        <f>SUM(Hoja1[[#This Row],[$ X TIP VEHICUL]:[AGREGADO]])</f>
        <v>0</v>
      </c>
    </row>
    <row r="1865" spans="2:24" hidden="1" x14ac:dyDescent="0.25">
      <c r="B1865" s="189"/>
      <c r="J1865" s="189"/>
      <c r="M1865" s="205"/>
      <c r="S1865" t="str">
        <f>IFERROR(VLOOKUP(E1865,'VALORES VIAJES'!$A$2:$B$13,2,FALSE),"")</f>
        <v/>
      </c>
      <c r="T1865" t="str">
        <f>IFERROR(VLOOKUP(H1865,'VALORES VIAJES'!$A$2:$B$24,2,FALSE),"")</f>
        <v/>
      </c>
      <c r="U1865" t="str">
        <f>IFERROR(VLOOKUP(I1865,'VALORES VIAJES'!$A$2:$B$24,2,FALSE),"")</f>
        <v/>
      </c>
      <c r="V1865" t="str">
        <f>IFERROR(VLOOKUP(K1865,'VALORES VIAJES'!$A$2:$B$24,2,FALSE),"")</f>
        <v/>
      </c>
      <c r="X1865" s="208">
        <f>SUM(Hoja1[[#This Row],[$ X TIP VEHICUL]:[AGREGADO]])</f>
        <v>0</v>
      </c>
    </row>
    <row r="1866" spans="2:24" hidden="1" x14ac:dyDescent="0.25">
      <c r="B1866" s="189"/>
      <c r="J1866" s="189"/>
      <c r="M1866" s="205"/>
      <c r="S1866" t="str">
        <f>IFERROR(VLOOKUP(E1866,'VALORES VIAJES'!$A$2:$B$13,2,FALSE),"")</f>
        <v/>
      </c>
      <c r="T1866" t="str">
        <f>IFERROR(VLOOKUP(H1866,'VALORES VIAJES'!$A$2:$B$24,2,FALSE),"")</f>
        <v/>
      </c>
      <c r="U1866" t="str">
        <f>IFERROR(VLOOKUP(I1866,'VALORES VIAJES'!$A$2:$B$24,2,FALSE),"")</f>
        <v/>
      </c>
      <c r="V1866" t="str">
        <f>IFERROR(VLOOKUP(K1866,'VALORES VIAJES'!$A$2:$B$24,2,FALSE),"")</f>
        <v/>
      </c>
      <c r="X1866" s="208">
        <f>SUM(Hoja1[[#This Row],[$ X TIP VEHICUL]:[AGREGADO]])</f>
        <v>0</v>
      </c>
    </row>
    <row r="1867" spans="2:24" hidden="1" x14ac:dyDescent="0.25">
      <c r="B1867" s="189"/>
      <c r="J1867" s="189"/>
      <c r="M1867" s="205"/>
      <c r="S1867" t="str">
        <f>IFERROR(VLOOKUP(E1867,'VALORES VIAJES'!$A$2:$B$13,2,FALSE),"")</f>
        <v/>
      </c>
      <c r="T1867" t="str">
        <f>IFERROR(VLOOKUP(H1867,'VALORES VIAJES'!$A$2:$B$24,2,FALSE),"")</f>
        <v/>
      </c>
      <c r="U1867" t="str">
        <f>IFERROR(VLOOKUP(I1867,'VALORES VIAJES'!$A$2:$B$24,2,FALSE),"")</f>
        <v/>
      </c>
      <c r="V1867" t="str">
        <f>IFERROR(VLOOKUP(K1867,'VALORES VIAJES'!$A$2:$B$24,2,FALSE),"")</f>
        <v/>
      </c>
      <c r="X1867" s="208">
        <f>SUM(Hoja1[[#This Row],[$ X TIP VEHICUL]:[AGREGADO]])</f>
        <v>0</v>
      </c>
    </row>
    <row r="1868" spans="2:24" hidden="1" x14ac:dyDescent="0.25">
      <c r="B1868" s="189"/>
      <c r="J1868" s="189"/>
      <c r="M1868" s="205"/>
      <c r="S1868" t="str">
        <f>IFERROR(VLOOKUP(E1868,'VALORES VIAJES'!$A$2:$B$13,2,FALSE),"")</f>
        <v/>
      </c>
      <c r="T1868" t="str">
        <f>IFERROR(VLOOKUP(H1868,'VALORES VIAJES'!$A$2:$B$24,2,FALSE),"")</f>
        <v/>
      </c>
      <c r="U1868" t="str">
        <f>IFERROR(VLOOKUP(I1868,'VALORES VIAJES'!$A$2:$B$24,2,FALSE),"")</f>
        <v/>
      </c>
      <c r="V1868" t="str">
        <f>IFERROR(VLOOKUP(K1868,'VALORES VIAJES'!$A$2:$B$24,2,FALSE),"")</f>
        <v/>
      </c>
      <c r="X1868" s="208">
        <f>SUM(Hoja1[[#This Row],[$ X TIP VEHICUL]:[AGREGADO]])</f>
        <v>0</v>
      </c>
    </row>
    <row r="1869" spans="2:24" hidden="1" x14ac:dyDescent="0.25">
      <c r="B1869" s="189"/>
      <c r="J1869" s="189"/>
      <c r="M1869" s="205"/>
      <c r="S1869" t="str">
        <f>IFERROR(VLOOKUP(E1869,'VALORES VIAJES'!$A$2:$B$13,2,FALSE),"")</f>
        <v/>
      </c>
      <c r="T1869" t="str">
        <f>IFERROR(VLOOKUP(H1869,'VALORES VIAJES'!$A$2:$B$24,2,FALSE),"")</f>
        <v/>
      </c>
      <c r="U1869" t="str">
        <f>IFERROR(VLOOKUP(I1869,'VALORES VIAJES'!$A$2:$B$24,2,FALSE),"")</f>
        <v/>
      </c>
      <c r="V1869" t="str">
        <f>IFERROR(VLOOKUP(K1869,'VALORES VIAJES'!$A$2:$B$24,2,FALSE),"")</f>
        <v/>
      </c>
      <c r="X1869" s="208">
        <f>SUM(Hoja1[[#This Row],[$ X TIP VEHICUL]:[AGREGADO]])</f>
        <v>0</v>
      </c>
    </row>
    <row r="1870" spans="2:24" hidden="1" x14ac:dyDescent="0.25">
      <c r="B1870" s="189"/>
      <c r="J1870" s="189"/>
      <c r="M1870" s="205"/>
      <c r="S1870" t="str">
        <f>IFERROR(VLOOKUP(E1870,'VALORES VIAJES'!$A$2:$B$13,2,FALSE),"")</f>
        <v/>
      </c>
      <c r="T1870" t="str">
        <f>IFERROR(VLOOKUP(H1870,'VALORES VIAJES'!$A$2:$B$24,2,FALSE),"")</f>
        <v/>
      </c>
      <c r="U1870" t="str">
        <f>IFERROR(VLOOKUP(I1870,'VALORES VIAJES'!$A$2:$B$24,2,FALSE),"")</f>
        <v/>
      </c>
      <c r="V1870" t="str">
        <f>IFERROR(VLOOKUP(K1870,'VALORES VIAJES'!$A$2:$B$24,2,FALSE),"")</f>
        <v/>
      </c>
      <c r="X1870" s="208">
        <f>SUM(Hoja1[[#This Row],[$ X TIP VEHICUL]:[AGREGADO]])</f>
        <v>0</v>
      </c>
    </row>
    <row r="1871" spans="2:24" hidden="1" x14ac:dyDescent="0.25">
      <c r="B1871" s="189"/>
      <c r="J1871" s="189"/>
      <c r="M1871" s="205"/>
      <c r="S1871" t="str">
        <f>IFERROR(VLOOKUP(E1871,'VALORES VIAJES'!$A$2:$B$13,2,FALSE),"")</f>
        <v/>
      </c>
      <c r="T1871" t="str">
        <f>IFERROR(VLOOKUP(H1871,'VALORES VIAJES'!$A$2:$B$24,2,FALSE),"")</f>
        <v/>
      </c>
      <c r="U1871" t="str">
        <f>IFERROR(VLOOKUP(I1871,'VALORES VIAJES'!$A$2:$B$24,2,FALSE),"")</f>
        <v/>
      </c>
      <c r="V1871" t="str">
        <f>IFERROR(VLOOKUP(K1871,'VALORES VIAJES'!$A$2:$B$24,2,FALSE),"")</f>
        <v/>
      </c>
      <c r="X1871" s="208">
        <f>SUM(Hoja1[[#This Row],[$ X TIP VEHICUL]:[AGREGADO]])</f>
        <v>0</v>
      </c>
    </row>
    <row r="1872" spans="2:24" hidden="1" x14ac:dyDescent="0.25">
      <c r="B1872" s="189"/>
      <c r="J1872" s="189"/>
      <c r="M1872" s="205"/>
      <c r="S1872" t="str">
        <f>IFERROR(VLOOKUP(E1872,'VALORES VIAJES'!$A$2:$B$13,2,FALSE),"")</f>
        <v/>
      </c>
      <c r="T1872" t="str">
        <f>IFERROR(VLOOKUP(H1872,'VALORES VIAJES'!$A$2:$B$24,2,FALSE),"")</f>
        <v/>
      </c>
      <c r="U1872" t="str">
        <f>IFERROR(VLOOKUP(I1872,'VALORES VIAJES'!$A$2:$B$24,2,FALSE),"")</f>
        <v/>
      </c>
      <c r="V1872" t="str">
        <f>IFERROR(VLOOKUP(K1872,'VALORES VIAJES'!$A$2:$B$24,2,FALSE),"")</f>
        <v/>
      </c>
      <c r="X1872" s="208">
        <f>SUM(Hoja1[[#This Row],[$ X TIP VEHICUL]:[AGREGADO]])</f>
        <v>0</v>
      </c>
    </row>
    <row r="1873" spans="2:24" hidden="1" x14ac:dyDescent="0.25">
      <c r="B1873" s="189"/>
      <c r="J1873" s="189"/>
      <c r="M1873" s="205"/>
      <c r="S1873" t="str">
        <f>IFERROR(VLOOKUP(E1873,'VALORES VIAJES'!$A$2:$B$13,2,FALSE),"")</f>
        <v/>
      </c>
      <c r="T1873" t="str">
        <f>IFERROR(VLOOKUP(H1873,'VALORES VIAJES'!$A$2:$B$24,2,FALSE),"")</f>
        <v/>
      </c>
      <c r="U1873" t="str">
        <f>IFERROR(VLOOKUP(I1873,'VALORES VIAJES'!$A$2:$B$24,2,FALSE),"")</f>
        <v/>
      </c>
      <c r="V1873" t="str">
        <f>IFERROR(VLOOKUP(K1873,'VALORES VIAJES'!$A$2:$B$24,2,FALSE),"")</f>
        <v/>
      </c>
      <c r="X1873" s="208">
        <f>SUM(Hoja1[[#This Row],[$ X TIP VEHICUL]:[AGREGADO]])</f>
        <v>0</v>
      </c>
    </row>
    <row r="1874" spans="2:24" hidden="1" x14ac:dyDescent="0.25">
      <c r="B1874" s="189"/>
      <c r="J1874" s="189"/>
      <c r="M1874" s="205"/>
      <c r="S1874" t="str">
        <f>IFERROR(VLOOKUP(E1874,'VALORES VIAJES'!$A$2:$B$13,2,FALSE),"")</f>
        <v/>
      </c>
      <c r="T1874" t="str">
        <f>IFERROR(VLOOKUP(H1874,'VALORES VIAJES'!$A$2:$B$24,2,FALSE),"")</f>
        <v/>
      </c>
      <c r="U1874" t="str">
        <f>IFERROR(VLOOKUP(I1874,'VALORES VIAJES'!$A$2:$B$24,2,FALSE),"")</f>
        <v/>
      </c>
      <c r="V1874" t="str">
        <f>IFERROR(VLOOKUP(K1874,'VALORES VIAJES'!$A$2:$B$24,2,FALSE),"")</f>
        <v/>
      </c>
      <c r="X1874" s="208">
        <f>SUM(Hoja1[[#This Row],[$ X TIP VEHICUL]:[AGREGADO]])</f>
        <v>0</v>
      </c>
    </row>
    <row r="1875" spans="2:24" hidden="1" x14ac:dyDescent="0.25">
      <c r="B1875" s="189"/>
      <c r="J1875" s="189"/>
      <c r="M1875" s="205"/>
      <c r="S1875" t="str">
        <f>IFERROR(VLOOKUP(E1875,'VALORES VIAJES'!$A$2:$B$13,2,FALSE),"")</f>
        <v/>
      </c>
      <c r="T1875" t="str">
        <f>IFERROR(VLOOKUP(H1875,'VALORES VIAJES'!$A$2:$B$24,2,FALSE),"")</f>
        <v/>
      </c>
      <c r="U1875" t="str">
        <f>IFERROR(VLOOKUP(I1875,'VALORES VIAJES'!$A$2:$B$24,2,FALSE),"")</f>
        <v/>
      </c>
      <c r="V1875" t="str">
        <f>IFERROR(VLOOKUP(K1875,'VALORES VIAJES'!$A$2:$B$24,2,FALSE),"")</f>
        <v/>
      </c>
      <c r="X1875" s="208">
        <f>SUM(Hoja1[[#This Row],[$ X TIP VEHICUL]:[AGREGADO]])</f>
        <v>0</v>
      </c>
    </row>
    <row r="1876" spans="2:24" hidden="1" x14ac:dyDescent="0.25">
      <c r="B1876" s="189"/>
      <c r="J1876" s="189"/>
      <c r="M1876" s="205"/>
      <c r="S1876" t="str">
        <f>IFERROR(VLOOKUP(E1876,'VALORES VIAJES'!$A$2:$B$13,2,FALSE),"")</f>
        <v/>
      </c>
      <c r="T1876" t="str">
        <f>IFERROR(VLOOKUP(H1876,'VALORES VIAJES'!$A$2:$B$24,2,FALSE),"")</f>
        <v/>
      </c>
      <c r="U1876" t="str">
        <f>IFERROR(VLOOKUP(I1876,'VALORES VIAJES'!$A$2:$B$24,2,FALSE),"")</f>
        <v/>
      </c>
      <c r="V1876" t="str">
        <f>IFERROR(VLOOKUP(K1876,'VALORES VIAJES'!$A$2:$B$24,2,FALSE),"")</f>
        <v/>
      </c>
      <c r="X1876" s="208">
        <f>SUM(Hoja1[[#This Row],[$ X TIP VEHICUL]:[AGREGADO]])</f>
        <v>0</v>
      </c>
    </row>
    <row r="1877" spans="2:24" hidden="1" x14ac:dyDescent="0.25">
      <c r="B1877" s="189"/>
      <c r="J1877" s="189"/>
      <c r="M1877" s="205"/>
      <c r="S1877" t="str">
        <f>IFERROR(VLOOKUP(E1877,'VALORES VIAJES'!$A$2:$B$13,2,FALSE),"")</f>
        <v/>
      </c>
      <c r="T1877" t="str">
        <f>IFERROR(VLOOKUP(H1877,'VALORES VIAJES'!$A$2:$B$24,2,FALSE),"")</f>
        <v/>
      </c>
      <c r="U1877" t="str">
        <f>IFERROR(VLOOKUP(I1877,'VALORES VIAJES'!$A$2:$B$24,2,FALSE),"")</f>
        <v/>
      </c>
      <c r="V1877" t="str">
        <f>IFERROR(VLOOKUP(K1877,'VALORES VIAJES'!$A$2:$B$24,2,FALSE),"")</f>
        <v/>
      </c>
      <c r="X1877" s="208">
        <f>SUM(Hoja1[[#This Row],[$ X TIP VEHICUL]:[AGREGADO]])</f>
        <v>0</v>
      </c>
    </row>
    <row r="1878" spans="2:24" hidden="1" x14ac:dyDescent="0.25">
      <c r="B1878" s="189"/>
      <c r="J1878" s="189"/>
      <c r="M1878" s="205"/>
      <c r="S1878" t="str">
        <f>IFERROR(VLOOKUP(E1878,'VALORES VIAJES'!$A$2:$B$13,2,FALSE),"")</f>
        <v/>
      </c>
      <c r="T1878" t="str">
        <f>IFERROR(VLOOKUP(H1878,'VALORES VIAJES'!$A$2:$B$24,2,FALSE),"")</f>
        <v/>
      </c>
      <c r="U1878" t="str">
        <f>IFERROR(VLOOKUP(I1878,'VALORES VIAJES'!$A$2:$B$24,2,FALSE),"")</f>
        <v/>
      </c>
      <c r="V1878" t="str">
        <f>IFERROR(VLOOKUP(K1878,'VALORES VIAJES'!$A$2:$B$24,2,FALSE),"")</f>
        <v/>
      </c>
      <c r="X1878" s="208">
        <f>SUM(Hoja1[[#This Row],[$ X TIP VEHICUL]:[AGREGADO]])</f>
        <v>0</v>
      </c>
    </row>
    <row r="1879" spans="2:24" hidden="1" x14ac:dyDescent="0.25">
      <c r="B1879" s="189"/>
      <c r="J1879" s="189"/>
      <c r="M1879" s="205"/>
      <c r="S1879" t="str">
        <f>IFERROR(VLOOKUP(E1879,'VALORES VIAJES'!$A$2:$B$13,2,FALSE),"")</f>
        <v/>
      </c>
      <c r="T1879" t="str">
        <f>IFERROR(VLOOKUP(H1879,'VALORES VIAJES'!$A$2:$B$24,2,FALSE),"")</f>
        <v/>
      </c>
      <c r="U1879" t="str">
        <f>IFERROR(VLOOKUP(I1879,'VALORES VIAJES'!$A$2:$B$24,2,FALSE),"")</f>
        <v/>
      </c>
      <c r="V1879" t="str">
        <f>IFERROR(VLOOKUP(K1879,'VALORES VIAJES'!$A$2:$B$24,2,FALSE),"")</f>
        <v/>
      </c>
      <c r="X1879" s="208">
        <f>SUM(Hoja1[[#This Row],[$ X TIP VEHICUL]:[AGREGADO]])</f>
        <v>0</v>
      </c>
    </row>
    <row r="1880" spans="2:24" hidden="1" x14ac:dyDescent="0.25">
      <c r="B1880" s="189"/>
      <c r="J1880" s="189"/>
      <c r="M1880" s="205"/>
      <c r="S1880" t="str">
        <f>IFERROR(VLOOKUP(E1880,'VALORES VIAJES'!$A$2:$B$13,2,FALSE),"")</f>
        <v/>
      </c>
      <c r="T1880" t="str">
        <f>IFERROR(VLOOKUP(H1880,'VALORES VIAJES'!$A$2:$B$24,2,FALSE),"")</f>
        <v/>
      </c>
      <c r="U1880" t="str">
        <f>IFERROR(VLOOKUP(I1880,'VALORES VIAJES'!$A$2:$B$24,2,FALSE),"")</f>
        <v/>
      </c>
      <c r="V1880" t="str">
        <f>IFERROR(VLOOKUP(K1880,'VALORES VIAJES'!$A$2:$B$24,2,FALSE),"")</f>
        <v/>
      </c>
      <c r="X1880" s="208">
        <f>SUM(Hoja1[[#This Row],[$ X TIP VEHICUL]:[AGREGADO]])</f>
        <v>0</v>
      </c>
    </row>
    <row r="1881" spans="2:24" hidden="1" x14ac:dyDescent="0.25">
      <c r="B1881" s="189"/>
      <c r="J1881" s="189"/>
      <c r="M1881" s="205"/>
      <c r="S1881" t="str">
        <f>IFERROR(VLOOKUP(E1881,'VALORES VIAJES'!$A$2:$B$13,2,FALSE),"")</f>
        <v/>
      </c>
      <c r="T1881" t="str">
        <f>IFERROR(VLOOKUP(H1881,'VALORES VIAJES'!$A$2:$B$24,2,FALSE),"")</f>
        <v/>
      </c>
      <c r="U1881" t="str">
        <f>IFERROR(VLOOKUP(I1881,'VALORES VIAJES'!$A$2:$B$24,2,FALSE),"")</f>
        <v/>
      </c>
      <c r="V1881" t="str">
        <f>IFERROR(VLOOKUP(K1881,'VALORES VIAJES'!$A$2:$B$24,2,FALSE),"")</f>
        <v/>
      </c>
      <c r="X1881" s="208">
        <f>SUM(Hoja1[[#This Row],[$ X TIP VEHICUL]:[AGREGADO]])</f>
        <v>0</v>
      </c>
    </row>
    <row r="1882" spans="2:24" hidden="1" x14ac:dyDescent="0.25">
      <c r="B1882" s="189"/>
      <c r="J1882" s="189"/>
      <c r="M1882" s="205"/>
      <c r="S1882" t="str">
        <f>IFERROR(VLOOKUP(E1882,'VALORES VIAJES'!$A$2:$B$13,2,FALSE),"")</f>
        <v/>
      </c>
      <c r="T1882" t="str">
        <f>IFERROR(VLOOKUP(H1882,'VALORES VIAJES'!$A$2:$B$24,2,FALSE),"")</f>
        <v/>
      </c>
      <c r="U1882" t="str">
        <f>IFERROR(VLOOKUP(I1882,'VALORES VIAJES'!$A$2:$B$24,2,FALSE),"")</f>
        <v/>
      </c>
      <c r="V1882" t="str">
        <f>IFERROR(VLOOKUP(K1882,'VALORES VIAJES'!$A$2:$B$24,2,FALSE),"")</f>
        <v/>
      </c>
      <c r="X1882" s="208">
        <f>SUM(Hoja1[[#This Row],[$ X TIP VEHICUL]:[AGREGADO]])</f>
        <v>0</v>
      </c>
    </row>
    <row r="1883" spans="2:24" hidden="1" x14ac:dyDescent="0.25">
      <c r="B1883" s="189"/>
      <c r="J1883" s="189"/>
      <c r="M1883" s="205"/>
      <c r="S1883" t="str">
        <f>IFERROR(VLOOKUP(E1883,'VALORES VIAJES'!$A$2:$B$13,2,FALSE),"")</f>
        <v/>
      </c>
      <c r="T1883" t="str">
        <f>IFERROR(VLOOKUP(H1883,'VALORES VIAJES'!$A$2:$B$24,2,FALSE),"")</f>
        <v/>
      </c>
      <c r="U1883" t="str">
        <f>IFERROR(VLOOKUP(I1883,'VALORES VIAJES'!$A$2:$B$24,2,FALSE),"")</f>
        <v/>
      </c>
      <c r="V1883" t="str">
        <f>IFERROR(VLOOKUP(K1883,'VALORES VIAJES'!$A$2:$B$24,2,FALSE),"")</f>
        <v/>
      </c>
      <c r="X1883" s="208">
        <f>SUM(Hoja1[[#This Row],[$ X TIP VEHICUL]:[AGREGADO]])</f>
        <v>0</v>
      </c>
    </row>
    <row r="1884" spans="2:24" hidden="1" x14ac:dyDescent="0.25">
      <c r="B1884" s="189"/>
      <c r="J1884" s="189"/>
      <c r="M1884" s="205"/>
      <c r="S1884" t="str">
        <f>IFERROR(VLOOKUP(E1884,'VALORES VIAJES'!$A$2:$B$13,2,FALSE),"")</f>
        <v/>
      </c>
      <c r="T1884" t="str">
        <f>IFERROR(VLOOKUP(H1884,'VALORES VIAJES'!$A$2:$B$24,2,FALSE),"")</f>
        <v/>
      </c>
      <c r="U1884" t="str">
        <f>IFERROR(VLOOKUP(I1884,'VALORES VIAJES'!$A$2:$B$24,2,FALSE),"")</f>
        <v/>
      </c>
      <c r="V1884" t="str">
        <f>IFERROR(VLOOKUP(K1884,'VALORES VIAJES'!$A$2:$B$24,2,FALSE),"")</f>
        <v/>
      </c>
      <c r="X1884" s="208">
        <f>SUM(Hoja1[[#This Row],[$ X TIP VEHICUL]:[AGREGADO]])</f>
        <v>0</v>
      </c>
    </row>
    <row r="1885" spans="2:24" hidden="1" x14ac:dyDescent="0.25">
      <c r="B1885" s="189"/>
      <c r="J1885" s="189"/>
      <c r="M1885" s="205"/>
      <c r="S1885" t="str">
        <f>IFERROR(VLOOKUP(E1885,'VALORES VIAJES'!$A$2:$B$13,2,FALSE),"")</f>
        <v/>
      </c>
      <c r="T1885" t="str">
        <f>IFERROR(VLOOKUP(H1885,'VALORES VIAJES'!$A$2:$B$24,2,FALSE),"")</f>
        <v/>
      </c>
      <c r="U1885" t="str">
        <f>IFERROR(VLOOKUP(I1885,'VALORES VIAJES'!$A$2:$B$24,2,FALSE),"")</f>
        <v/>
      </c>
      <c r="V1885" t="str">
        <f>IFERROR(VLOOKUP(K1885,'VALORES VIAJES'!$A$2:$B$24,2,FALSE),"")</f>
        <v/>
      </c>
      <c r="X1885" s="208">
        <f>SUM(Hoja1[[#This Row],[$ X TIP VEHICUL]:[AGREGADO]])</f>
        <v>0</v>
      </c>
    </row>
    <row r="1886" spans="2:24" hidden="1" x14ac:dyDescent="0.25">
      <c r="B1886" s="189"/>
      <c r="J1886" s="189"/>
      <c r="M1886" s="205"/>
      <c r="S1886" t="str">
        <f>IFERROR(VLOOKUP(E1886,'VALORES VIAJES'!$A$2:$B$13,2,FALSE),"")</f>
        <v/>
      </c>
      <c r="T1886" t="str">
        <f>IFERROR(VLOOKUP(H1886,'VALORES VIAJES'!$A$2:$B$24,2,FALSE),"")</f>
        <v/>
      </c>
      <c r="U1886" t="str">
        <f>IFERROR(VLOOKUP(I1886,'VALORES VIAJES'!$A$2:$B$24,2,FALSE),"")</f>
        <v/>
      </c>
      <c r="V1886" t="str">
        <f>IFERROR(VLOOKUP(K1886,'VALORES VIAJES'!$A$2:$B$24,2,FALSE),"")</f>
        <v/>
      </c>
      <c r="X1886" s="208">
        <f>SUM(Hoja1[[#This Row],[$ X TIP VEHICUL]:[AGREGADO]])</f>
        <v>0</v>
      </c>
    </row>
    <row r="1887" spans="2:24" hidden="1" x14ac:dyDescent="0.25">
      <c r="B1887" s="189"/>
      <c r="J1887" s="189"/>
      <c r="M1887" s="205"/>
      <c r="S1887" t="str">
        <f>IFERROR(VLOOKUP(E1887,'VALORES VIAJES'!$A$2:$B$13,2,FALSE),"")</f>
        <v/>
      </c>
      <c r="T1887" t="str">
        <f>IFERROR(VLOOKUP(H1887,'VALORES VIAJES'!$A$2:$B$24,2,FALSE),"")</f>
        <v/>
      </c>
      <c r="U1887" t="str">
        <f>IFERROR(VLOOKUP(I1887,'VALORES VIAJES'!$A$2:$B$24,2,FALSE),"")</f>
        <v/>
      </c>
      <c r="V1887" t="str">
        <f>IFERROR(VLOOKUP(K1887,'VALORES VIAJES'!$A$2:$B$24,2,FALSE),"")</f>
        <v/>
      </c>
      <c r="X1887" s="208">
        <f>SUM(Hoja1[[#This Row],[$ X TIP VEHICUL]:[AGREGADO]])</f>
        <v>0</v>
      </c>
    </row>
    <row r="1888" spans="2:24" hidden="1" x14ac:dyDescent="0.25">
      <c r="B1888" s="189"/>
      <c r="J1888" s="189"/>
      <c r="M1888" s="205"/>
      <c r="S1888" t="str">
        <f>IFERROR(VLOOKUP(E1888,'VALORES VIAJES'!$A$2:$B$13,2,FALSE),"")</f>
        <v/>
      </c>
      <c r="T1888" t="str">
        <f>IFERROR(VLOOKUP(H1888,'VALORES VIAJES'!$A$2:$B$24,2,FALSE),"")</f>
        <v/>
      </c>
      <c r="U1888" t="str">
        <f>IFERROR(VLOOKUP(I1888,'VALORES VIAJES'!$A$2:$B$24,2,FALSE),"")</f>
        <v/>
      </c>
      <c r="V1888" t="str">
        <f>IFERROR(VLOOKUP(K1888,'VALORES VIAJES'!$A$2:$B$24,2,FALSE),"")</f>
        <v/>
      </c>
      <c r="X1888" s="208">
        <f>SUM(Hoja1[[#This Row],[$ X TIP VEHICUL]:[AGREGADO]])</f>
        <v>0</v>
      </c>
    </row>
    <row r="1889" spans="2:24" hidden="1" x14ac:dyDescent="0.25">
      <c r="B1889" s="189"/>
      <c r="J1889" s="189"/>
      <c r="M1889" s="205"/>
      <c r="S1889" t="str">
        <f>IFERROR(VLOOKUP(E1889,'VALORES VIAJES'!$A$2:$B$13,2,FALSE),"")</f>
        <v/>
      </c>
      <c r="T1889" t="str">
        <f>IFERROR(VLOOKUP(H1889,'VALORES VIAJES'!$A$2:$B$24,2,FALSE),"")</f>
        <v/>
      </c>
      <c r="U1889" t="str">
        <f>IFERROR(VLOOKUP(I1889,'VALORES VIAJES'!$A$2:$B$24,2,FALSE),"")</f>
        <v/>
      </c>
      <c r="V1889" t="str">
        <f>IFERROR(VLOOKUP(K1889,'VALORES VIAJES'!$A$2:$B$24,2,FALSE),"")</f>
        <v/>
      </c>
      <c r="X1889" s="208">
        <f>SUM(Hoja1[[#This Row],[$ X TIP VEHICUL]:[AGREGADO]])</f>
        <v>0</v>
      </c>
    </row>
    <row r="1890" spans="2:24" hidden="1" x14ac:dyDescent="0.25">
      <c r="B1890" s="189"/>
      <c r="J1890" s="189"/>
      <c r="M1890" s="205"/>
      <c r="S1890" t="str">
        <f>IFERROR(VLOOKUP(E1890,'VALORES VIAJES'!$A$2:$B$13,2,FALSE),"")</f>
        <v/>
      </c>
      <c r="T1890" t="str">
        <f>IFERROR(VLOOKUP(H1890,'VALORES VIAJES'!$A$2:$B$24,2,FALSE),"")</f>
        <v/>
      </c>
      <c r="U1890" t="str">
        <f>IFERROR(VLOOKUP(I1890,'VALORES VIAJES'!$A$2:$B$24,2,FALSE),"")</f>
        <v/>
      </c>
      <c r="V1890" t="str">
        <f>IFERROR(VLOOKUP(K1890,'VALORES VIAJES'!$A$2:$B$24,2,FALSE),"")</f>
        <v/>
      </c>
      <c r="X1890" s="208">
        <f>SUM(Hoja1[[#This Row],[$ X TIP VEHICUL]:[AGREGADO]])</f>
        <v>0</v>
      </c>
    </row>
    <row r="1891" spans="2:24" hidden="1" x14ac:dyDescent="0.25">
      <c r="B1891" s="189"/>
      <c r="J1891" s="189"/>
      <c r="M1891" s="205"/>
      <c r="S1891" t="str">
        <f>IFERROR(VLOOKUP(E1891,'VALORES VIAJES'!$A$2:$B$13,2,FALSE),"")</f>
        <v/>
      </c>
      <c r="T1891" t="str">
        <f>IFERROR(VLOOKUP(H1891,'VALORES VIAJES'!$A$2:$B$24,2,FALSE),"")</f>
        <v/>
      </c>
      <c r="U1891" t="str">
        <f>IFERROR(VLOOKUP(I1891,'VALORES VIAJES'!$A$2:$B$24,2,FALSE),"")</f>
        <v/>
      </c>
      <c r="V1891" t="str">
        <f>IFERROR(VLOOKUP(K1891,'VALORES VIAJES'!$A$2:$B$24,2,FALSE),"")</f>
        <v/>
      </c>
      <c r="X1891" s="208">
        <f>SUM(Hoja1[[#This Row],[$ X TIP VEHICUL]:[AGREGADO]])</f>
        <v>0</v>
      </c>
    </row>
    <row r="1892" spans="2:24" hidden="1" x14ac:dyDescent="0.25">
      <c r="B1892" s="189"/>
      <c r="J1892" s="189"/>
      <c r="M1892" s="205"/>
      <c r="S1892" t="str">
        <f>IFERROR(VLOOKUP(E1892,'VALORES VIAJES'!$A$2:$B$13,2,FALSE),"")</f>
        <v/>
      </c>
      <c r="T1892" t="str">
        <f>IFERROR(VLOOKUP(H1892,'VALORES VIAJES'!$A$2:$B$24,2,FALSE),"")</f>
        <v/>
      </c>
      <c r="U1892" t="str">
        <f>IFERROR(VLOOKUP(I1892,'VALORES VIAJES'!$A$2:$B$24,2,FALSE),"")</f>
        <v/>
      </c>
      <c r="V1892" t="str">
        <f>IFERROR(VLOOKUP(K1892,'VALORES VIAJES'!$A$2:$B$24,2,FALSE),"")</f>
        <v/>
      </c>
      <c r="X1892" s="208">
        <f>SUM(Hoja1[[#This Row],[$ X TIP VEHICUL]:[AGREGADO]])</f>
        <v>0</v>
      </c>
    </row>
    <row r="1893" spans="2:24" hidden="1" x14ac:dyDescent="0.25">
      <c r="B1893" s="189"/>
      <c r="J1893" s="189"/>
      <c r="M1893" s="205"/>
      <c r="S1893" t="str">
        <f>IFERROR(VLOOKUP(E1893,'VALORES VIAJES'!$A$2:$B$13,2,FALSE),"")</f>
        <v/>
      </c>
      <c r="T1893" t="str">
        <f>IFERROR(VLOOKUP(H1893,'VALORES VIAJES'!$A$2:$B$24,2,FALSE),"")</f>
        <v/>
      </c>
      <c r="U1893" t="str">
        <f>IFERROR(VLOOKUP(I1893,'VALORES VIAJES'!$A$2:$B$24,2,FALSE),"")</f>
        <v/>
      </c>
      <c r="V1893" t="str">
        <f>IFERROR(VLOOKUP(K1893,'VALORES VIAJES'!$A$2:$B$24,2,FALSE),"")</f>
        <v/>
      </c>
      <c r="X1893" s="208">
        <f>SUM(Hoja1[[#This Row],[$ X TIP VEHICUL]:[AGREGADO]])</f>
        <v>0</v>
      </c>
    </row>
    <row r="1894" spans="2:24" hidden="1" x14ac:dyDescent="0.25">
      <c r="B1894" s="189"/>
      <c r="J1894" s="189"/>
      <c r="M1894" s="205"/>
      <c r="S1894" t="str">
        <f>IFERROR(VLOOKUP(E1894,'VALORES VIAJES'!$A$2:$B$13,2,FALSE),"")</f>
        <v/>
      </c>
      <c r="T1894" t="str">
        <f>IFERROR(VLOOKUP(H1894,'VALORES VIAJES'!$A$2:$B$24,2,FALSE),"")</f>
        <v/>
      </c>
      <c r="U1894" t="str">
        <f>IFERROR(VLOOKUP(I1894,'VALORES VIAJES'!$A$2:$B$24,2,FALSE),"")</f>
        <v/>
      </c>
      <c r="V1894" t="str">
        <f>IFERROR(VLOOKUP(K1894,'VALORES VIAJES'!$A$2:$B$24,2,FALSE),"")</f>
        <v/>
      </c>
      <c r="X1894" s="208">
        <f>SUM(Hoja1[[#This Row],[$ X TIP VEHICUL]:[AGREGADO]])</f>
        <v>0</v>
      </c>
    </row>
    <row r="1895" spans="2:24" hidden="1" x14ac:dyDescent="0.25">
      <c r="B1895" s="189"/>
      <c r="J1895" s="189"/>
      <c r="M1895" s="205"/>
      <c r="S1895" t="str">
        <f>IFERROR(VLOOKUP(E1895,'VALORES VIAJES'!$A$2:$B$13,2,FALSE),"")</f>
        <v/>
      </c>
      <c r="T1895" t="str">
        <f>IFERROR(VLOOKUP(H1895,'VALORES VIAJES'!$A$2:$B$24,2,FALSE),"")</f>
        <v/>
      </c>
      <c r="U1895" t="str">
        <f>IFERROR(VLOOKUP(I1895,'VALORES VIAJES'!$A$2:$B$24,2,FALSE),"")</f>
        <v/>
      </c>
      <c r="V1895" t="str">
        <f>IFERROR(VLOOKUP(K1895,'VALORES VIAJES'!$A$2:$B$24,2,FALSE),"")</f>
        <v/>
      </c>
      <c r="X1895" s="208">
        <f>SUM(Hoja1[[#This Row],[$ X TIP VEHICUL]:[AGREGADO]])</f>
        <v>0</v>
      </c>
    </row>
    <row r="1896" spans="2:24" hidden="1" x14ac:dyDescent="0.25">
      <c r="B1896" s="189"/>
      <c r="J1896" s="189"/>
      <c r="M1896" s="205"/>
      <c r="S1896" t="str">
        <f>IFERROR(VLOOKUP(E1896,'VALORES VIAJES'!$A$2:$B$13,2,FALSE),"")</f>
        <v/>
      </c>
      <c r="T1896" t="str">
        <f>IFERROR(VLOOKUP(H1896,'VALORES VIAJES'!$A$2:$B$24,2,FALSE),"")</f>
        <v/>
      </c>
      <c r="U1896" t="str">
        <f>IFERROR(VLOOKUP(I1896,'VALORES VIAJES'!$A$2:$B$24,2,FALSE),"")</f>
        <v/>
      </c>
      <c r="V1896" t="str">
        <f>IFERROR(VLOOKUP(K1896,'VALORES VIAJES'!$A$2:$B$24,2,FALSE),"")</f>
        <v/>
      </c>
      <c r="X1896" s="208">
        <f>SUM(Hoja1[[#This Row],[$ X TIP VEHICUL]:[AGREGADO]])</f>
        <v>0</v>
      </c>
    </row>
    <row r="1897" spans="2:24" hidden="1" x14ac:dyDescent="0.25">
      <c r="B1897" s="189"/>
      <c r="J1897" s="189"/>
      <c r="M1897" s="205"/>
      <c r="S1897" t="str">
        <f>IFERROR(VLOOKUP(E1897,'VALORES VIAJES'!$A$2:$B$13,2,FALSE),"")</f>
        <v/>
      </c>
      <c r="T1897" t="str">
        <f>IFERROR(VLOOKUP(H1897,'VALORES VIAJES'!$A$2:$B$24,2,FALSE),"")</f>
        <v/>
      </c>
      <c r="U1897" t="str">
        <f>IFERROR(VLOOKUP(I1897,'VALORES VIAJES'!$A$2:$B$24,2,FALSE),"")</f>
        <v/>
      </c>
      <c r="V1897" t="str">
        <f>IFERROR(VLOOKUP(K1897,'VALORES VIAJES'!$A$2:$B$24,2,FALSE),"")</f>
        <v/>
      </c>
      <c r="X1897" s="208">
        <f>SUM(Hoja1[[#This Row],[$ X TIP VEHICUL]:[AGREGADO]])</f>
        <v>0</v>
      </c>
    </row>
    <row r="1898" spans="2:24" hidden="1" x14ac:dyDescent="0.25">
      <c r="B1898" s="189"/>
      <c r="J1898" s="189"/>
      <c r="M1898" s="205"/>
      <c r="S1898" t="str">
        <f>IFERROR(VLOOKUP(E1898,'VALORES VIAJES'!$A$2:$B$13,2,FALSE),"")</f>
        <v/>
      </c>
      <c r="T1898" t="str">
        <f>IFERROR(VLOOKUP(H1898,'VALORES VIAJES'!$A$2:$B$24,2,FALSE),"")</f>
        <v/>
      </c>
      <c r="U1898" t="str">
        <f>IFERROR(VLOOKUP(I1898,'VALORES VIAJES'!$A$2:$B$24,2,FALSE),"")</f>
        <v/>
      </c>
      <c r="V1898" t="str">
        <f>IFERROR(VLOOKUP(K1898,'VALORES VIAJES'!$A$2:$B$24,2,FALSE),"")</f>
        <v/>
      </c>
      <c r="X1898" s="208">
        <f>SUM(Hoja1[[#This Row],[$ X TIP VEHICUL]:[AGREGADO]])</f>
        <v>0</v>
      </c>
    </row>
    <row r="1899" spans="2:24" hidden="1" x14ac:dyDescent="0.25">
      <c r="B1899" s="189"/>
      <c r="J1899" s="189"/>
      <c r="M1899" s="205"/>
      <c r="S1899" t="str">
        <f>IFERROR(VLOOKUP(E1899,'VALORES VIAJES'!$A$2:$B$13,2,FALSE),"")</f>
        <v/>
      </c>
      <c r="T1899" t="str">
        <f>IFERROR(VLOOKUP(H1899,'VALORES VIAJES'!$A$2:$B$24,2,FALSE),"")</f>
        <v/>
      </c>
      <c r="U1899" t="str">
        <f>IFERROR(VLOOKUP(I1899,'VALORES VIAJES'!$A$2:$B$24,2,FALSE),"")</f>
        <v/>
      </c>
      <c r="V1899" t="str">
        <f>IFERROR(VLOOKUP(K1899,'VALORES VIAJES'!$A$2:$B$24,2,FALSE),"")</f>
        <v/>
      </c>
      <c r="X1899" s="208">
        <f>SUM(Hoja1[[#This Row],[$ X TIP VEHICUL]:[AGREGADO]])</f>
        <v>0</v>
      </c>
    </row>
    <row r="1900" spans="2:24" hidden="1" x14ac:dyDescent="0.25">
      <c r="B1900" s="189"/>
      <c r="J1900" s="189"/>
      <c r="M1900" s="205"/>
      <c r="S1900" t="str">
        <f>IFERROR(VLOOKUP(E1900,'VALORES VIAJES'!$A$2:$B$13,2,FALSE),"")</f>
        <v/>
      </c>
      <c r="T1900" t="str">
        <f>IFERROR(VLOOKUP(H1900,'VALORES VIAJES'!$A$2:$B$24,2,FALSE),"")</f>
        <v/>
      </c>
      <c r="U1900" t="str">
        <f>IFERROR(VLOOKUP(I1900,'VALORES VIAJES'!$A$2:$B$24,2,FALSE),"")</f>
        <v/>
      </c>
      <c r="V1900" t="str">
        <f>IFERROR(VLOOKUP(K1900,'VALORES VIAJES'!$A$2:$B$24,2,FALSE),"")</f>
        <v/>
      </c>
      <c r="X1900" s="208">
        <f>SUM(Hoja1[[#This Row],[$ X TIP VEHICUL]:[AGREGADO]])</f>
        <v>0</v>
      </c>
    </row>
    <row r="1901" spans="2:24" hidden="1" x14ac:dyDescent="0.25">
      <c r="B1901" s="189"/>
      <c r="J1901" s="189"/>
      <c r="M1901" s="205"/>
      <c r="S1901" t="str">
        <f>IFERROR(VLOOKUP(E1901,'VALORES VIAJES'!$A$2:$B$13,2,FALSE),"")</f>
        <v/>
      </c>
      <c r="T1901" t="str">
        <f>IFERROR(VLOOKUP(H1901,'VALORES VIAJES'!$A$2:$B$24,2,FALSE),"")</f>
        <v/>
      </c>
      <c r="U1901" t="str">
        <f>IFERROR(VLOOKUP(I1901,'VALORES VIAJES'!$A$2:$B$24,2,FALSE),"")</f>
        <v/>
      </c>
      <c r="V1901" t="str">
        <f>IFERROR(VLOOKUP(K1901,'VALORES VIAJES'!$A$2:$B$24,2,FALSE),"")</f>
        <v/>
      </c>
      <c r="X1901" s="208">
        <f>SUM(Hoja1[[#This Row],[$ X TIP VEHICUL]:[AGREGADO]])</f>
        <v>0</v>
      </c>
    </row>
    <row r="1902" spans="2:24" hidden="1" x14ac:dyDescent="0.25">
      <c r="B1902" s="189"/>
      <c r="J1902" s="189"/>
      <c r="M1902" s="205"/>
      <c r="S1902" t="str">
        <f>IFERROR(VLOOKUP(E1902,'VALORES VIAJES'!$A$2:$B$13,2,FALSE),"")</f>
        <v/>
      </c>
      <c r="T1902" t="str">
        <f>IFERROR(VLOOKUP(H1902,'VALORES VIAJES'!$A$2:$B$24,2,FALSE),"")</f>
        <v/>
      </c>
      <c r="U1902" t="str">
        <f>IFERROR(VLOOKUP(I1902,'VALORES VIAJES'!$A$2:$B$24,2,FALSE),"")</f>
        <v/>
      </c>
      <c r="V1902" t="str">
        <f>IFERROR(VLOOKUP(K1902,'VALORES VIAJES'!$A$2:$B$24,2,FALSE),"")</f>
        <v/>
      </c>
      <c r="X1902" s="208">
        <f>SUM(Hoja1[[#This Row],[$ X TIP VEHICUL]:[AGREGADO]])</f>
        <v>0</v>
      </c>
    </row>
    <row r="1903" spans="2:24" hidden="1" x14ac:dyDescent="0.25">
      <c r="B1903" s="189"/>
      <c r="J1903" s="189"/>
      <c r="M1903" s="205"/>
      <c r="S1903" t="str">
        <f>IFERROR(VLOOKUP(E1903,'VALORES VIAJES'!$A$2:$B$13,2,FALSE),"")</f>
        <v/>
      </c>
      <c r="T1903" t="str">
        <f>IFERROR(VLOOKUP(H1903,'VALORES VIAJES'!$A$2:$B$24,2,FALSE),"")</f>
        <v/>
      </c>
      <c r="U1903" t="str">
        <f>IFERROR(VLOOKUP(I1903,'VALORES VIAJES'!$A$2:$B$24,2,FALSE),"")</f>
        <v/>
      </c>
      <c r="V1903" t="str">
        <f>IFERROR(VLOOKUP(K1903,'VALORES VIAJES'!$A$2:$B$24,2,FALSE),"")</f>
        <v/>
      </c>
      <c r="X1903" s="208">
        <f>SUM(Hoja1[[#This Row],[$ X TIP VEHICUL]:[AGREGADO]])</f>
        <v>0</v>
      </c>
    </row>
    <row r="1904" spans="2:24" hidden="1" x14ac:dyDescent="0.25">
      <c r="B1904" s="189"/>
      <c r="J1904" s="189"/>
      <c r="M1904" s="205"/>
      <c r="S1904" t="str">
        <f>IFERROR(VLOOKUP(E1904,'VALORES VIAJES'!$A$2:$B$13,2,FALSE),"")</f>
        <v/>
      </c>
      <c r="T1904" t="str">
        <f>IFERROR(VLOOKUP(H1904,'VALORES VIAJES'!$A$2:$B$24,2,FALSE),"")</f>
        <v/>
      </c>
      <c r="U1904" t="str">
        <f>IFERROR(VLOOKUP(I1904,'VALORES VIAJES'!$A$2:$B$24,2,FALSE),"")</f>
        <v/>
      </c>
      <c r="V1904" t="str">
        <f>IFERROR(VLOOKUP(K1904,'VALORES VIAJES'!$A$2:$B$24,2,FALSE),"")</f>
        <v/>
      </c>
      <c r="X1904" s="208">
        <f>SUM(Hoja1[[#This Row],[$ X TIP VEHICUL]:[AGREGADO]])</f>
        <v>0</v>
      </c>
    </row>
    <row r="1905" spans="2:24" hidden="1" x14ac:dyDescent="0.25">
      <c r="B1905" s="189"/>
      <c r="J1905" s="189"/>
      <c r="M1905" s="205"/>
      <c r="S1905" t="str">
        <f>IFERROR(VLOOKUP(E1905,'VALORES VIAJES'!$A$2:$B$13,2,FALSE),"")</f>
        <v/>
      </c>
      <c r="T1905" t="str">
        <f>IFERROR(VLOOKUP(H1905,'VALORES VIAJES'!$A$2:$B$24,2,FALSE),"")</f>
        <v/>
      </c>
      <c r="U1905" t="str">
        <f>IFERROR(VLOOKUP(I1905,'VALORES VIAJES'!$A$2:$B$24,2,FALSE),"")</f>
        <v/>
      </c>
      <c r="V1905" t="str">
        <f>IFERROR(VLOOKUP(K1905,'VALORES VIAJES'!$A$2:$B$24,2,FALSE),"")</f>
        <v/>
      </c>
      <c r="X1905" s="208">
        <f>SUM(Hoja1[[#This Row],[$ X TIP VEHICUL]:[AGREGADO]])</f>
        <v>0</v>
      </c>
    </row>
    <row r="1906" spans="2:24" hidden="1" x14ac:dyDescent="0.25">
      <c r="B1906" s="189"/>
      <c r="J1906" s="189"/>
      <c r="M1906" s="205"/>
      <c r="S1906" t="str">
        <f>IFERROR(VLOOKUP(E1906,'VALORES VIAJES'!$A$2:$B$13,2,FALSE),"")</f>
        <v/>
      </c>
      <c r="T1906" t="str">
        <f>IFERROR(VLOOKUP(H1906,'VALORES VIAJES'!$A$2:$B$24,2,FALSE),"")</f>
        <v/>
      </c>
      <c r="U1906" t="str">
        <f>IFERROR(VLOOKUP(I1906,'VALORES VIAJES'!$A$2:$B$24,2,FALSE),"")</f>
        <v/>
      </c>
      <c r="V1906" t="str">
        <f>IFERROR(VLOOKUP(K1906,'VALORES VIAJES'!$A$2:$B$24,2,FALSE),"")</f>
        <v/>
      </c>
      <c r="X1906" s="208">
        <f>SUM(Hoja1[[#This Row],[$ X TIP VEHICUL]:[AGREGADO]])</f>
        <v>0</v>
      </c>
    </row>
    <row r="1907" spans="2:24" hidden="1" x14ac:dyDescent="0.25">
      <c r="B1907" s="189"/>
      <c r="J1907" s="189"/>
      <c r="M1907" s="205"/>
      <c r="S1907" t="str">
        <f>IFERROR(VLOOKUP(E1907,'VALORES VIAJES'!$A$2:$B$13,2,FALSE),"")</f>
        <v/>
      </c>
      <c r="T1907" t="str">
        <f>IFERROR(VLOOKUP(H1907,'VALORES VIAJES'!$A$2:$B$24,2,FALSE),"")</f>
        <v/>
      </c>
      <c r="U1907" t="str">
        <f>IFERROR(VLOOKUP(I1907,'VALORES VIAJES'!$A$2:$B$24,2,FALSE),"")</f>
        <v/>
      </c>
      <c r="V1907" t="str">
        <f>IFERROR(VLOOKUP(K1907,'VALORES VIAJES'!$A$2:$B$24,2,FALSE),"")</f>
        <v/>
      </c>
      <c r="X1907" s="208">
        <f>SUM(Hoja1[[#This Row],[$ X TIP VEHICUL]:[AGREGADO]])</f>
        <v>0</v>
      </c>
    </row>
    <row r="1908" spans="2:24" hidden="1" x14ac:dyDescent="0.25">
      <c r="B1908" s="189"/>
      <c r="J1908" s="189"/>
      <c r="M1908" s="205"/>
      <c r="S1908" t="str">
        <f>IFERROR(VLOOKUP(E1908,'VALORES VIAJES'!$A$2:$B$13,2,FALSE),"")</f>
        <v/>
      </c>
      <c r="T1908" t="str">
        <f>IFERROR(VLOOKUP(H1908,'VALORES VIAJES'!$A$2:$B$24,2,FALSE),"")</f>
        <v/>
      </c>
      <c r="U1908" t="str">
        <f>IFERROR(VLOOKUP(I1908,'VALORES VIAJES'!$A$2:$B$24,2,FALSE),"")</f>
        <v/>
      </c>
      <c r="V1908" t="str">
        <f>IFERROR(VLOOKUP(K1908,'VALORES VIAJES'!$A$2:$B$24,2,FALSE),"")</f>
        <v/>
      </c>
      <c r="X1908" s="208">
        <f>SUM(Hoja1[[#This Row],[$ X TIP VEHICUL]:[AGREGADO]])</f>
        <v>0</v>
      </c>
    </row>
    <row r="1909" spans="2:24" hidden="1" x14ac:dyDescent="0.25">
      <c r="B1909" s="189"/>
      <c r="J1909" s="189"/>
      <c r="M1909" s="205"/>
      <c r="S1909" t="str">
        <f>IFERROR(VLOOKUP(E1909,'VALORES VIAJES'!$A$2:$B$13,2,FALSE),"")</f>
        <v/>
      </c>
      <c r="T1909" t="str">
        <f>IFERROR(VLOOKUP(H1909,'VALORES VIAJES'!$A$2:$B$24,2,FALSE),"")</f>
        <v/>
      </c>
      <c r="U1909" t="str">
        <f>IFERROR(VLOOKUP(I1909,'VALORES VIAJES'!$A$2:$B$24,2,FALSE),"")</f>
        <v/>
      </c>
      <c r="V1909" t="str">
        <f>IFERROR(VLOOKUP(K1909,'VALORES VIAJES'!$A$2:$B$24,2,FALSE),"")</f>
        <v/>
      </c>
      <c r="X1909" s="208">
        <f>SUM(Hoja1[[#This Row],[$ X TIP VEHICUL]:[AGREGADO]])</f>
        <v>0</v>
      </c>
    </row>
    <row r="1910" spans="2:24" hidden="1" x14ac:dyDescent="0.25">
      <c r="B1910" s="189"/>
      <c r="J1910" s="189"/>
      <c r="M1910" s="205"/>
      <c r="S1910" t="str">
        <f>IFERROR(VLOOKUP(E1910,'VALORES VIAJES'!$A$2:$B$13,2,FALSE),"")</f>
        <v/>
      </c>
      <c r="T1910" t="str">
        <f>IFERROR(VLOOKUP(H1910,'VALORES VIAJES'!$A$2:$B$24,2,FALSE),"")</f>
        <v/>
      </c>
      <c r="U1910" t="str">
        <f>IFERROR(VLOOKUP(I1910,'VALORES VIAJES'!$A$2:$B$24,2,FALSE),"")</f>
        <v/>
      </c>
      <c r="V1910" t="str">
        <f>IFERROR(VLOOKUP(K1910,'VALORES VIAJES'!$A$2:$B$24,2,FALSE),"")</f>
        <v/>
      </c>
      <c r="X1910" s="208">
        <f>SUM(Hoja1[[#This Row],[$ X TIP VEHICUL]:[AGREGADO]])</f>
        <v>0</v>
      </c>
    </row>
    <row r="1911" spans="2:24" hidden="1" x14ac:dyDescent="0.25">
      <c r="B1911" s="189"/>
      <c r="J1911" s="189"/>
      <c r="M1911" s="205"/>
      <c r="S1911" t="str">
        <f>IFERROR(VLOOKUP(E1911,'VALORES VIAJES'!$A$2:$B$13,2,FALSE),"")</f>
        <v/>
      </c>
      <c r="T1911" t="str">
        <f>IFERROR(VLOOKUP(H1911,'VALORES VIAJES'!$A$2:$B$24,2,FALSE),"")</f>
        <v/>
      </c>
      <c r="U1911" t="str">
        <f>IFERROR(VLOOKUP(I1911,'VALORES VIAJES'!$A$2:$B$24,2,FALSE),"")</f>
        <v/>
      </c>
      <c r="V1911" t="str">
        <f>IFERROR(VLOOKUP(K1911,'VALORES VIAJES'!$A$2:$B$24,2,FALSE),"")</f>
        <v/>
      </c>
      <c r="X1911" s="208">
        <f>SUM(Hoja1[[#This Row],[$ X TIP VEHICUL]:[AGREGADO]])</f>
        <v>0</v>
      </c>
    </row>
    <row r="1912" spans="2:24" hidden="1" x14ac:dyDescent="0.25">
      <c r="B1912" s="189"/>
      <c r="J1912" s="189"/>
      <c r="M1912" s="205"/>
      <c r="S1912" t="str">
        <f>IFERROR(VLOOKUP(E1912,'VALORES VIAJES'!$A$2:$B$13,2,FALSE),"")</f>
        <v/>
      </c>
      <c r="T1912" t="str">
        <f>IFERROR(VLOOKUP(H1912,'VALORES VIAJES'!$A$2:$B$24,2,FALSE),"")</f>
        <v/>
      </c>
      <c r="U1912" t="str">
        <f>IFERROR(VLOOKUP(I1912,'VALORES VIAJES'!$A$2:$B$24,2,FALSE),"")</f>
        <v/>
      </c>
      <c r="V1912" t="str">
        <f>IFERROR(VLOOKUP(K1912,'VALORES VIAJES'!$A$2:$B$24,2,FALSE),"")</f>
        <v/>
      </c>
      <c r="X1912" s="208">
        <f>SUM(Hoja1[[#This Row],[$ X TIP VEHICUL]:[AGREGADO]])</f>
        <v>0</v>
      </c>
    </row>
    <row r="1913" spans="2:24" hidden="1" x14ac:dyDescent="0.25">
      <c r="B1913" s="189"/>
      <c r="J1913" s="189"/>
      <c r="M1913" s="205"/>
      <c r="S1913" t="str">
        <f>IFERROR(VLOOKUP(E1913,'VALORES VIAJES'!$A$2:$B$13,2,FALSE),"")</f>
        <v/>
      </c>
      <c r="T1913" t="str">
        <f>IFERROR(VLOOKUP(H1913,'VALORES VIAJES'!$A$2:$B$24,2,FALSE),"")</f>
        <v/>
      </c>
      <c r="U1913" t="str">
        <f>IFERROR(VLOOKUP(I1913,'VALORES VIAJES'!$A$2:$B$24,2,FALSE),"")</f>
        <v/>
      </c>
      <c r="V1913" t="str">
        <f>IFERROR(VLOOKUP(K1913,'VALORES VIAJES'!$A$2:$B$24,2,FALSE),"")</f>
        <v/>
      </c>
      <c r="X1913" s="208">
        <f>SUM(Hoja1[[#This Row],[$ X TIP VEHICUL]:[AGREGADO]])</f>
        <v>0</v>
      </c>
    </row>
    <row r="1914" spans="2:24" hidden="1" x14ac:dyDescent="0.25">
      <c r="B1914" s="189"/>
      <c r="J1914" s="189"/>
      <c r="M1914" s="205"/>
      <c r="S1914" t="str">
        <f>IFERROR(VLOOKUP(E1914,'VALORES VIAJES'!$A$2:$B$13,2,FALSE),"")</f>
        <v/>
      </c>
      <c r="T1914" t="str">
        <f>IFERROR(VLOOKUP(H1914,'VALORES VIAJES'!$A$2:$B$24,2,FALSE),"")</f>
        <v/>
      </c>
      <c r="U1914" t="str">
        <f>IFERROR(VLOOKUP(I1914,'VALORES VIAJES'!$A$2:$B$24,2,FALSE),"")</f>
        <v/>
      </c>
      <c r="V1914" t="str">
        <f>IFERROR(VLOOKUP(K1914,'VALORES VIAJES'!$A$2:$B$24,2,FALSE),"")</f>
        <v/>
      </c>
      <c r="X1914" s="208">
        <f>SUM(Hoja1[[#This Row],[$ X TIP VEHICUL]:[AGREGADO]])</f>
        <v>0</v>
      </c>
    </row>
    <row r="1915" spans="2:24" hidden="1" x14ac:dyDescent="0.25">
      <c r="B1915" s="189"/>
      <c r="J1915" s="189"/>
      <c r="M1915" s="205"/>
      <c r="S1915" t="str">
        <f>IFERROR(VLOOKUP(E1915,'VALORES VIAJES'!$A$2:$B$13,2,FALSE),"")</f>
        <v/>
      </c>
      <c r="T1915" t="str">
        <f>IFERROR(VLOOKUP(H1915,'VALORES VIAJES'!$A$2:$B$24,2,FALSE),"")</f>
        <v/>
      </c>
      <c r="U1915" t="str">
        <f>IFERROR(VLOOKUP(I1915,'VALORES VIAJES'!$A$2:$B$24,2,FALSE),"")</f>
        <v/>
      </c>
      <c r="V1915" t="str">
        <f>IFERROR(VLOOKUP(K1915,'VALORES VIAJES'!$A$2:$B$24,2,FALSE),"")</f>
        <v/>
      </c>
      <c r="X1915" s="208">
        <f>SUM(Hoja1[[#This Row],[$ X TIP VEHICUL]:[AGREGADO]])</f>
        <v>0</v>
      </c>
    </row>
    <row r="1916" spans="2:24" hidden="1" x14ac:dyDescent="0.25">
      <c r="B1916" s="189"/>
      <c r="J1916" s="189"/>
      <c r="M1916" s="205"/>
      <c r="S1916" t="str">
        <f>IFERROR(VLOOKUP(E1916,'VALORES VIAJES'!$A$2:$B$13,2,FALSE),"")</f>
        <v/>
      </c>
      <c r="T1916" t="str">
        <f>IFERROR(VLOOKUP(H1916,'VALORES VIAJES'!$A$2:$B$24,2,FALSE),"")</f>
        <v/>
      </c>
      <c r="U1916" t="str">
        <f>IFERROR(VLOOKUP(I1916,'VALORES VIAJES'!$A$2:$B$24,2,FALSE),"")</f>
        <v/>
      </c>
      <c r="V1916" t="str">
        <f>IFERROR(VLOOKUP(K1916,'VALORES VIAJES'!$A$2:$B$24,2,FALSE),"")</f>
        <v/>
      </c>
      <c r="X1916" s="208">
        <f>SUM(Hoja1[[#This Row],[$ X TIP VEHICUL]:[AGREGADO]])</f>
        <v>0</v>
      </c>
    </row>
    <row r="1917" spans="2:24" hidden="1" x14ac:dyDescent="0.25">
      <c r="B1917" s="189"/>
      <c r="J1917" s="189"/>
      <c r="M1917" s="205"/>
      <c r="S1917" t="str">
        <f>IFERROR(VLOOKUP(E1917,'VALORES VIAJES'!$A$2:$B$13,2,FALSE),"")</f>
        <v/>
      </c>
      <c r="T1917" t="str">
        <f>IFERROR(VLOOKUP(H1917,'VALORES VIAJES'!$A$2:$B$24,2,FALSE),"")</f>
        <v/>
      </c>
      <c r="U1917" t="str">
        <f>IFERROR(VLOOKUP(I1917,'VALORES VIAJES'!$A$2:$B$24,2,FALSE),"")</f>
        <v/>
      </c>
      <c r="V1917" t="str">
        <f>IFERROR(VLOOKUP(K1917,'VALORES VIAJES'!$A$2:$B$24,2,FALSE),"")</f>
        <v/>
      </c>
      <c r="X1917" s="208">
        <f>SUM(Hoja1[[#This Row],[$ X TIP VEHICUL]:[AGREGADO]])</f>
        <v>0</v>
      </c>
    </row>
    <row r="1918" spans="2:24" hidden="1" x14ac:dyDescent="0.25">
      <c r="B1918" s="189"/>
      <c r="J1918" s="189"/>
      <c r="M1918" s="205"/>
      <c r="S1918" t="str">
        <f>IFERROR(VLOOKUP(E1918,'VALORES VIAJES'!$A$2:$B$13,2,FALSE),"")</f>
        <v/>
      </c>
      <c r="T1918" t="str">
        <f>IFERROR(VLOOKUP(H1918,'VALORES VIAJES'!$A$2:$B$24,2,FALSE),"")</f>
        <v/>
      </c>
      <c r="U1918" t="str">
        <f>IFERROR(VLOOKUP(I1918,'VALORES VIAJES'!$A$2:$B$24,2,FALSE),"")</f>
        <v/>
      </c>
      <c r="V1918" t="str">
        <f>IFERROR(VLOOKUP(K1918,'VALORES VIAJES'!$A$2:$B$24,2,FALSE),"")</f>
        <v/>
      </c>
      <c r="X1918" s="208">
        <f>SUM(Hoja1[[#This Row],[$ X TIP VEHICUL]:[AGREGADO]])</f>
        <v>0</v>
      </c>
    </row>
    <row r="1919" spans="2:24" hidden="1" x14ac:dyDescent="0.25">
      <c r="B1919" s="189"/>
      <c r="J1919" s="189"/>
      <c r="M1919" s="205"/>
      <c r="S1919" t="str">
        <f>IFERROR(VLOOKUP(E1919,'VALORES VIAJES'!$A$2:$B$13,2,FALSE),"")</f>
        <v/>
      </c>
      <c r="T1919" t="str">
        <f>IFERROR(VLOOKUP(H1919,'VALORES VIAJES'!$A$2:$B$24,2,FALSE),"")</f>
        <v/>
      </c>
      <c r="U1919" t="str">
        <f>IFERROR(VLOOKUP(I1919,'VALORES VIAJES'!$A$2:$B$24,2,FALSE),"")</f>
        <v/>
      </c>
      <c r="V1919" t="str">
        <f>IFERROR(VLOOKUP(K1919,'VALORES VIAJES'!$A$2:$B$24,2,FALSE),"")</f>
        <v/>
      </c>
      <c r="X1919" s="208">
        <f>SUM(Hoja1[[#This Row],[$ X TIP VEHICUL]:[AGREGADO]])</f>
        <v>0</v>
      </c>
    </row>
    <row r="1920" spans="2:24" hidden="1" x14ac:dyDescent="0.25">
      <c r="B1920" s="189"/>
      <c r="J1920" s="189"/>
      <c r="M1920" s="205"/>
      <c r="S1920" t="str">
        <f>IFERROR(VLOOKUP(E1920,'VALORES VIAJES'!$A$2:$B$13,2,FALSE),"")</f>
        <v/>
      </c>
      <c r="T1920" t="str">
        <f>IFERROR(VLOOKUP(H1920,'VALORES VIAJES'!$A$2:$B$24,2,FALSE),"")</f>
        <v/>
      </c>
      <c r="U1920" t="str">
        <f>IFERROR(VLOOKUP(I1920,'VALORES VIAJES'!$A$2:$B$24,2,FALSE),"")</f>
        <v/>
      </c>
      <c r="V1920" t="str">
        <f>IFERROR(VLOOKUP(K1920,'VALORES VIAJES'!$A$2:$B$24,2,FALSE),"")</f>
        <v/>
      </c>
      <c r="X1920" s="208">
        <f>SUM(Hoja1[[#This Row],[$ X TIP VEHICUL]:[AGREGADO]])</f>
        <v>0</v>
      </c>
    </row>
    <row r="1921" spans="2:24" hidden="1" x14ac:dyDescent="0.25">
      <c r="B1921" s="189"/>
      <c r="J1921" s="189"/>
      <c r="M1921" s="205"/>
      <c r="S1921" t="str">
        <f>IFERROR(VLOOKUP(E1921,'VALORES VIAJES'!$A$2:$B$13,2,FALSE),"")</f>
        <v/>
      </c>
      <c r="T1921" t="str">
        <f>IFERROR(VLOOKUP(H1921,'VALORES VIAJES'!$A$2:$B$24,2,FALSE),"")</f>
        <v/>
      </c>
      <c r="U1921" t="str">
        <f>IFERROR(VLOOKUP(I1921,'VALORES VIAJES'!$A$2:$B$24,2,FALSE),"")</f>
        <v/>
      </c>
      <c r="V1921" t="str">
        <f>IFERROR(VLOOKUP(K1921,'VALORES VIAJES'!$A$2:$B$24,2,FALSE),"")</f>
        <v/>
      </c>
      <c r="X1921" s="208">
        <f>SUM(Hoja1[[#This Row],[$ X TIP VEHICUL]:[AGREGADO]])</f>
        <v>0</v>
      </c>
    </row>
    <row r="1922" spans="2:24" hidden="1" x14ac:dyDescent="0.25">
      <c r="B1922" s="189"/>
      <c r="J1922" s="189"/>
      <c r="M1922" s="205"/>
      <c r="S1922" t="str">
        <f>IFERROR(VLOOKUP(E1922,'VALORES VIAJES'!$A$2:$B$13,2,FALSE),"")</f>
        <v/>
      </c>
      <c r="T1922" t="str">
        <f>IFERROR(VLOOKUP(H1922,'VALORES VIAJES'!$A$2:$B$24,2,FALSE),"")</f>
        <v/>
      </c>
      <c r="U1922" t="str">
        <f>IFERROR(VLOOKUP(I1922,'VALORES VIAJES'!$A$2:$B$24,2,FALSE),"")</f>
        <v/>
      </c>
      <c r="V1922" t="str">
        <f>IFERROR(VLOOKUP(K1922,'VALORES VIAJES'!$A$2:$B$24,2,FALSE),"")</f>
        <v/>
      </c>
      <c r="X1922" s="208">
        <f>SUM(Hoja1[[#This Row],[$ X TIP VEHICUL]:[AGREGADO]])</f>
        <v>0</v>
      </c>
    </row>
    <row r="1923" spans="2:24" hidden="1" x14ac:dyDescent="0.25">
      <c r="B1923" s="189"/>
      <c r="J1923" s="189"/>
      <c r="M1923" s="205"/>
      <c r="S1923" t="str">
        <f>IFERROR(VLOOKUP(E1923,'VALORES VIAJES'!$A$2:$B$13,2,FALSE),"")</f>
        <v/>
      </c>
      <c r="T1923" t="str">
        <f>IFERROR(VLOOKUP(H1923,'VALORES VIAJES'!$A$2:$B$24,2,FALSE),"")</f>
        <v/>
      </c>
      <c r="U1923" t="str">
        <f>IFERROR(VLOOKUP(I1923,'VALORES VIAJES'!$A$2:$B$24,2,FALSE),"")</f>
        <v/>
      </c>
      <c r="V1923" t="str">
        <f>IFERROR(VLOOKUP(K1923,'VALORES VIAJES'!$A$2:$B$24,2,FALSE),"")</f>
        <v/>
      </c>
      <c r="X1923" s="208">
        <f>SUM(Hoja1[[#This Row],[$ X TIP VEHICUL]:[AGREGADO]])</f>
        <v>0</v>
      </c>
    </row>
    <row r="1924" spans="2:24" hidden="1" x14ac:dyDescent="0.25">
      <c r="B1924" s="189"/>
      <c r="J1924" s="189"/>
      <c r="M1924" s="205"/>
      <c r="S1924" t="str">
        <f>IFERROR(VLOOKUP(E1924,'VALORES VIAJES'!$A$2:$B$13,2,FALSE),"")</f>
        <v/>
      </c>
      <c r="T1924" t="str">
        <f>IFERROR(VLOOKUP(H1924,'VALORES VIAJES'!$A$2:$B$24,2,FALSE),"")</f>
        <v/>
      </c>
      <c r="U1924" t="str">
        <f>IFERROR(VLOOKUP(I1924,'VALORES VIAJES'!$A$2:$B$24,2,FALSE),"")</f>
        <v/>
      </c>
      <c r="V1924" t="str">
        <f>IFERROR(VLOOKUP(K1924,'VALORES VIAJES'!$A$2:$B$24,2,FALSE),"")</f>
        <v/>
      </c>
      <c r="X1924" s="208">
        <f>SUM(Hoja1[[#This Row],[$ X TIP VEHICUL]:[AGREGADO]])</f>
        <v>0</v>
      </c>
    </row>
    <row r="1925" spans="2:24" hidden="1" x14ac:dyDescent="0.25">
      <c r="B1925" s="189"/>
      <c r="J1925" s="189"/>
      <c r="M1925" s="205"/>
      <c r="S1925" t="str">
        <f>IFERROR(VLOOKUP(E1925,'VALORES VIAJES'!$A$2:$B$13,2,FALSE),"")</f>
        <v/>
      </c>
      <c r="T1925" t="str">
        <f>IFERROR(VLOOKUP(H1925,'VALORES VIAJES'!$A$2:$B$24,2,FALSE),"")</f>
        <v/>
      </c>
      <c r="U1925" t="str">
        <f>IFERROR(VLOOKUP(I1925,'VALORES VIAJES'!$A$2:$B$24,2,FALSE),"")</f>
        <v/>
      </c>
      <c r="V1925" t="str">
        <f>IFERROR(VLOOKUP(K1925,'VALORES VIAJES'!$A$2:$B$24,2,FALSE),"")</f>
        <v/>
      </c>
      <c r="X1925" s="208">
        <f>SUM(Hoja1[[#This Row],[$ X TIP VEHICUL]:[AGREGADO]])</f>
        <v>0</v>
      </c>
    </row>
    <row r="1926" spans="2:24" hidden="1" x14ac:dyDescent="0.25">
      <c r="B1926" s="189"/>
      <c r="J1926" s="189"/>
      <c r="M1926" s="205"/>
      <c r="S1926" t="str">
        <f>IFERROR(VLOOKUP(E1926,'VALORES VIAJES'!$A$2:$B$13,2,FALSE),"")</f>
        <v/>
      </c>
      <c r="T1926" t="str">
        <f>IFERROR(VLOOKUP(H1926,'VALORES VIAJES'!$A$2:$B$24,2,FALSE),"")</f>
        <v/>
      </c>
      <c r="U1926" t="str">
        <f>IFERROR(VLOOKUP(I1926,'VALORES VIAJES'!$A$2:$B$24,2,FALSE),"")</f>
        <v/>
      </c>
      <c r="V1926" t="str">
        <f>IFERROR(VLOOKUP(K1926,'VALORES VIAJES'!$A$2:$B$24,2,FALSE),"")</f>
        <v/>
      </c>
      <c r="X1926" s="208">
        <f>SUM(Hoja1[[#This Row],[$ X TIP VEHICUL]:[AGREGADO]])</f>
        <v>0</v>
      </c>
    </row>
    <row r="1927" spans="2:24" hidden="1" x14ac:dyDescent="0.25">
      <c r="B1927" s="189"/>
      <c r="J1927" s="189"/>
      <c r="M1927" s="205"/>
      <c r="S1927" t="str">
        <f>IFERROR(VLOOKUP(E1927,'VALORES VIAJES'!$A$2:$B$13,2,FALSE),"")</f>
        <v/>
      </c>
      <c r="T1927" t="str">
        <f>IFERROR(VLOOKUP(H1927,'VALORES VIAJES'!$A$2:$B$24,2,FALSE),"")</f>
        <v/>
      </c>
      <c r="U1927" t="str">
        <f>IFERROR(VLOOKUP(I1927,'VALORES VIAJES'!$A$2:$B$24,2,FALSE),"")</f>
        <v/>
      </c>
      <c r="V1927" t="str">
        <f>IFERROR(VLOOKUP(K1927,'VALORES VIAJES'!$A$2:$B$24,2,FALSE),"")</f>
        <v/>
      </c>
      <c r="X1927" s="208">
        <f>SUM(Hoja1[[#This Row],[$ X TIP VEHICUL]:[AGREGADO]])</f>
        <v>0</v>
      </c>
    </row>
    <row r="1928" spans="2:24" hidden="1" x14ac:dyDescent="0.25">
      <c r="B1928" s="189"/>
      <c r="J1928" s="189"/>
      <c r="M1928" s="205"/>
      <c r="S1928" t="str">
        <f>IFERROR(VLOOKUP(E1928,'VALORES VIAJES'!$A$2:$B$13,2,FALSE),"")</f>
        <v/>
      </c>
      <c r="T1928" t="str">
        <f>IFERROR(VLOOKUP(H1928,'VALORES VIAJES'!$A$2:$B$24,2,FALSE),"")</f>
        <v/>
      </c>
      <c r="U1928" t="str">
        <f>IFERROR(VLOOKUP(I1928,'VALORES VIAJES'!$A$2:$B$24,2,FALSE),"")</f>
        <v/>
      </c>
      <c r="V1928" t="str">
        <f>IFERROR(VLOOKUP(K1928,'VALORES VIAJES'!$A$2:$B$24,2,FALSE),"")</f>
        <v/>
      </c>
      <c r="X1928" s="208">
        <f>SUM(Hoja1[[#This Row],[$ X TIP VEHICUL]:[AGREGADO]])</f>
        <v>0</v>
      </c>
    </row>
    <row r="1929" spans="2:24" hidden="1" x14ac:dyDescent="0.25">
      <c r="B1929" s="189"/>
      <c r="J1929" s="189"/>
      <c r="M1929" s="205"/>
      <c r="S1929" t="str">
        <f>IFERROR(VLOOKUP(E1929,'VALORES VIAJES'!$A$2:$B$13,2,FALSE),"")</f>
        <v/>
      </c>
      <c r="T1929" t="str">
        <f>IFERROR(VLOOKUP(H1929,'VALORES VIAJES'!$A$2:$B$24,2,FALSE),"")</f>
        <v/>
      </c>
      <c r="U1929" t="str">
        <f>IFERROR(VLOOKUP(I1929,'VALORES VIAJES'!$A$2:$B$24,2,FALSE),"")</f>
        <v/>
      </c>
      <c r="V1929" t="str">
        <f>IFERROR(VLOOKUP(K1929,'VALORES VIAJES'!$A$2:$B$24,2,FALSE),"")</f>
        <v/>
      </c>
      <c r="X1929" s="208">
        <f>SUM(Hoja1[[#This Row],[$ X TIP VEHICUL]:[AGREGADO]])</f>
        <v>0</v>
      </c>
    </row>
    <row r="1930" spans="2:24" hidden="1" x14ac:dyDescent="0.25">
      <c r="B1930" s="189"/>
      <c r="J1930" s="189"/>
      <c r="M1930" s="205"/>
      <c r="S1930" t="str">
        <f>IFERROR(VLOOKUP(E1930,'VALORES VIAJES'!$A$2:$B$13,2,FALSE),"")</f>
        <v/>
      </c>
      <c r="T1930" t="str">
        <f>IFERROR(VLOOKUP(H1930,'VALORES VIAJES'!$A$2:$B$24,2,FALSE),"")</f>
        <v/>
      </c>
      <c r="U1930" t="str">
        <f>IFERROR(VLOOKUP(I1930,'VALORES VIAJES'!$A$2:$B$24,2,FALSE),"")</f>
        <v/>
      </c>
      <c r="V1930" t="str">
        <f>IFERROR(VLOOKUP(K1930,'VALORES VIAJES'!$A$2:$B$24,2,FALSE),"")</f>
        <v/>
      </c>
      <c r="X1930" s="208">
        <f>SUM(Hoja1[[#This Row],[$ X TIP VEHICUL]:[AGREGADO]])</f>
        <v>0</v>
      </c>
    </row>
    <row r="1931" spans="2:24" hidden="1" x14ac:dyDescent="0.25">
      <c r="B1931" s="189"/>
      <c r="J1931" s="189"/>
      <c r="M1931" s="205"/>
      <c r="S1931" t="str">
        <f>IFERROR(VLOOKUP(E1931,'VALORES VIAJES'!$A$2:$B$13,2,FALSE),"")</f>
        <v/>
      </c>
      <c r="T1931" t="str">
        <f>IFERROR(VLOOKUP(H1931,'VALORES VIAJES'!$A$2:$B$24,2,FALSE),"")</f>
        <v/>
      </c>
      <c r="U1931" t="str">
        <f>IFERROR(VLOOKUP(I1931,'VALORES VIAJES'!$A$2:$B$24,2,FALSE),"")</f>
        <v/>
      </c>
      <c r="V1931" t="str">
        <f>IFERROR(VLOOKUP(K1931,'VALORES VIAJES'!$A$2:$B$24,2,FALSE),"")</f>
        <v/>
      </c>
      <c r="X1931" s="208">
        <f>SUM(Hoja1[[#This Row],[$ X TIP VEHICUL]:[AGREGADO]])</f>
        <v>0</v>
      </c>
    </row>
    <row r="1932" spans="2:24" hidden="1" x14ac:dyDescent="0.25">
      <c r="B1932" s="189"/>
      <c r="J1932" s="189"/>
      <c r="M1932" s="205"/>
      <c r="S1932" t="str">
        <f>IFERROR(VLOOKUP(E1932,'VALORES VIAJES'!$A$2:$B$13,2,FALSE),"")</f>
        <v/>
      </c>
      <c r="T1932" t="str">
        <f>IFERROR(VLOOKUP(H1932,'VALORES VIAJES'!$A$2:$B$24,2,FALSE),"")</f>
        <v/>
      </c>
      <c r="U1932" t="str">
        <f>IFERROR(VLOOKUP(I1932,'VALORES VIAJES'!$A$2:$B$24,2,FALSE),"")</f>
        <v/>
      </c>
      <c r="V1932" t="str">
        <f>IFERROR(VLOOKUP(K1932,'VALORES VIAJES'!$A$2:$B$24,2,FALSE),"")</f>
        <v/>
      </c>
      <c r="X1932" s="208">
        <f>SUM(Hoja1[[#This Row],[$ X TIP VEHICUL]:[AGREGADO]])</f>
        <v>0</v>
      </c>
    </row>
    <row r="1933" spans="2:24" hidden="1" x14ac:dyDescent="0.25">
      <c r="B1933" s="189"/>
      <c r="J1933" s="189"/>
      <c r="M1933" s="205"/>
      <c r="S1933" t="str">
        <f>IFERROR(VLOOKUP(E1933,'VALORES VIAJES'!$A$2:$B$13,2,FALSE),"")</f>
        <v/>
      </c>
      <c r="T1933" t="str">
        <f>IFERROR(VLOOKUP(H1933,'VALORES VIAJES'!$A$2:$B$24,2,FALSE),"")</f>
        <v/>
      </c>
      <c r="U1933" t="str">
        <f>IFERROR(VLOOKUP(I1933,'VALORES VIAJES'!$A$2:$B$24,2,FALSE),"")</f>
        <v/>
      </c>
      <c r="V1933" t="str">
        <f>IFERROR(VLOOKUP(K1933,'VALORES VIAJES'!$A$2:$B$24,2,FALSE),"")</f>
        <v/>
      </c>
      <c r="X1933" s="208">
        <f>SUM(Hoja1[[#This Row],[$ X TIP VEHICUL]:[AGREGADO]])</f>
        <v>0</v>
      </c>
    </row>
    <row r="1934" spans="2:24" hidden="1" x14ac:dyDescent="0.25">
      <c r="B1934" s="189"/>
      <c r="J1934" s="189"/>
      <c r="M1934" s="205"/>
      <c r="S1934" t="str">
        <f>IFERROR(VLOOKUP(E1934,'VALORES VIAJES'!$A$2:$B$13,2,FALSE),"")</f>
        <v/>
      </c>
      <c r="T1934" t="str">
        <f>IFERROR(VLOOKUP(H1934,'VALORES VIAJES'!$A$2:$B$24,2,FALSE),"")</f>
        <v/>
      </c>
      <c r="U1934" t="str">
        <f>IFERROR(VLOOKUP(I1934,'VALORES VIAJES'!$A$2:$B$24,2,FALSE),"")</f>
        <v/>
      </c>
      <c r="V1934" t="str">
        <f>IFERROR(VLOOKUP(K1934,'VALORES VIAJES'!$A$2:$B$24,2,FALSE),"")</f>
        <v/>
      </c>
      <c r="X1934" s="208">
        <f>SUM(Hoja1[[#This Row],[$ X TIP VEHICUL]:[AGREGADO]])</f>
        <v>0</v>
      </c>
    </row>
    <row r="1935" spans="2:24" hidden="1" x14ac:dyDescent="0.25">
      <c r="B1935" s="189"/>
      <c r="J1935" s="189"/>
      <c r="M1935" s="205"/>
      <c r="S1935" t="str">
        <f>IFERROR(VLOOKUP(E1935,'VALORES VIAJES'!$A$2:$B$13,2,FALSE),"")</f>
        <v/>
      </c>
      <c r="T1935" t="str">
        <f>IFERROR(VLOOKUP(H1935,'VALORES VIAJES'!$A$2:$B$24,2,FALSE),"")</f>
        <v/>
      </c>
      <c r="U1935" t="str">
        <f>IFERROR(VLOOKUP(I1935,'VALORES VIAJES'!$A$2:$B$24,2,FALSE),"")</f>
        <v/>
      </c>
      <c r="V1935" t="str">
        <f>IFERROR(VLOOKUP(K1935,'VALORES VIAJES'!$A$2:$B$24,2,FALSE),"")</f>
        <v/>
      </c>
      <c r="X1935" s="208">
        <f>SUM(Hoja1[[#This Row],[$ X TIP VEHICUL]:[AGREGADO]])</f>
        <v>0</v>
      </c>
    </row>
    <row r="1936" spans="2:24" hidden="1" x14ac:dyDescent="0.25">
      <c r="B1936" s="189"/>
      <c r="J1936" s="189"/>
      <c r="M1936" s="205"/>
      <c r="S1936" t="str">
        <f>IFERROR(VLOOKUP(E1936,'VALORES VIAJES'!$A$2:$B$13,2,FALSE),"")</f>
        <v/>
      </c>
      <c r="T1936" t="str">
        <f>IFERROR(VLOOKUP(H1936,'VALORES VIAJES'!$A$2:$B$24,2,FALSE),"")</f>
        <v/>
      </c>
      <c r="U1936" t="str">
        <f>IFERROR(VLOOKUP(I1936,'VALORES VIAJES'!$A$2:$B$24,2,FALSE),"")</f>
        <v/>
      </c>
      <c r="V1936" t="str">
        <f>IFERROR(VLOOKUP(K1936,'VALORES VIAJES'!$A$2:$B$24,2,FALSE),"")</f>
        <v/>
      </c>
      <c r="X1936" s="208">
        <f>SUM(Hoja1[[#This Row],[$ X TIP VEHICUL]:[AGREGADO]])</f>
        <v>0</v>
      </c>
    </row>
    <row r="1937" spans="2:24" hidden="1" x14ac:dyDescent="0.25">
      <c r="B1937" s="189"/>
      <c r="J1937" s="189"/>
      <c r="M1937" s="205"/>
      <c r="S1937" t="str">
        <f>IFERROR(VLOOKUP(E1937,'VALORES VIAJES'!$A$2:$B$13,2,FALSE),"")</f>
        <v/>
      </c>
      <c r="T1937" t="str">
        <f>IFERROR(VLOOKUP(H1937,'VALORES VIAJES'!$A$2:$B$24,2,FALSE),"")</f>
        <v/>
      </c>
      <c r="U1937" t="str">
        <f>IFERROR(VLOOKUP(I1937,'VALORES VIAJES'!$A$2:$B$24,2,FALSE),"")</f>
        <v/>
      </c>
      <c r="V1937" t="str">
        <f>IFERROR(VLOOKUP(K1937,'VALORES VIAJES'!$A$2:$B$24,2,FALSE),"")</f>
        <v/>
      </c>
      <c r="X1937" s="208">
        <f>SUM(Hoja1[[#This Row],[$ X TIP VEHICUL]:[AGREGADO]])</f>
        <v>0</v>
      </c>
    </row>
    <row r="1938" spans="2:24" hidden="1" x14ac:dyDescent="0.25">
      <c r="B1938" s="189"/>
      <c r="J1938" s="189"/>
      <c r="M1938" s="205"/>
      <c r="S1938" t="str">
        <f>IFERROR(VLOOKUP(E1938,'VALORES VIAJES'!$A$2:$B$13,2,FALSE),"")</f>
        <v/>
      </c>
      <c r="T1938" t="str">
        <f>IFERROR(VLOOKUP(H1938,'VALORES VIAJES'!$A$2:$B$24,2,FALSE),"")</f>
        <v/>
      </c>
      <c r="U1938" t="str">
        <f>IFERROR(VLOOKUP(I1938,'VALORES VIAJES'!$A$2:$B$24,2,FALSE),"")</f>
        <v/>
      </c>
      <c r="V1938" t="str">
        <f>IFERROR(VLOOKUP(K1938,'VALORES VIAJES'!$A$2:$B$24,2,FALSE),"")</f>
        <v/>
      </c>
      <c r="X1938" s="208">
        <f>SUM(Hoja1[[#This Row],[$ X TIP VEHICUL]:[AGREGADO]])</f>
        <v>0</v>
      </c>
    </row>
    <row r="1939" spans="2:24" hidden="1" x14ac:dyDescent="0.25">
      <c r="B1939" s="189"/>
      <c r="J1939" s="189"/>
      <c r="M1939" s="205"/>
      <c r="S1939" t="str">
        <f>IFERROR(VLOOKUP(E1939,'VALORES VIAJES'!$A$2:$B$13,2,FALSE),"")</f>
        <v/>
      </c>
      <c r="T1939" t="str">
        <f>IFERROR(VLOOKUP(H1939,'VALORES VIAJES'!$A$2:$B$24,2,FALSE),"")</f>
        <v/>
      </c>
      <c r="U1939" t="str">
        <f>IFERROR(VLOOKUP(I1939,'VALORES VIAJES'!$A$2:$B$24,2,FALSE),"")</f>
        <v/>
      </c>
      <c r="V1939" t="str">
        <f>IFERROR(VLOOKUP(K1939,'VALORES VIAJES'!$A$2:$B$24,2,FALSE),"")</f>
        <v/>
      </c>
      <c r="X1939" s="208">
        <f>SUM(Hoja1[[#This Row],[$ X TIP VEHICUL]:[AGREGADO]])</f>
        <v>0</v>
      </c>
    </row>
    <row r="1940" spans="2:24" hidden="1" x14ac:dyDescent="0.25">
      <c r="B1940" s="189"/>
      <c r="J1940" s="189"/>
      <c r="M1940" s="205"/>
      <c r="S1940" t="str">
        <f>IFERROR(VLOOKUP(E1940,'VALORES VIAJES'!$A$2:$B$13,2,FALSE),"")</f>
        <v/>
      </c>
      <c r="T1940" t="str">
        <f>IFERROR(VLOOKUP(H1940,'VALORES VIAJES'!$A$2:$B$24,2,FALSE),"")</f>
        <v/>
      </c>
      <c r="U1940" t="str">
        <f>IFERROR(VLOOKUP(I1940,'VALORES VIAJES'!$A$2:$B$24,2,FALSE),"")</f>
        <v/>
      </c>
      <c r="V1940" t="str">
        <f>IFERROR(VLOOKUP(K1940,'VALORES VIAJES'!$A$2:$B$24,2,FALSE),"")</f>
        <v/>
      </c>
      <c r="X1940" s="208">
        <f>SUM(Hoja1[[#This Row],[$ X TIP VEHICUL]:[AGREGADO]])</f>
        <v>0</v>
      </c>
    </row>
    <row r="1941" spans="2:24" hidden="1" x14ac:dyDescent="0.25">
      <c r="B1941" s="189"/>
      <c r="J1941" s="189"/>
      <c r="M1941" s="205"/>
      <c r="S1941" t="str">
        <f>IFERROR(VLOOKUP(E1941,'VALORES VIAJES'!$A$2:$B$13,2,FALSE),"")</f>
        <v/>
      </c>
      <c r="T1941" t="str">
        <f>IFERROR(VLOOKUP(H1941,'VALORES VIAJES'!$A$2:$B$24,2,FALSE),"")</f>
        <v/>
      </c>
      <c r="U1941" t="str">
        <f>IFERROR(VLOOKUP(I1941,'VALORES VIAJES'!$A$2:$B$24,2,FALSE),"")</f>
        <v/>
      </c>
      <c r="V1941" t="str">
        <f>IFERROR(VLOOKUP(K1941,'VALORES VIAJES'!$A$2:$B$24,2,FALSE),"")</f>
        <v/>
      </c>
      <c r="X1941" s="208">
        <f>SUM(Hoja1[[#This Row],[$ X TIP VEHICUL]:[AGREGADO]])</f>
        <v>0</v>
      </c>
    </row>
    <row r="1942" spans="2:24" hidden="1" x14ac:dyDescent="0.25">
      <c r="B1942" s="189"/>
      <c r="J1942" s="189"/>
      <c r="M1942" s="205"/>
      <c r="S1942" t="str">
        <f>IFERROR(VLOOKUP(E1942,'VALORES VIAJES'!$A$2:$B$13,2,FALSE),"")</f>
        <v/>
      </c>
      <c r="T1942" t="str">
        <f>IFERROR(VLOOKUP(H1942,'VALORES VIAJES'!$A$2:$B$24,2,FALSE),"")</f>
        <v/>
      </c>
      <c r="U1942" t="str">
        <f>IFERROR(VLOOKUP(I1942,'VALORES VIAJES'!$A$2:$B$24,2,FALSE),"")</f>
        <v/>
      </c>
      <c r="V1942" t="str">
        <f>IFERROR(VLOOKUP(K1942,'VALORES VIAJES'!$A$2:$B$24,2,FALSE),"")</f>
        <v/>
      </c>
      <c r="X1942" s="208">
        <f>SUM(Hoja1[[#This Row],[$ X TIP VEHICUL]:[AGREGADO]])</f>
        <v>0</v>
      </c>
    </row>
    <row r="1943" spans="2:24" hidden="1" x14ac:dyDescent="0.25">
      <c r="B1943" s="189"/>
      <c r="J1943" s="189"/>
      <c r="M1943" s="205"/>
      <c r="S1943" t="str">
        <f>IFERROR(VLOOKUP(E1943,'VALORES VIAJES'!$A$2:$B$13,2,FALSE),"")</f>
        <v/>
      </c>
      <c r="T1943" t="str">
        <f>IFERROR(VLOOKUP(H1943,'VALORES VIAJES'!$A$2:$B$24,2,FALSE),"")</f>
        <v/>
      </c>
      <c r="U1943" t="str">
        <f>IFERROR(VLOOKUP(I1943,'VALORES VIAJES'!$A$2:$B$24,2,FALSE),"")</f>
        <v/>
      </c>
      <c r="V1943" t="str">
        <f>IFERROR(VLOOKUP(K1943,'VALORES VIAJES'!$A$2:$B$24,2,FALSE),"")</f>
        <v/>
      </c>
      <c r="X1943" s="208">
        <f>SUM(Hoja1[[#This Row],[$ X TIP VEHICUL]:[AGREGADO]])</f>
        <v>0</v>
      </c>
    </row>
    <row r="1944" spans="2:24" hidden="1" x14ac:dyDescent="0.25">
      <c r="B1944" s="189"/>
      <c r="J1944" s="189"/>
      <c r="M1944" s="205"/>
      <c r="S1944" t="str">
        <f>IFERROR(VLOOKUP(E1944,'VALORES VIAJES'!$A$2:$B$13,2,FALSE),"")</f>
        <v/>
      </c>
      <c r="T1944" t="str">
        <f>IFERROR(VLOOKUP(H1944,'VALORES VIAJES'!$A$2:$B$24,2,FALSE),"")</f>
        <v/>
      </c>
      <c r="U1944" t="str">
        <f>IFERROR(VLOOKUP(I1944,'VALORES VIAJES'!$A$2:$B$24,2,FALSE),"")</f>
        <v/>
      </c>
      <c r="V1944" t="str">
        <f>IFERROR(VLOOKUP(K1944,'VALORES VIAJES'!$A$2:$B$24,2,FALSE),"")</f>
        <v/>
      </c>
      <c r="X1944" s="208">
        <f>SUM(Hoja1[[#This Row],[$ X TIP VEHICUL]:[AGREGADO]])</f>
        <v>0</v>
      </c>
    </row>
    <row r="1945" spans="2:24" hidden="1" x14ac:dyDescent="0.25">
      <c r="B1945" s="189"/>
      <c r="J1945" s="189"/>
      <c r="M1945" s="205"/>
      <c r="S1945" t="str">
        <f>IFERROR(VLOOKUP(E1945,'VALORES VIAJES'!$A$2:$B$13,2,FALSE),"")</f>
        <v/>
      </c>
      <c r="T1945" t="str">
        <f>IFERROR(VLOOKUP(H1945,'VALORES VIAJES'!$A$2:$B$24,2,FALSE),"")</f>
        <v/>
      </c>
      <c r="U1945" t="str">
        <f>IFERROR(VLOOKUP(I1945,'VALORES VIAJES'!$A$2:$B$24,2,FALSE),"")</f>
        <v/>
      </c>
      <c r="V1945" t="str">
        <f>IFERROR(VLOOKUP(K1945,'VALORES VIAJES'!$A$2:$B$24,2,FALSE),"")</f>
        <v/>
      </c>
      <c r="X1945" s="208">
        <f>SUM(Hoja1[[#This Row],[$ X TIP VEHICUL]:[AGREGADO]])</f>
        <v>0</v>
      </c>
    </row>
    <row r="1946" spans="2:24" hidden="1" x14ac:dyDescent="0.25">
      <c r="B1946" s="189"/>
      <c r="J1946" s="189"/>
      <c r="M1946" s="205"/>
      <c r="S1946" t="str">
        <f>IFERROR(VLOOKUP(E1946,'VALORES VIAJES'!$A$2:$B$13,2,FALSE),"")</f>
        <v/>
      </c>
      <c r="T1946" t="str">
        <f>IFERROR(VLOOKUP(H1946,'VALORES VIAJES'!$A$2:$B$24,2,FALSE),"")</f>
        <v/>
      </c>
      <c r="U1946" t="str">
        <f>IFERROR(VLOOKUP(I1946,'VALORES VIAJES'!$A$2:$B$24,2,FALSE),"")</f>
        <v/>
      </c>
      <c r="V1946" t="str">
        <f>IFERROR(VLOOKUP(K1946,'VALORES VIAJES'!$A$2:$B$24,2,FALSE),"")</f>
        <v/>
      </c>
      <c r="X1946" s="208">
        <f>SUM(Hoja1[[#This Row],[$ X TIP VEHICUL]:[AGREGADO]])</f>
        <v>0</v>
      </c>
    </row>
    <row r="1947" spans="2:24" hidden="1" x14ac:dyDescent="0.25">
      <c r="B1947" s="189"/>
      <c r="J1947" s="189"/>
      <c r="M1947" s="205"/>
      <c r="S1947" t="str">
        <f>IFERROR(VLOOKUP(E1947,'VALORES VIAJES'!$A$2:$B$13,2,FALSE),"")</f>
        <v/>
      </c>
      <c r="T1947" t="str">
        <f>IFERROR(VLOOKUP(H1947,'VALORES VIAJES'!$A$2:$B$24,2,FALSE),"")</f>
        <v/>
      </c>
      <c r="U1947" t="str">
        <f>IFERROR(VLOOKUP(I1947,'VALORES VIAJES'!$A$2:$B$24,2,FALSE),"")</f>
        <v/>
      </c>
      <c r="V1947" t="str">
        <f>IFERROR(VLOOKUP(K1947,'VALORES VIAJES'!$A$2:$B$24,2,FALSE),"")</f>
        <v/>
      </c>
      <c r="X1947" s="208">
        <f>SUM(Hoja1[[#This Row],[$ X TIP VEHICUL]:[AGREGADO]])</f>
        <v>0</v>
      </c>
    </row>
    <row r="1948" spans="2:24" hidden="1" x14ac:dyDescent="0.25">
      <c r="B1948" s="189"/>
      <c r="J1948" s="189"/>
      <c r="M1948" s="205"/>
      <c r="S1948" t="str">
        <f>IFERROR(VLOOKUP(E1948,'VALORES VIAJES'!$A$2:$B$13,2,FALSE),"")</f>
        <v/>
      </c>
      <c r="T1948" t="str">
        <f>IFERROR(VLOOKUP(H1948,'VALORES VIAJES'!$A$2:$B$24,2,FALSE),"")</f>
        <v/>
      </c>
      <c r="U1948" t="str">
        <f>IFERROR(VLOOKUP(I1948,'VALORES VIAJES'!$A$2:$B$24,2,FALSE),"")</f>
        <v/>
      </c>
      <c r="V1948" t="str">
        <f>IFERROR(VLOOKUP(K1948,'VALORES VIAJES'!$A$2:$B$24,2,FALSE),"")</f>
        <v/>
      </c>
      <c r="X1948" s="208">
        <f>SUM(Hoja1[[#This Row],[$ X TIP VEHICUL]:[AGREGADO]])</f>
        <v>0</v>
      </c>
    </row>
    <row r="1949" spans="2:24" hidden="1" x14ac:dyDescent="0.25">
      <c r="B1949" s="189"/>
      <c r="J1949" s="189"/>
      <c r="M1949" s="205"/>
      <c r="S1949" t="str">
        <f>IFERROR(VLOOKUP(E1949,'VALORES VIAJES'!$A$2:$B$13,2,FALSE),"")</f>
        <v/>
      </c>
      <c r="T1949" t="str">
        <f>IFERROR(VLOOKUP(H1949,'VALORES VIAJES'!$A$2:$B$24,2,FALSE),"")</f>
        <v/>
      </c>
      <c r="U1949" t="str">
        <f>IFERROR(VLOOKUP(I1949,'VALORES VIAJES'!$A$2:$B$24,2,FALSE),"")</f>
        <v/>
      </c>
      <c r="V1949" t="str">
        <f>IFERROR(VLOOKUP(K1949,'VALORES VIAJES'!$A$2:$B$24,2,FALSE),"")</f>
        <v/>
      </c>
      <c r="X1949" s="208">
        <f>SUM(Hoja1[[#This Row],[$ X TIP VEHICUL]:[AGREGADO]])</f>
        <v>0</v>
      </c>
    </row>
    <row r="1950" spans="2:24" hidden="1" x14ac:dyDescent="0.25">
      <c r="B1950" s="189"/>
      <c r="J1950" s="189"/>
      <c r="M1950" s="205"/>
      <c r="S1950" t="str">
        <f>IFERROR(VLOOKUP(E1950,'VALORES VIAJES'!$A$2:$B$13,2,FALSE),"")</f>
        <v/>
      </c>
      <c r="T1950" t="str">
        <f>IFERROR(VLOOKUP(H1950,'VALORES VIAJES'!$A$2:$B$24,2,FALSE),"")</f>
        <v/>
      </c>
      <c r="U1950" t="str">
        <f>IFERROR(VLOOKUP(I1950,'VALORES VIAJES'!$A$2:$B$24,2,FALSE),"")</f>
        <v/>
      </c>
      <c r="V1950" t="str">
        <f>IFERROR(VLOOKUP(K1950,'VALORES VIAJES'!$A$2:$B$24,2,FALSE),"")</f>
        <v/>
      </c>
      <c r="X1950" s="208">
        <f>SUM(Hoja1[[#This Row],[$ X TIP VEHICUL]:[AGREGADO]])</f>
        <v>0</v>
      </c>
    </row>
    <row r="1951" spans="2:24" hidden="1" x14ac:dyDescent="0.25">
      <c r="B1951" s="189"/>
      <c r="J1951" s="189"/>
      <c r="M1951" s="205"/>
      <c r="S1951" t="str">
        <f>IFERROR(VLOOKUP(E1951,'VALORES VIAJES'!$A$2:$B$13,2,FALSE),"")</f>
        <v/>
      </c>
      <c r="T1951" t="str">
        <f>IFERROR(VLOOKUP(H1951,'VALORES VIAJES'!$A$2:$B$24,2,FALSE),"")</f>
        <v/>
      </c>
      <c r="U1951" t="str">
        <f>IFERROR(VLOOKUP(I1951,'VALORES VIAJES'!$A$2:$B$24,2,FALSE),"")</f>
        <v/>
      </c>
      <c r="V1951" t="str">
        <f>IFERROR(VLOOKUP(K1951,'VALORES VIAJES'!$A$2:$B$24,2,FALSE),"")</f>
        <v/>
      </c>
      <c r="X1951" s="208">
        <f>SUM(Hoja1[[#This Row],[$ X TIP VEHICUL]:[AGREGADO]])</f>
        <v>0</v>
      </c>
    </row>
    <row r="1952" spans="2:24" hidden="1" x14ac:dyDescent="0.25">
      <c r="B1952" s="189"/>
      <c r="J1952" s="189"/>
      <c r="M1952" s="205"/>
      <c r="S1952" t="str">
        <f>IFERROR(VLOOKUP(E1952,'VALORES VIAJES'!$A$2:$B$13,2,FALSE),"")</f>
        <v/>
      </c>
      <c r="T1952" t="str">
        <f>IFERROR(VLOOKUP(H1952,'VALORES VIAJES'!$A$2:$B$24,2,FALSE),"")</f>
        <v/>
      </c>
      <c r="U1952" t="str">
        <f>IFERROR(VLOOKUP(I1952,'VALORES VIAJES'!$A$2:$B$24,2,FALSE),"")</f>
        <v/>
      </c>
      <c r="V1952" t="str">
        <f>IFERROR(VLOOKUP(K1952,'VALORES VIAJES'!$A$2:$B$24,2,FALSE),"")</f>
        <v/>
      </c>
      <c r="X1952" s="208">
        <f>SUM(Hoja1[[#This Row],[$ X TIP VEHICUL]:[AGREGADO]])</f>
        <v>0</v>
      </c>
    </row>
    <row r="1953" spans="2:24" hidden="1" x14ac:dyDescent="0.25">
      <c r="B1953" s="189"/>
      <c r="J1953" s="189"/>
      <c r="M1953" s="205"/>
      <c r="S1953" t="str">
        <f>IFERROR(VLOOKUP(E1953,'VALORES VIAJES'!$A$2:$B$13,2,FALSE),"")</f>
        <v/>
      </c>
      <c r="T1953" t="str">
        <f>IFERROR(VLOOKUP(H1953,'VALORES VIAJES'!$A$2:$B$24,2,FALSE),"")</f>
        <v/>
      </c>
      <c r="U1953" t="str">
        <f>IFERROR(VLOOKUP(I1953,'VALORES VIAJES'!$A$2:$B$24,2,FALSE),"")</f>
        <v/>
      </c>
      <c r="V1953" t="str">
        <f>IFERROR(VLOOKUP(K1953,'VALORES VIAJES'!$A$2:$B$24,2,FALSE),"")</f>
        <v/>
      </c>
      <c r="X1953" s="208">
        <f>SUM(Hoja1[[#This Row],[$ X TIP VEHICUL]:[AGREGADO]])</f>
        <v>0</v>
      </c>
    </row>
    <row r="1954" spans="2:24" hidden="1" x14ac:dyDescent="0.25">
      <c r="B1954" s="189"/>
      <c r="J1954" s="189"/>
      <c r="M1954" s="205"/>
      <c r="S1954" t="str">
        <f>IFERROR(VLOOKUP(E1954,'VALORES VIAJES'!$A$2:$B$13,2,FALSE),"")</f>
        <v/>
      </c>
      <c r="T1954" t="str">
        <f>IFERROR(VLOOKUP(H1954,'VALORES VIAJES'!$A$2:$B$24,2,FALSE),"")</f>
        <v/>
      </c>
      <c r="U1954" t="str">
        <f>IFERROR(VLOOKUP(I1954,'VALORES VIAJES'!$A$2:$B$24,2,FALSE),"")</f>
        <v/>
      </c>
      <c r="V1954" t="str">
        <f>IFERROR(VLOOKUP(K1954,'VALORES VIAJES'!$A$2:$B$24,2,FALSE),"")</f>
        <v/>
      </c>
      <c r="X1954" s="208">
        <f>SUM(Hoja1[[#This Row],[$ X TIP VEHICUL]:[AGREGADO]])</f>
        <v>0</v>
      </c>
    </row>
    <row r="1955" spans="2:24" hidden="1" x14ac:dyDescent="0.25">
      <c r="B1955" s="189"/>
      <c r="J1955" s="189"/>
      <c r="M1955" s="205"/>
      <c r="S1955" t="str">
        <f>IFERROR(VLOOKUP(E1955,'VALORES VIAJES'!$A$2:$B$13,2,FALSE),"")</f>
        <v/>
      </c>
      <c r="T1955" t="str">
        <f>IFERROR(VLOOKUP(H1955,'VALORES VIAJES'!$A$2:$B$24,2,FALSE),"")</f>
        <v/>
      </c>
      <c r="U1955" t="str">
        <f>IFERROR(VLOOKUP(I1955,'VALORES VIAJES'!$A$2:$B$24,2,FALSE),"")</f>
        <v/>
      </c>
      <c r="V1955" t="str">
        <f>IFERROR(VLOOKUP(K1955,'VALORES VIAJES'!$A$2:$B$24,2,FALSE),"")</f>
        <v/>
      </c>
      <c r="X1955" s="208">
        <f>SUM(Hoja1[[#This Row],[$ X TIP VEHICUL]:[AGREGADO]])</f>
        <v>0</v>
      </c>
    </row>
    <row r="1956" spans="2:24" hidden="1" x14ac:dyDescent="0.25">
      <c r="B1956" s="189"/>
      <c r="J1956" s="189"/>
      <c r="M1956" s="205"/>
      <c r="S1956" t="str">
        <f>IFERROR(VLOOKUP(E1956,'VALORES VIAJES'!$A$2:$B$13,2,FALSE),"")</f>
        <v/>
      </c>
      <c r="T1956" t="str">
        <f>IFERROR(VLOOKUP(H1956,'VALORES VIAJES'!$A$2:$B$24,2,FALSE),"")</f>
        <v/>
      </c>
      <c r="U1956" t="str">
        <f>IFERROR(VLOOKUP(I1956,'VALORES VIAJES'!$A$2:$B$24,2,FALSE),"")</f>
        <v/>
      </c>
      <c r="V1956" t="str">
        <f>IFERROR(VLOOKUP(K1956,'VALORES VIAJES'!$A$2:$B$24,2,FALSE),"")</f>
        <v/>
      </c>
      <c r="X1956" s="208">
        <f>SUM(Hoja1[[#This Row],[$ X TIP VEHICUL]:[AGREGADO]])</f>
        <v>0</v>
      </c>
    </row>
    <row r="1957" spans="2:24" hidden="1" x14ac:dyDescent="0.25">
      <c r="B1957" s="189"/>
      <c r="J1957" s="189"/>
      <c r="M1957" s="205"/>
      <c r="S1957" t="str">
        <f>IFERROR(VLOOKUP(E1957,'VALORES VIAJES'!$A$2:$B$13,2,FALSE),"")</f>
        <v/>
      </c>
      <c r="T1957" t="str">
        <f>IFERROR(VLOOKUP(H1957,'VALORES VIAJES'!$A$2:$B$24,2,FALSE),"")</f>
        <v/>
      </c>
      <c r="U1957" t="str">
        <f>IFERROR(VLOOKUP(I1957,'VALORES VIAJES'!$A$2:$B$24,2,FALSE),"")</f>
        <v/>
      </c>
      <c r="V1957" t="str">
        <f>IFERROR(VLOOKUP(K1957,'VALORES VIAJES'!$A$2:$B$24,2,FALSE),"")</f>
        <v/>
      </c>
      <c r="X1957" s="208">
        <f>SUM(Hoja1[[#This Row],[$ X TIP VEHICUL]:[AGREGADO]])</f>
        <v>0</v>
      </c>
    </row>
    <row r="1958" spans="2:24" hidden="1" x14ac:dyDescent="0.25">
      <c r="B1958" s="189"/>
      <c r="J1958" s="189"/>
      <c r="M1958" s="205"/>
      <c r="S1958" t="str">
        <f>IFERROR(VLOOKUP(E1958,'VALORES VIAJES'!$A$2:$B$13,2,FALSE),"")</f>
        <v/>
      </c>
      <c r="T1958" t="str">
        <f>IFERROR(VLOOKUP(H1958,'VALORES VIAJES'!$A$2:$B$24,2,FALSE),"")</f>
        <v/>
      </c>
      <c r="U1958" t="str">
        <f>IFERROR(VLOOKUP(I1958,'VALORES VIAJES'!$A$2:$B$24,2,FALSE),"")</f>
        <v/>
      </c>
      <c r="V1958" t="str">
        <f>IFERROR(VLOOKUP(K1958,'VALORES VIAJES'!$A$2:$B$24,2,FALSE),"")</f>
        <v/>
      </c>
      <c r="X1958" s="208">
        <f>SUM(Hoja1[[#This Row],[$ X TIP VEHICUL]:[AGREGADO]])</f>
        <v>0</v>
      </c>
    </row>
    <row r="1959" spans="2:24" hidden="1" x14ac:dyDescent="0.25">
      <c r="B1959" s="189"/>
      <c r="J1959" s="189"/>
      <c r="M1959" s="205"/>
      <c r="S1959" t="str">
        <f>IFERROR(VLOOKUP(E1959,'VALORES VIAJES'!$A$2:$B$13,2,FALSE),"")</f>
        <v/>
      </c>
      <c r="T1959" t="str">
        <f>IFERROR(VLOOKUP(H1959,'VALORES VIAJES'!$A$2:$B$24,2,FALSE),"")</f>
        <v/>
      </c>
      <c r="U1959" t="str">
        <f>IFERROR(VLOOKUP(I1959,'VALORES VIAJES'!$A$2:$B$24,2,FALSE),"")</f>
        <v/>
      </c>
      <c r="V1959" t="str">
        <f>IFERROR(VLOOKUP(K1959,'VALORES VIAJES'!$A$2:$B$24,2,FALSE),"")</f>
        <v/>
      </c>
      <c r="X1959" s="208">
        <f>SUM(Hoja1[[#This Row],[$ X TIP VEHICUL]:[AGREGADO]])</f>
        <v>0</v>
      </c>
    </row>
    <row r="1960" spans="2:24" hidden="1" x14ac:dyDescent="0.25">
      <c r="B1960" s="189"/>
      <c r="J1960" s="189"/>
      <c r="M1960" s="205"/>
      <c r="S1960" t="str">
        <f>IFERROR(VLOOKUP(E1960,'VALORES VIAJES'!$A$2:$B$13,2,FALSE),"")</f>
        <v/>
      </c>
      <c r="T1960" t="str">
        <f>IFERROR(VLOOKUP(H1960,'VALORES VIAJES'!$A$2:$B$24,2,FALSE),"")</f>
        <v/>
      </c>
      <c r="U1960" t="str">
        <f>IFERROR(VLOOKUP(I1960,'VALORES VIAJES'!$A$2:$B$24,2,FALSE),"")</f>
        <v/>
      </c>
      <c r="V1960" t="str">
        <f>IFERROR(VLOOKUP(K1960,'VALORES VIAJES'!$A$2:$B$24,2,FALSE),"")</f>
        <v/>
      </c>
      <c r="X1960" s="208">
        <f>SUM(Hoja1[[#This Row],[$ X TIP VEHICUL]:[AGREGADO]])</f>
        <v>0</v>
      </c>
    </row>
    <row r="1961" spans="2:24" hidden="1" x14ac:dyDescent="0.25">
      <c r="B1961" s="189"/>
      <c r="J1961" s="189"/>
      <c r="M1961" s="205"/>
      <c r="S1961" t="str">
        <f>IFERROR(VLOOKUP(E1961,'VALORES VIAJES'!$A$2:$B$13,2,FALSE),"")</f>
        <v/>
      </c>
      <c r="T1961" t="str">
        <f>IFERROR(VLOOKUP(H1961,'VALORES VIAJES'!$A$2:$B$24,2,FALSE),"")</f>
        <v/>
      </c>
      <c r="U1961" t="str">
        <f>IFERROR(VLOOKUP(I1961,'VALORES VIAJES'!$A$2:$B$24,2,FALSE),"")</f>
        <v/>
      </c>
      <c r="V1961" t="str">
        <f>IFERROR(VLOOKUP(K1961,'VALORES VIAJES'!$A$2:$B$24,2,FALSE),"")</f>
        <v/>
      </c>
      <c r="X1961" s="208">
        <f>SUM(Hoja1[[#This Row],[$ X TIP VEHICUL]:[AGREGADO]])</f>
        <v>0</v>
      </c>
    </row>
    <row r="1962" spans="2:24" hidden="1" x14ac:dyDescent="0.25">
      <c r="B1962" s="189"/>
      <c r="J1962" s="189"/>
      <c r="M1962" s="205"/>
      <c r="S1962" t="str">
        <f>IFERROR(VLOOKUP(E1962,'VALORES VIAJES'!$A$2:$B$13,2,FALSE),"")</f>
        <v/>
      </c>
      <c r="T1962" t="str">
        <f>IFERROR(VLOOKUP(H1962,'VALORES VIAJES'!$A$2:$B$24,2,FALSE),"")</f>
        <v/>
      </c>
      <c r="U1962" t="str">
        <f>IFERROR(VLOOKUP(I1962,'VALORES VIAJES'!$A$2:$B$24,2,FALSE),"")</f>
        <v/>
      </c>
      <c r="V1962" t="str">
        <f>IFERROR(VLOOKUP(K1962,'VALORES VIAJES'!$A$2:$B$24,2,FALSE),"")</f>
        <v/>
      </c>
      <c r="X1962" s="208">
        <f>SUM(Hoja1[[#This Row],[$ X TIP VEHICUL]:[AGREGADO]])</f>
        <v>0</v>
      </c>
    </row>
    <row r="1963" spans="2:24" hidden="1" x14ac:dyDescent="0.25">
      <c r="B1963" s="189"/>
      <c r="J1963" s="189"/>
      <c r="M1963" s="205"/>
      <c r="S1963" t="str">
        <f>IFERROR(VLOOKUP(E1963,'VALORES VIAJES'!$A$2:$B$13,2,FALSE),"")</f>
        <v/>
      </c>
      <c r="T1963" t="str">
        <f>IFERROR(VLOOKUP(H1963,'VALORES VIAJES'!$A$2:$B$24,2,FALSE),"")</f>
        <v/>
      </c>
      <c r="U1963" t="str">
        <f>IFERROR(VLOOKUP(I1963,'VALORES VIAJES'!$A$2:$B$24,2,FALSE),"")</f>
        <v/>
      </c>
      <c r="V1963" t="str">
        <f>IFERROR(VLOOKUP(K1963,'VALORES VIAJES'!$A$2:$B$24,2,FALSE),"")</f>
        <v/>
      </c>
      <c r="X1963" s="208">
        <f>SUM(Hoja1[[#This Row],[$ X TIP VEHICUL]:[AGREGADO]])</f>
        <v>0</v>
      </c>
    </row>
    <row r="1964" spans="2:24" hidden="1" x14ac:dyDescent="0.25">
      <c r="B1964" s="189"/>
      <c r="J1964" s="189"/>
      <c r="M1964" s="205"/>
      <c r="S1964" t="str">
        <f>IFERROR(VLOOKUP(E1964,'VALORES VIAJES'!$A$2:$B$13,2,FALSE),"")</f>
        <v/>
      </c>
      <c r="T1964" t="str">
        <f>IFERROR(VLOOKUP(H1964,'VALORES VIAJES'!$A$2:$B$24,2,FALSE),"")</f>
        <v/>
      </c>
      <c r="U1964" t="str">
        <f>IFERROR(VLOOKUP(I1964,'VALORES VIAJES'!$A$2:$B$24,2,FALSE),"")</f>
        <v/>
      </c>
      <c r="V1964" t="str">
        <f>IFERROR(VLOOKUP(K1964,'VALORES VIAJES'!$A$2:$B$24,2,FALSE),"")</f>
        <v/>
      </c>
      <c r="X1964" s="208">
        <f>SUM(Hoja1[[#This Row],[$ X TIP VEHICUL]:[AGREGADO]])</f>
        <v>0</v>
      </c>
    </row>
    <row r="1965" spans="2:24" hidden="1" x14ac:dyDescent="0.25">
      <c r="B1965" s="189"/>
      <c r="J1965" s="189"/>
      <c r="M1965" s="205"/>
      <c r="S1965" t="str">
        <f>IFERROR(VLOOKUP(E1965,'VALORES VIAJES'!$A$2:$B$13,2,FALSE),"")</f>
        <v/>
      </c>
      <c r="T1965" t="str">
        <f>IFERROR(VLOOKUP(H1965,'VALORES VIAJES'!$A$2:$B$24,2,FALSE),"")</f>
        <v/>
      </c>
      <c r="U1965" t="str">
        <f>IFERROR(VLOOKUP(I1965,'VALORES VIAJES'!$A$2:$B$24,2,FALSE),"")</f>
        <v/>
      </c>
      <c r="V1965" t="str">
        <f>IFERROR(VLOOKUP(K1965,'VALORES VIAJES'!$A$2:$B$24,2,FALSE),"")</f>
        <v/>
      </c>
      <c r="X1965" s="208">
        <f>SUM(Hoja1[[#This Row],[$ X TIP VEHICUL]:[AGREGADO]])</f>
        <v>0</v>
      </c>
    </row>
    <row r="1966" spans="2:24" hidden="1" x14ac:dyDescent="0.25">
      <c r="B1966" s="189"/>
      <c r="J1966" s="189"/>
      <c r="M1966" s="205"/>
      <c r="S1966" t="str">
        <f>IFERROR(VLOOKUP(E1966,'VALORES VIAJES'!$A$2:$B$13,2,FALSE),"")</f>
        <v/>
      </c>
      <c r="T1966" t="str">
        <f>IFERROR(VLOOKUP(H1966,'VALORES VIAJES'!$A$2:$B$24,2,FALSE),"")</f>
        <v/>
      </c>
      <c r="U1966" t="str">
        <f>IFERROR(VLOOKUP(I1966,'VALORES VIAJES'!$A$2:$B$24,2,FALSE),"")</f>
        <v/>
      </c>
      <c r="V1966" t="str">
        <f>IFERROR(VLOOKUP(K1966,'VALORES VIAJES'!$A$2:$B$24,2,FALSE),"")</f>
        <v/>
      </c>
      <c r="X1966" s="208">
        <f>SUM(Hoja1[[#This Row],[$ X TIP VEHICUL]:[AGREGADO]])</f>
        <v>0</v>
      </c>
    </row>
    <row r="1967" spans="2:24" hidden="1" x14ac:dyDescent="0.25">
      <c r="B1967" s="189"/>
      <c r="J1967" s="189"/>
      <c r="M1967" s="205"/>
      <c r="S1967" t="str">
        <f>IFERROR(VLOOKUP(E1967,'VALORES VIAJES'!$A$2:$B$13,2,FALSE),"")</f>
        <v/>
      </c>
      <c r="T1967" t="str">
        <f>IFERROR(VLOOKUP(H1967,'VALORES VIAJES'!$A$2:$B$24,2,FALSE),"")</f>
        <v/>
      </c>
      <c r="U1967" t="str">
        <f>IFERROR(VLOOKUP(I1967,'VALORES VIAJES'!$A$2:$B$24,2,FALSE),"")</f>
        <v/>
      </c>
      <c r="V1967" t="str">
        <f>IFERROR(VLOOKUP(K1967,'VALORES VIAJES'!$A$2:$B$24,2,FALSE),"")</f>
        <v/>
      </c>
      <c r="X1967" s="208">
        <f>SUM(Hoja1[[#This Row],[$ X TIP VEHICUL]:[AGREGADO]])</f>
        <v>0</v>
      </c>
    </row>
    <row r="1968" spans="2:24" hidden="1" x14ac:dyDescent="0.25">
      <c r="B1968" s="189"/>
      <c r="J1968" s="189"/>
      <c r="M1968" s="205"/>
      <c r="S1968" t="str">
        <f>IFERROR(VLOOKUP(E1968,'VALORES VIAJES'!$A$2:$B$13,2,FALSE),"")</f>
        <v/>
      </c>
      <c r="T1968" t="str">
        <f>IFERROR(VLOOKUP(H1968,'VALORES VIAJES'!$A$2:$B$24,2,FALSE),"")</f>
        <v/>
      </c>
      <c r="U1968" t="str">
        <f>IFERROR(VLOOKUP(I1968,'VALORES VIAJES'!$A$2:$B$24,2,FALSE),"")</f>
        <v/>
      </c>
      <c r="V1968" t="str">
        <f>IFERROR(VLOOKUP(K1968,'VALORES VIAJES'!$A$2:$B$24,2,FALSE),"")</f>
        <v/>
      </c>
      <c r="X1968" s="208">
        <f>SUM(Hoja1[[#This Row],[$ X TIP VEHICUL]:[AGREGADO]])</f>
        <v>0</v>
      </c>
    </row>
    <row r="1969" spans="2:24" hidden="1" x14ac:dyDescent="0.25">
      <c r="B1969" s="189"/>
      <c r="J1969" s="189"/>
      <c r="M1969" s="205"/>
      <c r="S1969" t="str">
        <f>IFERROR(VLOOKUP(E1969,'VALORES VIAJES'!$A$2:$B$13,2,FALSE),"")</f>
        <v/>
      </c>
      <c r="T1969" t="str">
        <f>IFERROR(VLOOKUP(H1969,'VALORES VIAJES'!$A$2:$B$24,2,FALSE),"")</f>
        <v/>
      </c>
      <c r="U1969" t="str">
        <f>IFERROR(VLOOKUP(I1969,'VALORES VIAJES'!$A$2:$B$24,2,FALSE),"")</f>
        <v/>
      </c>
      <c r="V1969" t="str">
        <f>IFERROR(VLOOKUP(K1969,'VALORES VIAJES'!$A$2:$B$24,2,FALSE),"")</f>
        <v/>
      </c>
      <c r="X1969" s="208">
        <f>SUM(Hoja1[[#This Row],[$ X TIP VEHICUL]:[AGREGADO]])</f>
        <v>0</v>
      </c>
    </row>
    <row r="1970" spans="2:24" hidden="1" x14ac:dyDescent="0.25">
      <c r="B1970" s="189"/>
      <c r="J1970" s="189"/>
      <c r="M1970" s="205"/>
      <c r="S1970" t="str">
        <f>IFERROR(VLOOKUP(E1970,'VALORES VIAJES'!$A$2:$B$13,2,FALSE),"")</f>
        <v/>
      </c>
      <c r="T1970" t="str">
        <f>IFERROR(VLOOKUP(H1970,'VALORES VIAJES'!$A$2:$B$24,2,FALSE),"")</f>
        <v/>
      </c>
      <c r="U1970" t="str">
        <f>IFERROR(VLOOKUP(I1970,'VALORES VIAJES'!$A$2:$B$24,2,FALSE),"")</f>
        <v/>
      </c>
      <c r="V1970" t="str">
        <f>IFERROR(VLOOKUP(K1970,'VALORES VIAJES'!$A$2:$B$24,2,FALSE),"")</f>
        <v/>
      </c>
      <c r="X1970" s="208">
        <f>SUM(Hoja1[[#This Row],[$ X TIP VEHICUL]:[AGREGADO]])</f>
        <v>0</v>
      </c>
    </row>
    <row r="1971" spans="2:24" hidden="1" x14ac:dyDescent="0.25">
      <c r="B1971" s="189"/>
      <c r="J1971" s="189"/>
      <c r="M1971" s="205"/>
      <c r="S1971" t="str">
        <f>IFERROR(VLOOKUP(E1971,'VALORES VIAJES'!$A$2:$B$13,2,FALSE),"")</f>
        <v/>
      </c>
      <c r="T1971" t="str">
        <f>IFERROR(VLOOKUP(H1971,'VALORES VIAJES'!$A$2:$B$24,2,FALSE),"")</f>
        <v/>
      </c>
      <c r="U1971" t="str">
        <f>IFERROR(VLOOKUP(I1971,'VALORES VIAJES'!$A$2:$B$24,2,FALSE),"")</f>
        <v/>
      </c>
      <c r="V1971" t="str">
        <f>IFERROR(VLOOKUP(K1971,'VALORES VIAJES'!$A$2:$B$24,2,FALSE),"")</f>
        <v/>
      </c>
      <c r="X1971" s="208">
        <f>SUM(Hoja1[[#This Row],[$ X TIP VEHICUL]:[AGREGADO]])</f>
        <v>0</v>
      </c>
    </row>
    <row r="1972" spans="2:24" hidden="1" x14ac:dyDescent="0.25">
      <c r="B1972" s="189"/>
      <c r="J1972" s="189"/>
      <c r="M1972" s="205"/>
      <c r="S1972" t="str">
        <f>IFERROR(VLOOKUP(E1972,'VALORES VIAJES'!$A$2:$B$13,2,FALSE),"")</f>
        <v/>
      </c>
      <c r="T1972" t="str">
        <f>IFERROR(VLOOKUP(H1972,'VALORES VIAJES'!$A$2:$B$24,2,FALSE),"")</f>
        <v/>
      </c>
      <c r="U1972" t="str">
        <f>IFERROR(VLOOKUP(I1972,'VALORES VIAJES'!$A$2:$B$24,2,FALSE),"")</f>
        <v/>
      </c>
      <c r="V1972" t="str">
        <f>IFERROR(VLOOKUP(K1972,'VALORES VIAJES'!$A$2:$B$24,2,FALSE),"")</f>
        <v/>
      </c>
      <c r="X1972" s="208">
        <f>SUM(Hoja1[[#This Row],[$ X TIP VEHICUL]:[AGREGADO]])</f>
        <v>0</v>
      </c>
    </row>
    <row r="1973" spans="2:24" hidden="1" x14ac:dyDescent="0.25">
      <c r="B1973" s="189"/>
      <c r="J1973" s="189"/>
      <c r="M1973" s="205"/>
      <c r="S1973" t="str">
        <f>IFERROR(VLOOKUP(E1973,'VALORES VIAJES'!$A$2:$B$13,2,FALSE),"")</f>
        <v/>
      </c>
      <c r="T1973" t="str">
        <f>IFERROR(VLOOKUP(H1973,'VALORES VIAJES'!$A$2:$B$24,2,FALSE),"")</f>
        <v/>
      </c>
      <c r="U1973" t="str">
        <f>IFERROR(VLOOKUP(I1973,'VALORES VIAJES'!$A$2:$B$24,2,FALSE),"")</f>
        <v/>
      </c>
      <c r="V1973" t="str">
        <f>IFERROR(VLOOKUP(K1973,'VALORES VIAJES'!$A$2:$B$24,2,FALSE),"")</f>
        <v/>
      </c>
      <c r="X1973" s="208">
        <f>SUM(Hoja1[[#This Row],[$ X TIP VEHICUL]:[AGREGADO]])</f>
        <v>0</v>
      </c>
    </row>
    <row r="1974" spans="2:24" hidden="1" x14ac:dyDescent="0.25">
      <c r="B1974" s="189"/>
      <c r="J1974" s="189"/>
      <c r="M1974" s="205"/>
      <c r="S1974" t="str">
        <f>IFERROR(VLOOKUP(E1974,'VALORES VIAJES'!$A$2:$B$13,2,FALSE),"")</f>
        <v/>
      </c>
      <c r="T1974" t="str">
        <f>IFERROR(VLOOKUP(H1974,'VALORES VIAJES'!$A$2:$B$24,2,FALSE),"")</f>
        <v/>
      </c>
      <c r="U1974" t="str">
        <f>IFERROR(VLOOKUP(I1974,'VALORES VIAJES'!$A$2:$B$24,2,FALSE),"")</f>
        <v/>
      </c>
      <c r="V1974" t="str">
        <f>IFERROR(VLOOKUP(K1974,'VALORES VIAJES'!$A$2:$B$24,2,FALSE),"")</f>
        <v/>
      </c>
      <c r="X1974" s="208">
        <f>SUM(Hoja1[[#This Row],[$ X TIP VEHICUL]:[AGREGADO]])</f>
        <v>0</v>
      </c>
    </row>
    <row r="1975" spans="2:24" hidden="1" x14ac:dyDescent="0.25">
      <c r="B1975" s="189"/>
      <c r="J1975" s="189"/>
      <c r="M1975" s="205"/>
      <c r="S1975" t="str">
        <f>IFERROR(VLOOKUP(E1975,'VALORES VIAJES'!$A$2:$B$13,2,FALSE),"")</f>
        <v/>
      </c>
      <c r="T1975" t="str">
        <f>IFERROR(VLOOKUP(H1975,'VALORES VIAJES'!$A$2:$B$24,2,FALSE),"")</f>
        <v/>
      </c>
      <c r="U1975" t="str">
        <f>IFERROR(VLOOKUP(I1975,'VALORES VIAJES'!$A$2:$B$24,2,FALSE),"")</f>
        <v/>
      </c>
      <c r="V1975" t="str">
        <f>IFERROR(VLOOKUP(K1975,'VALORES VIAJES'!$A$2:$B$24,2,FALSE),"")</f>
        <v/>
      </c>
      <c r="X1975" s="208">
        <f>SUM(Hoja1[[#This Row],[$ X TIP VEHICUL]:[AGREGADO]])</f>
        <v>0</v>
      </c>
    </row>
    <row r="1976" spans="2:24" hidden="1" x14ac:dyDescent="0.25">
      <c r="B1976" s="189"/>
      <c r="J1976" s="189"/>
      <c r="M1976" s="205"/>
      <c r="S1976" t="str">
        <f>IFERROR(VLOOKUP(E1976,'VALORES VIAJES'!$A$2:$B$13,2,FALSE),"")</f>
        <v/>
      </c>
      <c r="T1976" t="str">
        <f>IFERROR(VLOOKUP(H1976,'VALORES VIAJES'!$A$2:$B$24,2,FALSE),"")</f>
        <v/>
      </c>
      <c r="U1976" t="str">
        <f>IFERROR(VLOOKUP(I1976,'VALORES VIAJES'!$A$2:$B$24,2,FALSE),"")</f>
        <v/>
      </c>
      <c r="V1976" t="str">
        <f>IFERROR(VLOOKUP(K1976,'VALORES VIAJES'!$A$2:$B$24,2,FALSE),"")</f>
        <v/>
      </c>
      <c r="X1976" s="208">
        <f>SUM(Hoja1[[#This Row],[$ X TIP VEHICUL]:[AGREGADO]])</f>
        <v>0</v>
      </c>
    </row>
    <row r="1977" spans="2:24" hidden="1" x14ac:dyDescent="0.25">
      <c r="B1977" s="189"/>
      <c r="J1977" s="189"/>
      <c r="M1977" s="205"/>
      <c r="S1977" t="str">
        <f>IFERROR(VLOOKUP(E1977,'VALORES VIAJES'!$A$2:$B$13,2,FALSE),"")</f>
        <v/>
      </c>
      <c r="T1977" t="str">
        <f>IFERROR(VLOOKUP(H1977,'VALORES VIAJES'!$A$2:$B$24,2,FALSE),"")</f>
        <v/>
      </c>
      <c r="U1977" t="str">
        <f>IFERROR(VLOOKUP(I1977,'VALORES VIAJES'!$A$2:$B$24,2,FALSE),"")</f>
        <v/>
      </c>
      <c r="V1977" t="str">
        <f>IFERROR(VLOOKUP(K1977,'VALORES VIAJES'!$A$2:$B$24,2,FALSE),"")</f>
        <v/>
      </c>
      <c r="X1977" s="208">
        <f>SUM(Hoja1[[#This Row],[$ X TIP VEHICUL]:[AGREGADO]])</f>
        <v>0</v>
      </c>
    </row>
    <row r="1978" spans="2:24" hidden="1" x14ac:dyDescent="0.25">
      <c r="B1978" s="189"/>
      <c r="J1978" s="189"/>
      <c r="M1978" s="205"/>
      <c r="S1978" t="str">
        <f>IFERROR(VLOOKUP(E1978,'VALORES VIAJES'!$A$2:$B$13,2,FALSE),"")</f>
        <v/>
      </c>
      <c r="T1978" t="str">
        <f>IFERROR(VLOOKUP(H1978,'VALORES VIAJES'!$A$2:$B$24,2,FALSE),"")</f>
        <v/>
      </c>
      <c r="U1978" t="str">
        <f>IFERROR(VLOOKUP(I1978,'VALORES VIAJES'!$A$2:$B$24,2,FALSE),"")</f>
        <v/>
      </c>
      <c r="V1978" t="str">
        <f>IFERROR(VLOOKUP(K1978,'VALORES VIAJES'!$A$2:$B$24,2,FALSE),"")</f>
        <v/>
      </c>
      <c r="X1978" s="208">
        <f>SUM(Hoja1[[#This Row],[$ X TIP VEHICUL]:[AGREGADO]])</f>
        <v>0</v>
      </c>
    </row>
    <row r="1979" spans="2:24" hidden="1" x14ac:dyDescent="0.25">
      <c r="B1979" s="189"/>
      <c r="J1979" s="189"/>
      <c r="M1979" s="205"/>
      <c r="S1979" t="str">
        <f>IFERROR(VLOOKUP(E1979,'VALORES VIAJES'!$A$2:$B$13,2,FALSE),"")</f>
        <v/>
      </c>
      <c r="T1979" t="str">
        <f>IFERROR(VLOOKUP(H1979,'VALORES VIAJES'!$A$2:$B$24,2,FALSE),"")</f>
        <v/>
      </c>
      <c r="U1979" t="str">
        <f>IFERROR(VLOOKUP(I1979,'VALORES VIAJES'!$A$2:$B$24,2,FALSE),"")</f>
        <v/>
      </c>
      <c r="V1979" t="str">
        <f>IFERROR(VLOOKUP(K1979,'VALORES VIAJES'!$A$2:$B$24,2,FALSE),"")</f>
        <v/>
      </c>
      <c r="X1979" s="208">
        <f>SUM(Hoja1[[#This Row],[$ X TIP VEHICUL]:[AGREGADO]])</f>
        <v>0</v>
      </c>
    </row>
    <row r="1980" spans="2:24" hidden="1" x14ac:dyDescent="0.25">
      <c r="B1980" s="189"/>
      <c r="J1980" s="189"/>
      <c r="M1980" s="205"/>
      <c r="S1980" t="str">
        <f>IFERROR(VLOOKUP(E1980,'VALORES VIAJES'!$A$2:$B$13,2,FALSE),"")</f>
        <v/>
      </c>
      <c r="T1980" t="str">
        <f>IFERROR(VLOOKUP(H1980,'VALORES VIAJES'!$A$2:$B$24,2,FALSE),"")</f>
        <v/>
      </c>
      <c r="U1980" t="str">
        <f>IFERROR(VLOOKUP(I1980,'VALORES VIAJES'!$A$2:$B$24,2,FALSE),"")</f>
        <v/>
      </c>
      <c r="V1980" t="str">
        <f>IFERROR(VLOOKUP(K1980,'VALORES VIAJES'!$A$2:$B$24,2,FALSE),"")</f>
        <v/>
      </c>
      <c r="X1980" s="208">
        <f>SUM(Hoja1[[#This Row],[$ X TIP VEHICUL]:[AGREGADO]])</f>
        <v>0</v>
      </c>
    </row>
    <row r="1981" spans="2:24" hidden="1" x14ac:dyDescent="0.25">
      <c r="B1981" s="189"/>
      <c r="J1981" s="189"/>
      <c r="M1981" s="205"/>
      <c r="S1981" t="str">
        <f>IFERROR(VLOOKUP(E1981,'VALORES VIAJES'!$A$2:$B$13,2,FALSE),"")</f>
        <v/>
      </c>
      <c r="T1981" t="str">
        <f>IFERROR(VLOOKUP(H1981,'VALORES VIAJES'!$A$2:$B$24,2,FALSE),"")</f>
        <v/>
      </c>
      <c r="U1981" t="str">
        <f>IFERROR(VLOOKUP(I1981,'VALORES VIAJES'!$A$2:$B$24,2,FALSE),"")</f>
        <v/>
      </c>
      <c r="V1981" t="str">
        <f>IFERROR(VLOOKUP(K1981,'VALORES VIAJES'!$A$2:$B$24,2,FALSE),"")</f>
        <v/>
      </c>
      <c r="X1981" s="208">
        <f>SUM(Hoja1[[#This Row],[$ X TIP VEHICUL]:[AGREGADO]])</f>
        <v>0</v>
      </c>
    </row>
    <row r="1982" spans="2:24" hidden="1" x14ac:dyDescent="0.25">
      <c r="B1982" s="189"/>
      <c r="J1982" s="189"/>
      <c r="M1982" s="205"/>
      <c r="S1982" t="str">
        <f>IFERROR(VLOOKUP(E1982,'VALORES VIAJES'!$A$2:$B$13,2,FALSE),"")</f>
        <v/>
      </c>
      <c r="T1982" t="str">
        <f>IFERROR(VLOOKUP(H1982,'VALORES VIAJES'!$A$2:$B$24,2,FALSE),"")</f>
        <v/>
      </c>
      <c r="U1982" t="str">
        <f>IFERROR(VLOOKUP(I1982,'VALORES VIAJES'!$A$2:$B$24,2,FALSE),"")</f>
        <v/>
      </c>
      <c r="V1982" t="str">
        <f>IFERROR(VLOOKUP(K1982,'VALORES VIAJES'!$A$2:$B$24,2,FALSE),"")</f>
        <v/>
      </c>
      <c r="X1982" s="208">
        <f>SUM(Hoja1[[#This Row],[$ X TIP VEHICUL]:[AGREGADO]])</f>
        <v>0</v>
      </c>
    </row>
    <row r="1983" spans="2:24" hidden="1" x14ac:dyDescent="0.25">
      <c r="B1983" s="189"/>
      <c r="J1983" s="189"/>
      <c r="M1983" s="205"/>
      <c r="S1983" t="str">
        <f>IFERROR(VLOOKUP(E1983,'VALORES VIAJES'!$A$2:$B$13,2,FALSE),"")</f>
        <v/>
      </c>
      <c r="T1983" t="str">
        <f>IFERROR(VLOOKUP(H1983,'VALORES VIAJES'!$A$2:$B$24,2,FALSE),"")</f>
        <v/>
      </c>
      <c r="U1983" t="str">
        <f>IFERROR(VLOOKUP(I1983,'VALORES VIAJES'!$A$2:$B$24,2,FALSE),"")</f>
        <v/>
      </c>
      <c r="V1983" t="str">
        <f>IFERROR(VLOOKUP(K1983,'VALORES VIAJES'!$A$2:$B$24,2,FALSE),"")</f>
        <v/>
      </c>
      <c r="X1983" s="208">
        <f>SUM(Hoja1[[#This Row],[$ X TIP VEHICUL]:[AGREGADO]])</f>
        <v>0</v>
      </c>
    </row>
    <row r="1984" spans="2:24" hidden="1" x14ac:dyDescent="0.25">
      <c r="B1984" s="189"/>
      <c r="J1984" s="189"/>
      <c r="M1984" s="205"/>
      <c r="S1984" t="str">
        <f>IFERROR(VLOOKUP(E1984,'VALORES VIAJES'!$A$2:$B$13,2,FALSE),"")</f>
        <v/>
      </c>
      <c r="T1984" t="str">
        <f>IFERROR(VLOOKUP(H1984,'VALORES VIAJES'!$A$2:$B$24,2,FALSE),"")</f>
        <v/>
      </c>
      <c r="U1984" t="str">
        <f>IFERROR(VLOOKUP(I1984,'VALORES VIAJES'!$A$2:$B$24,2,FALSE),"")</f>
        <v/>
      </c>
      <c r="V1984" t="str">
        <f>IFERROR(VLOOKUP(K1984,'VALORES VIAJES'!$A$2:$B$24,2,FALSE),"")</f>
        <v/>
      </c>
      <c r="X1984" s="208">
        <f>SUM(Hoja1[[#This Row],[$ X TIP VEHICUL]:[AGREGADO]])</f>
        <v>0</v>
      </c>
    </row>
    <row r="1985" spans="2:24" hidden="1" x14ac:dyDescent="0.25">
      <c r="B1985" s="189"/>
      <c r="J1985" s="189"/>
      <c r="M1985" s="205"/>
      <c r="S1985" t="str">
        <f>IFERROR(VLOOKUP(E1985,'VALORES VIAJES'!$A$2:$B$13,2,FALSE),"")</f>
        <v/>
      </c>
      <c r="T1985" t="str">
        <f>IFERROR(VLOOKUP(H1985,'VALORES VIAJES'!$A$2:$B$24,2,FALSE),"")</f>
        <v/>
      </c>
      <c r="U1985" t="str">
        <f>IFERROR(VLOOKUP(I1985,'VALORES VIAJES'!$A$2:$B$24,2,FALSE),"")</f>
        <v/>
      </c>
      <c r="V1985" t="str">
        <f>IFERROR(VLOOKUP(K1985,'VALORES VIAJES'!$A$2:$B$24,2,FALSE),"")</f>
        <v/>
      </c>
      <c r="X1985" s="208">
        <f>SUM(Hoja1[[#This Row],[$ X TIP VEHICUL]:[AGREGADO]])</f>
        <v>0</v>
      </c>
    </row>
    <row r="1986" spans="2:24" hidden="1" x14ac:dyDescent="0.25">
      <c r="B1986" s="189"/>
      <c r="J1986" s="189"/>
      <c r="M1986" s="205"/>
      <c r="S1986" t="str">
        <f>IFERROR(VLOOKUP(E1986,'VALORES VIAJES'!$A$2:$B$13,2,FALSE),"")</f>
        <v/>
      </c>
      <c r="T1986" t="str">
        <f>IFERROR(VLOOKUP(H1986,'VALORES VIAJES'!$A$2:$B$24,2,FALSE),"")</f>
        <v/>
      </c>
      <c r="U1986" t="str">
        <f>IFERROR(VLOOKUP(I1986,'VALORES VIAJES'!$A$2:$B$24,2,FALSE),"")</f>
        <v/>
      </c>
      <c r="V1986" t="str">
        <f>IFERROR(VLOOKUP(K1986,'VALORES VIAJES'!$A$2:$B$24,2,FALSE),"")</f>
        <v/>
      </c>
      <c r="X1986" s="208">
        <f>SUM(Hoja1[[#This Row],[$ X TIP VEHICUL]:[AGREGADO]])</f>
        <v>0</v>
      </c>
    </row>
    <row r="1987" spans="2:24" hidden="1" x14ac:dyDescent="0.25">
      <c r="B1987" s="189"/>
      <c r="J1987" s="189"/>
      <c r="M1987" s="205"/>
      <c r="S1987" t="str">
        <f>IFERROR(VLOOKUP(E1987,'VALORES VIAJES'!$A$2:$B$13,2,FALSE),"")</f>
        <v/>
      </c>
      <c r="T1987" t="str">
        <f>IFERROR(VLOOKUP(H1987,'VALORES VIAJES'!$A$2:$B$24,2,FALSE),"")</f>
        <v/>
      </c>
      <c r="U1987" t="str">
        <f>IFERROR(VLOOKUP(I1987,'VALORES VIAJES'!$A$2:$B$24,2,FALSE),"")</f>
        <v/>
      </c>
      <c r="V1987" t="str">
        <f>IFERROR(VLOOKUP(K1987,'VALORES VIAJES'!$A$2:$B$24,2,FALSE),"")</f>
        <v/>
      </c>
      <c r="X1987" s="208">
        <f>SUM(Hoja1[[#This Row],[$ X TIP VEHICUL]:[AGREGADO]])</f>
        <v>0</v>
      </c>
    </row>
    <row r="1988" spans="2:24" hidden="1" x14ac:dyDescent="0.25">
      <c r="B1988" s="189"/>
      <c r="J1988" s="189"/>
      <c r="M1988" s="205"/>
      <c r="S1988" t="str">
        <f>IFERROR(VLOOKUP(E1988,'VALORES VIAJES'!$A$2:$B$13,2,FALSE),"")</f>
        <v/>
      </c>
      <c r="T1988" t="str">
        <f>IFERROR(VLOOKUP(H1988,'VALORES VIAJES'!$A$2:$B$24,2,FALSE),"")</f>
        <v/>
      </c>
      <c r="U1988" t="str">
        <f>IFERROR(VLOOKUP(I1988,'VALORES VIAJES'!$A$2:$B$24,2,FALSE),"")</f>
        <v/>
      </c>
      <c r="V1988" t="str">
        <f>IFERROR(VLOOKUP(K1988,'VALORES VIAJES'!$A$2:$B$24,2,FALSE),"")</f>
        <v/>
      </c>
      <c r="X1988" s="208">
        <f>SUM(Hoja1[[#This Row],[$ X TIP VEHICUL]:[AGREGADO]])</f>
        <v>0</v>
      </c>
    </row>
    <row r="1989" spans="2:24" hidden="1" x14ac:dyDescent="0.25">
      <c r="B1989" s="189"/>
      <c r="J1989" s="189"/>
      <c r="M1989" s="205"/>
      <c r="S1989" t="str">
        <f>IFERROR(VLOOKUP(E1989,'VALORES VIAJES'!$A$2:$B$13,2,FALSE),"")</f>
        <v/>
      </c>
      <c r="T1989" t="str">
        <f>IFERROR(VLOOKUP(H1989,'VALORES VIAJES'!$A$2:$B$24,2,FALSE),"")</f>
        <v/>
      </c>
      <c r="U1989" t="str">
        <f>IFERROR(VLOOKUP(I1989,'VALORES VIAJES'!$A$2:$B$24,2,FALSE),"")</f>
        <v/>
      </c>
      <c r="V1989" t="str">
        <f>IFERROR(VLOOKUP(K1989,'VALORES VIAJES'!$A$2:$B$24,2,FALSE),"")</f>
        <v/>
      </c>
      <c r="X1989" s="208">
        <f>SUM(Hoja1[[#This Row],[$ X TIP VEHICUL]:[AGREGADO]])</f>
        <v>0</v>
      </c>
    </row>
    <row r="1990" spans="2:24" hidden="1" x14ac:dyDescent="0.25">
      <c r="B1990" s="189"/>
      <c r="J1990" s="189"/>
      <c r="M1990" s="205"/>
      <c r="S1990" t="str">
        <f>IFERROR(VLOOKUP(E1990,'VALORES VIAJES'!$A$2:$B$13,2,FALSE),"")</f>
        <v/>
      </c>
      <c r="T1990" t="str">
        <f>IFERROR(VLOOKUP(H1990,'VALORES VIAJES'!$A$2:$B$24,2,FALSE),"")</f>
        <v/>
      </c>
      <c r="U1990" t="str">
        <f>IFERROR(VLOOKUP(I1990,'VALORES VIAJES'!$A$2:$B$24,2,FALSE),"")</f>
        <v/>
      </c>
      <c r="V1990" t="str">
        <f>IFERROR(VLOOKUP(K1990,'VALORES VIAJES'!$A$2:$B$24,2,FALSE),"")</f>
        <v/>
      </c>
      <c r="X1990" s="208">
        <f>SUM(Hoja1[[#This Row],[$ X TIP VEHICUL]:[AGREGADO]])</f>
        <v>0</v>
      </c>
    </row>
    <row r="1991" spans="2:24" hidden="1" x14ac:dyDescent="0.25">
      <c r="B1991" s="189"/>
      <c r="J1991" s="189"/>
      <c r="M1991" s="205"/>
      <c r="S1991" t="str">
        <f>IFERROR(VLOOKUP(E1991,'VALORES VIAJES'!$A$2:$B$13,2,FALSE),"")</f>
        <v/>
      </c>
      <c r="T1991" t="str">
        <f>IFERROR(VLOOKUP(H1991,'VALORES VIAJES'!$A$2:$B$24,2,FALSE),"")</f>
        <v/>
      </c>
      <c r="U1991" t="str">
        <f>IFERROR(VLOOKUP(I1991,'VALORES VIAJES'!$A$2:$B$24,2,FALSE),"")</f>
        <v/>
      </c>
      <c r="V1991" t="str">
        <f>IFERROR(VLOOKUP(K1991,'VALORES VIAJES'!$A$2:$B$24,2,FALSE),"")</f>
        <v/>
      </c>
      <c r="X1991" s="208">
        <f>SUM(Hoja1[[#This Row],[$ X TIP VEHICUL]:[AGREGADO]])</f>
        <v>0</v>
      </c>
    </row>
    <row r="1992" spans="2:24" hidden="1" x14ac:dyDescent="0.25">
      <c r="B1992" s="189"/>
      <c r="J1992" s="189"/>
      <c r="M1992" s="205"/>
      <c r="S1992" t="str">
        <f>IFERROR(VLOOKUP(E1992,'VALORES VIAJES'!$A$2:$B$13,2,FALSE),"")</f>
        <v/>
      </c>
      <c r="T1992" t="str">
        <f>IFERROR(VLOOKUP(H1992,'VALORES VIAJES'!$A$2:$B$24,2,FALSE),"")</f>
        <v/>
      </c>
      <c r="U1992" t="str">
        <f>IFERROR(VLOOKUP(I1992,'VALORES VIAJES'!$A$2:$B$24,2,FALSE),"")</f>
        <v/>
      </c>
      <c r="V1992" t="str">
        <f>IFERROR(VLOOKUP(K1992,'VALORES VIAJES'!$A$2:$B$24,2,FALSE),"")</f>
        <v/>
      </c>
      <c r="X1992" s="208">
        <f>SUM(Hoja1[[#This Row],[$ X TIP VEHICUL]:[AGREGADO]])</f>
        <v>0</v>
      </c>
    </row>
    <row r="1993" spans="2:24" hidden="1" x14ac:dyDescent="0.25">
      <c r="B1993" s="189"/>
      <c r="J1993" s="189"/>
      <c r="M1993" s="205"/>
      <c r="S1993" t="str">
        <f>IFERROR(VLOOKUP(E1993,'VALORES VIAJES'!$A$2:$B$13,2,FALSE),"")</f>
        <v/>
      </c>
      <c r="T1993" t="str">
        <f>IFERROR(VLOOKUP(H1993,'VALORES VIAJES'!$A$2:$B$24,2,FALSE),"")</f>
        <v/>
      </c>
      <c r="U1993" t="str">
        <f>IFERROR(VLOOKUP(I1993,'VALORES VIAJES'!$A$2:$B$24,2,FALSE),"")</f>
        <v/>
      </c>
      <c r="V1993" t="str">
        <f>IFERROR(VLOOKUP(K1993,'VALORES VIAJES'!$A$2:$B$24,2,FALSE),"")</f>
        <v/>
      </c>
      <c r="X1993" s="208">
        <f>SUM(Hoja1[[#This Row],[$ X TIP VEHICUL]:[AGREGADO]])</f>
        <v>0</v>
      </c>
    </row>
    <row r="1994" spans="2:24" hidden="1" x14ac:dyDescent="0.25">
      <c r="B1994" s="189"/>
      <c r="J1994" s="189"/>
      <c r="M1994" s="205"/>
      <c r="S1994" t="str">
        <f>IFERROR(VLOOKUP(E1994,'VALORES VIAJES'!$A$2:$B$13,2,FALSE),"")</f>
        <v/>
      </c>
      <c r="T1994" t="str">
        <f>IFERROR(VLOOKUP(H1994,'VALORES VIAJES'!$A$2:$B$24,2,FALSE),"")</f>
        <v/>
      </c>
      <c r="U1994" t="str">
        <f>IFERROR(VLOOKUP(I1994,'VALORES VIAJES'!$A$2:$B$24,2,FALSE),"")</f>
        <v/>
      </c>
      <c r="V1994" t="str">
        <f>IFERROR(VLOOKUP(K1994,'VALORES VIAJES'!$A$2:$B$24,2,FALSE),"")</f>
        <v/>
      </c>
      <c r="X1994" s="208">
        <f>SUM(Hoja1[[#This Row],[$ X TIP VEHICUL]:[AGREGADO]])</f>
        <v>0</v>
      </c>
    </row>
    <row r="1995" spans="2:24" hidden="1" x14ac:dyDescent="0.25">
      <c r="B1995" s="189"/>
      <c r="J1995" s="189"/>
      <c r="M1995" s="205"/>
      <c r="S1995" t="str">
        <f>IFERROR(VLOOKUP(E1995,'VALORES VIAJES'!$A$2:$B$13,2,FALSE),"")</f>
        <v/>
      </c>
      <c r="T1995" t="str">
        <f>IFERROR(VLOOKUP(H1995,'VALORES VIAJES'!$A$2:$B$24,2,FALSE),"")</f>
        <v/>
      </c>
      <c r="U1995" t="str">
        <f>IFERROR(VLOOKUP(I1995,'VALORES VIAJES'!$A$2:$B$24,2,FALSE),"")</f>
        <v/>
      </c>
      <c r="V1995" t="str">
        <f>IFERROR(VLOOKUP(K1995,'VALORES VIAJES'!$A$2:$B$24,2,FALSE),"")</f>
        <v/>
      </c>
      <c r="X1995" s="208">
        <f>SUM(Hoja1[[#This Row],[$ X TIP VEHICUL]:[AGREGADO]])</f>
        <v>0</v>
      </c>
    </row>
    <row r="1996" spans="2:24" hidden="1" x14ac:dyDescent="0.25">
      <c r="B1996" s="189"/>
      <c r="J1996" s="189"/>
      <c r="M1996" s="205"/>
      <c r="S1996" t="str">
        <f>IFERROR(VLOOKUP(E1996,'VALORES VIAJES'!$A$2:$B$13,2,FALSE),"")</f>
        <v/>
      </c>
      <c r="T1996" t="str">
        <f>IFERROR(VLOOKUP(H1996,'VALORES VIAJES'!$A$2:$B$24,2,FALSE),"")</f>
        <v/>
      </c>
      <c r="U1996" t="str">
        <f>IFERROR(VLOOKUP(I1996,'VALORES VIAJES'!$A$2:$B$24,2,FALSE),"")</f>
        <v/>
      </c>
      <c r="V1996" t="str">
        <f>IFERROR(VLOOKUP(K1996,'VALORES VIAJES'!$A$2:$B$24,2,FALSE),"")</f>
        <v/>
      </c>
      <c r="X1996" s="208">
        <f>SUM(Hoja1[[#This Row],[$ X TIP VEHICUL]:[AGREGADO]])</f>
        <v>0</v>
      </c>
    </row>
    <row r="1997" spans="2:24" hidden="1" x14ac:dyDescent="0.25">
      <c r="B1997" s="189"/>
      <c r="J1997" s="189"/>
      <c r="M1997" s="205"/>
      <c r="S1997" t="str">
        <f>IFERROR(VLOOKUP(E1997,'VALORES VIAJES'!$A$2:$B$13,2,FALSE),"")</f>
        <v/>
      </c>
      <c r="T1997" t="str">
        <f>IFERROR(VLOOKUP(H1997,'VALORES VIAJES'!$A$2:$B$24,2,FALSE),"")</f>
        <v/>
      </c>
      <c r="U1997" t="str">
        <f>IFERROR(VLOOKUP(I1997,'VALORES VIAJES'!$A$2:$B$24,2,FALSE),"")</f>
        <v/>
      </c>
      <c r="V1997" t="str">
        <f>IFERROR(VLOOKUP(K1997,'VALORES VIAJES'!$A$2:$B$24,2,FALSE),"")</f>
        <v/>
      </c>
      <c r="X1997" s="208">
        <f>SUM(Hoja1[[#This Row],[$ X TIP VEHICUL]:[AGREGADO]])</f>
        <v>0</v>
      </c>
    </row>
    <row r="1998" spans="2:24" hidden="1" x14ac:dyDescent="0.25">
      <c r="B1998" s="189"/>
      <c r="J1998" s="189"/>
      <c r="M1998" s="205"/>
      <c r="S1998" t="str">
        <f>IFERROR(VLOOKUP(E1998,'VALORES VIAJES'!$A$2:$B$13,2,FALSE),"")</f>
        <v/>
      </c>
      <c r="T1998" t="str">
        <f>IFERROR(VLOOKUP(H1998,'VALORES VIAJES'!$A$2:$B$24,2,FALSE),"")</f>
        <v/>
      </c>
      <c r="U1998" t="str">
        <f>IFERROR(VLOOKUP(I1998,'VALORES VIAJES'!$A$2:$B$24,2,FALSE),"")</f>
        <v/>
      </c>
      <c r="V1998" t="str">
        <f>IFERROR(VLOOKUP(K1998,'VALORES VIAJES'!$A$2:$B$24,2,FALSE),"")</f>
        <v/>
      </c>
      <c r="X1998" s="208">
        <f>SUM(Hoja1[[#This Row],[$ X TIP VEHICUL]:[AGREGADO]])</f>
        <v>0</v>
      </c>
    </row>
    <row r="1999" spans="2:24" hidden="1" x14ac:dyDescent="0.25">
      <c r="B1999" s="189"/>
      <c r="J1999" s="189"/>
      <c r="M1999" s="205"/>
      <c r="S1999" t="str">
        <f>IFERROR(VLOOKUP(E1999,'VALORES VIAJES'!$A$2:$B$13,2,FALSE),"")</f>
        <v/>
      </c>
      <c r="T1999" t="str">
        <f>IFERROR(VLOOKUP(H1999,'VALORES VIAJES'!$A$2:$B$24,2,FALSE),"")</f>
        <v/>
      </c>
      <c r="U1999" t="str">
        <f>IFERROR(VLOOKUP(I1999,'VALORES VIAJES'!$A$2:$B$24,2,FALSE),"")</f>
        <v/>
      </c>
      <c r="V1999" t="str">
        <f>IFERROR(VLOOKUP(K1999,'VALORES VIAJES'!$A$2:$B$24,2,FALSE),"")</f>
        <v/>
      </c>
      <c r="X1999" s="208">
        <f>SUM(Hoja1[[#This Row],[$ X TIP VEHICUL]:[AGREGADO]])</f>
        <v>0</v>
      </c>
    </row>
    <row r="2000" spans="2:24" hidden="1" x14ac:dyDescent="0.25">
      <c r="B2000" s="189"/>
      <c r="J2000" s="189"/>
      <c r="M2000" s="205"/>
      <c r="S2000" t="str">
        <f>IFERROR(VLOOKUP(E2000,'VALORES VIAJES'!$A$2:$B$13,2,FALSE),"")</f>
        <v/>
      </c>
      <c r="T2000" t="str">
        <f>IFERROR(VLOOKUP(H2000,'VALORES VIAJES'!$A$2:$B$24,2,FALSE),"")</f>
        <v/>
      </c>
      <c r="U2000" t="str">
        <f>IFERROR(VLOOKUP(I2000,'VALORES VIAJES'!$A$2:$B$24,2,FALSE),"")</f>
        <v/>
      </c>
      <c r="V2000" t="str">
        <f>IFERROR(VLOOKUP(K2000,'VALORES VIAJES'!$A$2:$B$24,2,FALSE),"")</f>
        <v/>
      </c>
      <c r="X2000" s="208">
        <f>SUM(Hoja1[[#This Row],[$ X TIP VEHICUL]:[AGREGADO]])</f>
        <v>0</v>
      </c>
    </row>
    <row r="2001" spans="2:24" hidden="1" x14ac:dyDescent="0.25">
      <c r="B2001" s="189"/>
      <c r="J2001" s="189"/>
      <c r="M2001" s="205"/>
      <c r="S2001" t="str">
        <f>IFERROR(VLOOKUP(E2001,'VALORES VIAJES'!$A$2:$B$13,2,FALSE),"")</f>
        <v/>
      </c>
      <c r="T2001" t="str">
        <f>IFERROR(VLOOKUP(H2001,'VALORES VIAJES'!$A$2:$B$24,2,FALSE),"")</f>
        <v/>
      </c>
      <c r="U2001" t="str">
        <f>IFERROR(VLOOKUP(I2001,'VALORES VIAJES'!$A$2:$B$24,2,FALSE),"")</f>
        <v/>
      </c>
      <c r="V2001" t="str">
        <f>IFERROR(VLOOKUP(K2001,'VALORES VIAJES'!$A$2:$B$24,2,FALSE),"")</f>
        <v/>
      </c>
      <c r="X2001" s="208">
        <f>SUM(Hoja1[[#This Row],[$ X TIP VEHICUL]:[AGREGADO]])</f>
        <v>0</v>
      </c>
    </row>
  </sheetData>
  <phoneticPr fontId="1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46"/>
  <sheetViews>
    <sheetView workbookViewId="0">
      <pane ySplit="1" topLeftCell="A2" activePane="bottomLeft" state="frozen"/>
      <selection pane="bottomLeft" activeCell="F3646" sqref="F3646"/>
    </sheetView>
  </sheetViews>
  <sheetFormatPr baseColWidth="10" defaultColWidth="14.42578125" defaultRowHeight="15" customHeight="1" x14ac:dyDescent="0.25"/>
  <cols>
    <col min="1" max="1" width="9" style="135" customWidth="1"/>
    <col min="2" max="2" width="15.42578125" style="135" customWidth="1"/>
    <col min="3" max="3" width="32.7109375" style="135" customWidth="1"/>
    <col min="4" max="4" width="9.7109375" style="135" customWidth="1"/>
    <col min="5" max="5" width="23" style="135" customWidth="1"/>
    <col min="6" max="6" width="17.85546875" style="136" customWidth="1"/>
    <col min="7" max="7" width="11.140625" style="136" customWidth="1"/>
    <col min="8" max="8" width="12.7109375" style="136" bestFit="1" customWidth="1"/>
    <col min="9" max="9" width="10.42578125" style="135" customWidth="1"/>
    <col min="10" max="10" width="8" style="135" customWidth="1"/>
    <col min="11" max="16384" width="14.42578125" style="135"/>
  </cols>
  <sheetData>
    <row r="1" spans="1:10" ht="21" customHeigh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1" t="s">
        <v>2847</v>
      </c>
      <c r="F1" s="22" t="s">
        <v>2848</v>
      </c>
      <c r="G1" s="22" t="s">
        <v>6</v>
      </c>
      <c r="H1" s="22" t="s">
        <v>7</v>
      </c>
      <c r="I1" s="20" t="s">
        <v>2849</v>
      </c>
      <c r="J1" s="23"/>
    </row>
    <row r="2" spans="1:10" customFormat="1" hidden="1" x14ac:dyDescent="0.25">
      <c r="A2" s="24">
        <v>44936</v>
      </c>
      <c r="B2" s="25" t="s">
        <v>2850</v>
      </c>
      <c r="C2" s="26" t="s">
        <v>2851</v>
      </c>
      <c r="D2" s="26" t="s">
        <v>2852</v>
      </c>
      <c r="E2" s="27">
        <v>2890</v>
      </c>
      <c r="F2" s="30">
        <v>57900</v>
      </c>
      <c r="G2" s="27">
        <v>12159</v>
      </c>
      <c r="H2" s="27">
        <v>72949</v>
      </c>
      <c r="I2" s="28" t="s">
        <v>19</v>
      </c>
      <c r="J2" s="29"/>
    </row>
    <row r="3" spans="1:10" customFormat="1" hidden="1" x14ac:dyDescent="0.25">
      <c r="A3" s="24">
        <v>44936</v>
      </c>
      <c r="B3" s="25" t="s">
        <v>2853</v>
      </c>
      <c r="C3" s="26" t="s">
        <v>2851</v>
      </c>
      <c r="D3" s="26" t="s">
        <v>2852</v>
      </c>
      <c r="E3" s="27">
        <v>7470</v>
      </c>
      <c r="F3" s="30">
        <v>189900</v>
      </c>
      <c r="G3" s="27">
        <v>39879</v>
      </c>
      <c r="H3" s="27">
        <v>237249</v>
      </c>
      <c r="I3" s="28" t="s">
        <v>19</v>
      </c>
      <c r="J3" s="29"/>
    </row>
    <row r="4" spans="1:10" customFormat="1" hidden="1" x14ac:dyDescent="0.25">
      <c r="A4" s="24">
        <v>44936</v>
      </c>
      <c r="B4" s="25" t="s">
        <v>2854</v>
      </c>
      <c r="C4" s="26" t="s">
        <v>2851</v>
      </c>
      <c r="D4" s="26" t="s">
        <v>2852</v>
      </c>
      <c r="E4" s="27">
        <v>0</v>
      </c>
      <c r="F4" s="30">
        <v>39330</v>
      </c>
      <c r="G4" s="27">
        <v>8259.2999999999993</v>
      </c>
      <c r="H4" s="27">
        <v>47589.3</v>
      </c>
      <c r="I4" s="28" t="s">
        <v>19</v>
      </c>
      <c r="J4" s="29"/>
    </row>
    <row r="5" spans="1:10" customFormat="1" hidden="1" x14ac:dyDescent="0.25">
      <c r="A5" s="24">
        <v>44936</v>
      </c>
      <c r="B5" s="25" t="s">
        <v>2855</v>
      </c>
      <c r="C5" s="26" t="s">
        <v>2856</v>
      </c>
      <c r="D5" s="26" t="s">
        <v>2857</v>
      </c>
      <c r="E5" s="27">
        <v>0</v>
      </c>
      <c r="F5" s="30">
        <v>20700</v>
      </c>
      <c r="G5" s="27">
        <v>4347</v>
      </c>
      <c r="H5" s="27">
        <v>25047</v>
      </c>
      <c r="I5" s="28" t="s">
        <v>19</v>
      </c>
      <c r="J5" s="29"/>
    </row>
    <row r="6" spans="1:10" customFormat="1" hidden="1" x14ac:dyDescent="0.25">
      <c r="A6" s="24">
        <v>44936</v>
      </c>
      <c r="B6" s="25" t="s">
        <v>2858</v>
      </c>
      <c r="C6" s="26" t="s">
        <v>1140</v>
      </c>
      <c r="D6" s="26" t="s">
        <v>1141</v>
      </c>
      <c r="E6" s="27">
        <v>0</v>
      </c>
      <c r="F6" s="30">
        <v>182160</v>
      </c>
      <c r="G6" s="27">
        <v>38253.599999999999</v>
      </c>
      <c r="H6" s="27">
        <v>220413.6</v>
      </c>
      <c r="I6" s="28" t="s">
        <v>19</v>
      </c>
      <c r="J6" s="29"/>
    </row>
    <row r="7" spans="1:10" customFormat="1" hidden="1" x14ac:dyDescent="0.25">
      <c r="A7" s="24">
        <v>44936</v>
      </c>
      <c r="B7" s="25" t="s">
        <v>2859</v>
      </c>
      <c r="C7" s="26" t="s">
        <v>2860</v>
      </c>
      <c r="D7" s="26" t="s">
        <v>2861</v>
      </c>
      <c r="E7" s="27">
        <v>8500</v>
      </c>
      <c r="F7" s="30">
        <v>102000</v>
      </c>
      <c r="G7" s="27">
        <v>21420</v>
      </c>
      <c r="H7" s="27">
        <v>131920</v>
      </c>
      <c r="I7" s="28" t="s">
        <v>19</v>
      </c>
      <c r="J7" s="29"/>
    </row>
    <row r="8" spans="1:10" customFormat="1" hidden="1" x14ac:dyDescent="0.25">
      <c r="A8" s="24">
        <v>44937</v>
      </c>
      <c r="B8" s="25" t="s">
        <v>2862</v>
      </c>
      <c r="C8" s="26" t="s">
        <v>2863</v>
      </c>
      <c r="D8" s="26" t="s">
        <v>2864</v>
      </c>
      <c r="E8" s="27">
        <v>2490</v>
      </c>
      <c r="F8" s="30">
        <v>52000</v>
      </c>
      <c r="G8" s="27">
        <v>10920</v>
      </c>
      <c r="H8" s="27">
        <v>65410</v>
      </c>
      <c r="I8" s="28" t="s">
        <v>19</v>
      </c>
      <c r="J8" s="29"/>
    </row>
    <row r="9" spans="1:10" customFormat="1" hidden="1" x14ac:dyDescent="0.25">
      <c r="A9" s="24">
        <v>44937</v>
      </c>
      <c r="B9" s="25" t="s">
        <v>2865</v>
      </c>
      <c r="C9" s="26" t="s">
        <v>2851</v>
      </c>
      <c r="D9" s="26" t="s">
        <v>2852</v>
      </c>
      <c r="E9" s="27">
        <v>0</v>
      </c>
      <c r="F9" s="30">
        <v>53550</v>
      </c>
      <c r="G9" s="27">
        <v>11245.5</v>
      </c>
      <c r="H9" s="27">
        <v>64795.5</v>
      </c>
      <c r="I9" s="28" t="s">
        <v>19</v>
      </c>
      <c r="J9" s="29"/>
    </row>
    <row r="10" spans="1:10" customFormat="1" hidden="1" x14ac:dyDescent="0.25">
      <c r="A10" s="24">
        <v>44937</v>
      </c>
      <c r="B10" s="25" t="s">
        <v>2866</v>
      </c>
      <c r="C10" s="26" t="s">
        <v>2867</v>
      </c>
      <c r="D10" s="26" t="s">
        <v>2868</v>
      </c>
      <c r="E10" s="27">
        <v>11500</v>
      </c>
      <c r="F10" s="30">
        <v>186160</v>
      </c>
      <c r="G10" s="27">
        <v>39093.599999999999</v>
      </c>
      <c r="H10" s="27">
        <v>236753.6</v>
      </c>
      <c r="I10" s="28" t="s">
        <v>19</v>
      </c>
      <c r="J10" s="29"/>
    </row>
    <row r="11" spans="1:10" customFormat="1" hidden="1" x14ac:dyDescent="0.25">
      <c r="A11" s="24">
        <v>44937</v>
      </c>
      <c r="B11" s="25" t="s">
        <v>2869</v>
      </c>
      <c r="C11" s="26" t="s">
        <v>2870</v>
      </c>
      <c r="D11" s="26" t="s">
        <v>2871</v>
      </c>
      <c r="E11" s="27">
        <v>6500</v>
      </c>
      <c r="F11" s="30">
        <v>119600</v>
      </c>
      <c r="G11" s="27">
        <v>25116</v>
      </c>
      <c r="H11" s="27">
        <v>151216</v>
      </c>
      <c r="I11" s="28" t="s">
        <v>19</v>
      </c>
      <c r="J11" s="29"/>
    </row>
    <row r="12" spans="1:10" customFormat="1" hidden="1" x14ac:dyDescent="0.25">
      <c r="A12" s="24">
        <v>44937</v>
      </c>
      <c r="B12" s="25" t="s">
        <v>2872</v>
      </c>
      <c r="C12" s="26" t="s">
        <v>2873</v>
      </c>
      <c r="D12" s="26" t="s">
        <v>2874</v>
      </c>
      <c r="E12" s="27">
        <v>3200</v>
      </c>
      <c r="F12" s="30">
        <v>41550</v>
      </c>
      <c r="G12" s="27">
        <v>8725.5</v>
      </c>
      <c r="H12" s="27">
        <v>53475.5</v>
      </c>
      <c r="I12" s="28" t="s">
        <v>19</v>
      </c>
      <c r="J12" s="29"/>
    </row>
    <row r="13" spans="1:10" customFormat="1" hidden="1" x14ac:dyDescent="0.25">
      <c r="A13" s="24">
        <v>44937</v>
      </c>
      <c r="B13" s="25" t="s">
        <v>2875</v>
      </c>
      <c r="C13" s="26" t="s">
        <v>2876</v>
      </c>
      <c r="D13" s="26" t="s">
        <v>2877</v>
      </c>
      <c r="E13" s="27">
        <v>2800</v>
      </c>
      <c r="F13" s="30">
        <v>35000</v>
      </c>
      <c r="G13" s="27">
        <v>7350</v>
      </c>
      <c r="H13" s="27">
        <v>45150</v>
      </c>
      <c r="I13" s="28" t="s">
        <v>19</v>
      </c>
      <c r="J13" s="29"/>
    </row>
    <row r="14" spans="1:10" customFormat="1" hidden="1" x14ac:dyDescent="0.25">
      <c r="A14" s="24">
        <v>44937</v>
      </c>
      <c r="B14" s="25" t="s">
        <v>2878</v>
      </c>
      <c r="C14" s="26" t="s">
        <v>2856</v>
      </c>
      <c r="D14" s="26" t="s">
        <v>2857</v>
      </c>
      <c r="E14" s="27">
        <v>2200</v>
      </c>
      <c r="F14" s="30">
        <v>45000</v>
      </c>
      <c r="G14" s="27">
        <v>9450</v>
      </c>
      <c r="H14" s="27">
        <v>56650</v>
      </c>
      <c r="I14" s="28" t="s">
        <v>19</v>
      </c>
      <c r="J14" s="29"/>
    </row>
    <row r="15" spans="1:10" customFormat="1" hidden="1" x14ac:dyDescent="0.25">
      <c r="A15" s="24">
        <v>44937</v>
      </c>
      <c r="B15" s="25" t="s">
        <v>2879</v>
      </c>
      <c r="C15" s="26" t="s">
        <v>2880</v>
      </c>
      <c r="D15" s="26" t="s">
        <v>2881</v>
      </c>
      <c r="E15" s="27">
        <v>5000</v>
      </c>
      <c r="F15" s="30">
        <v>192000</v>
      </c>
      <c r="G15" s="27">
        <v>40320</v>
      </c>
      <c r="H15" s="27">
        <v>237320</v>
      </c>
      <c r="I15" s="28" t="s">
        <v>19</v>
      </c>
      <c r="J15" s="29"/>
    </row>
    <row r="16" spans="1:10" customFormat="1" hidden="1" x14ac:dyDescent="0.25">
      <c r="A16" s="24">
        <v>44937</v>
      </c>
      <c r="B16" s="25" t="s">
        <v>2882</v>
      </c>
      <c r="C16" s="26" t="s">
        <v>2883</v>
      </c>
      <c r="D16" s="26" t="s">
        <v>2884</v>
      </c>
      <c r="E16" s="27">
        <v>0</v>
      </c>
      <c r="F16" s="30">
        <v>126600</v>
      </c>
      <c r="G16" s="27">
        <v>26586</v>
      </c>
      <c r="H16" s="27">
        <v>153186</v>
      </c>
      <c r="I16" s="28" t="s">
        <v>19</v>
      </c>
      <c r="J16" s="29"/>
    </row>
    <row r="17" spans="1:10" customFormat="1" hidden="1" x14ac:dyDescent="0.25">
      <c r="A17" s="24">
        <v>44937</v>
      </c>
      <c r="B17" s="25" t="s">
        <v>2885</v>
      </c>
      <c r="C17" s="26" t="s">
        <v>2886</v>
      </c>
      <c r="D17" s="26" t="s">
        <v>2887</v>
      </c>
      <c r="E17" s="27">
        <v>0</v>
      </c>
      <c r="F17" s="30">
        <v>84400</v>
      </c>
      <c r="G17" s="27">
        <v>17724</v>
      </c>
      <c r="H17" s="27">
        <v>102124</v>
      </c>
      <c r="I17" s="28" t="s">
        <v>19</v>
      </c>
      <c r="J17" s="29"/>
    </row>
    <row r="18" spans="1:10" customFormat="1" hidden="1" x14ac:dyDescent="0.25">
      <c r="A18" s="24">
        <v>44939</v>
      </c>
      <c r="B18" s="25" t="s">
        <v>2888</v>
      </c>
      <c r="C18" s="26" t="s">
        <v>2889</v>
      </c>
      <c r="D18" s="26" t="s">
        <v>2890</v>
      </c>
      <c r="E18" s="27">
        <v>0</v>
      </c>
      <c r="F18" s="30">
        <v>32430</v>
      </c>
      <c r="G18" s="27">
        <v>6810.3</v>
      </c>
      <c r="H18" s="27">
        <v>39240.300000000003</v>
      </c>
      <c r="I18" s="28" t="s">
        <v>19</v>
      </c>
      <c r="J18" s="29"/>
    </row>
    <row r="19" spans="1:10" customFormat="1" hidden="1" x14ac:dyDescent="0.25">
      <c r="A19" s="137">
        <v>44939</v>
      </c>
      <c r="B19" s="138" t="s">
        <v>2891</v>
      </c>
      <c r="C19" s="139" t="s">
        <v>2892</v>
      </c>
      <c r="D19" s="139" t="s">
        <v>2893</v>
      </c>
      <c r="E19" s="140">
        <v>0</v>
      </c>
      <c r="F19" s="141">
        <v>91080</v>
      </c>
      <c r="G19" s="140">
        <v>19126.8</v>
      </c>
      <c r="H19" s="140">
        <v>110206.8</v>
      </c>
      <c r="I19" s="59" t="s">
        <v>19</v>
      </c>
      <c r="J19" s="29"/>
    </row>
    <row r="20" spans="1:10" hidden="1" x14ac:dyDescent="0.25">
      <c r="A20" s="172">
        <v>44939</v>
      </c>
      <c r="B20" s="128" t="s">
        <v>2894</v>
      </c>
      <c r="C20" s="128" t="s">
        <v>2895</v>
      </c>
      <c r="D20" s="128" t="s">
        <v>2896</v>
      </c>
      <c r="E20" s="129">
        <v>0</v>
      </c>
      <c r="F20" s="130">
        <v>24480</v>
      </c>
      <c r="G20" s="129">
        <v>5140.8</v>
      </c>
      <c r="H20" s="129">
        <v>29620.799999999999</v>
      </c>
      <c r="I20" s="121" t="s">
        <v>19</v>
      </c>
      <c r="J20" s="29"/>
    </row>
    <row r="21" spans="1:10" customFormat="1" ht="15.75" hidden="1" customHeight="1" x14ac:dyDescent="0.25">
      <c r="A21" s="153">
        <v>44942</v>
      </c>
      <c r="B21" s="154" t="s">
        <v>2897</v>
      </c>
      <c r="C21" s="155" t="s">
        <v>2898</v>
      </c>
      <c r="D21" s="155" t="s">
        <v>2899</v>
      </c>
      <c r="E21" s="156">
        <v>0</v>
      </c>
      <c r="F21" s="157">
        <v>219245</v>
      </c>
      <c r="G21" s="156">
        <v>46041.45</v>
      </c>
      <c r="H21" s="156">
        <v>265286.45</v>
      </c>
      <c r="I21" s="55" t="s">
        <v>19</v>
      </c>
      <c r="J21" s="29"/>
    </row>
    <row r="22" spans="1:10" customFormat="1" ht="15.75" hidden="1" customHeight="1" x14ac:dyDescent="0.25">
      <c r="A22" s="24">
        <v>44943</v>
      </c>
      <c r="B22" s="25" t="s">
        <v>2900</v>
      </c>
      <c r="C22" s="26" t="s">
        <v>2856</v>
      </c>
      <c r="D22" s="26" t="s">
        <v>2857</v>
      </c>
      <c r="E22" s="27">
        <v>5300</v>
      </c>
      <c r="F22" s="30">
        <v>124450</v>
      </c>
      <c r="G22" s="27">
        <v>26134.5</v>
      </c>
      <c r="H22" s="27">
        <v>155884.5</v>
      </c>
      <c r="I22" s="28" t="s">
        <v>19</v>
      </c>
      <c r="J22" s="29"/>
    </row>
    <row r="23" spans="1:10" customFormat="1" ht="15.75" hidden="1" customHeight="1" x14ac:dyDescent="0.25">
      <c r="A23" s="24">
        <v>44943</v>
      </c>
      <c r="B23" s="25" t="s">
        <v>2901</v>
      </c>
      <c r="C23" s="26" t="s">
        <v>2851</v>
      </c>
      <c r="D23" s="26" t="s">
        <v>2852</v>
      </c>
      <c r="E23" s="27">
        <v>0</v>
      </c>
      <c r="F23" s="30">
        <v>51060</v>
      </c>
      <c r="G23" s="27">
        <v>10722.6</v>
      </c>
      <c r="H23" s="27">
        <v>61782.6</v>
      </c>
      <c r="I23" s="28" t="s">
        <v>19</v>
      </c>
      <c r="J23" s="29"/>
    </row>
    <row r="24" spans="1:10" customFormat="1" ht="15.75" hidden="1" customHeight="1" x14ac:dyDescent="0.25">
      <c r="A24" s="24">
        <v>44944</v>
      </c>
      <c r="B24" s="25" t="s">
        <v>2902</v>
      </c>
      <c r="C24" s="26" t="s">
        <v>2903</v>
      </c>
      <c r="D24" s="26" t="s">
        <v>2904</v>
      </c>
      <c r="E24" s="27">
        <v>2490</v>
      </c>
      <c r="F24" s="30">
        <v>63300</v>
      </c>
      <c r="G24" s="27">
        <v>13293</v>
      </c>
      <c r="H24" s="27">
        <v>79083</v>
      </c>
      <c r="I24" s="28" t="s">
        <v>19</v>
      </c>
      <c r="J24" s="29"/>
    </row>
    <row r="25" spans="1:10" customFormat="1" ht="15.75" hidden="1" customHeight="1" x14ac:dyDescent="0.25">
      <c r="A25" s="24">
        <v>44944</v>
      </c>
      <c r="B25" s="25" t="s">
        <v>2905</v>
      </c>
      <c r="C25" s="26" t="s">
        <v>2906</v>
      </c>
      <c r="D25" s="26" t="s">
        <v>2907</v>
      </c>
      <c r="E25" s="27">
        <v>5700</v>
      </c>
      <c r="F25" s="30">
        <v>45000</v>
      </c>
      <c r="G25" s="27">
        <v>9450</v>
      </c>
      <c r="H25" s="27">
        <v>60150</v>
      </c>
      <c r="I25" s="28" t="s">
        <v>19</v>
      </c>
      <c r="J25" s="29"/>
    </row>
    <row r="26" spans="1:10" customFormat="1" ht="15.75" hidden="1" customHeight="1" x14ac:dyDescent="0.25">
      <c r="A26" s="24">
        <v>44944</v>
      </c>
      <c r="B26" s="25" t="s">
        <v>2908</v>
      </c>
      <c r="C26" s="26" t="s">
        <v>2909</v>
      </c>
      <c r="D26" s="26" t="s">
        <v>2910</v>
      </c>
      <c r="E26" s="27">
        <v>6600</v>
      </c>
      <c r="F26" s="30">
        <v>105000</v>
      </c>
      <c r="G26" s="27">
        <v>22050</v>
      </c>
      <c r="H26" s="27">
        <v>133650</v>
      </c>
      <c r="I26" s="28" t="s">
        <v>19</v>
      </c>
      <c r="J26" s="29"/>
    </row>
    <row r="27" spans="1:10" customFormat="1" ht="15.75" hidden="1" customHeight="1" x14ac:dyDescent="0.25">
      <c r="A27" s="24">
        <v>44944</v>
      </c>
      <c r="B27" s="25" t="s">
        <v>2911</v>
      </c>
      <c r="C27" s="26" t="s">
        <v>2912</v>
      </c>
      <c r="D27" s="26" t="s">
        <v>2913</v>
      </c>
      <c r="E27" s="27">
        <v>6500</v>
      </c>
      <c r="F27" s="30">
        <v>124000</v>
      </c>
      <c r="G27" s="27">
        <v>26040</v>
      </c>
      <c r="H27" s="27">
        <v>156540</v>
      </c>
      <c r="I27" s="28" t="s">
        <v>19</v>
      </c>
      <c r="J27" s="29"/>
    </row>
    <row r="28" spans="1:10" customFormat="1" ht="15.75" hidden="1" customHeight="1" x14ac:dyDescent="0.25">
      <c r="A28" s="24">
        <v>44944</v>
      </c>
      <c r="B28" s="25" t="s">
        <v>2914</v>
      </c>
      <c r="C28" s="26" t="s">
        <v>2867</v>
      </c>
      <c r="D28" s="26" t="s">
        <v>2868</v>
      </c>
      <c r="E28" s="27">
        <v>6500</v>
      </c>
      <c r="F28" s="30">
        <v>124000</v>
      </c>
      <c r="G28" s="27">
        <v>26040</v>
      </c>
      <c r="H28" s="27">
        <v>156540</v>
      </c>
      <c r="I28" s="28" t="s">
        <v>19</v>
      </c>
      <c r="J28" s="29"/>
    </row>
    <row r="29" spans="1:10" customFormat="1" ht="15.75" hidden="1" customHeight="1" x14ac:dyDescent="0.25">
      <c r="A29" s="24">
        <v>44944</v>
      </c>
      <c r="B29" s="25" t="s">
        <v>2915</v>
      </c>
      <c r="C29" s="26" t="s">
        <v>2912</v>
      </c>
      <c r="D29" s="26" t="s">
        <v>2913</v>
      </c>
      <c r="E29" s="27">
        <v>6500</v>
      </c>
      <c r="F29" s="30">
        <v>124000</v>
      </c>
      <c r="G29" s="27">
        <v>26040</v>
      </c>
      <c r="H29" s="27">
        <v>156540</v>
      </c>
      <c r="I29" s="28" t="s">
        <v>19</v>
      </c>
      <c r="J29" s="29"/>
    </row>
    <row r="30" spans="1:10" customFormat="1" ht="15.75" hidden="1" customHeight="1" x14ac:dyDescent="0.25">
      <c r="A30" s="24">
        <v>44944</v>
      </c>
      <c r="B30" s="25" t="s">
        <v>2916</v>
      </c>
      <c r="C30" s="26" t="s">
        <v>2917</v>
      </c>
      <c r="D30" s="26" t="s">
        <v>2918</v>
      </c>
      <c r="E30" s="27">
        <v>2500</v>
      </c>
      <c r="F30" s="30">
        <v>42000</v>
      </c>
      <c r="G30" s="27">
        <v>8820</v>
      </c>
      <c r="H30" s="27">
        <v>53320</v>
      </c>
      <c r="I30" s="28" t="s">
        <v>19</v>
      </c>
      <c r="J30" s="29"/>
    </row>
    <row r="31" spans="1:10" customFormat="1" ht="15.75" hidden="1" customHeight="1" x14ac:dyDescent="0.25">
      <c r="A31" s="24">
        <v>44944</v>
      </c>
      <c r="B31" s="25" t="s">
        <v>2919</v>
      </c>
      <c r="C31" s="26" t="s">
        <v>2870</v>
      </c>
      <c r="D31" s="26" t="s">
        <v>2871</v>
      </c>
      <c r="E31" s="27">
        <v>0</v>
      </c>
      <c r="F31" s="30">
        <v>53550</v>
      </c>
      <c r="G31" s="27">
        <v>11245.5</v>
      </c>
      <c r="H31" s="27">
        <v>64795.5</v>
      </c>
      <c r="I31" s="28" t="s">
        <v>19</v>
      </c>
      <c r="J31" s="29"/>
    </row>
    <row r="32" spans="1:10" customFormat="1" ht="15.75" hidden="1" customHeight="1" x14ac:dyDescent="0.25">
      <c r="A32" s="24">
        <v>44945</v>
      </c>
      <c r="B32" s="25" t="s">
        <v>2920</v>
      </c>
      <c r="C32" s="26" t="s">
        <v>2921</v>
      </c>
      <c r="D32" s="26" t="s">
        <v>2922</v>
      </c>
      <c r="E32" s="27">
        <v>0</v>
      </c>
      <c r="F32" s="30">
        <v>18000</v>
      </c>
      <c r="G32" s="27">
        <v>3780</v>
      </c>
      <c r="H32" s="27">
        <v>21780</v>
      </c>
      <c r="I32" s="28" t="s">
        <v>19</v>
      </c>
      <c r="J32" s="29"/>
    </row>
    <row r="33" spans="1:10" customFormat="1" ht="15.75" hidden="1" customHeight="1" x14ac:dyDescent="0.25">
      <c r="A33" s="24">
        <v>44945</v>
      </c>
      <c r="B33" s="25" t="s">
        <v>2923</v>
      </c>
      <c r="C33" s="26" t="s">
        <v>2924</v>
      </c>
      <c r="D33" s="26" t="s">
        <v>2925</v>
      </c>
      <c r="E33" s="27">
        <v>0</v>
      </c>
      <c r="F33" s="30">
        <v>25000</v>
      </c>
      <c r="G33" s="27">
        <v>5250</v>
      </c>
      <c r="H33" s="27">
        <v>30250</v>
      </c>
      <c r="I33" s="28" t="s">
        <v>19</v>
      </c>
      <c r="J33" s="29"/>
    </row>
    <row r="34" spans="1:10" customFormat="1" ht="15.75" hidden="1" customHeight="1" x14ac:dyDescent="0.25">
      <c r="A34" s="24">
        <v>44945</v>
      </c>
      <c r="B34" s="25" t="s">
        <v>2926</v>
      </c>
      <c r="C34" s="26" t="s">
        <v>2927</v>
      </c>
      <c r="D34" s="26" t="s">
        <v>2928</v>
      </c>
      <c r="E34" s="27">
        <v>5700</v>
      </c>
      <c r="F34" s="30">
        <v>42000</v>
      </c>
      <c r="G34" s="27">
        <v>8820</v>
      </c>
      <c r="H34" s="27">
        <v>56520</v>
      </c>
      <c r="I34" s="28" t="s">
        <v>19</v>
      </c>
      <c r="J34" s="29"/>
    </row>
    <row r="35" spans="1:10" customFormat="1" ht="15.75" hidden="1" customHeight="1" x14ac:dyDescent="0.25">
      <c r="A35" s="24">
        <v>44945</v>
      </c>
      <c r="B35" s="25" t="s">
        <v>2929</v>
      </c>
      <c r="C35" s="26" t="s">
        <v>2930</v>
      </c>
      <c r="D35" s="26" t="s">
        <v>2931</v>
      </c>
      <c r="E35" s="27">
        <v>0</v>
      </c>
      <c r="F35" s="30">
        <v>91080</v>
      </c>
      <c r="G35" s="27">
        <v>19126.8</v>
      </c>
      <c r="H35" s="27">
        <v>110206.8</v>
      </c>
      <c r="I35" s="28" t="s">
        <v>19</v>
      </c>
      <c r="J35" s="29"/>
    </row>
    <row r="36" spans="1:10" customFormat="1" ht="15.75" hidden="1" customHeight="1" x14ac:dyDescent="0.25">
      <c r="A36" s="24">
        <v>44945</v>
      </c>
      <c r="B36" s="25" t="s">
        <v>2932</v>
      </c>
      <c r="C36" s="26" t="s">
        <v>2933</v>
      </c>
      <c r="D36" s="26" t="s">
        <v>2934</v>
      </c>
      <c r="E36" s="27">
        <v>0</v>
      </c>
      <c r="F36" s="30">
        <v>35700</v>
      </c>
      <c r="G36" s="27">
        <v>7497</v>
      </c>
      <c r="H36" s="27">
        <v>43197</v>
      </c>
      <c r="I36" s="28" t="s">
        <v>19</v>
      </c>
      <c r="J36" s="29"/>
    </row>
    <row r="37" spans="1:10" customFormat="1" ht="15.75" hidden="1" customHeight="1" x14ac:dyDescent="0.25">
      <c r="A37" s="24">
        <v>44945</v>
      </c>
      <c r="B37" s="25" t="s">
        <v>2935</v>
      </c>
      <c r="C37" s="26" t="s">
        <v>2921</v>
      </c>
      <c r="D37" s="26" t="s">
        <v>2922</v>
      </c>
      <c r="E37" s="27">
        <v>0</v>
      </c>
      <c r="F37" s="30">
        <v>17000</v>
      </c>
      <c r="G37" s="27">
        <v>3570</v>
      </c>
      <c r="H37" s="27">
        <v>20570</v>
      </c>
      <c r="I37" s="28" t="s">
        <v>19</v>
      </c>
      <c r="J37" s="29"/>
    </row>
    <row r="38" spans="1:10" customFormat="1" ht="15.75" hidden="1" customHeight="1" x14ac:dyDescent="0.25">
      <c r="A38" s="24">
        <v>44945</v>
      </c>
      <c r="B38" s="25" t="s">
        <v>2936</v>
      </c>
      <c r="C38" s="26" t="s">
        <v>2856</v>
      </c>
      <c r="D38" s="26" t="s">
        <v>2857</v>
      </c>
      <c r="E38" s="27">
        <v>0</v>
      </c>
      <c r="F38" s="30">
        <v>35700</v>
      </c>
      <c r="G38" s="27">
        <v>7497</v>
      </c>
      <c r="H38" s="27">
        <v>43197</v>
      </c>
      <c r="I38" s="28" t="s">
        <v>19</v>
      </c>
      <c r="J38" s="29"/>
    </row>
    <row r="39" spans="1:10" customFormat="1" ht="15.75" hidden="1" customHeight="1" x14ac:dyDescent="0.25">
      <c r="A39" s="24">
        <v>44945</v>
      </c>
      <c r="B39" s="25" t="s">
        <v>2937</v>
      </c>
      <c r="C39" s="26" t="s">
        <v>2938</v>
      </c>
      <c r="D39" s="26" t="s">
        <v>2939</v>
      </c>
      <c r="E39" s="27">
        <v>12750</v>
      </c>
      <c r="F39" s="30">
        <v>348000</v>
      </c>
      <c r="G39" s="27">
        <v>73080</v>
      </c>
      <c r="H39" s="27">
        <v>433830</v>
      </c>
      <c r="I39" s="28" t="s">
        <v>19</v>
      </c>
      <c r="J39" s="29"/>
    </row>
    <row r="40" spans="1:10" customFormat="1" ht="15.75" hidden="1" customHeight="1" x14ac:dyDescent="0.25">
      <c r="A40" s="24">
        <v>44945</v>
      </c>
      <c r="B40" s="25" t="s">
        <v>2940</v>
      </c>
      <c r="C40" s="26" t="s">
        <v>2860</v>
      </c>
      <c r="D40" s="26" t="s">
        <v>2861</v>
      </c>
      <c r="E40" s="27">
        <v>8500</v>
      </c>
      <c r="F40" s="30">
        <v>96000</v>
      </c>
      <c r="G40" s="27">
        <v>20160</v>
      </c>
      <c r="H40" s="27">
        <v>124660</v>
      </c>
      <c r="I40" s="28" t="s">
        <v>19</v>
      </c>
      <c r="J40" s="29"/>
    </row>
    <row r="41" spans="1:10" customFormat="1" ht="15.75" hidden="1" customHeight="1" x14ac:dyDescent="0.25">
      <c r="A41" s="24">
        <v>44945</v>
      </c>
      <c r="B41" s="25" t="s">
        <v>2941</v>
      </c>
      <c r="C41" s="26" t="s">
        <v>2942</v>
      </c>
      <c r="D41" s="26" t="s">
        <v>2943</v>
      </c>
      <c r="E41" s="27">
        <v>0</v>
      </c>
      <c r="F41" s="30">
        <v>35700</v>
      </c>
      <c r="G41" s="27">
        <v>7497</v>
      </c>
      <c r="H41" s="27">
        <v>43197</v>
      </c>
      <c r="I41" s="28" t="s">
        <v>19</v>
      </c>
      <c r="J41" s="29"/>
    </row>
    <row r="42" spans="1:10" customFormat="1" ht="15.75" hidden="1" customHeight="1" x14ac:dyDescent="0.25">
      <c r="A42" s="24">
        <v>44945</v>
      </c>
      <c r="B42" s="25" t="s">
        <v>2944</v>
      </c>
      <c r="C42" s="26" t="s">
        <v>2945</v>
      </c>
      <c r="D42" s="26" t="s">
        <v>2946</v>
      </c>
      <c r="E42" s="27">
        <v>0</v>
      </c>
      <c r="F42" s="30">
        <v>53550</v>
      </c>
      <c r="G42" s="27">
        <v>11245.5</v>
      </c>
      <c r="H42" s="27">
        <v>64795.5</v>
      </c>
      <c r="I42" s="28" t="s">
        <v>19</v>
      </c>
      <c r="J42" s="29"/>
    </row>
    <row r="43" spans="1:10" customFormat="1" ht="15.75" hidden="1" customHeight="1" x14ac:dyDescent="0.25">
      <c r="A43" s="24">
        <v>44946</v>
      </c>
      <c r="B43" s="25" t="s">
        <v>2947</v>
      </c>
      <c r="C43" s="26" t="s">
        <v>2948</v>
      </c>
      <c r="D43" s="26" t="s">
        <v>2949</v>
      </c>
      <c r="E43" s="27">
        <v>0</v>
      </c>
      <c r="F43" s="30">
        <v>20700</v>
      </c>
      <c r="G43" s="27">
        <v>4347</v>
      </c>
      <c r="H43" s="27">
        <v>25047</v>
      </c>
      <c r="I43" s="28" t="s">
        <v>19</v>
      </c>
      <c r="J43" s="29"/>
    </row>
    <row r="44" spans="1:10" customFormat="1" ht="15.75" hidden="1" customHeight="1" x14ac:dyDescent="0.25">
      <c r="A44" s="24">
        <v>44946</v>
      </c>
      <c r="B44" s="25" t="s">
        <v>2950</v>
      </c>
      <c r="C44" s="26" t="s">
        <v>2942</v>
      </c>
      <c r="D44" s="26" t="s">
        <v>2943</v>
      </c>
      <c r="E44" s="27">
        <v>0</v>
      </c>
      <c r="F44" s="30">
        <v>20700</v>
      </c>
      <c r="G44" s="27">
        <v>4347</v>
      </c>
      <c r="H44" s="27">
        <v>25047</v>
      </c>
      <c r="I44" s="28" t="s">
        <v>19</v>
      </c>
      <c r="J44" s="29"/>
    </row>
    <row r="45" spans="1:10" customFormat="1" ht="15.75" hidden="1" customHeight="1" x14ac:dyDescent="0.25">
      <c r="A45" s="24">
        <v>44946</v>
      </c>
      <c r="B45" s="25" t="s">
        <v>2951</v>
      </c>
      <c r="C45" s="26" t="s">
        <v>2945</v>
      </c>
      <c r="D45" s="26" t="s">
        <v>2946</v>
      </c>
      <c r="E45" s="27">
        <v>0</v>
      </c>
      <c r="F45" s="30">
        <v>53550</v>
      </c>
      <c r="G45" s="27">
        <v>11245.5</v>
      </c>
      <c r="H45" s="27">
        <v>64795.5</v>
      </c>
      <c r="I45" s="28" t="s">
        <v>19</v>
      </c>
      <c r="J45" s="29"/>
    </row>
    <row r="46" spans="1:10" customFormat="1" ht="15.75" hidden="1" customHeight="1" x14ac:dyDescent="0.25">
      <c r="A46" s="24">
        <v>44946</v>
      </c>
      <c r="B46" s="25" t="s">
        <v>2952</v>
      </c>
      <c r="C46" s="26" t="s">
        <v>2921</v>
      </c>
      <c r="D46" s="26" t="s">
        <v>2922</v>
      </c>
      <c r="E46" s="27">
        <v>11400</v>
      </c>
      <c r="F46" s="30">
        <v>84000</v>
      </c>
      <c r="G46" s="27">
        <v>17640</v>
      </c>
      <c r="H46" s="27">
        <v>113040</v>
      </c>
      <c r="I46" s="28" t="s">
        <v>19</v>
      </c>
      <c r="J46" s="29"/>
    </row>
    <row r="47" spans="1:10" customFormat="1" ht="15.75" hidden="1" customHeight="1" x14ac:dyDescent="0.25">
      <c r="A47" s="24">
        <v>44949</v>
      </c>
      <c r="B47" s="25" t="s">
        <v>2953</v>
      </c>
      <c r="C47" s="26" t="s">
        <v>2954</v>
      </c>
      <c r="D47" s="26" t="s">
        <v>2955</v>
      </c>
      <c r="E47" s="27">
        <v>5470</v>
      </c>
      <c r="F47" s="30">
        <v>102120</v>
      </c>
      <c r="G47" s="27">
        <v>21445.200000000001</v>
      </c>
      <c r="H47" s="27">
        <v>129035.2</v>
      </c>
      <c r="I47" s="28" t="s">
        <v>19</v>
      </c>
      <c r="J47" s="29"/>
    </row>
    <row r="48" spans="1:10" customFormat="1" ht="15.75" hidden="1" customHeight="1" x14ac:dyDescent="0.25">
      <c r="A48" s="24">
        <v>44949</v>
      </c>
      <c r="B48" s="25" t="s">
        <v>2956</v>
      </c>
      <c r="C48" s="26" t="s">
        <v>2957</v>
      </c>
      <c r="D48" s="26" t="s">
        <v>2958</v>
      </c>
      <c r="E48" s="27">
        <v>0</v>
      </c>
      <c r="F48" s="30">
        <v>60000</v>
      </c>
      <c r="G48" s="27">
        <v>12600</v>
      </c>
      <c r="H48" s="27">
        <v>72600</v>
      </c>
      <c r="I48" s="28" t="s">
        <v>19</v>
      </c>
      <c r="J48" s="29"/>
    </row>
    <row r="49" spans="1:10" customFormat="1" ht="15.75" hidden="1" customHeight="1" x14ac:dyDescent="0.25">
      <c r="A49" s="24">
        <v>44949</v>
      </c>
      <c r="B49" s="25" t="s">
        <v>2959</v>
      </c>
      <c r="C49" s="26" t="s">
        <v>2960</v>
      </c>
      <c r="D49" s="26" t="s">
        <v>2961</v>
      </c>
      <c r="E49" s="27">
        <v>104220</v>
      </c>
      <c r="F49" s="30">
        <v>1509750</v>
      </c>
      <c r="G49" s="27">
        <v>317047.5</v>
      </c>
      <c r="H49" s="27">
        <v>1931017.5</v>
      </c>
      <c r="I49" s="28" t="s">
        <v>19</v>
      </c>
      <c r="J49" s="29"/>
    </row>
    <row r="50" spans="1:10" customFormat="1" ht="15.75" hidden="1" customHeight="1" x14ac:dyDescent="0.25">
      <c r="A50" s="24">
        <v>44949</v>
      </c>
      <c r="B50" s="25" t="s">
        <v>2962</v>
      </c>
      <c r="C50" s="26" t="s">
        <v>2933</v>
      </c>
      <c r="D50" s="26" t="s">
        <v>2934</v>
      </c>
      <c r="E50" s="27">
        <v>3960</v>
      </c>
      <c r="F50" s="30">
        <v>42000</v>
      </c>
      <c r="G50" s="27">
        <v>8820</v>
      </c>
      <c r="H50" s="27">
        <v>54780</v>
      </c>
      <c r="I50" s="28" t="s">
        <v>19</v>
      </c>
      <c r="J50" s="29"/>
    </row>
    <row r="51" spans="1:10" customFormat="1" ht="15.75" hidden="1" customHeight="1" x14ac:dyDescent="0.25">
      <c r="A51" s="24">
        <v>44949</v>
      </c>
      <c r="B51" s="25" t="s">
        <v>2963</v>
      </c>
      <c r="C51" s="26" t="s">
        <v>2964</v>
      </c>
      <c r="D51" s="26" t="s">
        <v>2965</v>
      </c>
      <c r="E51" s="27">
        <v>3960</v>
      </c>
      <c r="F51" s="30">
        <v>42000</v>
      </c>
      <c r="G51" s="27">
        <v>8820</v>
      </c>
      <c r="H51" s="27">
        <v>54780</v>
      </c>
      <c r="I51" s="28" t="s">
        <v>19</v>
      </c>
      <c r="J51" s="29"/>
    </row>
    <row r="52" spans="1:10" customFormat="1" ht="15.75" hidden="1" customHeight="1" x14ac:dyDescent="0.25">
      <c r="A52" s="24">
        <v>44949</v>
      </c>
      <c r="B52" s="25" t="s">
        <v>2966</v>
      </c>
      <c r="C52" s="26" t="s">
        <v>2964</v>
      </c>
      <c r="D52" s="26" t="s">
        <v>2965</v>
      </c>
      <c r="E52" s="27">
        <v>3960</v>
      </c>
      <c r="F52" s="30">
        <v>42000</v>
      </c>
      <c r="G52" s="27">
        <v>8820</v>
      </c>
      <c r="H52" s="27">
        <v>54780</v>
      </c>
      <c r="I52" s="28" t="s">
        <v>19</v>
      </c>
      <c r="J52" s="29"/>
    </row>
    <row r="53" spans="1:10" customFormat="1" ht="15.75" hidden="1" customHeight="1" x14ac:dyDescent="0.25">
      <c r="A53" s="24">
        <v>44949</v>
      </c>
      <c r="B53" s="25" t="s">
        <v>2967</v>
      </c>
      <c r="C53" s="26" t="s">
        <v>2964</v>
      </c>
      <c r="D53" s="26" t="s">
        <v>2965</v>
      </c>
      <c r="E53" s="27">
        <v>3960</v>
      </c>
      <c r="F53" s="30">
        <v>42000</v>
      </c>
      <c r="G53" s="27">
        <v>8820</v>
      </c>
      <c r="H53" s="27">
        <v>54780</v>
      </c>
      <c r="I53" s="28" t="s">
        <v>19</v>
      </c>
      <c r="J53" s="29"/>
    </row>
    <row r="54" spans="1:10" customFormat="1" ht="15.75" hidden="1" customHeight="1" x14ac:dyDescent="0.25">
      <c r="A54" s="24">
        <v>44949</v>
      </c>
      <c r="B54" s="25" t="s">
        <v>2968</v>
      </c>
      <c r="C54" s="26" t="s">
        <v>2969</v>
      </c>
      <c r="D54" s="26" t="s">
        <v>2970</v>
      </c>
      <c r="E54" s="27">
        <v>12690</v>
      </c>
      <c r="F54" s="30">
        <v>240000</v>
      </c>
      <c r="G54" s="27">
        <v>50400</v>
      </c>
      <c r="H54" s="27">
        <v>303090</v>
      </c>
      <c r="I54" s="28" t="s">
        <v>19</v>
      </c>
      <c r="J54" s="29"/>
    </row>
    <row r="55" spans="1:10" customFormat="1" ht="15.75" hidden="1" customHeight="1" x14ac:dyDescent="0.25">
      <c r="A55" s="24">
        <v>44949</v>
      </c>
      <c r="B55" s="25" t="s">
        <v>2971</v>
      </c>
      <c r="C55" s="26" t="s">
        <v>2972</v>
      </c>
      <c r="D55" s="26" t="s">
        <v>2973</v>
      </c>
      <c r="E55" s="27">
        <v>0</v>
      </c>
      <c r="F55" s="30">
        <v>204930</v>
      </c>
      <c r="G55" s="27">
        <v>43035.3</v>
      </c>
      <c r="H55" s="27">
        <v>247965.3</v>
      </c>
      <c r="I55" s="28" t="s">
        <v>19</v>
      </c>
      <c r="J55" s="29"/>
    </row>
    <row r="56" spans="1:10" customFormat="1" ht="15.75" hidden="1" customHeight="1" x14ac:dyDescent="0.25">
      <c r="A56" s="24">
        <v>44949</v>
      </c>
      <c r="B56" s="25" t="s">
        <v>2974</v>
      </c>
      <c r="C56" s="26" t="s">
        <v>2892</v>
      </c>
      <c r="D56" s="26" t="s">
        <v>2893</v>
      </c>
      <c r="E56" s="27">
        <v>0</v>
      </c>
      <c r="F56" s="30">
        <v>24840</v>
      </c>
      <c r="G56" s="27">
        <v>5216.3999999999996</v>
      </c>
      <c r="H56" s="27">
        <v>30056.400000000001</v>
      </c>
      <c r="I56" s="28" t="s">
        <v>19</v>
      </c>
      <c r="J56" s="29"/>
    </row>
    <row r="57" spans="1:10" customFormat="1" ht="15.75" hidden="1" customHeight="1" x14ac:dyDescent="0.25">
      <c r="A57" s="24">
        <v>44949</v>
      </c>
      <c r="B57" s="25" t="s">
        <v>2975</v>
      </c>
      <c r="C57" s="26" t="s">
        <v>2917</v>
      </c>
      <c r="D57" s="26" t="s">
        <v>2918</v>
      </c>
      <c r="E57" s="27">
        <v>0</v>
      </c>
      <c r="F57" s="30">
        <v>30360</v>
      </c>
      <c r="G57" s="27">
        <v>6375.6</v>
      </c>
      <c r="H57" s="27">
        <v>36735.599999999999</v>
      </c>
      <c r="I57" s="28" t="s">
        <v>19</v>
      </c>
      <c r="J57" s="29"/>
    </row>
    <row r="58" spans="1:10" customFormat="1" ht="15.75" hidden="1" customHeight="1" x14ac:dyDescent="0.25">
      <c r="A58" s="24">
        <v>44949</v>
      </c>
      <c r="B58" s="25" t="s">
        <v>2976</v>
      </c>
      <c r="C58" s="26" t="s">
        <v>2933</v>
      </c>
      <c r="D58" s="26" t="s">
        <v>2934</v>
      </c>
      <c r="E58" s="27">
        <v>0</v>
      </c>
      <c r="F58" s="30">
        <v>35700</v>
      </c>
      <c r="G58" s="27">
        <v>7497</v>
      </c>
      <c r="H58" s="27">
        <v>43197</v>
      </c>
      <c r="I58" s="28" t="s">
        <v>19</v>
      </c>
      <c r="J58" s="29"/>
    </row>
    <row r="59" spans="1:10" customFormat="1" ht="15.75" hidden="1" customHeight="1" x14ac:dyDescent="0.25">
      <c r="A59" s="24">
        <v>44951</v>
      </c>
      <c r="B59" s="25" t="s">
        <v>2977</v>
      </c>
      <c r="C59" s="26" t="s">
        <v>2978</v>
      </c>
      <c r="D59" s="26" t="s">
        <v>2979</v>
      </c>
      <c r="E59" s="27">
        <v>5700</v>
      </c>
      <c r="F59" s="30">
        <v>36190</v>
      </c>
      <c r="G59" s="27">
        <v>7599.9</v>
      </c>
      <c r="H59" s="27">
        <v>49489.9</v>
      </c>
      <c r="I59" s="28" t="s">
        <v>19</v>
      </c>
      <c r="J59" s="29"/>
    </row>
    <row r="60" spans="1:10" customFormat="1" ht="15.75" hidden="1" customHeight="1" x14ac:dyDescent="0.25">
      <c r="A60" s="24">
        <v>44951</v>
      </c>
      <c r="B60" s="25" t="s">
        <v>2980</v>
      </c>
      <c r="C60" s="26" t="s">
        <v>2978</v>
      </c>
      <c r="D60" s="26" t="s">
        <v>2979</v>
      </c>
      <c r="E60" s="27">
        <v>5700</v>
      </c>
      <c r="F60" s="30">
        <v>36190</v>
      </c>
      <c r="G60" s="27">
        <v>7599.9</v>
      </c>
      <c r="H60" s="27">
        <v>49489.9</v>
      </c>
      <c r="I60" s="28" t="s">
        <v>19</v>
      </c>
      <c r="J60" s="29"/>
    </row>
    <row r="61" spans="1:10" customFormat="1" ht="15.75" hidden="1" customHeight="1" x14ac:dyDescent="0.25">
      <c r="A61" s="24">
        <v>44951</v>
      </c>
      <c r="B61" s="25" t="s">
        <v>2981</v>
      </c>
      <c r="C61" s="26" t="s">
        <v>2978</v>
      </c>
      <c r="D61" s="26" t="s">
        <v>2979</v>
      </c>
      <c r="E61" s="27">
        <v>0</v>
      </c>
      <c r="F61" s="30">
        <v>35700</v>
      </c>
      <c r="G61" s="27">
        <v>7497</v>
      </c>
      <c r="H61" s="27">
        <v>43197</v>
      </c>
      <c r="I61" s="28" t="s">
        <v>19</v>
      </c>
      <c r="J61" s="29"/>
    </row>
    <row r="62" spans="1:10" customFormat="1" ht="15.75" hidden="1" customHeight="1" x14ac:dyDescent="0.25">
      <c r="A62" s="24">
        <v>44951</v>
      </c>
      <c r="B62" s="25" t="s">
        <v>2982</v>
      </c>
      <c r="C62" s="26" t="s">
        <v>2978</v>
      </c>
      <c r="D62" s="26" t="s">
        <v>2979</v>
      </c>
      <c r="E62" s="27">
        <v>5700</v>
      </c>
      <c r="F62" s="30">
        <v>45000</v>
      </c>
      <c r="G62" s="27">
        <v>9450</v>
      </c>
      <c r="H62" s="27">
        <v>60150</v>
      </c>
      <c r="I62" s="28" t="s">
        <v>19</v>
      </c>
      <c r="J62" s="29"/>
    </row>
    <row r="63" spans="1:10" customFormat="1" ht="15.75" hidden="1" customHeight="1" x14ac:dyDescent="0.25">
      <c r="A63" s="24">
        <v>44951</v>
      </c>
      <c r="B63" s="25" t="s">
        <v>2983</v>
      </c>
      <c r="C63" s="26" t="s">
        <v>2978</v>
      </c>
      <c r="D63" s="26" t="s">
        <v>2979</v>
      </c>
      <c r="E63" s="27">
        <v>3440</v>
      </c>
      <c r="F63" s="30">
        <v>42000</v>
      </c>
      <c r="G63" s="27">
        <v>8820</v>
      </c>
      <c r="H63" s="27">
        <v>54260</v>
      </c>
      <c r="I63" s="28" t="s">
        <v>19</v>
      </c>
      <c r="J63" s="29"/>
    </row>
    <row r="64" spans="1:10" customFormat="1" ht="15.75" hidden="1" customHeight="1" x14ac:dyDescent="0.25">
      <c r="A64" s="24">
        <v>44951</v>
      </c>
      <c r="B64" s="25" t="s">
        <v>2984</v>
      </c>
      <c r="C64" s="26" t="s">
        <v>2978</v>
      </c>
      <c r="D64" s="26" t="s">
        <v>2979</v>
      </c>
      <c r="E64" s="27">
        <v>5700</v>
      </c>
      <c r="F64" s="30">
        <v>45000</v>
      </c>
      <c r="G64" s="27">
        <v>9450</v>
      </c>
      <c r="H64" s="27">
        <v>60150</v>
      </c>
      <c r="I64" s="28" t="s">
        <v>19</v>
      </c>
      <c r="J64" s="29"/>
    </row>
    <row r="65" spans="1:10" customFormat="1" ht="15.75" hidden="1" customHeight="1" x14ac:dyDescent="0.25">
      <c r="A65" s="24">
        <v>44951</v>
      </c>
      <c r="B65" s="25" t="s">
        <v>2985</v>
      </c>
      <c r="C65" s="26" t="s">
        <v>2978</v>
      </c>
      <c r="D65" s="26" t="s">
        <v>2979</v>
      </c>
      <c r="E65" s="27">
        <v>5700</v>
      </c>
      <c r="F65" s="30">
        <v>45000</v>
      </c>
      <c r="G65" s="27">
        <v>9450</v>
      </c>
      <c r="H65" s="27">
        <v>60150</v>
      </c>
      <c r="I65" s="28" t="s">
        <v>19</v>
      </c>
      <c r="J65" s="29"/>
    </row>
    <row r="66" spans="1:10" customFormat="1" ht="15.75" hidden="1" customHeight="1" x14ac:dyDescent="0.25">
      <c r="A66" s="24">
        <v>44951</v>
      </c>
      <c r="B66" s="25" t="s">
        <v>2986</v>
      </c>
      <c r="C66" s="26" t="s">
        <v>2987</v>
      </c>
      <c r="D66" s="26" t="s">
        <v>2988</v>
      </c>
      <c r="E66" s="27">
        <v>0</v>
      </c>
      <c r="F66" s="30">
        <v>53550</v>
      </c>
      <c r="G66" s="27">
        <v>11245.5</v>
      </c>
      <c r="H66" s="27">
        <v>64795.5</v>
      </c>
      <c r="I66" s="28" t="s">
        <v>19</v>
      </c>
      <c r="J66" s="29"/>
    </row>
    <row r="67" spans="1:10" customFormat="1" ht="15.75" hidden="1" customHeight="1" x14ac:dyDescent="0.25">
      <c r="A67" s="24">
        <v>44951</v>
      </c>
      <c r="B67" s="25" t="s">
        <v>2989</v>
      </c>
      <c r="C67" s="26" t="s">
        <v>2990</v>
      </c>
      <c r="D67" s="26" t="s">
        <v>2991</v>
      </c>
      <c r="E67" s="27">
        <v>6500</v>
      </c>
      <c r="F67" s="30">
        <v>90000</v>
      </c>
      <c r="G67" s="27">
        <v>18900</v>
      </c>
      <c r="H67" s="27">
        <v>115400</v>
      </c>
      <c r="I67" s="28" t="s">
        <v>19</v>
      </c>
      <c r="J67" s="29"/>
    </row>
    <row r="68" spans="1:10" customFormat="1" ht="15.75" hidden="1" customHeight="1" x14ac:dyDescent="0.25">
      <c r="A68" s="24">
        <v>44951</v>
      </c>
      <c r="B68" s="25" t="s">
        <v>2992</v>
      </c>
      <c r="C68" s="26" t="s">
        <v>2987</v>
      </c>
      <c r="D68" s="26" t="s">
        <v>2988</v>
      </c>
      <c r="E68" s="27">
        <v>0</v>
      </c>
      <c r="F68" s="30">
        <v>53550</v>
      </c>
      <c r="G68" s="27">
        <v>11245.5</v>
      </c>
      <c r="H68" s="27">
        <v>64795.5</v>
      </c>
      <c r="I68" s="28" t="s">
        <v>19</v>
      </c>
      <c r="J68" s="29"/>
    </row>
    <row r="69" spans="1:10" customFormat="1" ht="15.75" hidden="1" customHeight="1" x14ac:dyDescent="0.25">
      <c r="A69" s="24">
        <v>44951</v>
      </c>
      <c r="B69" s="25" t="s">
        <v>2993</v>
      </c>
      <c r="C69" s="26" t="s">
        <v>2978</v>
      </c>
      <c r="D69" s="26" t="s">
        <v>2979</v>
      </c>
      <c r="E69" s="27">
        <v>3960</v>
      </c>
      <c r="F69" s="30">
        <v>42000</v>
      </c>
      <c r="G69" s="27">
        <v>8820</v>
      </c>
      <c r="H69" s="27">
        <v>54780</v>
      </c>
      <c r="I69" s="28" t="s">
        <v>19</v>
      </c>
      <c r="J69" s="29"/>
    </row>
    <row r="70" spans="1:10" customFormat="1" ht="15.75" hidden="1" customHeight="1" x14ac:dyDescent="0.25">
      <c r="A70" s="24">
        <v>44951</v>
      </c>
      <c r="B70" s="25" t="s">
        <v>2994</v>
      </c>
      <c r="C70" s="26" t="s">
        <v>2954</v>
      </c>
      <c r="D70" s="26" t="s">
        <v>2955</v>
      </c>
      <c r="E70" s="27">
        <v>6200</v>
      </c>
      <c r="F70" s="30">
        <v>170000</v>
      </c>
      <c r="G70" s="27">
        <v>35700</v>
      </c>
      <c r="H70" s="27">
        <v>211900</v>
      </c>
      <c r="I70" s="28" t="s">
        <v>19</v>
      </c>
      <c r="J70" s="29"/>
    </row>
    <row r="71" spans="1:10" customFormat="1" ht="15.75" hidden="1" customHeight="1" x14ac:dyDescent="0.25">
      <c r="A71" s="24">
        <v>44952</v>
      </c>
      <c r="B71" s="25" t="s">
        <v>2995</v>
      </c>
      <c r="C71" s="26" t="s">
        <v>2883</v>
      </c>
      <c r="D71" s="26" t="s">
        <v>2884</v>
      </c>
      <c r="E71" s="27">
        <v>0</v>
      </c>
      <c r="F71" s="30">
        <v>46920</v>
      </c>
      <c r="G71" s="27">
        <v>9853.2000000000007</v>
      </c>
      <c r="H71" s="27">
        <v>56773.2</v>
      </c>
      <c r="I71" s="28" t="s">
        <v>19</v>
      </c>
      <c r="J71" s="29"/>
    </row>
    <row r="72" spans="1:10" customFormat="1" ht="15.75" hidden="1" customHeight="1" x14ac:dyDescent="0.25">
      <c r="A72" s="24">
        <v>44952</v>
      </c>
      <c r="B72" s="25" t="s">
        <v>2996</v>
      </c>
      <c r="C72" s="26" t="s">
        <v>2997</v>
      </c>
      <c r="D72" s="26" t="s">
        <v>2998</v>
      </c>
      <c r="E72" s="27">
        <v>5700</v>
      </c>
      <c r="F72" s="30">
        <v>96000</v>
      </c>
      <c r="G72" s="27">
        <v>20160</v>
      </c>
      <c r="H72" s="27">
        <v>121860</v>
      </c>
      <c r="I72" s="28" t="s">
        <v>19</v>
      </c>
      <c r="J72" s="29"/>
    </row>
    <row r="73" spans="1:10" customFormat="1" ht="15.75" hidden="1" customHeight="1" x14ac:dyDescent="0.25">
      <c r="A73" s="24">
        <v>44952</v>
      </c>
      <c r="B73" s="25" t="s">
        <v>2999</v>
      </c>
      <c r="C73" s="26" t="s">
        <v>2909</v>
      </c>
      <c r="D73" s="26" t="s">
        <v>2910</v>
      </c>
      <c r="E73" s="27">
        <v>1</v>
      </c>
      <c r="F73" s="30">
        <v>1</v>
      </c>
      <c r="G73" s="27">
        <v>0.21</v>
      </c>
      <c r="H73" s="27">
        <v>2.21</v>
      </c>
      <c r="I73" s="28" t="s">
        <v>19</v>
      </c>
      <c r="J73" s="29"/>
    </row>
    <row r="74" spans="1:10" customFormat="1" ht="15.75" hidden="1" customHeight="1" x14ac:dyDescent="0.25">
      <c r="A74" s="24">
        <v>44952</v>
      </c>
      <c r="B74" s="25" t="s">
        <v>3000</v>
      </c>
      <c r="C74" s="26" t="s">
        <v>2945</v>
      </c>
      <c r="D74" s="26" t="s">
        <v>2946</v>
      </c>
      <c r="E74" s="27">
        <v>0</v>
      </c>
      <c r="F74" s="30">
        <v>89700</v>
      </c>
      <c r="G74" s="27">
        <v>18837</v>
      </c>
      <c r="H74" s="27">
        <v>108537</v>
      </c>
      <c r="I74" s="28" t="s">
        <v>19</v>
      </c>
      <c r="J74" s="29"/>
    </row>
    <row r="75" spans="1:10" customFormat="1" ht="15.75" hidden="1" customHeight="1" x14ac:dyDescent="0.25">
      <c r="A75" s="24">
        <v>44952</v>
      </c>
      <c r="B75" s="25" t="s">
        <v>3001</v>
      </c>
      <c r="C75" s="26" t="s">
        <v>2883</v>
      </c>
      <c r="D75" s="26" t="s">
        <v>2884</v>
      </c>
      <c r="E75" s="27">
        <v>-1.86264514923096E-11</v>
      </c>
      <c r="F75" s="30">
        <v>121080</v>
      </c>
      <c r="G75" s="27">
        <v>25426.799999999999</v>
      </c>
      <c r="H75" s="27">
        <v>146506.79999999999</v>
      </c>
      <c r="I75" s="28" t="s">
        <v>19</v>
      </c>
      <c r="J75" s="29"/>
    </row>
    <row r="76" spans="1:10" customFormat="1" ht="15.75" hidden="1" customHeight="1" x14ac:dyDescent="0.25">
      <c r="A76" s="24">
        <v>44952</v>
      </c>
      <c r="B76" s="25" t="s">
        <v>3002</v>
      </c>
      <c r="C76" s="26" t="s">
        <v>2921</v>
      </c>
      <c r="D76" s="26" t="s">
        <v>2922</v>
      </c>
      <c r="E76" s="27">
        <v>0</v>
      </c>
      <c r="F76" s="30">
        <v>35700</v>
      </c>
      <c r="G76" s="27">
        <v>7497</v>
      </c>
      <c r="H76" s="27">
        <v>43197</v>
      </c>
      <c r="I76" s="28" t="s">
        <v>19</v>
      </c>
      <c r="J76" s="29"/>
    </row>
    <row r="77" spans="1:10" customFormat="1" ht="15.75" hidden="1" customHeight="1" x14ac:dyDescent="0.25">
      <c r="A77" s="24">
        <v>44952</v>
      </c>
      <c r="B77" s="25" t="s">
        <v>3003</v>
      </c>
      <c r="C77" s="26" t="s">
        <v>2921</v>
      </c>
      <c r="D77" s="26" t="s">
        <v>2922</v>
      </c>
      <c r="E77" s="27">
        <v>0</v>
      </c>
      <c r="F77" s="30">
        <v>35700</v>
      </c>
      <c r="G77" s="27">
        <v>7497</v>
      </c>
      <c r="H77" s="27">
        <v>43197</v>
      </c>
      <c r="I77" s="28" t="s">
        <v>19</v>
      </c>
      <c r="J77" s="29"/>
    </row>
    <row r="78" spans="1:10" customFormat="1" ht="15.75" hidden="1" customHeight="1" x14ac:dyDescent="0.25">
      <c r="A78" s="24">
        <v>44952</v>
      </c>
      <c r="B78" s="25" t="s">
        <v>3004</v>
      </c>
      <c r="C78" s="26" t="s">
        <v>2921</v>
      </c>
      <c r="D78" s="26" t="s">
        <v>2922</v>
      </c>
      <c r="E78" s="27">
        <v>5700</v>
      </c>
      <c r="F78" s="30">
        <v>47124</v>
      </c>
      <c r="G78" s="27">
        <v>9896.0400000000009</v>
      </c>
      <c r="H78" s="27">
        <v>62720.04</v>
      </c>
      <c r="I78" s="28" t="s">
        <v>19</v>
      </c>
      <c r="J78" s="29"/>
    </row>
    <row r="79" spans="1:10" customFormat="1" ht="15.75" hidden="1" customHeight="1" x14ac:dyDescent="0.25">
      <c r="A79" s="24">
        <v>44952</v>
      </c>
      <c r="B79" s="25" t="s">
        <v>3005</v>
      </c>
      <c r="C79" s="26" t="s">
        <v>2921</v>
      </c>
      <c r="D79" s="26" t="s">
        <v>2922</v>
      </c>
      <c r="E79" s="27">
        <v>6500</v>
      </c>
      <c r="F79" s="30">
        <v>75000</v>
      </c>
      <c r="G79" s="27">
        <v>15750</v>
      </c>
      <c r="H79" s="27">
        <v>97250</v>
      </c>
      <c r="I79" s="28" t="s">
        <v>19</v>
      </c>
      <c r="J79" s="29"/>
    </row>
    <row r="80" spans="1:10" customFormat="1" ht="15.75" hidden="1" customHeight="1" x14ac:dyDescent="0.25">
      <c r="A80" s="24">
        <v>44952</v>
      </c>
      <c r="B80" s="25" t="s">
        <v>3006</v>
      </c>
      <c r="C80" s="26" t="s">
        <v>3007</v>
      </c>
      <c r="D80" s="26" t="s">
        <v>3008</v>
      </c>
      <c r="E80" s="27">
        <v>0</v>
      </c>
      <c r="F80" s="30">
        <v>91080</v>
      </c>
      <c r="G80" s="27">
        <v>19126.8</v>
      </c>
      <c r="H80" s="27">
        <v>110206.8</v>
      </c>
      <c r="I80" s="28" t="s">
        <v>19</v>
      </c>
      <c r="J80" s="29"/>
    </row>
    <row r="81" spans="1:10" customFormat="1" ht="15.75" hidden="1" customHeight="1" x14ac:dyDescent="0.25">
      <c r="A81" s="24">
        <v>44952</v>
      </c>
      <c r="B81" s="25" t="s">
        <v>3009</v>
      </c>
      <c r="C81" s="26" t="s">
        <v>2921</v>
      </c>
      <c r="D81" s="26" t="s">
        <v>2922</v>
      </c>
      <c r="E81" s="27">
        <v>0</v>
      </c>
      <c r="F81" s="30">
        <v>68310</v>
      </c>
      <c r="G81" s="27">
        <v>14345.1</v>
      </c>
      <c r="H81" s="27">
        <v>82655.100000000006</v>
      </c>
      <c r="I81" s="28" t="s">
        <v>19</v>
      </c>
      <c r="J81" s="29"/>
    </row>
    <row r="82" spans="1:10" customFormat="1" ht="15.75" hidden="1" customHeight="1" x14ac:dyDescent="0.25">
      <c r="A82" s="24">
        <v>44952</v>
      </c>
      <c r="B82" s="25" t="s">
        <v>3010</v>
      </c>
      <c r="C82" s="26" t="s">
        <v>3011</v>
      </c>
      <c r="D82" s="26" t="s">
        <v>3012</v>
      </c>
      <c r="E82" s="27">
        <v>6500</v>
      </c>
      <c r="F82" s="30">
        <v>90000</v>
      </c>
      <c r="G82" s="27">
        <v>18900</v>
      </c>
      <c r="H82" s="27">
        <v>115400</v>
      </c>
      <c r="I82" s="28" t="s">
        <v>19</v>
      </c>
      <c r="J82" s="29"/>
    </row>
    <row r="83" spans="1:10" customFormat="1" ht="15.75" hidden="1" customHeight="1" x14ac:dyDescent="0.25">
      <c r="A83" s="24">
        <v>44952</v>
      </c>
      <c r="B83" s="25" t="s">
        <v>3013</v>
      </c>
      <c r="C83" s="26" t="s">
        <v>3014</v>
      </c>
      <c r="D83" s="26" t="s">
        <v>3015</v>
      </c>
      <c r="E83" s="27">
        <v>21400</v>
      </c>
      <c r="F83" s="30">
        <v>205200</v>
      </c>
      <c r="G83" s="27">
        <v>43092</v>
      </c>
      <c r="H83" s="27">
        <v>269692</v>
      </c>
      <c r="I83" s="28" t="s">
        <v>19</v>
      </c>
      <c r="J83" s="29"/>
    </row>
    <row r="84" spans="1:10" customFormat="1" ht="15.75" hidden="1" customHeight="1" x14ac:dyDescent="0.25">
      <c r="A84" s="24">
        <v>44952</v>
      </c>
      <c r="B84" s="25" t="s">
        <v>3016</v>
      </c>
      <c r="C84" s="26" t="s">
        <v>2921</v>
      </c>
      <c r="D84" s="26" t="s">
        <v>2922</v>
      </c>
      <c r="E84" s="27">
        <v>6500</v>
      </c>
      <c r="F84" s="30">
        <v>51300</v>
      </c>
      <c r="G84" s="27">
        <v>10773</v>
      </c>
      <c r="H84" s="27">
        <v>68573</v>
      </c>
      <c r="I84" s="28" t="s">
        <v>19</v>
      </c>
      <c r="J84" s="29"/>
    </row>
    <row r="85" spans="1:10" customFormat="1" ht="15.75" hidden="1" customHeight="1" x14ac:dyDescent="0.25">
      <c r="A85" s="24">
        <v>44952</v>
      </c>
      <c r="B85" s="25" t="s">
        <v>3017</v>
      </c>
      <c r="C85" s="26" t="s">
        <v>2921</v>
      </c>
      <c r="D85" s="26" t="s">
        <v>2922</v>
      </c>
      <c r="E85" s="27">
        <v>6500</v>
      </c>
      <c r="F85" s="30">
        <v>110700</v>
      </c>
      <c r="G85" s="27">
        <v>23247</v>
      </c>
      <c r="H85" s="27">
        <v>140447</v>
      </c>
      <c r="I85" s="28" t="s">
        <v>19</v>
      </c>
      <c r="J85" s="29"/>
    </row>
    <row r="86" spans="1:10" customFormat="1" ht="15.75" hidden="1" customHeight="1" x14ac:dyDescent="0.25">
      <c r="A86" s="24">
        <v>44952</v>
      </c>
      <c r="B86" s="25" t="s">
        <v>3018</v>
      </c>
      <c r="C86" s="26" t="s">
        <v>2921</v>
      </c>
      <c r="D86" s="26" t="s">
        <v>2922</v>
      </c>
      <c r="E86" s="27">
        <v>0</v>
      </c>
      <c r="F86" s="30">
        <v>45540</v>
      </c>
      <c r="G86" s="27">
        <v>9563.4</v>
      </c>
      <c r="H86" s="27">
        <v>55103.4</v>
      </c>
      <c r="I86" s="28" t="s">
        <v>19</v>
      </c>
      <c r="J86" s="29"/>
    </row>
    <row r="87" spans="1:10" customFormat="1" ht="15.75" hidden="1" customHeight="1" x14ac:dyDescent="0.25">
      <c r="A87" s="24">
        <v>44952</v>
      </c>
      <c r="B87" s="25" t="s">
        <v>3019</v>
      </c>
      <c r="C87" s="26" t="s">
        <v>2851</v>
      </c>
      <c r="D87" s="26" t="s">
        <v>2852</v>
      </c>
      <c r="E87" s="27">
        <v>5700</v>
      </c>
      <c r="F87" s="30">
        <v>42000</v>
      </c>
      <c r="G87" s="27">
        <v>8820</v>
      </c>
      <c r="H87" s="27">
        <v>56520</v>
      </c>
      <c r="I87" s="28" t="s">
        <v>19</v>
      </c>
      <c r="J87" s="29"/>
    </row>
    <row r="88" spans="1:10" customFormat="1" ht="15.75" hidden="1" customHeight="1" x14ac:dyDescent="0.25">
      <c r="A88" s="24">
        <v>44952</v>
      </c>
      <c r="B88" s="25" t="s">
        <v>3020</v>
      </c>
      <c r="C88" s="26" t="s">
        <v>2906</v>
      </c>
      <c r="D88" s="26" t="s">
        <v>2907</v>
      </c>
      <c r="E88" s="27">
        <v>5700</v>
      </c>
      <c r="F88" s="30">
        <v>45000</v>
      </c>
      <c r="G88" s="27">
        <v>9450</v>
      </c>
      <c r="H88" s="27">
        <v>60150</v>
      </c>
      <c r="I88" s="28" t="s">
        <v>19</v>
      </c>
      <c r="J88" s="29"/>
    </row>
    <row r="89" spans="1:10" customFormat="1" ht="15.75" hidden="1" customHeight="1" x14ac:dyDescent="0.25">
      <c r="A89" s="24">
        <v>44952</v>
      </c>
      <c r="B89" s="25" t="s">
        <v>3021</v>
      </c>
      <c r="C89" s="26" t="s">
        <v>2856</v>
      </c>
      <c r="D89" s="26" t="s">
        <v>2857</v>
      </c>
      <c r="E89" s="27">
        <v>0</v>
      </c>
      <c r="F89" s="30">
        <v>21000</v>
      </c>
      <c r="G89" s="27">
        <v>4410</v>
      </c>
      <c r="H89" s="27">
        <v>25410</v>
      </c>
      <c r="I89" s="28" t="s">
        <v>19</v>
      </c>
      <c r="J89" s="29"/>
    </row>
    <row r="90" spans="1:10" customFormat="1" ht="15.75" hidden="1" customHeight="1" x14ac:dyDescent="0.25">
      <c r="A90" s="24">
        <v>44952</v>
      </c>
      <c r="B90" s="25" t="s">
        <v>3022</v>
      </c>
      <c r="C90" s="26" t="s">
        <v>3007</v>
      </c>
      <c r="D90" s="26" t="s">
        <v>3008</v>
      </c>
      <c r="E90" s="27">
        <v>8500</v>
      </c>
      <c r="F90" s="30">
        <v>138540</v>
      </c>
      <c r="G90" s="27">
        <v>29093.4</v>
      </c>
      <c r="H90" s="27">
        <v>176133.4</v>
      </c>
      <c r="I90" s="28" t="s">
        <v>19</v>
      </c>
      <c r="J90" s="29"/>
    </row>
    <row r="91" spans="1:10" customFormat="1" ht="15.75" hidden="1" customHeight="1" x14ac:dyDescent="0.25">
      <c r="A91" s="137">
        <v>44952</v>
      </c>
      <c r="B91" s="138" t="s">
        <v>3023</v>
      </c>
      <c r="C91" s="139" t="s">
        <v>2851</v>
      </c>
      <c r="D91" s="139" t="s">
        <v>2852</v>
      </c>
      <c r="E91" s="140">
        <v>0</v>
      </c>
      <c r="F91" s="141">
        <v>39330</v>
      </c>
      <c r="G91" s="140">
        <v>8259.2999999999993</v>
      </c>
      <c r="H91" s="140">
        <v>47589.3</v>
      </c>
      <c r="I91" s="59" t="s">
        <v>19</v>
      </c>
      <c r="J91" s="29"/>
    </row>
    <row r="92" spans="1:10" ht="15.75" hidden="1" customHeight="1" x14ac:dyDescent="0.25">
      <c r="A92" s="172">
        <v>44953</v>
      </c>
      <c r="B92" s="128" t="s">
        <v>3024</v>
      </c>
      <c r="C92" s="128" t="s">
        <v>2895</v>
      </c>
      <c r="D92" s="128" t="s">
        <v>2896</v>
      </c>
      <c r="E92" s="129">
        <v>4070</v>
      </c>
      <c r="F92" s="130">
        <v>62000</v>
      </c>
      <c r="G92" s="129">
        <v>13020</v>
      </c>
      <c r="H92" s="129">
        <v>79090</v>
      </c>
      <c r="I92" s="121" t="s">
        <v>19</v>
      </c>
      <c r="J92" s="29"/>
    </row>
    <row r="93" spans="1:10" customFormat="1" ht="15.75" hidden="1" customHeight="1" x14ac:dyDescent="0.25">
      <c r="A93" s="153">
        <v>44953</v>
      </c>
      <c r="B93" s="154" t="s">
        <v>3025</v>
      </c>
      <c r="C93" s="155" t="s">
        <v>2856</v>
      </c>
      <c r="D93" s="155" t="s">
        <v>2857</v>
      </c>
      <c r="E93" s="156">
        <v>0</v>
      </c>
      <c r="F93" s="157">
        <v>119000</v>
      </c>
      <c r="G93" s="156">
        <v>24990</v>
      </c>
      <c r="H93" s="156">
        <v>143990</v>
      </c>
      <c r="I93" s="55" t="s">
        <v>19</v>
      </c>
      <c r="J93" s="29"/>
    </row>
    <row r="94" spans="1:10" customFormat="1" ht="15.75" hidden="1" customHeight="1" x14ac:dyDescent="0.25">
      <c r="A94" s="24">
        <v>44953</v>
      </c>
      <c r="B94" s="25" t="s">
        <v>3026</v>
      </c>
      <c r="C94" s="26" t="s">
        <v>2990</v>
      </c>
      <c r="D94" s="26" t="s">
        <v>2991</v>
      </c>
      <c r="E94" s="27">
        <v>2490</v>
      </c>
      <c r="F94" s="30">
        <v>50000</v>
      </c>
      <c r="G94" s="27">
        <v>10500</v>
      </c>
      <c r="H94" s="27">
        <v>62990</v>
      </c>
      <c r="I94" s="28" t="s">
        <v>19</v>
      </c>
      <c r="J94" s="29"/>
    </row>
    <row r="95" spans="1:10" customFormat="1" ht="15.75" hidden="1" customHeight="1" x14ac:dyDescent="0.25">
      <c r="A95" s="24">
        <v>44953</v>
      </c>
      <c r="B95" s="25" t="s">
        <v>3027</v>
      </c>
      <c r="C95" s="26" t="s">
        <v>2990</v>
      </c>
      <c r="D95" s="26" t="s">
        <v>2991</v>
      </c>
      <c r="E95" s="27">
        <v>2490</v>
      </c>
      <c r="F95" s="30">
        <v>50000</v>
      </c>
      <c r="G95" s="27">
        <v>10500</v>
      </c>
      <c r="H95" s="27">
        <v>62990</v>
      </c>
      <c r="I95" s="28" t="s">
        <v>19</v>
      </c>
      <c r="J95" s="29"/>
    </row>
    <row r="96" spans="1:10" customFormat="1" ht="15.75" hidden="1" customHeight="1" x14ac:dyDescent="0.25">
      <c r="A96" s="24">
        <v>44953</v>
      </c>
      <c r="B96" s="25" t="s">
        <v>3028</v>
      </c>
      <c r="C96" s="26" t="s">
        <v>3029</v>
      </c>
      <c r="D96" s="26" t="s">
        <v>3030</v>
      </c>
      <c r="E96" s="27">
        <v>2490</v>
      </c>
      <c r="F96" s="30">
        <v>50000</v>
      </c>
      <c r="G96" s="27">
        <v>10500</v>
      </c>
      <c r="H96" s="27">
        <v>62990</v>
      </c>
      <c r="I96" s="28" t="s">
        <v>19</v>
      </c>
      <c r="J96" s="29"/>
    </row>
    <row r="97" spans="1:10" customFormat="1" ht="15.75" hidden="1" customHeight="1" x14ac:dyDescent="0.25">
      <c r="A97" s="24">
        <v>44953</v>
      </c>
      <c r="B97" s="25" t="s">
        <v>3031</v>
      </c>
      <c r="C97" s="26" t="s">
        <v>3014</v>
      </c>
      <c r="D97" s="26" t="s">
        <v>3015</v>
      </c>
      <c r="E97" s="27">
        <v>4980</v>
      </c>
      <c r="F97" s="30">
        <v>186000</v>
      </c>
      <c r="G97" s="27">
        <v>39060</v>
      </c>
      <c r="H97" s="27">
        <v>230040</v>
      </c>
      <c r="I97" s="28" t="s">
        <v>19</v>
      </c>
      <c r="J97" s="29"/>
    </row>
    <row r="98" spans="1:10" customFormat="1" ht="15.75" hidden="1" customHeight="1" x14ac:dyDescent="0.25">
      <c r="A98" s="24">
        <v>44953</v>
      </c>
      <c r="B98" s="25" t="s">
        <v>3032</v>
      </c>
      <c r="C98" s="26" t="s">
        <v>3033</v>
      </c>
      <c r="D98" s="26" t="s">
        <v>3034</v>
      </c>
      <c r="E98" s="27">
        <v>2490</v>
      </c>
      <c r="F98" s="30">
        <v>61000</v>
      </c>
      <c r="G98" s="27">
        <v>12810</v>
      </c>
      <c r="H98" s="27">
        <v>76300</v>
      </c>
      <c r="I98" s="28" t="s">
        <v>19</v>
      </c>
      <c r="J98" s="29"/>
    </row>
    <row r="99" spans="1:10" customFormat="1" ht="15.75" hidden="1" customHeight="1" x14ac:dyDescent="0.25">
      <c r="A99" s="24">
        <v>44953</v>
      </c>
      <c r="B99" s="25" t="s">
        <v>3035</v>
      </c>
      <c r="C99" s="26" t="s">
        <v>3036</v>
      </c>
      <c r="D99" s="26" t="s">
        <v>3037</v>
      </c>
      <c r="E99" s="27">
        <v>2250</v>
      </c>
      <c r="F99" s="30">
        <v>68000</v>
      </c>
      <c r="G99" s="27">
        <v>14280</v>
      </c>
      <c r="H99" s="27">
        <v>84530</v>
      </c>
      <c r="I99" s="28" t="s">
        <v>19</v>
      </c>
      <c r="J99" s="29"/>
    </row>
    <row r="100" spans="1:10" customFormat="1" ht="15.75" hidden="1" customHeight="1" x14ac:dyDescent="0.25">
      <c r="A100" s="24">
        <v>44953</v>
      </c>
      <c r="B100" s="25" t="s">
        <v>3038</v>
      </c>
      <c r="C100" s="26" t="s">
        <v>2978</v>
      </c>
      <c r="D100" s="26" t="s">
        <v>2979</v>
      </c>
      <c r="E100" s="27">
        <v>2490</v>
      </c>
      <c r="F100" s="30">
        <v>50000</v>
      </c>
      <c r="G100" s="27">
        <v>10500</v>
      </c>
      <c r="H100" s="27">
        <v>62990</v>
      </c>
      <c r="I100" s="28" t="s">
        <v>19</v>
      </c>
      <c r="J100" s="29"/>
    </row>
    <row r="101" spans="1:10" customFormat="1" ht="15.75" hidden="1" customHeight="1" x14ac:dyDescent="0.25">
      <c r="A101" s="24">
        <v>44953</v>
      </c>
      <c r="B101" s="25" t="s">
        <v>3039</v>
      </c>
      <c r="C101" s="26" t="s">
        <v>2921</v>
      </c>
      <c r="D101" s="26" t="s">
        <v>2922</v>
      </c>
      <c r="E101" s="27">
        <v>3030</v>
      </c>
      <c r="F101" s="30">
        <v>61000</v>
      </c>
      <c r="G101" s="27">
        <v>12810</v>
      </c>
      <c r="H101" s="27">
        <v>76840</v>
      </c>
      <c r="I101" s="28" t="s">
        <v>19</v>
      </c>
      <c r="J101" s="29"/>
    </row>
    <row r="102" spans="1:10" customFormat="1" ht="15.75" hidden="1" customHeight="1" x14ac:dyDescent="0.25">
      <c r="A102" s="24">
        <v>44953</v>
      </c>
      <c r="B102" s="25" t="s">
        <v>3040</v>
      </c>
      <c r="C102" s="26" t="s">
        <v>3041</v>
      </c>
      <c r="D102" s="26" t="s">
        <v>3042</v>
      </c>
      <c r="E102" s="27">
        <v>4070</v>
      </c>
      <c r="F102" s="30">
        <v>100950</v>
      </c>
      <c r="G102" s="27">
        <v>21199.5</v>
      </c>
      <c r="H102" s="27">
        <v>126219.5</v>
      </c>
      <c r="I102" s="28" t="s">
        <v>19</v>
      </c>
      <c r="J102" s="29"/>
    </row>
    <row r="103" spans="1:10" customFormat="1" ht="15.75" hidden="1" customHeight="1" x14ac:dyDescent="0.25">
      <c r="A103" s="24">
        <v>44953</v>
      </c>
      <c r="B103" s="25" t="s">
        <v>3043</v>
      </c>
      <c r="C103" s="26" t="s">
        <v>2909</v>
      </c>
      <c r="D103" s="26" t="s">
        <v>2910</v>
      </c>
      <c r="E103" s="27">
        <v>0</v>
      </c>
      <c r="F103" s="30">
        <v>134798.39999999999</v>
      </c>
      <c r="G103" s="27">
        <v>28307.66</v>
      </c>
      <c r="H103" s="27">
        <v>163106.06</v>
      </c>
      <c r="I103" s="28" t="s">
        <v>19</v>
      </c>
      <c r="J103" s="29"/>
    </row>
    <row r="104" spans="1:10" customFormat="1" ht="15.75" hidden="1" customHeight="1" x14ac:dyDescent="0.25">
      <c r="A104" s="24">
        <v>44953</v>
      </c>
      <c r="B104" s="25" t="s">
        <v>3044</v>
      </c>
      <c r="C104" s="26" t="s">
        <v>2978</v>
      </c>
      <c r="D104" s="26" t="s">
        <v>2979</v>
      </c>
      <c r="E104" s="27">
        <v>5700</v>
      </c>
      <c r="F104" s="30">
        <v>47124</v>
      </c>
      <c r="G104" s="27">
        <v>9896.0400000000009</v>
      </c>
      <c r="H104" s="27">
        <v>62720.04</v>
      </c>
      <c r="I104" s="28" t="s">
        <v>19</v>
      </c>
      <c r="J104" s="29"/>
    </row>
    <row r="105" spans="1:10" customFormat="1" ht="15.75" hidden="1" customHeight="1" x14ac:dyDescent="0.25">
      <c r="A105" s="24">
        <v>44953</v>
      </c>
      <c r="B105" s="25" t="s">
        <v>3045</v>
      </c>
      <c r="C105" s="26" t="s">
        <v>2978</v>
      </c>
      <c r="D105" s="26" t="s">
        <v>2979</v>
      </c>
      <c r="E105" s="27">
        <v>5700</v>
      </c>
      <c r="F105" s="30">
        <v>47124</v>
      </c>
      <c r="G105" s="27">
        <v>9896.0400000000009</v>
      </c>
      <c r="H105" s="27">
        <v>62720.04</v>
      </c>
      <c r="I105" s="28" t="s">
        <v>19</v>
      </c>
      <c r="J105" s="29"/>
    </row>
    <row r="106" spans="1:10" customFormat="1" ht="15.75" hidden="1" customHeight="1" x14ac:dyDescent="0.25">
      <c r="A106" s="24">
        <v>44953</v>
      </c>
      <c r="B106" s="25" t="s">
        <v>3046</v>
      </c>
      <c r="C106" s="26" t="s">
        <v>3007</v>
      </c>
      <c r="D106" s="26" t="s">
        <v>3008</v>
      </c>
      <c r="E106" s="27">
        <v>0</v>
      </c>
      <c r="F106" s="30">
        <v>47124</v>
      </c>
      <c r="G106" s="27">
        <v>9896.0400000000009</v>
      </c>
      <c r="H106" s="27">
        <v>57020.04</v>
      </c>
      <c r="I106" s="28" t="s">
        <v>19</v>
      </c>
      <c r="J106" s="29"/>
    </row>
    <row r="107" spans="1:10" customFormat="1" ht="15.75" hidden="1" customHeight="1" x14ac:dyDescent="0.25">
      <c r="A107" s="24">
        <v>44953</v>
      </c>
      <c r="B107" s="25" t="s">
        <v>3047</v>
      </c>
      <c r="C107" s="26" t="s">
        <v>3007</v>
      </c>
      <c r="D107" s="26" t="s">
        <v>3008</v>
      </c>
      <c r="E107" s="27">
        <v>5700</v>
      </c>
      <c r="F107" s="30">
        <v>47124</v>
      </c>
      <c r="G107" s="27">
        <v>9896.0400000000009</v>
      </c>
      <c r="H107" s="27">
        <v>62720.04</v>
      </c>
      <c r="I107" s="28" t="s">
        <v>19</v>
      </c>
      <c r="J107" s="29"/>
    </row>
    <row r="108" spans="1:10" customFormat="1" ht="15.75" hidden="1" customHeight="1" x14ac:dyDescent="0.25">
      <c r="A108" s="24">
        <v>44953</v>
      </c>
      <c r="B108" s="25" t="s">
        <v>3048</v>
      </c>
      <c r="C108" s="26" t="s">
        <v>2856</v>
      </c>
      <c r="D108" s="26" t="s">
        <v>2857</v>
      </c>
      <c r="E108" s="27">
        <v>0</v>
      </c>
      <c r="F108" s="30">
        <v>32788.800000000003</v>
      </c>
      <c r="G108" s="27">
        <v>6885.65</v>
      </c>
      <c r="H108" s="27">
        <v>39674.449999999997</v>
      </c>
      <c r="I108" s="28" t="s">
        <v>19</v>
      </c>
      <c r="J108" s="29"/>
    </row>
    <row r="109" spans="1:10" customFormat="1" ht="15.75" hidden="1" customHeight="1" x14ac:dyDescent="0.25">
      <c r="A109" s="24">
        <v>44953</v>
      </c>
      <c r="B109" s="25" t="s">
        <v>3049</v>
      </c>
      <c r="C109" s="26" t="s">
        <v>2889</v>
      </c>
      <c r="D109" s="26" t="s">
        <v>2890</v>
      </c>
      <c r="E109" s="27">
        <v>0</v>
      </c>
      <c r="F109" s="30">
        <v>47124</v>
      </c>
      <c r="G109" s="27">
        <v>9896.0400000000009</v>
      </c>
      <c r="H109" s="27">
        <v>57020.04</v>
      </c>
      <c r="I109" s="28" t="s">
        <v>19</v>
      </c>
      <c r="J109" s="29"/>
    </row>
    <row r="110" spans="1:10" customFormat="1" ht="15.75" hidden="1" customHeight="1" x14ac:dyDescent="0.25">
      <c r="A110" s="24">
        <v>44953</v>
      </c>
      <c r="B110" s="25" t="s">
        <v>3050</v>
      </c>
      <c r="C110" s="26" t="s">
        <v>2921</v>
      </c>
      <c r="D110" s="26" t="s">
        <v>2922</v>
      </c>
      <c r="E110" s="27">
        <v>0</v>
      </c>
      <c r="F110" s="30">
        <v>19000</v>
      </c>
      <c r="G110" s="27">
        <v>3990</v>
      </c>
      <c r="H110" s="27">
        <v>22990</v>
      </c>
      <c r="I110" s="28" t="s">
        <v>19</v>
      </c>
      <c r="J110" s="29"/>
    </row>
    <row r="111" spans="1:10" customFormat="1" ht="15.75" hidden="1" customHeight="1" x14ac:dyDescent="0.25">
      <c r="A111" s="24">
        <v>44953</v>
      </c>
      <c r="B111" s="25" t="s">
        <v>3051</v>
      </c>
      <c r="C111" s="26" t="s">
        <v>2851</v>
      </c>
      <c r="D111" s="26" t="s">
        <v>2852</v>
      </c>
      <c r="E111" s="27">
        <v>0</v>
      </c>
      <c r="F111" s="30">
        <v>23000</v>
      </c>
      <c r="G111" s="27">
        <v>4830</v>
      </c>
      <c r="H111" s="27">
        <v>27830</v>
      </c>
      <c r="I111" s="28" t="s">
        <v>19</v>
      </c>
      <c r="J111" s="29"/>
    </row>
    <row r="112" spans="1:10" customFormat="1" ht="15.75" hidden="1" customHeight="1" x14ac:dyDescent="0.25">
      <c r="A112" s="24">
        <v>44953</v>
      </c>
      <c r="B112" s="25" t="s">
        <v>3052</v>
      </c>
      <c r="C112" s="26" t="s">
        <v>2851</v>
      </c>
      <c r="D112" s="26" t="s">
        <v>2852</v>
      </c>
      <c r="E112" s="27">
        <v>0</v>
      </c>
      <c r="F112" s="30">
        <v>23000</v>
      </c>
      <c r="G112" s="27">
        <v>4830</v>
      </c>
      <c r="H112" s="27">
        <v>27830</v>
      </c>
      <c r="I112" s="28" t="s">
        <v>19</v>
      </c>
      <c r="J112" s="29"/>
    </row>
    <row r="113" spans="1:10" customFormat="1" ht="15.75" hidden="1" customHeight="1" x14ac:dyDescent="0.25">
      <c r="A113" s="24">
        <v>44956</v>
      </c>
      <c r="B113" s="25" t="s">
        <v>3053</v>
      </c>
      <c r="C113" s="26" t="s">
        <v>2889</v>
      </c>
      <c r="D113" s="26" t="s">
        <v>2890</v>
      </c>
      <c r="E113" s="27">
        <v>2490</v>
      </c>
      <c r="F113" s="30">
        <v>61000</v>
      </c>
      <c r="G113" s="27">
        <v>12810</v>
      </c>
      <c r="H113" s="27">
        <v>76300</v>
      </c>
      <c r="I113" s="28" t="s">
        <v>19</v>
      </c>
      <c r="J113" s="29"/>
    </row>
    <row r="114" spans="1:10" customFormat="1" ht="15.75" hidden="1" customHeight="1" x14ac:dyDescent="0.25">
      <c r="A114" s="24">
        <v>44956</v>
      </c>
      <c r="B114" s="25" t="s">
        <v>3054</v>
      </c>
      <c r="C114" s="26" t="s">
        <v>2889</v>
      </c>
      <c r="D114" s="26" t="s">
        <v>2890</v>
      </c>
      <c r="E114" s="27">
        <v>2490</v>
      </c>
      <c r="F114" s="30">
        <v>50000</v>
      </c>
      <c r="G114" s="27">
        <v>10500</v>
      </c>
      <c r="H114" s="27">
        <v>62990</v>
      </c>
      <c r="I114" s="28" t="s">
        <v>19</v>
      </c>
      <c r="J114" s="29"/>
    </row>
    <row r="115" spans="1:10" customFormat="1" ht="15.75" hidden="1" customHeight="1" x14ac:dyDescent="0.25">
      <c r="A115" s="24">
        <v>44956</v>
      </c>
      <c r="B115" s="25" t="s">
        <v>3055</v>
      </c>
      <c r="C115" s="26" t="s">
        <v>2880</v>
      </c>
      <c r="D115" s="26" t="s">
        <v>2881</v>
      </c>
      <c r="E115" s="27">
        <v>2490</v>
      </c>
      <c r="F115" s="30">
        <v>100000</v>
      </c>
      <c r="G115" s="27">
        <v>21000</v>
      </c>
      <c r="H115" s="27">
        <v>123490</v>
      </c>
      <c r="I115" s="28" t="s">
        <v>19</v>
      </c>
      <c r="J115" s="29"/>
    </row>
    <row r="116" spans="1:10" customFormat="1" ht="15.75" hidden="1" customHeight="1" x14ac:dyDescent="0.25">
      <c r="A116" s="24">
        <v>44956</v>
      </c>
      <c r="B116" s="25" t="s">
        <v>3056</v>
      </c>
      <c r="C116" s="26" t="s">
        <v>2906</v>
      </c>
      <c r="D116" s="26" t="s">
        <v>2907</v>
      </c>
      <c r="E116" s="27">
        <v>2490</v>
      </c>
      <c r="F116" s="30">
        <v>50000</v>
      </c>
      <c r="G116" s="27">
        <v>10500</v>
      </c>
      <c r="H116" s="27">
        <v>62990</v>
      </c>
      <c r="I116" s="28" t="s">
        <v>19</v>
      </c>
      <c r="J116" s="29"/>
    </row>
    <row r="117" spans="1:10" customFormat="1" ht="15.75" hidden="1" customHeight="1" x14ac:dyDescent="0.25">
      <c r="A117" s="24">
        <v>44956</v>
      </c>
      <c r="B117" s="25" t="s">
        <v>3057</v>
      </c>
      <c r="C117" s="26" t="s">
        <v>3058</v>
      </c>
      <c r="D117" s="26" t="s">
        <v>3059</v>
      </c>
      <c r="E117" s="27">
        <v>2490</v>
      </c>
      <c r="F117" s="30">
        <v>79000</v>
      </c>
      <c r="G117" s="27">
        <v>16590</v>
      </c>
      <c r="H117" s="27">
        <v>98080</v>
      </c>
      <c r="I117" s="28" t="s">
        <v>19</v>
      </c>
      <c r="J117" s="29"/>
    </row>
    <row r="118" spans="1:10" customFormat="1" ht="15.75" hidden="1" customHeight="1" x14ac:dyDescent="0.25">
      <c r="A118" s="24">
        <v>44956</v>
      </c>
      <c r="B118" s="25" t="s">
        <v>3060</v>
      </c>
      <c r="C118" s="26" t="s">
        <v>2978</v>
      </c>
      <c r="D118" s="26" t="s">
        <v>2979</v>
      </c>
      <c r="E118" s="27">
        <v>2490</v>
      </c>
      <c r="F118" s="30">
        <v>50000</v>
      </c>
      <c r="G118" s="27">
        <v>10500</v>
      </c>
      <c r="H118" s="27">
        <v>62990</v>
      </c>
      <c r="I118" s="28" t="s">
        <v>19</v>
      </c>
      <c r="J118" s="29"/>
    </row>
    <row r="119" spans="1:10" customFormat="1" ht="15.75" hidden="1" customHeight="1" x14ac:dyDescent="0.25">
      <c r="A119" s="24">
        <v>44956</v>
      </c>
      <c r="B119" s="25" t="s">
        <v>3061</v>
      </c>
      <c r="C119" s="26" t="s">
        <v>2978</v>
      </c>
      <c r="D119" s="26" t="s">
        <v>2979</v>
      </c>
      <c r="E119" s="27">
        <v>2490</v>
      </c>
      <c r="F119" s="30">
        <v>50000</v>
      </c>
      <c r="G119" s="27">
        <v>10500</v>
      </c>
      <c r="H119" s="27">
        <v>62990</v>
      </c>
      <c r="I119" s="28" t="s">
        <v>19</v>
      </c>
      <c r="J119" s="29"/>
    </row>
    <row r="120" spans="1:10" customFormat="1" ht="15.75" hidden="1" customHeight="1" x14ac:dyDescent="0.25">
      <c r="A120" s="24">
        <v>44956</v>
      </c>
      <c r="B120" s="25" t="s">
        <v>3062</v>
      </c>
      <c r="C120" s="26" t="s">
        <v>2978</v>
      </c>
      <c r="D120" s="26" t="s">
        <v>2979</v>
      </c>
      <c r="E120" s="27">
        <v>2490</v>
      </c>
      <c r="F120" s="30">
        <v>50000</v>
      </c>
      <c r="G120" s="27">
        <v>10500</v>
      </c>
      <c r="H120" s="27">
        <v>62990</v>
      </c>
      <c r="I120" s="28" t="s">
        <v>19</v>
      </c>
      <c r="J120" s="29"/>
    </row>
    <row r="121" spans="1:10" customFormat="1" ht="15.75" hidden="1" customHeight="1" x14ac:dyDescent="0.25">
      <c r="A121" s="24">
        <v>44956</v>
      </c>
      <c r="B121" s="25" t="s">
        <v>3063</v>
      </c>
      <c r="C121" s="26" t="s">
        <v>2978</v>
      </c>
      <c r="D121" s="26" t="s">
        <v>2979</v>
      </c>
      <c r="E121" s="27">
        <v>2490</v>
      </c>
      <c r="F121" s="30">
        <v>79000</v>
      </c>
      <c r="G121" s="27">
        <v>16590</v>
      </c>
      <c r="H121" s="27">
        <v>98080</v>
      </c>
      <c r="I121" s="28" t="s">
        <v>19</v>
      </c>
      <c r="J121" s="29"/>
    </row>
    <row r="122" spans="1:10" customFormat="1" ht="15.75" hidden="1" customHeight="1" x14ac:dyDescent="0.25">
      <c r="A122" s="24">
        <v>44956</v>
      </c>
      <c r="B122" s="25" t="s">
        <v>3064</v>
      </c>
      <c r="C122" s="26" t="s">
        <v>2978</v>
      </c>
      <c r="D122" s="26" t="s">
        <v>2979</v>
      </c>
      <c r="E122" s="27">
        <v>2490</v>
      </c>
      <c r="F122" s="30">
        <v>50000</v>
      </c>
      <c r="G122" s="27">
        <v>10500</v>
      </c>
      <c r="H122" s="27">
        <v>62990</v>
      </c>
      <c r="I122" s="28" t="s">
        <v>19</v>
      </c>
      <c r="J122" s="29"/>
    </row>
    <row r="123" spans="1:10" customFormat="1" ht="15.75" hidden="1" customHeight="1" x14ac:dyDescent="0.25">
      <c r="A123" s="24">
        <v>44956</v>
      </c>
      <c r="B123" s="25" t="s">
        <v>3065</v>
      </c>
      <c r="C123" s="26" t="s">
        <v>2978</v>
      </c>
      <c r="D123" s="26" t="s">
        <v>2979</v>
      </c>
      <c r="E123" s="27">
        <v>2490</v>
      </c>
      <c r="F123" s="30">
        <v>79000</v>
      </c>
      <c r="G123" s="27">
        <v>16590</v>
      </c>
      <c r="H123" s="27">
        <v>98080</v>
      </c>
      <c r="I123" s="28" t="s">
        <v>19</v>
      </c>
      <c r="J123" s="29"/>
    </row>
    <row r="124" spans="1:10" customFormat="1" ht="15.75" hidden="1" customHeight="1" x14ac:dyDescent="0.25">
      <c r="A124" s="24">
        <v>44956</v>
      </c>
      <c r="B124" s="25" t="s">
        <v>3066</v>
      </c>
      <c r="C124" s="26" t="s">
        <v>3067</v>
      </c>
      <c r="D124" s="26" t="s">
        <v>3068</v>
      </c>
      <c r="E124" s="27">
        <v>2490</v>
      </c>
      <c r="F124" s="30">
        <v>50000</v>
      </c>
      <c r="G124" s="27">
        <v>10500</v>
      </c>
      <c r="H124" s="27">
        <v>62990</v>
      </c>
      <c r="I124" s="28" t="s">
        <v>19</v>
      </c>
      <c r="J124" s="29"/>
    </row>
    <row r="125" spans="1:10" customFormat="1" ht="15.75" hidden="1" customHeight="1" x14ac:dyDescent="0.25">
      <c r="A125" s="24">
        <v>44956</v>
      </c>
      <c r="B125" s="25" t="s">
        <v>3069</v>
      </c>
      <c r="C125" s="26" t="s">
        <v>2906</v>
      </c>
      <c r="D125" s="26" t="s">
        <v>2907</v>
      </c>
      <c r="E125" s="27">
        <v>2490</v>
      </c>
      <c r="F125" s="30">
        <v>50000</v>
      </c>
      <c r="G125" s="27">
        <v>10500</v>
      </c>
      <c r="H125" s="27">
        <v>62990</v>
      </c>
      <c r="I125" s="28" t="s">
        <v>19</v>
      </c>
      <c r="J125" s="29"/>
    </row>
    <row r="126" spans="1:10" customFormat="1" ht="15.75" hidden="1" customHeight="1" x14ac:dyDescent="0.25">
      <c r="A126" s="24">
        <v>44956</v>
      </c>
      <c r="B126" s="25" t="s">
        <v>3070</v>
      </c>
      <c r="C126" s="26" t="s">
        <v>3041</v>
      </c>
      <c r="D126" s="26" t="s">
        <v>3042</v>
      </c>
      <c r="E126" s="27">
        <v>13000</v>
      </c>
      <c r="F126" s="30">
        <v>188496</v>
      </c>
      <c r="G126" s="27">
        <v>39584.160000000003</v>
      </c>
      <c r="H126" s="27">
        <v>241080.16</v>
      </c>
      <c r="I126" s="28" t="s">
        <v>19</v>
      </c>
      <c r="J126" s="29"/>
    </row>
    <row r="127" spans="1:10" customFormat="1" ht="15.75" hidden="1" customHeight="1" x14ac:dyDescent="0.25">
      <c r="A127" s="24">
        <v>44956</v>
      </c>
      <c r="B127" s="25" t="s">
        <v>3071</v>
      </c>
      <c r="C127" s="26" t="s">
        <v>2933</v>
      </c>
      <c r="D127" s="26" t="s">
        <v>2934</v>
      </c>
      <c r="E127" s="27">
        <v>6500</v>
      </c>
      <c r="F127" s="30">
        <v>130048</v>
      </c>
      <c r="G127" s="27">
        <v>27310.080000000002</v>
      </c>
      <c r="H127" s="27">
        <v>163858.07999999999</v>
      </c>
      <c r="I127" s="28" t="s">
        <v>19</v>
      </c>
      <c r="J127" s="29"/>
    </row>
    <row r="128" spans="1:10" customFormat="1" ht="15.75" hidden="1" customHeight="1" x14ac:dyDescent="0.25">
      <c r="A128" s="24">
        <v>44956</v>
      </c>
      <c r="B128" s="25" t="s">
        <v>3072</v>
      </c>
      <c r="C128" s="26" t="s">
        <v>3073</v>
      </c>
      <c r="D128" s="26" t="s">
        <v>3074</v>
      </c>
      <c r="E128" s="27">
        <v>0</v>
      </c>
      <c r="F128" s="30">
        <v>20700</v>
      </c>
      <c r="G128" s="27">
        <v>4347</v>
      </c>
      <c r="H128" s="27">
        <v>25047</v>
      </c>
      <c r="I128" s="28" t="s">
        <v>19</v>
      </c>
      <c r="J128" s="29"/>
    </row>
    <row r="129" spans="1:10" customFormat="1" ht="15.75" hidden="1" customHeight="1" x14ac:dyDescent="0.25">
      <c r="A129" s="24">
        <v>44956</v>
      </c>
      <c r="B129" s="25" t="s">
        <v>3075</v>
      </c>
      <c r="C129" s="26" t="s">
        <v>2867</v>
      </c>
      <c r="D129" s="26" t="s">
        <v>2868</v>
      </c>
      <c r="E129" s="27">
        <v>5700</v>
      </c>
      <c r="F129" s="30">
        <v>60112.800000000003</v>
      </c>
      <c r="G129" s="27">
        <v>12623.69</v>
      </c>
      <c r="H129" s="27">
        <v>78436.490000000005</v>
      </c>
      <c r="I129" s="28" t="s">
        <v>19</v>
      </c>
      <c r="J129" s="29"/>
    </row>
    <row r="130" spans="1:10" customFormat="1" ht="15.75" hidden="1" customHeight="1" x14ac:dyDescent="0.25">
      <c r="A130" s="24">
        <v>44956</v>
      </c>
      <c r="B130" s="25" t="s">
        <v>3076</v>
      </c>
      <c r="C130" s="26" t="s">
        <v>2883</v>
      </c>
      <c r="D130" s="26" t="s">
        <v>2884</v>
      </c>
      <c r="E130" s="27">
        <v>6500</v>
      </c>
      <c r="F130" s="30">
        <v>51300</v>
      </c>
      <c r="G130" s="27">
        <v>10773</v>
      </c>
      <c r="H130" s="27">
        <v>68573</v>
      </c>
      <c r="I130" s="28" t="s">
        <v>19</v>
      </c>
      <c r="J130" s="29"/>
    </row>
    <row r="131" spans="1:10" customFormat="1" ht="15.75" hidden="1" customHeight="1" x14ac:dyDescent="0.25">
      <c r="A131" s="24">
        <v>44956</v>
      </c>
      <c r="B131" s="25" t="s">
        <v>3077</v>
      </c>
      <c r="C131" s="26" t="s">
        <v>2867</v>
      </c>
      <c r="D131" s="26" t="s">
        <v>2868</v>
      </c>
      <c r="E131" s="27">
        <v>13000</v>
      </c>
      <c r="F131" s="30">
        <v>306352.8</v>
      </c>
      <c r="G131" s="27">
        <v>64334.09</v>
      </c>
      <c r="H131" s="27">
        <v>383686.89</v>
      </c>
      <c r="I131" s="28" t="s">
        <v>19</v>
      </c>
      <c r="J131" s="29"/>
    </row>
    <row r="132" spans="1:10" customFormat="1" ht="15.75" hidden="1" customHeight="1" x14ac:dyDescent="0.25">
      <c r="A132" s="24">
        <v>44956</v>
      </c>
      <c r="B132" s="25" t="s">
        <v>3078</v>
      </c>
      <c r="C132" s="26" t="s">
        <v>3079</v>
      </c>
      <c r="D132" s="26" t="s">
        <v>3080</v>
      </c>
      <c r="E132" s="27">
        <v>0</v>
      </c>
      <c r="F132" s="30">
        <v>32788.800000000003</v>
      </c>
      <c r="G132" s="27">
        <v>6885.65</v>
      </c>
      <c r="H132" s="27">
        <v>39674.449999999997</v>
      </c>
      <c r="I132" s="28" t="s">
        <v>19</v>
      </c>
      <c r="J132" s="29"/>
    </row>
    <row r="133" spans="1:10" customFormat="1" ht="15.75" hidden="1" customHeight="1" x14ac:dyDescent="0.25">
      <c r="A133" s="24">
        <v>44956</v>
      </c>
      <c r="B133" s="25" t="s">
        <v>3081</v>
      </c>
      <c r="C133" s="26" t="s">
        <v>2972</v>
      </c>
      <c r="D133" s="26" t="s">
        <v>2973</v>
      </c>
      <c r="E133" s="27">
        <v>0</v>
      </c>
      <c r="F133" s="30">
        <v>180338.4</v>
      </c>
      <c r="G133" s="27">
        <v>37871.07</v>
      </c>
      <c r="H133" s="27">
        <v>218209.47</v>
      </c>
      <c r="I133" s="28" t="s">
        <v>19</v>
      </c>
      <c r="J133" s="29"/>
    </row>
    <row r="134" spans="1:10" customFormat="1" ht="15.75" hidden="1" customHeight="1" x14ac:dyDescent="0.25">
      <c r="A134" s="24">
        <v>44957</v>
      </c>
      <c r="B134" s="25" t="s">
        <v>3082</v>
      </c>
      <c r="C134" s="26" t="s">
        <v>3083</v>
      </c>
      <c r="D134" s="26" t="s">
        <v>3084</v>
      </c>
      <c r="E134" s="27">
        <v>0</v>
      </c>
      <c r="F134" s="30">
        <v>27324</v>
      </c>
      <c r="G134" s="27">
        <v>5738.04</v>
      </c>
      <c r="H134" s="27">
        <v>33062.04</v>
      </c>
      <c r="I134" s="28" t="s">
        <v>19</v>
      </c>
      <c r="J134" s="29"/>
    </row>
    <row r="135" spans="1:10" customFormat="1" ht="15.75" hidden="1" customHeight="1" x14ac:dyDescent="0.25">
      <c r="A135" s="24">
        <v>44957</v>
      </c>
      <c r="B135" s="25" t="s">
        <v>3085</v>
      </c>
      <c r="C135" s="26" t="s">
        <v>2892</v>
      </c>
      <c r="D135" s="26" t="s">
        <v>2893</v>
      </c>
      <c r="E135" s="27">
        <v>0</v>
      </c>
      <c r="F135" s="30">
        <v>27324</v>
      </c>
      <c r="G135" s="27">
        <v>5738.04</v>
      </c>
      <c r="H135" s="27">
        <v>33062.04</v>
      </c>
      <c r="I135" s="28" t="s">
        <v>19</v>
      </c>
      <c r="J135" s="29"/>
    </row>
    <row r="136" spans="1:10" customFormat="1" ht="15.75" hidden="1" customHeight="1" x14ac:dyDescent="0.25">
      <c r="A136" s="24">
        <v>44957</v>
      </c>
      <c r="B136" s="25" t="s">
        <v>3086</v>
      </c>
      <c r="C136" s="26" t="s">
        <v>2927</v>
      </c>
      <c r="D136" s="26" t="s">
        <v>2928</v>
      </c>
      <c r="E136" s="27">
        <v>6500</v>
      </c>
      <c r="F136" s="30">
        <v>51300</v>
      </c>
      <c r="G136" s="27">
        <v>10773</v>
      </c>
      <c r="H136" s="27">
        <v>68573</v>
      </c>
      <c r="I136" s="28" t="s">
        <v>19</v>
      </c>
      <c r="J136" s="29"/>
    </row>
    <row r="137" spans="1:10" customFormat="1" ht="15.75" hidden="1" customHeight="1" x14ac:dyDescent="0.25">
      <c r="A137" s="24">
        <v>44957</v>
      </c>
      <c r="B137" s="25" t="s">
        <v>3087</v>
      </c>
      <c r="C137" s="26" t="s">
        <v>2930</v>
      </c>
      <c r="D137" s="26" t="s">
        <v>2931</v>
      </c>
      <c r="E137" s="27">
        <v>0</v>
      </c>
      <c r="F137" s="30">
        <v>120225.60000000001</v>
      </c>
      <c r="G137" s="27">
        <v>25247.38</v>
      </c>
      <c r="H137" s="27">
        <v>145472.98000000001</v>
      </c>
      <c r="I137" s="28" t="s">
        <v>19</v>
      </c>
      <c r="J137" s="29"/>
    </row>
    <row r="138" spans="1:10" customFormat="1" ht="15.75" hidden="1" customHeight="1" x14ac:dyDescent="0.25">
      <c r="A138" s="24">
        <v>44957</v>
      </c>
      <c r="B138" s="25" t="s">
        <v>3088</v>
      </c>
      <c r="C138" s="26" t="s">
        <v>2972</v>
      </c>
      <c r="D138" s="26" t="s">
        <v>2973</v>
      </c>
      <c r="E138" s="27">
        <v>0</v>
      </c>
      <c r="F138" s="30">
        <v>120225.60000000001</v>
      </c>
      <c r="G138" s="27">
        <v>25247.38</v>
      </c>
      <c r="H138" s="27">
        <v>145472.98000000001</v>
      </c>
      <c r="I138" s="28" t="s">
        <v>19</v>
      </c>
      <c r="J138" s="29"/>
    </row>
    <row r="139" spans="1:10" customFormat="1" ht="15.75" hidden="1" customHeight="1" x14ac:dyDescent="0.25">
      <c r="A139" s="24">
        <v>44957</v>
      </c>
      <c r="B139" s="25" t="s">
        <v>3089</v>
      </c>
      <c r="C139" s="26" t="s">
        <v>3029</v>
      </c>
      <c r="D139" s="26" t="s">
        <v>3030</v>
      </c>
      <c r="E139" s="27">
        <v>5700</v>
      </c>
      <c r="F139" s="30">
        <v>47124</v>
      </c>
      <c r="G139" s="27">
        <v>9896.0400000000009</v>
      </c>
      <c r="H139" s="27">
        <v>62720.04</v>
      </c>
      <c r="I139" s="28" t="s">
        <v>19</v>
      </c>
      <c r="J139" s="29"/>
    </row>
    <row r="140" spans="1:10" customFormat="1" ht="15.75" hidden="1" customHeight="1" x14ac:dyDescent="0.25">
      <c r="A140" s="24">
        <v>44957</v>
      </c>
      <c r="B140" s="25" t="s">
        <v>3090</v>
      </c>
      <c r="C140" s="26" t="s">
        <v>2978</v>
      </c>
      <c r="D140" s="26" t="s">
        <v>2979</v>
      </c>
      <c r="E140" s="27">
        <v>5700</v>
      </c>
      <c r="F140" s="30">
        <v>47124</v>
      </c>
      <c r="G140" s="27">
        <v>9896.0400000000009</v>
      </c>
      <c r="H140" s="27">
        <v>62720.04</v>
      </c>
      <c r="I140" s="28" t="s">
        <v>19</v>
      </c>
      <c r="J140" s="29"/>
    </row>
    <row r="141" spans="1:10" customFormat="1" ht="15.75" hidden="1" customHeight="1" x14ac:dyDescent="0.25">
      <c r="A141" s="24">
        <v>44957</v>
      </c>
      <c r="B141" s="25" t="s">
        <v>3091</v>
      </c>
      <c r="C141" s="26" t="s">
        <v>3041</v>
      </c>
      <c r="D141" s="26" t="s">
        <v>3042</v>
      </c>
      <c r="E141" s="27">
        <v>5700</v>
      </c>
      <c r="F141" s="30">
        <v>47124</v>
      </c>
      <c r="G141" s="27">
        <v>9896.0400000000009</v>
      </c>
      <c r="H141" s="27">
        <v>62720.04</v>
      </c>
      <c r="I141" s="28" t="s">
        <v>19</v>
      </c>
      <c r="J141" s="29"/>
    </row>
    <row r="142" spans="1:10" customFormat="1" ht="15.75" hidden="1" customHeight="1" x14ac:dyDescent="0.25">
      <c r="A142" s="24">
        <v>44957</v>
      </c>
      <c r="B142" s="25" t="s">
        <v>3092</v>
      </c>
      <c r="C142" s="26" t="s">
        <v>3041</v>
      </c>
      <c r="D142" s="26" t="s">
        <v>3042</v>
      </c>
      <c r="E142" s="27">
        <v>0</v>
      </c>
      <c r="F142" s="30">
        <v>47124</v>
      </c>
      <c r="G142" s="27">
        <v>9896.0400000000009</v>
      </c>
      <c r="H142" s="27">
        <v>57020.04</v>
      </c>
      <c r="I142" s="28" t="s">
        <v>19</v>
      </c>
      <c r="J142" s="29"/>
    </row>
    <row r="143" spans="1:10" customFormat="1" ht="15.75" hidden="1" customHeight="1" x14ac:dyDescent="0.25">
      <c r="A143" s="24">
        <v>44957</v>
      </c>
      <c r="B143" s="25" t="s">
        <v>3093</v>
      </c>
      <c r="C143" s="26" t="s">
        <v>3041</v>
      </c>
      <c r="D143" s="26" t="s">
        <v>3042</v>
      </c>
      <c r="E143" s="27">
        <v>5700</v>
      </c>
      <c r="F143" s="30">
        <v>47124</v>
      </c>
      <c r="G143" s="27">
        <v>9896.0400000000009</v>
      </c>
      <c r="H143" s="27">
        <v>62720.04</v>
      </c>
      <c r="I143" s="28" t="s">
        <v>19</v>
      </c>
      <c r="J143" s="29"/>
    </row>
    <row r="144" spans="1:10" customFormat="1" ht="15.75" hidden="1" customHeight="1" x14ac:dyDescent="0.25">
      <c r="A144" s="24">
        <v>44957</v>
      </c>
      <c r="B144" s="25" t="s">
        <v>3094</v>
      </c>
      <c r="C144" s="26" t="s">
        <v>3007</v>
      </c>
      <c r="D144" s="26" t="s">
        <v>3008</v>
      </c>
      <c r="E144" s="27">
        <v>5700</v>
      </c>
      <c r="F144" s="30">
        <v>47124</v>
      </c>
      <c r="G144" s="27">
        <v>9896.0400000000009</v>
      </c>
      <c r="H144" s="27">
        <v>62720.04</v>
      </c>
      <c r="I144" s="28" t="s">
        <v>19</v>
      </c>
      <c r="J144" s="29"/>
    </row>
    <row r="145" spans="1:10" customFormat="1" ht="15.75" hidden="1" customHeight="1" x14ac:dyDescent="0.25">
      <c r="A145" s="24">
        <v>44957</v>
      </c>
      <c r="B145" s="25" t="s">
        <v>3095</v>
      </c>
      <c r="C145" s="26" t="s">
        <v>3096</v>
      </c>
      <c r="D145" s="26" t="s">
        <v>3097</v>
      </c>
      <c r="E145" s="27">
        <v>0</v>
      </c>
      <c r="F145" s="30">
        <v>32788.800000000003</v>
      </c>
      <c r="G145" s="27">
        <v>6885.65</v>
      </c>
      <c r="H145" s="27">
        <v>39674.449999999997</v>
      </c>
      <c r="I145" s="28" t="s">
        <v>19</v>
      </c>
      <c r="J145" s="29"/>
    </row>
    <row r="146" spans="1:10" customFormat="1" ht="15.75" hidden="1" customHeight="1" x14ac:dyDescent="0.25">
      <c r="A146" s="24">
        <v>44957</v>
      </c>
      <c r="B146" s="25" t="s">
        <v>3098</v>
      </c>
      <c r="C146" s="26" t="s">
        <v>2909</v>
      </c>
      <c r="D146" s="26" t="s">
        <v>2910</v>
      </c>
      <c r="E146" s="27">
        <v>4740</v>
      </c>
      <c r="F146" s="30">
        <v>75500</v>
      </c>
      <c r="G146" s="27">
        <v>15855</v>
      </c>
      <c r="H146" s="27">
        <v>96095</v>
      </c>
      <c r="I146" s="28" t="s">
        <v>19</v>
      </c>
      <c r="J146" s="29"/>
    </row>
    <row r="147" spans="1:10" customFormat="1" ht="15.75" hidden="1" customHeight="1" x14ac:dyDescent="0.25">
      <c r="A147" s="24">
        <v>44957</v>
      </c>
      <c r="B147" s="25" t="s">
        <v>3099</v>
      </c>
      <c r="C147" s="26" t="s">
        <v>2978</v>
      </c>
      <c r="D147" s="26" t="s">
        <v>2979</v>
      </c>
      <c r="E147" s="27">
        <v>2490</v>
      </c>
      <c r="F147" s="30">
        <v>50000</v>
      </c>
      <c r="G147" s="27">
        <v>10500</v>
      </c>
      <c r="H147" s="27">
        <v>62990</v>
      </c>
      <c r="I147" s="28" t="s">
        <v>19</v>
      </c>
      <c r="J147" s="29"/>
    </row>
    <row r="148" spans="1:10" customFormat="1" ht="15.75" hidden="1" customHeight="1" x14ac:dyDescent="0.25">
      <c r="A148" s="24">
        <v>44957</v>
      </c>
      <c r="B148" s="25" t="s">
        <v>3100</v>
      </c>
      <c r="C148" s="26" t="s">
        <v>2978</v>
      </c>
      <c r="D148" s="26" t="s">
        <v>2979</v>
      </c>
      <c r="E148" s="27">
        <v>2490</v>
      </c>
      <c r="F148" s="30">
        <v>50000</v>
      </c>
      <c r="G148" s="27">
        <v>10500</v>
      </c>
      <c r="H148" s="27">
        <v>62990</v>
      </c>
      <c r="I148" s="28" t="s">
        <v>19</v>
      </c>
      <c r="J148" s="29"/>
    </row>
    <row r="149" spans="1:10" customFormat="1" ht="15.75" hidden="1" customHeight="1" x14ac:dyDescent="0.25">
      <c r="A149" s="24">
        <v>44957</v>
      </c>
      <c r="B149" s="25" t="s">
        <v>3101</v>
      </c>
      <c r="C149" s="26" t="s">
        <v>2978</v>
      </c>
      <c r="D149" s="26" t="s">
        <v>2979</v>
      </c>
      <c r="E149" s="27">
        <v>2490</v>
      </c>
      <c r="F149" s="30">
        <v>50000</v>
      </c>
      <c r="G149" s="27">
        <v>10500</v>
      </c>
      <c r="H149" s="27">
        <v>62990</v>
      </c>
      <c r="I149" s="28" t="s">
        <v>19</v>
      </c>
      <c r="J149" s="29"/>
    </row>
    <row r="150" spans="1:10" customFormat="1" ht="15.75" hidden="1" customHeight="1" x14ac:dyDescent="0.25">
      <c r="A150" s="24">
        <v>44957</v>
      </c>
      <c r="B150" s="25" t="s">
        <v>3102</v>
      </c>
      <c r="C150" s="26" t="s">
        <v>3029</v>
      </c>
      <c r="D150" s="26" t="s">
        <v>3030</v>
      </c>
      <c r="E150" s="27">
        <v>2490</v>
      </c>
      <c r="F150" s="30">
        <v>50000</v>
      </c>
      <c r="G150" s="27">
        <v>10500</v>
      </c>
      <c r="H150" s="27">
        <v>62990</v>
      </c>
      <c r="I150" s="28" t="s">
        <v>19</v>
      </c>
      <c r="J150" s="29"/>
    </row>
    <row r="151" spans="1:10" customFormat="1" ht="15.75" hidden="1" customHeight="1" x14ac:dyDescent="0.25">
      <c r="A151" s="24">
        <v>44957</v>
      </c>
      <c r="B151" s="25" t="s">
        <v>3103</v>
      </c>
      <c r="C151" s="26" t="s">
        <v>2906</v>
      </c>
      <c r="D151" s="26" t="s">
        <v>2907</v>
      </c>
      <c r="E151" s="27">
        <v>2490</v>
      </c>
      <c r="F151" s="30">
        <v>50000</v>
      </c>
      <c r="G151" s="27">
        <v>10500</v>
      </c>
      <c r="H151" s="27">
        <v>62990</v>
      </c>
      <c r="I151" s="28" t="s">
        <v>19</v>
      </c>
      <c r="J151" s="29"/>
    </row>
    <row r="152" spans="1:10" customFormat="1" ht="15.75" hidden="1" customHeight="1" x14ac:dyDescent="0.25">
      <c r="A152" s="24">
        <v>44957</v>
      </c>
      <c r="B152" s="25" t="s">
        <v>3104</v>
      </c>
      <c r="C152" s="26" t="s">
        <v>3105</v>
      </c>
      <c r="D152" s="26" t="s">
        <v>3106</v>
      </c>
      <c r="E152" s="27">
        <v>2490</v>
      </c>
      <c r="F152" s="30">
        <v>50000</v>
      </c>
      <c r="G152" s="27">
        <v>10500</v>
      </c>
      <c r="H152" s="27">
        <v>62990</v>
      </c>
      <c r="I152" s="28" t="s">
        <v>19</v>
      </c>
      <c r="J152" s="29"/>
    </row>
    <row r="153" spans="1:10" customFormat="1" ht="15.75" hidden="1" customHeight="1" x14ac:dyDescent="0.25">
      <c r="A153" s="24">
        <v>44957</v>
      </c>
      <c r="B153" s="25" t="s">
        <v>3107</v>
      </c>
      <c r="C153" s="26" t="s">
        <v>3067</v>
      </c>
      <c r="D153" s="26" t="s">
        <v>3068</v>
      </c>
      <c r="E153" s="27">
        <v>2490</v>
      </c>
      <c r="F153" s="30">
        <v>100000</v>
      </c>
      <c r="G153" s="27">
        <v>21000</v>
      </c>
      <c r="H153" s="27">
        <v>123490</v>
      </c>
      <c r="I153" s="28" t="s">
        <v>19</v>
      </c>
      <c r="J153" s="29"/>
    </row>
    <row r="154" spans="1:10" customFormat="1" ht="15.75" hidden="1" customHeight="1" x14ac:dyDescent="0.25">
      <c r="A154" s="24">
        <v>44957</v>
      </c>
      <c r="B154" s="25" t="s">
        <v>3108</v>
      </c>
      <c r="C154" s="26" t="s">
        <v>2906</v>
      </c>
      <c r="D154" s="26" t="s">
        <v>2907</v>
      </c>
      <c r="E154" s="27">
        <v>2490</v>
      </c>
      <c r="F154" s="30">
        <v>50000</v>
      </c>
      <c r="G154" s="27">
        <v>10500</v>
      </c>
      <c r="H154" s="27">
        <v>62990</v>
      </c>
      <c r="I154" s="28" t="s">
        <v>19</v>
      </c>
      <c r="J154" s="29"/>
    </row>
    <row r="155" spans="1:10" customFormat="1" ht="15.75" hidden="1" customHeight="1" x14ac:dyDescent="0.25">
      <c r="A155" s="24">
        <v>44957</v>
      </c>
      <c r="B155" s="25" t="s">
        <v>3109</v>
      </c>
      <c r="C155" s="26" t="s">
        <v>2909</v>
      </c>
      <c r="D155" s="26" t="s">
        <v>2910</v>
      </c>
      <c r="E155" s="27">
        <v>4740</v>
      </c>
      <c r="F155" s="30">
        <v>75500</v>
      </c>
      <c r="G155" s="27">
        <v>15855</v>
      </c>
      <c r="H155" s="27">
        <v>96095</v>
      </c>
      <c r="I155" s="28" t="s">
        <v>19</v>
      </c>
      <c r="J155" s="29"/>
    </row>
    <row r="156" spans="1:10" customFormat="1" ht="15.75" hidden="1" customHeight="1" x14ac:dyDescent="0.25">
      <c r="A156" s="24">
        <v>44957</v>
      </c>
      <c r="B156" s="25" t="s">
        <v>3110</v>
      </c>
      <c r="C156" s="26" t="s">
        <v>2978</v>
      </c>
      <c r="D156" s="26" t="s">
        <v>2979</v>
      </c>
      <c r="E156" s="27">
        <v>2490</v>
      </c>
      <c r="F156" s="30">
        <v>50000</v>
      </c>
      <c r="G156" s="27">
        <v>10500</v>
      </c>
      <c r="H156" s="27">
        <v>62990</v>
      </c>
      <c r="I156" s="28" t="s">
        <v>19</v>
      </c>
      <c r="J156" s="29"/>
    </row>
    <row r="157" spans="1:10" customFormat="1" ht="15.75" hidden="1" customHeight="1" x14ac:dyDescent="0.25">
      <c r="A157" s="24">
        <v>44957</v>
      </c>
      <c r="B157" s="25" t="s">
        <v>3111</v>
      </c>
      <c r="C157" s="26" t="s">
        <v>2906</v>
      </c>
      <c r="D157" s="26" t="s">
        <v>2907</v>
      </c>
      <c r="E157" s="27">
        <v>2490</v>
      </c>
      <c r="F157" s="30">
        <v>50000</v>
      </c>
      <c r="G157" s="27">
        <v>10500</v>
      </c>
      <c r="H157" s="27">
        <v>62990</v>
      </c>
      <c r="I157" s="28" t="s">
        <v>19</v>
      </c>
      <c r="J157" s="29"/>
    </row>
    <row r="158" spans="1:10" customFormat="1" ht="15.75" hidden="1" customHeight="1" x14ac:dyDescent="0.25">
      <c r="A158" s="24">
        <v>44957</v>
      </c>
      <c r="B158" s="25" t="s">
        <v>3112</v>
      </c>
      <c r="C158" s="26" t="s">
        <v>2978</v>
      </c>
      <c r="D158" s="26" t="s">
        <v>2979</v>
      </c>
      <c r="E158" s="27">
        <v>0</v>
      </c>
      <c r="F158" s="30">
        <v>47124</v>
      </c>
      <c r="G158" s="27">
        <v>9896.0400000000009</v>
      </c>
      <c r="H158" s="27">
        <v>57020.04</v>
      </c>
      <c r="I158" s="28" t="s">
        <v>19</v>
      </c>
      <c r="J158" s="29"/>
    </row>
    <row r="159" spans="1:10" customFormat="1" ht="15.75" hidden="1" customHeight="1" x14ac:dyDescent="0.25">
      <c r="A159" s="24">
        <v>44957</v>
      </c>
      <c r="B159" s="25" t="s">
        <v>3113</v>
      </c>
      <c r="C159" s="26" t="s">
        <v>3114</v>
      </c>
      <c r="D159" s="26" t="s">
        <v>3115</v>
      </c>
      <c r="E159" s="27">
        <v>3500</v>
      </c>
      <c r="F159" s="30">
        <v>113600</v>
      </c>
      <c r="G159" s="27">
        <v>23856</v>
      </c>
      <c r="H159" s="27">
        <v>140956</v>
      </c>
      <c r="I159" s="28" t="s">
        <v>19</v>
      </c>
      <c r="J159" s="29"/>
    </row>
    <row r="160" spans="1:10" customFormat="1" ht="15.75" hidden="1" customHeight="1" x14ac:dyDescent="0.25">
      <c r="A160" s="24">
        <v>44957</v>
      </c>
      <c r="B160" s="25" t="s">
        <v>3116</v>
      </c>
      <c r="C160" s="26" t="s">
        <v>3117</v>
      </c>
      <c r="D160" s="26" t="s">
        <v>3118</v>
      </c>
      <c r="E160" s="27">
        <v>4070</v>
      </c>
      <c r="F160" s="30">
        <v>61000</v>
      </c>
      <c r="G160" s="27">
        <v>12810</v>
      </c>
      <c r="H160" s="27">
        <v>77880</v>
      </c>
      <c r="I160" s="28" t="s">
        <v>19</v>
      </c>
      <c r="J160" s="29"/>
    </row>
    <row r="161" spans="1:10" customFormat="1" ht="15.75" hidden="1" customHeight="1" x14ac:dyDescent="0.25">
      <c r="A161" s="24">
        <v>44957</v>
      </c>
      <c r="B161" s="25" t="s">
        <v>3119</v>
      </c>
      <c r="C161" s="26" t="s">
        <v>3033</v>
      </c>
      <c r="D161" s="26" t="s">
        <v>3034</v>
      </c>
      <c r="E161" s="27">
        <v>0</v>
      </c>
      <c r="F161" s="30">
        <v>50000</v>
      </c>
      <c r="G161" s="27">
        <v>10500</v>
      </c>
      <c r="H161" s="27">
        <v>60500</v>
      </c>
      <c r="I161" s="28" t="s">
        <v>19</v>
      </c>
      <c r="J161" s="29"/>
    </row>
    <row r="162" spans="1:10" customFormat="1" ht="15.75" hidden="1" customHeight="1" x14ac:dyDescent="0.25">
      <c r="A162" s="24">
        <v>44957</v>
      </c>
      <c r="B162" s="25" t="s">
        <v>3120</v>
      </c>
      <c r="C162" s="26" t="s">
        <v>2942</v>
      </c>
      <c r="D162" s="26" t="s">
        <v>2943</v>
      </c>
      <c r="E162" s="27">
        <v>0</v>
      </c>
      <c r="F162" s="30">
        <v>50000</v>
      </c>
      <c r="G162" s="27">
        <v>10500</v>
      </c>
      <c r="H162" s="27">
        <v>60500</v>
      </c>
      <c r="I162" s="28" t="s">
        <v>19</v>
      </c>
      <c r="J162" s="29"/>
    </row>
    <row r="163" spans="1:10" customFormat="1" ht="15.75" hidden="1" customHeight="1" x14ac:dyDescent="0.25">
      <c r="A163" s="24">
        <v>44957</v>
      </c>
      <c r="B163" s="25" t="s">
        <v>3121</v>
      </c>
      <c r="C163" s="26" t="s">
        <v>3041</v>
      </c>
      <c r="D163" s="26" t="s">
        <v>3042</v>
      </c>
      <c r="E163" s="27">
        <v>0</v>
      </c>
      <c r="F163" s="30">
        <v>50000</v>
      </c>
      <c r="G163" s="27">
        <v>10500</v>
      </c>
      <c r="H163" s="27">
        <v>60500</v>
      </c>
      <c r="I163" s="28" t="s">
        <v>19</v>
      </c>
      <c r="J163" s="29"/>
    </row>
    <row r="164" spans="1:10" customFormat="1" ht="15.75" hidden="1" customHeight="1" x14ac:dyDescent="0.25">
      <c r="A164" s="24">
        <v>44957</v>
      </c>
      <c r="B164" s="25" t="s">
        <v>3122</v>
      </c>
      <c r="C164" s="26" t="s">
        <v>2942</v>
      </c>
      <c r="D164" s="26" t="s">
        <v>2943</v>
      </c>
      <c r="E164" s="27">
        <v>0</v>
      </c>
      <c r="F164" s="30">
        <v>50000</v>
      </c>
      <c r="G164" s="27">
        <v>10500</v>
      </c>
      <c r="H164" s="27">
        <v>60500</v>
      </c>
      <c r="I164" s="28" t="s">
        <v>19</v>
      </c>
      <c r="J164" s="29"/>
    </row>
    <row r="165" spans="1:10" customFormat="1" ht="15.75" hidden="1" customHeight="1" x14ac:dyDescent="0.25">
      <c r="A165" s="24">
        <v>44957</v>
      </c>
      <c r="B165" s="25" t="s">
        <v>3123</v>
      </c>
      <c r="C165" s="26" t="s">
        <v>3067</v>
      </c>
      <c r="D165" s="26" t="s">
        <v>3068</v>
      </c>
      <c r="E165" s="27">
        <v>0</v>
      </c>
      <c r="F165" s="30">
        <v>50000</v>
      </c>
      <c r="G165" s="27">
        <v>10500</v>
      </c>
      <c r="H165" s="27">
        <v>60500</v>
      </c>
      <c r="I165" s="28" t="s">
        <v>19</v>
      </c>
      <c r="J165" s="29"/>
    </row>
    <row r="166" spans="1:10" customFormat="1" ht="15.75" hidden="1" customHeight="1" x14ac:dyDescent="0.25">
      <c r="A166" s="24">
        <v>44957</v>
      </c>
      <c r="B166" s="25" t="s">
        <v>3124</v>
      </c>
      <c r="C166" s="26" t="s">
        <v>2978</v>
      </c>
      <c r="D166" s="26" t="s">
        <v>2979</v>
      </c>
      <c r="E166" s="27">
        <v>6500</v>
      </c>
      <c r="F166" s="30">
        <v>105197.4</v>
      </c>
      <c r="G166" s="27">
        <v>22091.45</v>
      </c>
      <c r="H166" s="27">
        <v>133788.85</v>
      </c>
      <c r="I166" s="28" t="s">
        <v>19</v>
      </c>
      <c r="J166" s="29"/>
    </row>
    <row r="167" spans="1:10" customFormat="1" ht="15.75" hidden="1" customHeight="1" x14ac:dyDescent="0.25">
      <c r="A167" s="24">
        <v>44957</v>
      </c>
      <c r="B167" s="25" t="s">
        <v>3125</v>
      </c>
      <c r="C167" s="26" t="s">
        <v>2933</v>
      </c>
      <c r="D167" s="26" t="s">
        <v>2934</v>
      </c>
      <c r="E167" s="27">
        <v>5700</v>
      </c>
      <c r="F167" s="30">
        <v>47124</v>
      </c>
      <c r="G167" s="27">
        <v>9896.0400000000009</v>
      </c>
      <c r="H167" s="27">
        <v>62720.04</v>
      </c>
      <c r="I167" s="28" t="s">
        <v>19</v>
      </c>
      <c r="J167" s="29"/>
    </row>
    <row r="168" spans="1:10" customFormat="1" ht="15.75" hidden="1" customHeight="1" x14ac:dyDescent="0.25">
      <c r="A168" s="24">
        <v>44957</v>
      </c>
      <c r="B168" s="25" t="s">
        <v>3126</v>
      </c>
      <c r="C168" s="26" t="s">
        <v>3041</v>
      </c>
      <c r="D168" s="26" t="s">
        <v>3042</v>
      </c>
      <c r="E168" s="27">
        <v>0</v>
      </c>
      <c r="F168" s="30">
        <v>94248</v>
      </c>
      <c r="G168" s="27">
        <v>19792.080000000002</v>
      </c>
      <c r="H168" s="27">
        <v>114040.08</v>
      </c>
      <c r="I168" s="28" t="s">
        <v>19</v>
      </c>
      <c r="J168" s="29"/>
    </row>
    <row r="169" spans="1:10" customFormat="1" ht="15.75" hidden="1" customHeight="1" x14ac:dyDescent="0.25">
      <c r="A169" s="24">
        <v>44957</v>
      </c>
      <c r="B169" s="25" t="s">
        <v>3127</v>
      </c>
      <c r="C169" s="26" t="s">
        <v>2892</v>
      </c>
      <c r="D169" s="26" t="s">
        <v>2893</v>
      </c>
      <c r="E169" s="27">
        <v>0</v>
      </c>
      <c r="F169" s="30">
        <v>32788.800000000003</v>
      </c>
      <c r="G169" s="27">
        <v>6885.65</v>
      </c>
      <c r="H169" s="27">
        <v>39674.449999999997</v>
      </c>
      <c r="I169" s="28" t="s">
        <v>19</v>
      </c>
      <c r="J169" s="29"/>
    </row>
    <row r="170" spans="1:10" customFormat="1" ht="15.75" hidden="1" customHeight="1" x14ac:dyDescent="0.25">
      <c r="A170" s="24">
        <v>44957</v>
      </c>
      <c r="B170" s="25" t="s">
        <v>3128</v>
      </c>
      <c r="C170" s="26" t="s">
        <v>2906</v>
      </c>
      <c r="D170" s="26" t="s">
        <v>2907</v>
      </c>
      <c r="E170" s="27">
        <v>0</v>
      </c>
      <c r="F170" s="30">
        <v>47124</v>
      </c>
      <c r="G170" s="27">
        <v>9896.0400000000009</v>
      </c>
      <c r="H170" s="27">
        <v>57020.04</v>
      </c>
      <c r="I170" s="28" t="s">
        <v>19</v>
      </c>
      <c r="J170" s="29"/>
    </row>
    <row r="171" spans="1:10" customFormat="1" ht="15.75" hidden="1" customHeight="1" x14ac:dyDescent="0.25">
      <c r="A171" s="24">
        <v>44957</v>
      </c>
      <c r="B171" s="25" t="s">
        <v>3129</v>
      </c>
      <c r="C171" s="26" t="s">
        <v>2990</v>
      </c>
      <c r="D171" s="26" t="s">
        <v>2991</v>
      </c>
      <c r="E171" s="27">
        <v>0</v>
      </c>
      <c r="F171" s="30">
        <v>47124</v>
      </c>
      <c r="G171" s="27">
        <v>9896.0400000000009</v>
      </c>
      <c r="H171" s="27">
        <v>57020.04</v>
      </c>
      <c r="I171" s="28" t="s">
        <v>19</v>
      </c>
      <c r="J171" s="29"/>
    </row>
    <row r="172" spans="1:10" customFormat="1" ht="15.75" hidden="1" customHeight="1" x14ac:dyDescent="0.25">
      <c r="A172" s="24">
        <v>44957</v>
      </c>
      <c r="B172" s="25" t="s">
        <v>3130</v>
      </c>
      <c r="C172" s="26" t="s">
        <v>3011</v>
      </c>
      <c r="D172" s="26" t="s">
        <v>3012</v>
      </c>
      <c r="E172" s="27">
        <v>0</v>
      </c>
      <c r="F172" s="30">
        <v>134798.39999999999</v>
      </c>
      <c r="G172" s="27">
        <v>28307.66</v>
      </c>
      <c r="H172" s="27">
        <v>163106.06</v>
      </c>
      <c r="I172" s="28" t="s">
        <v>19</v>
      </c>
      <c r="J172" s="29"/>
    </row>
    <row r="173" spans="1:10" customFormat="1" ht="15.75" hidden="1" customHeight="1" x14ac:dyDescent="0.25">
      <c r="A173" s="137">
        <v>44957</v>
      </c>
      <c r="B173" s="139" t="s">
        <v>3131</v>
      </c>
      <c r="C173" s="139" t="s">
        <v>3132</v>
      </c>
      <c r="D173" s="139" t="s">
        <v>3133</v>
      </c>
      <c r="E173" s="140">
        <v>0</v>
      </c>
      <c r="F173" s="141">
        <v>362083</v>
      </c>
      <c r="G173" s="140">
        <v>76037.429999999993</v>
      </c>
      <c r="H173" s="140">
        <v>438120.43</v>
      </c>
      <c r="I173" s="59" t="s">
        <v>103</v>
      </c>
      <c r="J173" s="29"/>
    </row>
    <row r="174" spans="1:10" ht="15.75" hidden="1" customHeight="1" x14ac:dyDescent="0.25">
      <c r="A174" s="172">
        <v>44957</v>
      </c>
      <c r="B174" s="128" t="s">
        <v>3134</v>
      </c>
      <c r="C174" s="128" t="s">
        <v>2895</v>
      </c>
      <c r="D174" s="128" t="s">
        <v>2896</v>
      </c>
      <c r="E174" s="129">
        <v>0</v>
      </c>
      <c r="F174" s="130">
        <v>709402.08</v>
      </c>
      <c r="G174" s="129">
        <v>148974.44</v>
      </c>
      <c r="H174" s="129">
        <v>858376.52</v>
      </c>
      <c r="I174" s="121" t="s">
        <v>103</v>
      </c>
      <c r="J174" s="29"/>
    </row>
    <row r="175" spans="1:10" customFormat="1" ht="15.75" hidden="1" customHeight="1" x14ac:dyDescent="0.25">
      <c r="A175" s="153">
        <v>44957</v>
      </c>
      <c r="B175" s="154" t="s">
        <v>3135</v>
      </c>
      <c r="C175" s="155" t="s">
        <v>2954</v>
      </c>
      <c r="D175" s="155" t="s">
        <v>2955</v>
      </c>
      <c r="E175" s="156">
        <v>0</v>
      </c>
      <c r="F175" s="157">
        <v>397730</v>
      </c>
      <c r="G175" s="156">
        <v>83523.3</v>
      </c>
      <c r="H175" s="156">
        <v>481253.3</v>
      </c>
      <c r="I175" s="55" t="s">
        <v>103</v>
      </c>
      <c r="J175" s="29"/>
    </row>
    <row r="176" spans="1:10" customFormat="1" ht="15.75" hidden="1" customHeight="1" x14ac:dyDescent="0.25">
      <c r="A176" s="31">
        <v>44957</v>
      </c>
      <c r="B176" s="32" t="s">
        <v>3136</v>
      </c>
      <c r="C176" s="33" t="s">
        <v>2856</v>
      </c>
      <c r="D176" s="33" t="s">
        <v>2857</v>
      </c>
      <c r="E176" s="34">
        <v>0</v>
      </c>
      <c r="F176" s="30">
        <v>2092901.91</v>
      </c>
      <c r="G176" s="34">
        <v>439509.4</v>
      </c>
      <c r="H176" s="34">
        <v>2532411.31</v>
      </c>
      <c r="I176" s="35" t="s">
        <v>103</v>
      </c>
      <c r="J176" s="29"/>
    </row>
    <row r="177" spans="1:10" customFormat="1" ht="15.75" hidden="1" customHeight="1" x14ac:dyDescent="0.25">
      <c r="A177" s="24">
        <v>44957</v>
      </c>
      <c r="B177" s="25" t="s">
        <v>3137</v>
      </c>
      <c r="C177" s="26" t="s">
        <v>2892</v>
      </c>
      <c r="D177" s="26" t="s">
        <v>2893</v>
      </c>
      <c r="E177" s="27">
        <v>-1.86264514923096E-11</v>
      </c>
      <c r="F177" s="30">
        <v>133016</v>
      </c>
      <c r="G177" s="27">
        <v>27933.360000000001</v>
      </c>
      <c r="H177" s="27">
        <v>160949.35999999999</v>
      </c>
      <c r="I177" s="28" t="s">
        <v>103</v>
      </c>
      <c r="J177" s="29"/>
    </row>
    <row r="178" spans="1:10" customFormat="1" ht="15.75" hidden="1" customHeight="1" x14ac:dyDescent="0.25">
      <c r="A178" s="24">
        <v>44957</v>
      </c>
      <c r="B178" s="25" t="s">
        <v>3138</v>
      </c>
      <c r="C178" s="26" t="s">
        <v>3041</v>
      </c>
      <c r="D178" s="26" t="s">
        <v>3042</v>
      </c>
      <c r="E178" s="27">
        <v>0</v>
      </c>
      <c r="F178" s="30">
        <v>403277</v>
      </c>
      <c r="G178" s="27">
        <v>84688.17</v>
      </c>
      <c r="H178" s="27">
        <v>487965.17</v>
      </c>
      <c r="I178" s="28" t="s">
        <v>103</v>
      </c>
      <c r="J178" s="29"/>
    </row>
    <row r="179" spans="1:10" customFormat="1" ht="15.75" hidden="1" customHeight="1" x14ac:dyDescent="0.25">
      <c r="A179" s="24">
        <v>44957</v>
      </c>
      <c r="B179" s="25" t="s">
        <v>3139</v>
      </c>
      <c r="C179" s="26" t="s">
        <v>3140</v>
      </c>
      <c r="D179" s="26" t="s">
        <v>3141</v>
      </c>
      <c r="E179" s="27">
        <v>0</v>
      </c>
      <c r="F179" s="30">
        <v>198077.6</v>
      </c>
      <c r="G179" s="27">
        <v>41596.300000000003</v>
      </c>
      <c r="H179" s="27">
        <v>239673.9</v>
      </c>
      <c r="I179" s="28" t="s">
        <v>19</v>
      </c>
      <c r="J179" s="29"/>
    </row>
    <row r="180" spans="1:10" customFormat="1" ht="15.75" hidden="1" customHeight="1" x14ac:dyDescent="0.25">
      <c r="A180" s="24">
        <v>44957</v>
      </c>
      <c r="B180" s="25" t="s">
        <v>3142</v>
      </c>
      <c r="C180" s="26" t="s">
        <v>3143</v>
      </c>
      <c r="D180" s="26" t="s">
        <v>3144</v>
      </c>
      <c r="E180" s="27">
        <v>0</v>
      </c>
      <c r="F180" s="30">
        <v>21576</v>
      </c>
      <c r="G180" s="27">
        <v>4530.96</v>
      </c>
      <c r="H180" s="27">
        <v>26106.959999999999</v>
      </c>
      <c r="I180" s="28" t="s">
        <v>103</v>
      </c>
      <c r="J180" s="29"/>
    </row>
    <row r="181" spans="1:10" customFormat="1" ht="15.75" hidden="1" customHeight="1" x14ac:dyDescent="0.25">
      <c r="A181" s="24">
        <v>44957</v>
      </c>
      <c r="B181" s="25" t="s">
        <v>3145</v>
      </c>
      <c r="C181" s="26" t="s">
        <v>1140</v>
      </c>
      <c r="D181" s="26" t="s">
        <v>1141</v>
      </c>
      <c r="E181" s="27">
        <v>0</v>
      </c>
      <c r="F181" s="30">
        <v>614486.6</v>
      </c>
      <c r="G181" s="27">
        <v>129042.19</v>
      </c>
      <c r="H181" s="27">
        <v>743528.79</v>
      </c>
      <c r="I181" s="28" t="s">
        <v>103</v>
      </c>
      <c r="J181" s="29"/>
    </row>
    <row r="182" spans="1:10" customFormat="1" ht="15.75" hidden="1" customHeight="1" x14ac:dyDescent="0.25">
      <c r="A182" s="24">
        <v>44957</v>
      </c>
      <c r="B182" s="25" t="s">
        <v>3146</v>
      </c>
      <c r="C182" s="26" t="s">
        <v>3147</v>
      </c>
      <c r="D182" s="26" t="s">
        <v>3148</v>
      </c>
      <c r="E182" s="27">
        <v>0</v>
      </c>
      <c r="F182" s="30">
        <v>197374</v>
      </c>
      <c r="G182" s="27">
        <v>41448.54</v>
      </c>
      <c r="H182" s="27">
        <v>238822.54</v>
      </c>
      <c r="I182" s="28" t="s">
        <v>103</v>
      </c>
      <c r="J182" s="29"/>
    </row>
    <row r="183" spans="1:10" customFormat="1" ht="15.75" hidden="1" customHeight="1" x14ac:dyDescent="0.25">
      <c r="A183" s="24">
        <v>44957</v>
      </c>
      <c r="B183" s="25" t="s">
        <v>3149</v>
      </c>
      <c r="C183" s="26" t="s">
        <v>3150</v>
      </c>
      <c r="D183" s="26" t="s">
        <v>3151</v>
      </c>
      <c r="E183" s="27">
        <v>0</v>
      </c>
      <c r="F183" s="30">
        <v>150043</v>
      </c>
      <c r="G183" s="27">
        <v>31509.03</v>
      </c>
      <c r="H183" s="27">
        <v>181552.03</v>
      </c>
      <c r="I183" s="28" t="s">
        <v>103</v>
      </c>
      <c r="J183" s="29"/>
    </row>
    <row r="184" spans="1:10" customFormat="1" ht="15.75" hidden="1" customHeight="1" x14ac:dyDescent="0.25">
      <c r="A184" s="24">
        <v>44957</v>
      </c>
      <c r="B184" s="25" t="s">
        <v>3152</v>
      </c>
      <c r="C184" s="26" t="s">
        <v>3007</v>
      </c>
      <c r="D184" s="26" t="s">
        <v>3008</v>
      </c>
      <c r="E184" s="27">
        <v>-7.4505805969238296E-11</v>
      </c>
      <c r="F184" s="30">
        <v>401671.55</v>
      </c>
      <c r="G184" s="27">
        <v>84351.03</v>
      </c>
      <c r="H184" s="27">
        <v>486022.5799999999</v>
      </c>
      <c r="I184" s="28" t="s">
        <v>103</v>
      </c>
      <c r="J184" s="29"/>
    </row>
    <row r="185" spans="1:10" customFormat="1" ht="15.75" hidden="1" customHeight="1" x14ac:dyDescent="0.25">
      <c r="A185" s="24">
        <v>44957</v>
      </c>
      <c r="B185" s="25" t="s">
        <v>3153</v>
      </c>
      <c r="C185" s="26" t="s">
        <v>3117</v>
      </c>
      <c r="D185" s="26" t="s">
        <v>3118</v>
      </c>
      <c r="E185" s="27">
        <v>0</v>
      </c>
      <c r="F185" s="30">
        <v>74502</v>
      </c>
      <c r="G185" s="27">
        <v>15645.42</v>
      </c>
      <c r="H185" s="27">
        <v>90147.42</v>
      </c>
      <c r="I185" s="28" t="s">
        <v>103</v>
      </c>
      <c r="J185" s="29"/>
    </row>
    <row r="186" spans="1:10" customFormat="1" ht="15.75" hidden="1" customHeight="1" x14ac:dyDescent="0.25">
      <c r="A186" s="24">
        <v>44957</v>
      </c>
      <c r="B186" s="25" t="s">
        <v>3154</v>
      </c>
      <c r="C186" s="26" t="s">
        <v>2909</v>
      </c>
      <c r="D186" s="26" t="s">
        <v>2910</v>
      </c>
      <c r="E186" s="27">
        <v>4450</v>
      </c>
      <c r="F186" s="30">
        <v>67399.199999999997</v>
      </c>
      <c r="G186" s="27">
        <v>14153.83</v>
      </c>
      <c r="H186" s="27">
        <v>86003.03</v>
      </c>
      <c r="I186" s="28" t="s">
        <v>19</v>
      </c>
      <c r="J186" s="29"/>
    </row>
    <row r="187" spans="1:10" customFormat="1" ht="15.75" hidden="1" customHeight="1" x14ac:dyDescent="0.25">
      <c r="A187" s="24">
        <v>44957</v>
      </c>
      <c r="B187" s="25" t="s">
        <v>3155</v>
      </c>
      <c r="C187" s="26" t="s">
        <v>1140</v>
      </c>
      <c r="D187" s="26" t="s">
        <v>1141</v>
      </c>
      <c r="E187" s="27">
        <v>0</v>
      </c>
      <c r="F187" s="30">
        <v>120225.60000000001</v>
      </c>
      <c r="G187" s="27">
        <v>25247.38</v>
      </c>
      <c r="H187" s="27">
        <v>145472.98000000001</v>
      </c>
      <c r="I187" s="28" t="s">
        <v>19</v>
      </c>
      <c r="J187" s="29"/>
    </row>
    <row r="188" spans="1:10" customFormat="1" ht="15.75" hidden="1" customHeight="1" x14ac:dyDescent="0.25">
      <c r="A188" s="24">
        <v>44957</v>
      </c>
      <c r="B188" s="25" t="s">
        <v>3156</v>
      </c>
      <c r="C188" s="26" t="s">
        <v>2909</v>
      </c>
      <c r="D188" s="26" t="s">
        <v>2910</v>
      </c>
      <c r="E188" s="27">
        <v>0</v>
      </c>
      <c r="F188" s="30">
        <v>134798.39999999999</v>
      </c>
      <c r="G188" s="27">
        <v>28307.66</v>
      </c>
      <c r="H188" s="27">
        <v>163106.06</v>
      </c>
      <c r="I188" s="28" t="s">
        <v>19</v>
      </c>
      <c r="J188" s="29"/>
    </row>
    <row r="189" spans="1:10" customFormat="1" ht="15.75" hidden="1" customHeight="1" x14ac:dyDescent="0.25">
      <c r="A189" s="24">
        <v>44957</v>
      </c>
      <c r="B189" s="25" t="s">
        <v>3157</v>
      </c>
      <c r="C189" s="26" t="s">
        <v>2892</v>
      </c>
      <c r="D189" s="26" t="s">
        <v>2893</v>
      </c>
      <c r="E189" s="27">
        <v>0</v>
      </c>
      <c r="F189" s="30">
        <v>65577.600000000006</v>
      </c>
      <c r="G189" s="27">
        <v>13771.3</v>
      </c>
      <c r="H189" s="27">
        <v>79348.899999999994</v>
      </c>
      <c r="I189" s="28" t="s">
        <v>19</v>
      </c>
      <c r="J189" s="29"/>
    </row>
    <row r="190" spans="1:10" customFormat="1" ht="15.75" hidden="1" customHeight="1" x14ac:dyDescent="0.25">
      <c r="A190" s="24">
        <v>44957</v>
      </c>
      <c r="B190" s="25" t="s">
        <v>3158</v>
      </c>
      <c r="C190" s="26" t="s">
        <v>2997</v>
      </c>
      <c r="D190" s="26" t="s">
        <v>2998</v>
      </c>
      <c r="E190" s="27">
        <v>0</v>
      </c>
      <c r="F190" s="30">
        <v>42807.6</v>
      </c>
      <c r="G190" s="27">
        <v>8989.6</v>
      </c>
      <c r="H190" s="27">
        <v>51797.2</v>
      </c>
      <c r="I190" s="28" t="s">
        <v>19</v>
      </c>
      <c r="J190" s="29"/>
    </row>
    <row r="191" spans="1:10" customFormat="1" ht="15.75" hidden="1" customHeight="1" x14ac:dyDescent="0.25">
      <c r="A191" s="24">
        <v>44957</v>
      </c>
      <c r="B191" s="26" t="s">
        <v>3159</v>
      </c>
      <c r="C191" s="26" t="s">
        <v>3160</v>
      </c>
      <c r="D191" s="26" t="s">
        <v>3161</v>
      </c>
      <c r="E191" s="27">
        <v>0</v>
      </c>
      <c r="F191" s="30">
        <v>1274000</v>
      </c>
      <c r="G191" s="27">
        <v>267540</v>
      </c>
      <c r="H191" s="27">
        <v>1541540</v>
      </c>
      <c r="I191" s="28" t="s">
        <v>19</v>
      </c>
      <c r="J191" s="29"/>
    </row>
    <row r="192" spans="1:10" customFormat="1" ht="15.75" hidden="1" customHeight="1" x14ac:dyDescent="0.25">
      <c r="A192" s="24">
        <v>44957</v>
      </c>
      <c r="B192" s="25" t="s">
        <v>3162</v>
      </c>
      <c r="C192" s="26" t="s">
        <v>2978</v>
      </c>
      <c r="D192" s="26" t="s">
        <v>2979</v>
      </c>
      <c r="E192" s="27">
        <v>2490</v>
      </c>
      <c r="F192" s="30">
        <v>42200</v>
      </c>
      <c r="G192" s="27">
        <v>8862</v>
      </c>
      <c r="H192" s="27">
        <v>53552</v>
      </c>
      <c r="I192" s="28" t="s">
        <v>19</v>
      </c>
      <c r="J192" s="29"/>
    </row>
    <row r="193" spans="1:10" customFormat="1" ht="15.75" hidden="1" customHeight="1" x14ac:dyDescent="0.25">
      <c r="A193" s="24">
        <v>44957</v>
      </c>
      <c r="B193" s="25" t="s">
        <v>3163</v>
      </c>
      <c r="C193" s="26" t="s">
        <v>2978</v>
      </c>
      <c r="D193" s="26" t="s">
        <v>2979</v>
      </c>
      <c r="E193" s="27">
        <v>2490</v>
      </c>
      <c r="F193" s="30">
        <v>99000</v>
      </c>
      <c r="G193" s="27">
        <v>20790</v>
      </c>
      <c r="H193" s="27">
        <v>122280</v>
      </c>
      <c r="I193" s="28" t="s">
        <v>19</v>
      </c>
      <c r="J193" s="29"/>
    </row>
    <row r="194" spans="1:10" customFormat="1" ht="15.75" hidden="1" customHeight="1" x14ac:dyDescent="0.25">
      <c r="A194" s="24">
        <v>44957</v>
      </c>
      <c r="B194" s="25" t="s">
        <v>3164</v>
      </c>
      <c r="C194" s="26" t="s">
        <v>3165</v>
      </c>
      <c r="D194" s="26" t="s">
        <v>3166</v>
      </c>
      <c r="E194" s="27">
        <v>8140.00000000002</v>
      </c>
      <c r="F194" s="30">
        <v>154788.79999999999</v>
      </c>
      <c r="G194" s="27">
        <v>32505.65</v>
      </c>
      <c r="H194" s="27">
        <v>195434.45</v>
      </c>
      <c r="I194" s="28" t="s">
        <v>19</v>
      </c>
      <c r="J194" s="29"/>
    </row>
    <row r="195" spans="1:10" customFormat="1" ht="15.75" hidden="1" customHeight="1" x14ac:dyDescent="0.25">
      <c r="A195" s="24">
        <v>44957</v>
      </c>
      <c r="B195" s="25" t="s">
        <v>3167</v>
      </c>
      <c r="C195" s="26" t="s">
        <v>2909</v>
      </c>
      <c r="D195" s="26" t="s">
        <v>2910</v>
      </c>
      <c r="E195" s="27">
        <v>0</v>
      </c>
      <c r="F195" s="30">
        <v>134798.39999999999</v>
      </c>
      <c r="G195" s="27">
        <v>28307.66</v>
      </c>
      <c r="H195" s="27">
        <v>163106.06</v>
      </c>
      <c r="I195" s="28" t="s">
        <v>19</v>
      </c>
      <c r="J195" s="29"/>
    </row>
    <row r="196" spans="1:10" customFormat="1" ht="15.75" hidden="1" customHeight="1" x14ac:dyDescent="0.25">
      <c r="A196" s="24">
        <v>44957</v>
      </c>
      <c r="B196" s="25" t="s">
        <v>3168</v>
      </c>
      <c r="C196" s="26" t="s">
        <v>2942</v>
      </c>
      <c r="D196" s="26" t="s">
        <v>2943</v>
      </c>
      <c r="E196" s="27">
        <v>0</v>
      </c>
      <c r="F196" s="30">
        <v>50000</v>
      </c>
      <c r="G196" s="27">
        <v>10500</v>
      </c>
      <c r="H196" s="27">
        <v>60500</v>
      </c>
      <c r="I196" s="28" t="s">
        <v>19</v>
      </c>
      <c r="J196" s="29"/>
    </row>
    <row r="197" spans="1:10" customFormat="1" ht="15.75" hidden="1" customHeight="1" x14ac:dyDescent="0.25">
      <c r="A197" s="24">
        <v>44957</v>
      </c>
      <c r="B197" s="25" t="s">
        <v>3169</v>
      </c>
      <c r="C197" s="26" t="s">
        <v>2978</v>
      </c>
      <c r="D197" s="26" t="s">
        <v>2979</v>
      </c>
      <c r="E197" s="27">
        <v>3440</v>
      </c>
      <c r="F197" s="30">
        <v>35700</v>
      </c>
      <c r="G197" s="27">
        <v>7497</v>
      </c>
      <c r="H197" s="27">
        <v>46637</v>
      </c>
      <c r="I197" s="28" t="s">
        <v>19</v>
      </c>
      <c r="J197" s="29"/>
    </row>
    <row r="198" spans="1:10" customFormat="1" ht="15.75" hidden="1" customHeight="1" x14ac:dyDescent="0.25">
      <c r="A198" s="24">
        <v>44957</v>
      </c>
      <c r="B198" s="25" t="s">
        <v>3170</v>
      </c>
      <c r="C198" s="26" t="s">
        <v>2978</v>
      </c>
      <c r="D198" s="26" t="s">
        <v>2979</v>
      </c>
      <c r="E198" s="27">
        <v>2490</v>
      </c>
      <c r="F198" s="30">
        <v>99000</v>
      </c>
      <c r="G198" s="27">
        <v>20790</v>
      </c>
      <c r="H198" s="27">
        <v>122280</v>
      </c>
      <c r="I198" s="28" t="s">
        <v>19</v>
      </c>
      <c r="J198" s="29"/>
    </row>
    <row r="199" spans="1:10" customFormat="1" ht="15.75" hidden="1" customHeight="1" x14ac:dyDescent="0.25">
      <c r="A199" s="24">
        <v>44957</v>
      </c>
      <c r="B199" s="25" t="s">
        <v>3171</v>
      </c>
      <c r="C199" s="26" t="s">
        <v>2978</v>
      </c>
      <c r="D199" s="26" t="s">
        <v>2979</v>
      </c>
      <c r="E199" s="27">
        <v>2490</v>
      </c>
      <c r="F199" s="30">
        <v>99000</v>
      </c>
      <c r="G199" s="27">
        <v>20790</v>
      </c>
      <c r="H199" s="27">
        <v>122280</v>
      </c>
      <c r="I199" s="28" t="s">
        <v>19</v>
      </c>
      <c r="J199" s="29"/>
    </row>
    <row r="200" spans="1:10" customFormat="1" ht="15.75" hidden="1" customHeight="1" x14ac:dyDescent="0.25">
      <c r="A200" s="24">
        <v>44957</v>
      </c>
      <c r="B200" s="25" t="s">
        <v>3172</v>
      </c>
      <c r="C200" s="26" t="s">
        <v>3173</v>
      </c>
      <c r="D200" s="26" t="s">
        <v>3174</v>
      </c>
      <c r="E200" s="27">
        <v>0</v>
      </c>
      <c r="F200" s="30">
        <v>42807.6</v>
      </c>
      <c r="G200" s="27">
        <v>8989.6</v>
      </c>
      <c r="H200" s="27">
        <v>51797.2</v>
      </c>
      <c r="I200" s="28" t="s">
        <v>19</v>
      </c>
      <c r="J200" s="29"/>
    </row>
    <row r="201" spans="1:10" customFormat="1" ht="15.75" hidden="1" customHeight="1" x14ac:dyDescent="0.25">
      <c r="A201" s="24">
        <v>44957</v>
      </c>
      <c r="B201" s="25" t="s">
        <v>3175</v>
      </c>
      <c r="C201" s="26" t="s">
        <v>3176</v>
      </c>
      <c r="D201" s="26" t="s">
        <v>3177</v>
      </c>
      <c r="E201" s="27">
        <v>0</v>
      </c>
      <c r="F201" s="30">
        <v>42807.6</v>
      </c>
      <c r="G201" s="27">
        <v>8989.6</v>
      </c>
      <c r="H201" s="27">
        <v>51797.2</v>
      </c>
      <c r="I201" s="28" t="s">
        <v>19</v>
      </c>
      <c r="J201" s="29"/>
    </row>
    <row r="202" spans="1:10" customFormat="1" ht="15.75" hidden="1" customHeight="1" x14ac:dyDescent="0.25">
      <c r="A202" s="24">
        <v>44957</v>
      </c>
      <c r="B202" s="25" t="s">
        <v>3178</v>
      </c>
      <c r="C202" s="26" t="s">
        <v>3143</v>
      </c>
      <c r="D202" s="26" t="s">
        <v>3144</v>
      </c>
      <c r="E202" s="27">
        <v>0</v>
      </c>
      <c r="F202" s="30">
        <v>47124</v>
      </c>
      <c r="G202" s="27">
        <v>9896.0400000000009</v>
      </c>
      <c r="H202" s="27">
        <v>57020.04</v>
      </c>
      <c r="I202" s="28" t="s">
        <v>19</v>
      </c>
      <c r="J202" s="29"/>
    </row>
    <row r="203" spans="1:10" customFormat="1" ht="15.75" hidden="1" customHeight="1" x14ac:dyDescent="0.25">
      <c r="A203" s="24">
        <v>44957</v>
      </c>
      <c r="B203" s="25" t="s">
        <v>3179</v>
      </c>
      <c r="C203" s="26" t="s">
        <v>3143</v>
      </c>
      <c r="D203" s="26" t="s">
        <v>3144</v>
      </c>
      <c r="E203" s="27">
        <v>1580</v>
      </c>
      <c r="F203" s="30">
        <v>69500</v>
      </c>
      <c r="G203" s="27">
        <v>14595</v>
      </c>
      <c r="H203" s="27">
        <v>85675</v>
      </c>
      <c r="I203" s="28" t="s">
        <v>19</v>
      </c>
      <c r="J203" s="29"/>
    </row>
    <row r="204" spans="1:10" customFormat="1" ht="15.75" hidden="1" customHeight="1" x14ac:dyDescent="0.25">
      <c r="A204" s="24">
        <v>44957</v>
      </c>
      <c r="B204" s="25" t="s">
        <v>3180</v>
      </c>
      <c r="C204" s="26" t="s">
        <v>2978</v>
      </c>
      <c r="D204" s="26" t="s">
        <v>2979</v>
      </c>
      <c r="E204" s="27">
        <v>2490</v>
      </c>
      <c r="F204" s="30">
        <v>99000</v>
      </c>
      <c r="G204" s="27">
        <v>20790</v>
      </c>
      <c r="H204" s="27">
        <v>122280</v>
      </c>
      <c r="I204" s="28" t="s">
        <v>19</v>
      </c>
      <c r="J204" s="29"/>
    </row>
    <row r="205" spans="1:10" customFormat="1" ht="15.75" hidden="1" customHeight="1" x14ac:dyDescent="0.25">
      <c r="A205" s="24">
        <v>44957</v>
      </c>
      <c r="B205" s="25" t="s">
        <v>3181</v>
      </c>
      <c r="C205" s="26" t="s">
        <v>2883</v>
      </c>
      <c r="D205" s="26" t="s">
        <v>2884</v>
      </c>
      <c r="E205" s="27">
        <v>8140</v>
      </c>
      <c r="F205" s="30">
        <v>180140</v>
      </c>
      <c r="G205" s="27">
        <v>37829.4</v>
      </c>
      <c r="H205" s="27">
        <v>226109.4</v>
      </c>
      <c r="I205" s="28" t="s">
        <v>19</v>
      </c>
      <c r="J205" s="29"/>
    </row>
    <row r="206" spans="1:10" customFormat="1" ht="15.75" hidden="1" customHeight="1" x14ac:dyDescent="0.25">
      <c r="A206" s="24">
        <v>44957</v>
      </c>
      <c r="B206" s="25" t="s">
        <v>3182</v>
      </c>
      <c r="C206" s="26" t="s">
        <v>2978</v>
      </c>
      <c r="D206" s="26" t="s">
        <v>2979</v>
      </c>
      <c r="E206" s="27">
        <v>2490</v>
      </c>
      <c r="F206" s="30">
        <v>50000</v>
      </c>
      <c r="G206" s="27">
        <v>10500</v>
      </c>
      <c r="H206" s="27">
        <v>62990</v>
      </c>
      <c r="I206" s="28" t="s">
        <v>19</v>
      </c>
      <c r="J206" s="29"/>
    </row>
    <row r="207" spans="1:10" customFormat="1" ht="15.75" hidden="1" customHeight="1" x14ac:dyDescent="0.25">
      <c r="A207" s="24">
        <v>44957</v>
      </c>
      <c r="B207" s="25" t="s">
        <v>3183</v>
      </c>
      <c r="C207" s="26" t="s">
        <v>2942</v>
      </c>
      <c r="D207" s="26" t="s">
        <v>2943</v>
      </c>
      <c r="E207" s="27">
        <v>0</v>
      </c>
      <c r="F207" s="30">
        <v>70686</v>
      </c>
      <c r="G207" s="27">
        <v>14844.06</v>
      </c>
      <c r="H207" s="27">
        <v>85530.06</v>
      </c>
      <c r="I207" s="28" t="s">
        <v>19</v>
      </c>
      <c r="J207" s="29"/>
    </row>
    <row r="208" spans="1:10" customFormat="1" ht="15.75" hidden="1" customHeight="1" x14ac:dyDescent="0.25">
      <c r="A208" s="24">
        <v>44957</v>
      </c>
      <c r="B208" s="25" t="s">
        <v>3184</v>
      </c>
      <c r="C208" s="26" t="s">
        <v>2972</v>
      </c>
      <c r="D208" s="26" t="s">
        <v>2973</v>
      </c>
      <c r="E208" s="27">
        <v>0</v>
      </c>
      <c r="F208" s="30">
        <v>70686</v>
      </c>
      <c r="G208" s="27">
        <v>14844.06</v>
      </c>
      <c r="H208" s="27">
        <v>85530.06</v>
      </c>
      <c r="I208" s="28" t="s">
        <v>19</v>
      </c>
      <c r="J208" s="29"/>
    </row>
    <row r="209" spans="1:10" customFormat="1" ht="15.75" hidden="1" customHeight="1" x14ac:dyDescent="0.25">
      <c r="A209" s="24">
        <v>44957</v>
      </c>
      <c r="B209" s="25" t="s">
        <v>3185</v>
      </c>
      <c r="C209" s="26" t="s">
        <v>3067</v>
      </c>
      <c r="D209" s="26" t="s">
        <v>3068</v>
      </c>
      <c r="E209" s="27">
        <v>0</v>
      </c>
      <c r="F209" s="30">
        <v>70686</v>
      </c>
      <c r="G209" s="27">
        <v>14844.06</v>
      </c>
      <c r="H209" s="27">
        <v>85530.06</v>
      </c>
      <c r="I209" s="28" t="s">
        <v>19</v>
      </c>
      <c r="J209" s="29"/>
    </row>
    <row r="210" spans="1:10" customFormat="1" ht="15.75" hidden="1" customHeight="1" x14ac:dyDescent="0.25">
      <c r="A210" s="24">
        <v>44957</v>
      </c>
      <c r="B210" s="25" t="s">
        <v>3186</v>
      </c>
      <c r="C210" s="26" t="s">
        <v>3187</v>
      </c>
      <c r="D210" s="26" t="s">
        <v>3188</v>
      </c>
      <c r="E210" s="27">
        <v>0</v>
      </c>
      <c r="F210" s="30">
        <v>70686</v>
      </c>
      <c r="G210" s="27">
        <v>14844.06</v>
      </c>
      <c r="H210" s="27">
        <v>85530.06</v>
      </c>
      <c r="I210" s="28" t="s">
        <v>19</v>
      </c>
      <c r="J210" s="29"/>
    </row>
    <row r="211" spans="1:10" customFormat="1" ht="15.75" hidden="1" customHeight="1" x14ac:dyDescent="0.25">
      <c r="A211" s="24">
        <v>44957</v>
      </c>
      <c r="B211" s="36" t="s">
        <v>3189</v>
      </c>
      <c r="C211" s="26" t="s">
        <v>2933</v>
      </c>
      <c r="D211" s="26" t="s">
        <v>2934</v>
      </c>
      <c r="E211" s="27">
        <v>6500</v>
      </c>
      <c r="F211" s="30">
        <v>120540</v>
      </c>
      <c r="G211" s="27">
        <v>25313.4</v>
      </c>
      <c r="H211" s="27">
        <v>152353.4</v>
      </c>
      <c r="I211" s="28" t="s">
        <v>19</v>
      </c>
      <c r="J211" s="29"/>
    </row>
    <row r="212" spans="1:10" customFormat="1" ht="15.75" hidden="1" customHeight="1" x14ac:dyDescent="0.25">
      <c r="A212" s="24">
        <v>44957</v>
      </c>
      <c r="B212" s="25" t="s">
        <v>3190</v>
      </c>
      <c r="C212" s="26" t="s">
        <v>2886</v>
      </c>
      <c r="D212" s="26" t="s">
        <v>2887</v>
      </c>
      <c r="E212" s="27">
        <v>0</v>
      </c>
      <c r="F212" s="30">
        <v>60112.800000000003</v>
      </c>
      <c r="G212" s="27">
        <v>12623.69</v>
      </c>
      <c r="H212" s="27">
        <v>72736.490000000005</v>
      </c>
      <c r="I212" s="28" t="s">
        <v>19</v>
      </c>
      <c r="J212" s="29"/>
    </row>
    <row r="213" spans="1:10" customFormat="1" ht="15.75" hidden="1" customHeight="1" x14ac:dyDescent="0.25">
      <c r="A213" s="137">
        <v>44957</v>
      </c>
      <c r="B213" s="138" t="s">
        <v>3191</v>
      </c>
      <c r="C213" s="139" t="s">
        <v>3007</v>
      </c>
      <c r="D213" s="139" t="s">
        <v>3008</v>
      </c>
      <c r="E213" s="140">
        <v>17100</v>
      </c>
      <c r="F213" s="141">
        <v>141372</v>
      </c>
      <c r="G213" s="140">
        <v>29688.12</v>
      </c>
      <c r="H213" s="140">
        <v>188160.12</v>
      </c>
      <c r="I213" s="59" t="s">
        <v>19</v>
      </c>
      <c r="J213" s="29"/>
    </row>
    <row r="214" spans="1:10" ht="15.75" hidden="1" customHeight="1" x14ac:dyDescent="0.25">
      <c r="A214" s="172">
        <v>44957</v>
      </c>
      <c r="B214" s="128" t="s">
        <v>3192</v>
      </c>
      <c r="C214" s="128" t="s">
        <v>2895</v>
      </c>
      <c r="D214" s="128" t="s">
        <v>2896</v>
      </c>
      <c r="E214" s="129">
        <v>0</v>
      </c>
      <c r="F214" s="130">
        <v>70686</v>
      </c>
      <c r="G214" s="129">
        <v>14844.06</v>
      </c>
      <c r="H214" s="129">
        <v>85530.06</v>
      </c>
      <c r="I214" s="121" t="s">
        <v>19</v>
      </c>
      <c r="J214" s="29"/>
    </row>
    <row r="215" spans="1:10" customFormat="1" ht="15.75" hidden="1" customHeight="1" x14ac:dyDescent="0.25">
      <c r="A215" s="153">
        <v>44957</v>
      </c>
      <c r="B215" s="154" t="s">
        <v>3193</v>
      </c>
      <c r="C215" s="155" t="s">
        <v>2933</v>
      </c>
      <c r="D215" s="155" t="s">
        <v>2934</v>
      </c>
      <c r="E215" s="156">
        <v>0</v>
      </c>
      <c r="F215" s="157">
        <v>47124</v>
      </c>
      <c r="G215" s="156">
        <v>9896.0400000000009</v>
      </c>
      <c r="H215" s="156">
        <v>57020.04</v>
      </c>
      <c r="I215" s="55" t="s">
        <v>19</v>
      </c>
      <c r="J215" s="29"/>
    </row>
    <row r="216" spans="1:10" customFormat="1" ht="15.75" hidden="1" customHeight="1" x14ac:dyDescent="0.25">
      <c r="A216" s="24">
        <v>44957</v>
      </c>
      <c r="B216" s="25" t="s">
        <v>3194</v>
      </c>
      <c r="C216" s="26" t="s">
        <v>2903</v>
      </c>
      <c r="D216" s="26" t="s">
        <v>2904</v>
      </c>
      <c r="E216" s="27">
        <v>2490</v>
      </c>
      <c r="F216" s="30">
        <v>50000</v>
      </c>
      <c r="G216" s="27">
        <v>10500</v>
      </c>
      <c r="H216" s="27">
        <v>62990</v>
      </c>
      <c r="I216" s="28" t="s">
        <v>19</v>
      </c>
      <c r="J216" s="29"/>
    </row>
    <row r="217" spans="1:10" customFormat="1" ht="15.75" hidden="1" customHeight="1" x14ac:dyDescent="0.25">
      <c r="A217" s="24">
        <v>44957</v>
      </c>
      <c r="B217" s="25" t="s">
        <v>3195</v>
      </c>
      <c r="C217" s="26" t="s">
        <v>3041</v>
      </c>
      <c r="D217" s="26" t="s">
        <v>3042</v>
      </c>
      <c r="E217" s="27">
        <v>0</v>
      </c>
      <c r="F217" s="30">
        <v>120225.60000000001</v>
      </c>
      <c r="G217" s="27">
        <v>25247.38</v>
      </c>
      <c r="H217" s="27">
        <v>145472.98000000001</v>
      </c>
      <c r="I217" s="28" t="s">
        <v>19</v>
      </c>
      <c r="J217" s="29"/>
    </row>
    <row r="218" spans="1:10" customFormat="1" ht="15.75" hidden="1" customHeight="1" x14ac:dyDescent="0.25">
      <c r="A218" s="24">
        <v>44957</v>
      </c>
      <c r="B218" s="25" t="s">
        <v>3196</v>
      </c>
      <c r="C218" s="26" t="s">
        <v>3041</v>
      </c>
      <c r="D218" s="26" t="s">
        <v>3042</v>
      </c>
      <c r="E218" s="27">
        <v>0</v>
      </c>
      <c r="F218" s="30">
        <v>120225.60000000001</v>
      </c>
      <c r="G218" s="27">
        <v>25247.38</v>
      </c>
      <c r="H218" s="27">
        <v>145472.98000000001</v>
      </c>
      <c r="I218" s="28" t="s">
        <v>19</v>
      </c>
      <c r="J218" s="29"/>
    </row>
    <row r="219" spans="1:10" customFormat="1" ht="15.75" hidden="1" customHeight="1" x14ac:dyDescent="0.25">
      <c r="A219" s="24">
        <v>44957</v>
      </c>
      <c r="B219" s="25" t="s">
        <v>3197</v>
      </c>
      <c r="C219" s="26" t="s">
        <v>2921</v>
      </c>
      <c r="D219" s="26" t="s">
        <v>2922</v>
      </c>
      <c r="E219" s="27">
        <v>6500</v>
      </c>
      <c r="F219" s="30">
        <v>180338.4</v>
      </c>
      <c r="G219" s="27">
        <v>37871.07</v>
      </c>
      <c r="H219" s="27">
        <v>224709.47</v>
      </c>
      <c r="I219" s="28" t="s">
        <v>19</v>
      </c>
      <c r="J219" s="29"/>
    </row>
    <row r="220" spans="1:10" customFormat="1" ht="15.75" hidden="1" customHeight="1" x14ac:dyDescent="0.25">
      <c r="A220" s="24">
        <v>44957</v>
      </c>
      <c r="B220" s="25" t="s">
        <v>3198</v>
      </c>
      <c r="C220" s="26" t="s">
        <v>2927</v>
      </c>
      <c r="D220" s="26" t="s">
        <v>2928</v>
      </c>
      <c r="E220" s="27">
        <v>0</v>
      </c>
      <c r="F220" s="30">
        <v>32788.800000000003</v>
      </c>
      <c r="G220" s="27">
        <v>6885.65</v>
      </c>
      <c r="H220" s="27">
        <v>39674.449999999997</v>
      </c>
      <c r="I220" s="28" t="s">
        <v>19</v>
      </c>
      <c r="J220" s="29"/>
    </row>
    <row r="221" spans="1:10" customFormat="1" ht="15.75" hidden="1" customHeight="1" x14ac:dyDescent="0.25">
      <c r="A221" s="24">
        <v>44957</v>
      </c>
      <c r="B221" s="25" t="s">
        <v>3199</v>
      </c>
      <c r="C221" s="26" t="s">
        <v>3200</v>
      </c>
      <c r="D221" s="26" t="s">
        <v>3201</v>
      </c>
      <c r="E221" s="27">
        <v>0</v>
      </c>
      <c r="F221" s="30">
        <v>42807.6</v>
      </c>
      <c r="G221" s="27">
        <v>8989.6</v>
      </c>
      <c r="H221" s="27">
        <v>51797.2</v>
      </c>
      <c r="I221" s="28" t="s">
        <v>19</v>
      </c>
      <c r="J221" s="29"/>
    </row>
    <row r="222" spans="1:10" customFormat="1" ht="15.75" hidden="1" customHeight="1" x14ac:dyDescent="0.25">
      <c r="A222" s="24">
        <v>44957</v>
      </c>
      <c r="B222" s="25" t="s">
        <v>3202</v>
      </c>
      <c r="C222" s="26" t="s">
        <v>2873</v>
      </c>
      <c r="D222" s="26" t="s">
        <v>2874</v>
      </c>
      <c r="E222" s="27">
        <v>0</v>
      </c>
      <c r="F222" s="30">
        <v>70686</v>
      </c>
      <c r="G222" s="27">
        <v>14844.06</v>
      </c>
      <c r="H222" s="27">
        <v>85530.06</v>
      </c>
      <c r="I222" s="28" t="s">
        <v>19</v>
      </c>
      <c r="J222" s="29"/>
    </row>
    <row r="223" spans="1:10" customFormat="1" ht="15.75" hidden="1" customHeight="1" x14ac:dyDescent="0.25">
      <c r="A223" s="24">
        <v>44957</v>
      </c>
      <c r="B223" s="25" t="s">
        <v>3203</v>
      </c>
      <c r="C223" s="26" t="s">
        <v>2906</v>
      </c>
      <c r="D223" s="26" t="s">
        <v>2907</v>
      </c>
      <c r="E223" s="27">
        <v>0</v>
      </c>
      <c r="F223" s="30">
        <v>50000</v>
      </c>
      <c r="G223" s="27">
        <v>10500</v>
      </c>
      <c r="H223" s="27">
        <v>60500</v>
      </c>
      <c r="I223" s="28" t="s">
        <v>19</v>
      </c>
      <c r="J223" s="29"/>
    </row>
    <row r="224" spans="1:10" customFormat="1" ht="15.75" hidden="1" customHeight="1" x14ac:dyDescent="0.25">
      <c r="A224" s="24">
        <v>44957</v>
      </c>
      <c r="B224" s="25" t="s">
        <v>3204</v>
      </c>
      <c r="C224" s="26" t="s">
        <v>2906</v>
      </c>
      <c r="D224" s="26" t="s">
        <v>2907</v>
      </c>
      <c r="E224" s="27">
        <v>0</v>
      </c>
      <c r="F224" s="30">
        <v>50000</v>
      </c>
      <c r="G224" s="27">
        <v>10500</v>
      </c>
      <c r="H224" s="27">
        <v>60500</v>
      </c>
      <c r="I224" s="28" t="s">
        <v>19</v>
      </c>
      <c r="J224" s="29"/>
    </row>
    <row r="225" spans="1:10" customFormat="1" ht="15.75" hidden="1" customHeight="1" x14ac:dyDescent="0.25">
      <c r="A225" s="24">
        <v>44957</v>
      </c>
      <c r="B225" s="25" t="s">
        <v>3205</v>
      </c>
      <c r="C225" s="26" t="s">
        <v>2851</v>
      </c>
      <c r="D225" s="26" t="s">
        <v>2852</v>
      </c>
      <c r="E225" s="27">
        <v>0</v>
      </c>
      <c r="F225" s="30">
        <v>50000</v>
      </c>
      <c r="G225" s="27">
        <v>10500</v>
      </c>
      <c r="H225" s="27">
        <v>60500</v>
      </c>
      <c r="I225" s="28" t="s">
        <v>19</v>
      </c>
      <c r="J225" s="29"/>
    </row>
    <row r="226" spans="1:10" customFormat="1" ht="15.75" hidden="1" customHeight="1" x14ac:dyDescent="0.25">
      <c r="A226" s="24">
        <v>44957</v>
      </c>
      <c r="B226" s="25" t="s">
        <v>3206</v>
      </c>
      <c r="C226" s="26" t="s">
        <v>2906</v>
      </c>
      <c r="D226" s="26" t="s">
        <v>2907</v>
      </c>
      <c r="E226" s="27">
        <v>0</v>
      </c>
      <c r="F226" s="30">
        <v>50000</v>
      </c>
      <c r="G226" s="27">
        <v>10500</v>
      </c>
      <c r="H226" s="27">
        <v>60500</v>
      </c>
      <c r="I226" s="28" t="s">
        <v>19</v>
      </c>
      <c r="J226" s="29"/>
    </row>
    <row r="227" spans="1:10" customFormat="1" ht="15.75" hidden="1" customHeight="1" x14ac:dyDescent="0.25">
      <c r="A227" s="24">
        <v>44957</v>
      </c>
      <c r="B227" s="25" t="s">
        <v>3207</v>
      </c>
      <c r="C227" s="26" t="s">
        <v>2906</v>
      </c>
      <c r="D227" s="26" t="s">
        <v>2907</v>
      </c>
      <c r="E227" s="27">
        <v>0</v>
      </c>
      <c r="F227" s="30">
        <v>50000</v>
      </c>
      <c r="G227" s="27">
        <v>10500</v>
      </c>
      <c r="H227" s="27">
        <v>60500</v>
      </c>
      <c r="I227" s="28" t="s">
        <v>19</v>
      </c>
      <c r="J227" s="29"/>
    </row>
    <row r="228" spans="1:10" customFormat="1" ht="15.75" hidden="1" customHeight="1" x14ac:dyDescent="0.25">
      <c r="A228" s="24">
        <v>44953</v>
      </c>
      <c r="B228" s="25" t="s">
        <v>3208</v>
      </c>
      <c r="C228" s="26" t="s">
        <v>2851</v>
      </c>
      <c r="D228" s="26" t="s">
        <v>2852</v>
      </c>
      <c r="E228" s="27">
        <v>10180</v>
      </c>
      <c r="F228" s="30">
        <v>272000</v>
      </c>
      <c r="G228" s="27">
        <v>57120</v>
      </c>
      <c r="H228" s="27">
        <v>339300</v>
      </c>
      <c r="I228" s="28" t="s">
        <v>19</v>
      </c>
      <c r="J228" s="29"/>
    </row>
    <row r="229" spans="1:10" customFormat="1" ht="15.75" hidden="1" customHeight="1" x14ac:dyDescent="0.25">
      <c r="A229" s="37">
        <v>44965</v>
      </c>
      <c r="B229" s="36" t="s">
        <v>3209</v>
      </c>
      <c r="C229" s="28" t="s">
        <v>2851</v>
      </c>
      <c r="D229" s="28" t="s">
        <v>2852</v>
      </c>
      <c r="E229" s="38">
        <v>0</v>
      </c>
      <c r="F229" s="42">
        <v>51915.6</v>
      </c>
      <c r="G229" s="38">
        <v>10902.28</v>
      </c>
      <c r="H229" s="38">
        <v>62817.88</v>
      </c>
      <c r="I229" s="28" t="s">
        <v>19</v>
      </c>
      <c r="J229" s="29"/>
    </row>
    <row r="230" spans="1:10" customFormat="1" ht="15.75" hidden="1" customHeight="1" x14ac:dyDescent="0.25">
      <c r="A230" s="37">
        <v>44965</v>
      </c>
      <c r="B230" s="36" t="s">
        <v>3210</v>
      </c>
      <c r="C230" s="28" t="s">
        <v>2851</v>
      </c>
      <c r="D230" s="28" t="s">
        <v>2852</v>
      </c>
      <c r="E230" s="38">
        <v>4690</v>
      </c>
      <c r="F230" s="42">
        <v>85800</v>
      </c>
      <c r="G230" s="38">
        <v>18018</v>
      </c>
      <c r="H230" s="38">
        <v>108508</v>
      </c>
      <c r="I230" s="28" t="s">
        <v>19</v>
      </c>
      <c r="J230" s="29"/>
    </row>
    <row r="231" spans="1:10" customFormat="1" ht="15.75" hidden="1" customHeight="1" x14ac:dyDescent="0.25">
      <c r="A231" s="37">
        <v>44965</v>
      </c>
      <c r="B231" s="36" t="s">
        <v>3211</v>
      </c>
      <c r="C231" s="28" t="s">
        <v>2903</v>
      </c>
      <c r="D231" s="28" t="s">
        <v>2904</v>
      </c>
      <c r="E231" s="38">
        <v>10500</v>
      </c>
      <c r="F231" s="42">
        <v>171600</v>
      </c>
      <c r="G231" s="38">
        <v>36036</v>
      </c>
      <c r="H231" s="38">
        <v>218136</v>
      </c>
      <c r="I231" s="28" t="s">
        <v>19</v>
      </c>
      <c r="J231" s="29"/>
    </row>
    <row r="232" spans="1:10" customFormat="1" ht="15.75" hidden="1" customHeight="1" x14ac:dyDescent="0.25">
      <c r="A232" s="37">
        <v>44965</v>
      </c>
      <c r="B232" s="36" t="s">
        <v>3212</v>
      </c>
      <c r="C232" s="28" t="s">
        <v>2903</v>
      </c>
      <c r="D232" s="28" t="s">
        <v>2904</v>
      </c>
      <c r="E232" s="38">
        <v>5250</v>
      </c>
      <c r="F232" s="42">
        <v>135800</v>
      </c>
      <c r="G232" s="38">
        <v>28518</v>
      </c>
      <c r="H232" s="38">
        <v>169568</v>
      </c>
      <c r="I232" s="28" t="s">
        <v>19</v>
      </c>
      <c r="J232" s="29"/>
    </row>
    <row r="233" spans="1:10" customFormat="1" ht="15.75" hidden="1" customHeight="1" x14ac:dyDescent="0.25">
      <c r="A233" s="37">
        <v>44966</v>
      </c>
      <c r="B233" s="36" t="s">
        <v>3213</v>
      </c>
      <c r="C233" s="28" t="s">
        <v>2906</v>
      </c>
      <c r="D233" s="28" t="s">
        <v>2907</v>
      </c>
      <c r="E233" s="38">
        <v>13000</v>
      </c>
      <c r="F233" s="42">
        <v>464000</v>
      </c>
      <c r="G233" s="38">
        <v>97440</v>
      </c>
      <c r="H233" s="38">
        <v>574440</v>
      </c>
      <c r="I233" s="28" t="s">
        <v>19</v>
      </c>
      <c r="J233" s="29"/>
    </row>
    <row r="234" spans="1:10" customFormat="1" ht="15.75" hidden="1" customHeight="1" x14ac:dyDescent="0.25">
      <c r="A234" s="37">
        <v>44966</v>
      </c>
      <c r="B234" s="36" t="s">
        <v>3214</v>
      </c>
      <c r="C234" s="28" t="s">
        <v>2906</v>
      </c>
      <c r="D234" s="28" t="s">
        <v>2907</v>
      </c>
      <c r="E234" s="38">
        <v>6500</v>
      </c>
      <c r="F234" s="42">
        <v>232000</v>
      </c>
      <c r="G234" s="38">
        <v>48720</v>
      </c>
      <c r="H234" s="38">
        <v>287220</v>
      </c>
      <c r="I234" s="28" t="s">
        <v>19</v>
      </c>
      <c r="J234" s="29"/>
    </row>
    <row r="235" spans="1:10" customFormat="1" ht="15.75" hidden="1" customHeight="1" x14ac:dyDescent="0.25">
      <c r="A235" s="37">
        <v>44966</v>
      </c>
      <c r="B235" s="36" t="s">
        <v>3215</v>
      </c>
      <c r="C235" s="28" t="s">
        <v>2909</v>
      </c>
      <c r="D235" s="28" t="s">
        <v>2910</v>
      </c>
      <c r="E235" s="38">
        <v>6650</v>
      </c>
      <c r="F235" s="42">
        <v>171600</v>
      </c>
      <c r="G235" s="38">
        <v>36036</v>
      </c>
      <c r="H235" s="38">
        <v>214286</v>
      </c>
      <c r="I235" s="28" t="s">
        <v>19</v>
      </c>
      <c r="J235" s="29"/>
    </row>
    <row r="236" spans="1:10" customFormat="1" ht="15.75" hidden="1" customHeight="1" x14ac:dyDescent="0.25">
      <c r="A236" s="37">
        <v>44967</v>
      </c>
      <c r="B236" s="36" t="s">
        <v>3216</v>
      </c>
      <c r="C236" s="28" t="s">
        <v>2903</v>
      </c>
      <c r="D236" s="28" t="s">
        <v>2904</v>
      </c>
      <c r="E236" s="38">
        <v>10500</v>
      </c>
      <c r="F236" s="42">
        <v>343200</v>
      </c>
      <c r="G236" s="38">
        <v>72072</v>
      </c>
      <c r="H236" s="38">
        <v>425772</v>
      </c>
      <c r="I236" s="28" t="s">
        <v>19</v>
      </c>
      <c r="J236" s="29"/>
    </row>
    <row r="237" spans="1:10" customFormat="1" ht="15.75" hidden="1" customHeight="1" x14ac:dyDescent="0.25">
      <c r="A237" s="37">
        <v>44967</v>
      </c>
      <c r="B237" s="36" t="s">
        <v>3217</v>
      </c>
      <c r="C237" s="28" t="s">
        <v>2903</v>
      </c>
      <c r="D237" s="28" t="s">
        <v>2904</v>
      </c>
      <c r="E237" s="38">
        <v>15750</v>
      </c>
      <c r="F237" s="42">
        <v>429000</v>
      </c>
      <c r="G237" s="38">
        <v>90090</v>
      </c>
      <c r="H237" s="38">
        <v>534840</v>
      </c>
      <c r="I237" s="28" t="s">
        <v>19</v>
      </c>
      <c r="J237" s="29"/>
    </row>
    <row r="238" spans="1:10" customFormat="1" ht="15.75" hidden="1" customHeight="1" x14ac:dyDescent="0.25">
      <c r="A238" s="37">
        <v>44967</v>
      </c>
      <c r="B238" s="36" t="s">
        <v>3218</v>
      </c>
      <c r="C238" s="28" t="s">
        <v>2903</v>
      </c>
      <c r="D238" s="28" t="s">
        <v>2904</v>
      </c>
      <c r="E238" s="38">
        <v>10500</v>
      </c>
      <c r="F238" s="42">
        <v>257400</v>
      </c>
      <c r="G238" s="38">
        <v>54054</v>
      </c>
      <c r="H238" s="38">
        <v>321954</v>
      </c>
      <c r="I238" s="28" t="s">
        <v>19</v>
      </c>
      <c r="J238" s="29"/>
    </row>
    <row r="239" spans="1:10" customFormat="1" ht="15.75" hidden="1" customHeight="1" x14ac:dyDescent="0.25">
      <c r="A239" s="37">
        <v>44970</v>
      </c>
      <c r="B239" s="36" t="s">
        <v>3219</v>
      </c>
      <c r="C239" s="28" t="s">
        <v>2903</v>
      </c>
      <c r="D239" s="28" t="s">
        <v>2904</v>
      </c>
      <c r="E239" s="38">
        <v>10500</v>
      </c>
      <c r="F239" s="42">
        <v>171600</v>
      </c>
      <c r="G239" s="38">
        <v>36036</v>
      </c>
      <c r="H239" s="38">
        <v>218136</v>
      </c>
      <c r="I239" s="28" t="s">
        <v>19</v>
      </c>
      <c r="J239" s="29"/>
    </row>
    <row r="240" spans="1:10" customFormat="1" ht="15.75" hidden="1" customHeight="1" x14ac:dyDescent="0.25">
      <c r="A240" s="37">
        <v>44970</v>
      </c>
      <c r="B240" s="36" t="s">
        <v>3220</v>
      </c>
      <c r="C240" s="28" t="s">
        <v>2892</v>
      </c>
      <c r="D240" s="28" t="s">
        <v>2893</v>
      </c>
      <c r="E240" s="38">
        <v>0</v>
      </c>
      <c r="F240" s="42">
        <v>32788.800000000003</v>
      </c>
      <c r="G240" s="38">
        <v>6885.65</v>
      </c>
      <c r="H240" s="38">
        <v>39674.449999999997</v>
      </c>
      <c r="I240" s="28" t="s">
        <v>19</v>
      </c>
      <c r="J240" s="29"/>
    </row>
    <row r="241" spans="1:10" customFormat="1" ht="15.75" hidden="1" customHeight="1" x14ac:dyDescent="0.25">
      <c r="A241" s="37">
        <v>44971</v>
      </c>
      <c r="B241" s="36" t="s">
        <v>3221</v>
      </c>
      <c r="C241" s="28" t="s">
        <v>2978</v>
      </c>
      <c r="D241" s="28" t="s">
        <v>2979</v>
      </c>
      <c r="E241" s="38">
        <v>0</v>
      </c>
      <c r="F241" s="42">
        <v>47124</v>
      </c>
      <c r="G241" s="38">
        <v>9896.0400000000009</v>
      </c>
      <c r="H241" s="38">
        <v>57020.04</v>
      </c>
      <c r="I241" s="28" t="s">
        <v>19</v>
      </c>
      <c r="J241" s="29"/>
    </row>
    <row r="242" spans="1:10" customFormat="1" ht="15.75" hidden="1" customHeight="1" x14ac:dyDescent="0.25">
      <c r="A242" s="37">
        <v>44971</v>
      </c>
      <c r="B242" s="36" t="s">
        <v>3222</v>
      </c>
      <c r="C242" s="28" t="s">
        <v>2978</v>
      </c>
      <c r="D242" s="28" t="s">
        <v>2979</v>
      </c>
      <c r="E242" s="38">
        <v>5700</v>
      </c>
      <c r="F242" s="42">
        <v>47124</v>
      </c>
      <c r="G242" s="38">
        <v>9896.0400000000009</v>
      </c>
      <c r="H242" s="38">
        <v>62720.04</v>
      </c>
      <c r="I242" s="28" t="s">
        <v>19</v>
      </c>
      <c r="J242" s="29"/>
    </row>
    <row r="243" spans="1:10" customFormat="1" ht="15.75" hidden="1" customHeight="1" x14ac:dyDescent="0.25">
      <c r="A243" s="37">
        <v>44971</v>
      </c>
      <c r="B243" s="36" t="s">
        <v>3223</v>
      </c>
      <c r="C243" s="28" t="s">
        <v>2978</v>
      </c>
      <c r="D243" s="28" t="s">
        <v>2979</v>
      </c>
      <c r="E243" s="38">
        <v>5700</v>
      </c>
      <c r="F243" s="42">
        <v>47124</v>
      </c>
      <c r="G243" s="38">
        <v>9896.0400000000009</v>
      </c>
      <c r="H243" s="38">
        <v>62720.04</v>
      </c>
      <c r="I243" s="28" t="s">
        <v>19</v>
      </c>
      <c r="J243" s="29"/>
    </row>
    <row r="244" spans="1:10" customFormat="1" ht="15.75" hidden="1" customHeight="1" x14ac:dyDescent="0.25">
      <c r="A244" s="37">
        <v>44971</v>
      </c>
      <c r="B244" s="36" t="s">
        <v>3224</v>
      </c>
      <c r="C244" s="28" t="s">
        <v>2978</v>
      </c>
      <c r="D244" s="28" t="s">
        <v>2979</v>
      </c>
      <c r="E244" s="38">
        <v>0</v>
      </c>
      <c r="F244" s="42">
        <v>47124</v>
      </c>
      <c r="G244" s="38">
        <v>9896.0400000000009</v>
      </c>
      <c r="H244" s="38">
        <v>57020.04</v>
      </c>
      <c r="I244" s="28" t="s">
        <v>19</v>
      </c>
      <c r="J244" s="29"/>
    </row>
    <row r="245" spans="1:10" customFormat="1" ht="15.75" hidden="1" customHeight="1" x14ac:dyDescent="0.25">
      <c r="A245" s="37">
        <v>44971</v>
      </c>
      <c r="B245" s="36" t="s">
        <v>3225</v>
      </c>
      <c r="C245" s="28" t="s">
        <v>2978</v>
      </c>
      <c r="D245" s="28" t="s">
        <v>2979</v>
      </c>
      <c r="E245" s="38">
        <v>0</v>
      </c>
      <c r="F245" s="42">
        <v>47124</v>
      </c>
      <c r="G245" s="38">
        <v>9896.0400000000009</v>
      </c>
      <c r="H245" s="38">
        <v>57020.04</v>
      </c>
      <c r="I245" s="28" t="s">
        <v>19</v>
      </c>
      <c r="J245" s="29"/>
    </row>
    <row r="246" spans="1:10" customFormat="1" ht="15.75" hidden="1" customHeight="1" x14ac:dyDescent="0.25">
      <c r="A246" s="37">
        <v>44971</v>
      </c>
      <c r="B246" s="36" t="s">
        <v>3226</v>
      </c>
      <c r="C246" s="28" t="s">
        <v>2978</v>
      </c>
      <c r="D246" s="28" t="s">
        <v>2979</v>
      </c>
      <c r="E246" s="38">
        <v>5700</v>
      </c>
      <c r="F246" s="42">
        <v>47124</v>
      </c>
      <c r="G246" s="38">
        <v>9896.0400000000009</v>
      </c>
      <c r="H246" s="38">
        <v>62720.04</v>
      </c>
      <c r="I246" s="28" t="s">
        <v>19</v>
      </c>
      <c r="J246" s="29"/>
    </row>
    <row r="247" spans="1:10" customFormat="1" ht="15.75" hidden="1" customHeight="1" x14ac:dyDescent="0.25">
      <c r="A247" s="37">
        <v>44971</v>
      </c>
      <c r="B247" s="36" t="s">
        <v>3227</v>
      </c>
      <c r="C247" s="28" t="s">
        <v>2978</v>
      </c>
      <c r="D247" s="28" t="s">
        <v>2979</v>
      </c>
      <c r="E247" s="38">
        <v>5700</v>
      </c>
      <c r="F247" s="42">
        <v>47124</v>
      </c>
      <c r="G247" s="38">
        <v>9896.0400000000009</v>
      </c>
      <c r="H247" s="38">
        <v>62720.04</v>
      </c>
      <c r="I247" s="28" t="s">
        <v>19</v>
      </c>
      <c r="J247" s="29"/>
    </row>
    <row r="248" spans="1:10" customFormat="1" ht="15.75" hidden="1" customHeight="1" x14ac:dyDescent="0.25">
      <c r="A248" s="57">
        <v>44971</v>
      </c>
      <c r="B248" s="58" t="s">
        <v>3228</v>
      </c>
      <c r="C248" s="59" t="s">
        <v>2978</v>
      </c>
      <c r="D248" s="59" t="s">
        <v>2979</v>
      </c>
      <c r="E248" s="60">
        <v>5700</v>
      </c>
      <c r="F248" s="142">
        <v>47124</v>
      </c>
      <c r="G248" s="60">
        <v>9896.0400000000009</v>
      </c>
      <c r="H248" s="60">
        <v>62720.04</v>
      </c>
      <c r="I248" s="59" t="s">
        <v>19</v>
      </c>
      <c r="J248" s="29"/>
    </row>
    <row r="249" spans="1:10" ht="15.75" hidden="1" customHeight="1" x14ac:dyDescent="0.25">
      <c r="A249" s="127">
        <v>44971</v>
      </c>
      <c r="B249" s="121" t="s">
        <v>3229</v>
      </c>
      <c r="C249" s="121" t="s">
        <v>2895</v>
      </c>
      <c r="D249" s="121" t="s">
        <v>2896</v>
      </c>
      <c r="E249" s="173">
        <v>5700</v>
      </c>
      <c r="F249" s="174">
        <v>47124</v>
      </c>
      <c r="G249" s="173">
        <v>9896.0400000000009</v>
      </c>
      <c r="H249" s="173">
        <v>62720.04</v>
      </c>
      <c r="I249" s="121" t="s">
        <v>19</v>
      </c>
      <c r="J249" s="29"/>
    </row>
    <row r="250" spans="1:10" customFormat="1" ht="15.75" hidden="1" customHeight="1" x14ac:dyDescent="0.25">
      <c r="A250" s="126">
        <v>44971</v>
      </c>
      <c r="B250" s="158" t="s">
        <v>3230</v>
      </c>
      <c r="C250" s="55" t="s">
        <v>2906</v>
      </c>
      <c r="D250" s="55" t="s">
        <v>2907</v>
      </c>
      <c r="E250" s="159">
        <v>5700</v>
      </c>
      <c r="F250" s="160">
        <v>47124</v>
      </c>
      <c r="G250" s="159">
        <v>9896.0400000000009</v>
      </c>
      <c r="H250" s="159">
        <v>62720.04</v>
      </c>
      <c r="I250" s="55" t="s">
        <v>19</v>
      </c>
      <c r="J250" s="29"/>
    </row>
    <row r="251" spans="1:10" customFormat="1" ht="15.75" hidden="1" customHeight="1" x14ac:dyDescent="0.25">
      <c r="A251" s="37">
        <v>44971</v>
      </c>
      <c r="B251" s="36" t="s">
        <v>3231</v>
      </c>
      <c r="C251" s="28" t="s">
        <v>3041</v>
      </c>
      <c r="D251" s="28" t="s">
        <v>3042</v>
      </c>
      <c r="E251" s="38">
        <v>5700</v>
      </c>
      <c r="F251" s="42">
        <v>47124</v>
      </c>
      <c r="G251" s="38">
        <v>9896.0400000000009</v>
      </c>
      <c r="H251" s="38">
        <v>62720.04</v>
      </c>
      <c r="I251" s="28" t="s">
        <v>19</v>
      </c>
      <c r="J251" s="29"/>
    </row>
    <row r="252" spans="1:10" customFormat="1" ht="15.75" hidden="1" customHeight="1" x14ac:dyDescent="0.25">
      <c r="A252" s="37">
        <v>44971</v>
      </c>
      <c r="B252" s="36" t="s">
        <v>3232</v>
      </c>
      <c r="C252" s="28" t="s">
        <v>2978</v>
      </c>
      <c r="D252" s="28" t="s">
        <v>2979</v>
      </c>
      <c r="E252" s="38">
        <v>0</v>
      </c>
      <c r="F252" s="42">
        <v>47124</v>
      </c>
      <c r="G252" s="38">
        <v>9896.0400000000009</v>
      </c>
      <c r="H252" s="38">
        <v>57020.04</v>
      </c>
      <c r="I252" s="28" t="s">
        <v>19</v>
      </c>
      <c r="J252" s="29"/>
    </row>
    <row r="253" spans="1:10" customFormat="1" ht="15.75" hidden="1" customHeight="1" x14ac:dyDescent="0.25">
      <c r="A253" s="37">
        <v>44971</v>
      </c>
      <c r="B253" s="36" t="s">
        <v>3233</v>
      </c>
      <c r="C253" s="28" t="s">
        <v>2978</v>
      </c>
      <c r="D253" s="28" t="s">
        <v>2979</v>
      </c>
      <c r="E253" s="38">
        <v>0</v>
      </c>
      <c r="F253" s="42">
        <v>47124</v>
      </c>
      <c r="G253" s="38">
        <v>9896.0400000000009</v>
      </c>
      <c r="H253" s="38">
        <v>57020.04</v>
      </c>
      <c r="I253" s="28" t="s">
        <v>19</v>
      </c>
      <c r="J253" s="29"/>
    </row>
    <row r="254" spans="1:10" customFormat="1" ht="15.75" hidden="1" customHeight="1" x14ac:dyDescent="0.25">
      <c r="A254" s="37">
        <v>44972</v>
      </c>
      <c r="B254" s="36" t="s">
        <v>3234</v>
      </c>
      <c r="C254" s="28" t="s">
        <v>3235</v>
      </c>
      <c r="D254" s="28" t="s">
        <v>3236</v>
      </c>
      <c r="E254" s="38">
        <v>9400</v>
      </c>
      <c r="F254" s="42">
        <v>116160</v>
      </c>
      <c r="G254" s="38">
        <v>24393.599999999999</v>
      </c>
      <c r="H254" s="38">
        <v>149953.60000000001</v>
      </c>
      <c r="I254" s="28" t="s">
        <v>19</v>
      </c>
      <c r="J254" s="29"/>
    </row>
    <row r="255" spans="1:10" customFormat="1" ht="15.75" hidden="1" customHeight="1" x14ac:dyDescent="0.25">
      <c r="A255" s="37">
        <v>44972</v>
      </c>
      <c r="B255" s="36" t="s">
        <v>3237</v>
      </c>
      <c r="C255" s="28" t="s">
        <v>3238</v>
      </c>
      <c r="D255" s="28" t="s">
        <v>3239</v>
      </c>
      <c r="E255" s="38">
        <v>0</v>
      </c>
      <c r="F255" s="42">
        <v>47124</v>
      </c>
      <c r="G255" s="38">
        <v>9896.0400000000009</v>
      </c>
      <c r="H255" s="38">
        <v>57020.04</v>
      </c>
      <c r="I255" s="28" t="s">
        <v>19</v>
      </c>
      <c r="J255" s="29"/>
    </row>
    <row r="256" spans="1:10" customFormat="1" ht="15.75" hidden="1" customHeight="1" x14ac:dyDescent="0.25">
      <c r="A256" s="37">
        <v>44972</v>
      </c>
      <c r="B256" s="36" t="s">
        <v>3240</v>
      </c>
      <c r="C256" s="28" t="s">
        <v>3241</v>
      </c>
      <c r="D256" s="28" t="s">
        <v>3242</v>
      </c>
      <c r="E256" s="38">
        <v>5700</v>
      </c>
      <c r="F256" s="42">
        <v>47124</v>
      </c>
      <c r="G256" s="38">
        <v>9896.0400000000009</v>
      </c>
      <c r="H256" s="38">
        <v>62720.04</v>
      </c>
      <c r="I256" s="28" t="s">
        <v>19</v>
      </c>
      <c r="J256" s="29"/>
    </row>
    <row r="257" spans="1:10" customFormat="1" ht="15.75" hidden="1" customHeight="1" x14ac:dyDescent="0.25">
      <c r="A257" s="37">
        <v>44972</v>
      </c>
      <c r="B257" s="36" t="s">
        <v>3243</v>
      </c>
      <c r="C257" s="28" t="s">
        <v>3029</v>
      </c>
      <c r="D257" s="28" t="s">
        <v>3030</v>
      </c>
      <c r="E257" s="38">
        <v>5700</v>
      </c>
      <c r="F257" s="42">
        <v>47124</v>
      </c>
      <c r="G257" s="38">
        <v>9896.0400000000009</v>
      </c>
      <c r="H257" s="38">
        <v>62720.04</v>
      </c>
      <c r="I257" s="28" t="s">
        <v>19</v>
      </c>
      <c r="J257" s="29"/>
    </row>
    <row r="258" spans="1:10" customFormat="1" ht="15.75" hidden="1" customHeight="1" x14ac:dyDescent="0.25">
      <c r="A258" s="37">
        <v>44972</v>
      </c>
      <c r="B258" s="36" t="s">
        <v>3244</v>
      </c>
      <c r="C258" s="28" t="s">
        <v>2978</v>
      </c>
      <c r="D258" s="28" t="s">
        <v>2979</v>
      </c>
      <c r="E258" s="38">
        <v>5700</v>
      </c>
      <c r="F258" s="42">
        <v>47124</v>
      </c>
      <c r="G258" s="38">
        <v>9896.0400000000009</v>
      </c>
      <c r="H258" s="38">
        <v>62720.04</v>
      </c>
      <c r="I258" s="28" t="s">
        <v>19</v>
      </c>
      <c r="J258" s="29"/>
    </row>
    <row r="259" spans="1:10" customFormat="1" ht="15.75" hidden="1" customHeight="1" x14ac:dyDescent="0.25">
      <c r="A259" s="37">
        <v>44972</v>
      </c>
      <c r="B259" s="36" t="s">
        <v>3245</v>
      </c>
      <c r="C259" s="28" t="s">
        <v>2978</v>
      </c>
      <c r="D259" s="28" t="s">
        <v>2979</v>
      </c>
      <c r="E259" s="38">
        <v>5700</v>
      </c>
      <c r="F259" s="42">
        <v>58905</v>
      </c>
      <c r="G259" s="38">
        <v>12370.05</v>
      </c>
      <c r="H259" s="38">
        <v>76975.05</v>
      </c>
      <c r="I259" s="28" t="s">
        <v>19</v>
      </c>
      <c r="J259" s="29"/>
    </row>
    <row r="260" spans="1:10" customFormat="1" ht="15.75" hidden="1" customHeight="1" x14ac:dyDescent="0.25">
      <c r="A260" s="37">
        <v>44972</v>
      </c>
      <c r="B260" s="36" t="s">
        <v>3246</v>
      </c>
      <c r="C260" s="28" t="s">
        <v>2978</v>
      </c>
      <c r="D260" s="28" t="s">
        <v>2979</v>
      </c>
      <c r="E260" s="38">
        <v>5700</v>
      </c>
      <c r="F260" s="42">
        <v>58905</v>
      </c>
      <c r="G260" s="38">
        <v>12370.05</v>
      </c>
      <c r="H260" s="38">
        <v>76975.05</v>
      </c>
      <c r="I260" s="28" t="s">
        <v>19</v>
      </c>
      <c r="J260" s="29"/>
    </row>
    <row r="261" spans="1:10" customFormat="1" ht="15.75" hidden="1" customHeight="1" x14ac:dyDescent="0.25">
      <c r="A261" s="37">
        <v>44972</v>
      </c>
      <c r="B261" s="36" t="s">
        <v>3247</v>
      </c>
      <c r="C261" s="28" t="s">
        <v>2978</v>
      </c>
      <c r="D261" s="28" t="s">
        <v>2979</v>
      </c>
      <c r="E261" s="38">
        <v>0</v>
      </c>
      <c r="F261" s="42">
        <v>52824</v>
      </c>
      <c r="G261" s="38">
        <v>11093.04</v>
      </c>
      <c r="H261" s="38">
        <v>63917.04</v>
      </c>
      <c r="I261" s="28" t="s">
        <v>19</v>
      </c>
      <c r="J261" s="29"/>
    </row>
    <row r="262" spans="1:10" customFormat="1" ht="15.75" hidden="1" customHeight="1" x14ac:dyDescent="0.25">
      <c r="A262" s="37">
        <v>44972</v>
      </c>
      <c r="B262" s="36" t="s">
        <v>3248</v>
      </c>
      <c r="C262" s="28" t="s">
        <v>2867</v>
      </c>
      <c r="D262" s="28" t="s">
        <v>2868</v>
      </c>
      <c r="E262" s="38">
        <v>8800</v>
      </c>
      <c r="F262" s="42">
        <v>359400</v>
      </c>
      <c r="G262" s="38">
        <v>75474</v>
      </c>
      <c r="H262" s="38">
        <v>443674</v>
      </c>
      <c r="I262" s="28" t="s">
        <v>19</v>
      </c>
      <c r="J262" s="29"/>
    </row>
    <row r="263" spans="1:10" customFormat="1" ht="15.75" hidden="1" customHeight="1" x14ac:dyDescent="0.25">
      <c r="A263" s="37">
        <v>44972</v>
      </c>
      <c r="B263" s="36" t="s">
        <v>3249</v>
      </c>
      <c r="C263" s="28" t="s">
        <v>2957</v>
      </c>
      <c r="D263" s="28" t="s">
        <v>2958</v>
      </c>
      <c r="E263" s="38">
        <v>0</v>
      </c>
      <c r="F263" s="42">
        <v>65577.600000000006</v>
      </c>
      <c r="G263" s="38">
        <v>13771.3</v>
      </c>
      <c r="H263" s="38">
        <v>79348.899999999994</v>
      </c>
      <c r="I263" s="28" t="s">
        <v>19</v>
      </c>
      <c r="J263" s="29"/>
    </row>
    <row r="264" spans="1:10" customFormat="1" ht="15.75" hidden="1" customHeight="1" x14ac:dyDescent="0.25">
      <c r="A264" s="37">
        <v>44972</v>
      </c>
      <c r="B264" s="36" t="s">
        <v>3250</v>
      </c>
      <c r="C264" s="28" t="s">
        <v>2978</v>
      </c>
      <c r="D264" s="28" t="s">
        <v>2979</v>
      </c>
      <c r="E264" s="38">
        <v>0</v>
      </c>
      <c r="F264" s="42">
        <v>47124</v>
      </c>
      <c r="G264" s="38">
        <v>9896.0400000000009</v>
      </c>
      <c r="H264" s="38">
        <v>57020.04</v>
      </c>
      <c r="I264" s="28" t="s">
        <v>19</v>
      </c>
      <c r="J264" s="29"/>
    </row>
    <row r="265" spans="1:10" customFormat="1" ht="15.75" hidden="1" customHeight="1" x14ac:dyDescent="0.25">
      <c r="A265" s="37">
        <v>44972</v>
      </c>
      <c r="B265" s="36" t="s">
        <v>3251</v>
      </c>
      <c r="C265" s="28" t="s">
        <v>3036</v>
      </c>
      <c r="D265" s="28" t="s">
        <v>3037</v>
      </c>
      <c r="E265" s="38">
        <v>5799.99999999998</v>
      </c>
      <c r="F265" s="42">
        <v>101098.8</v>
      </c>
      <c r="G265" s="38">
        <v>21230.75</v>
      </c>
      <c r="H265" s="38">
        <v>128129.54999999999</v>
      </c>
      <c r="I265" s="28" t="s">
        <v>19</v>
      </c>
      <c r="J265" s="29"/>
    </row>
    <row r="266" spans="1:10" customFormat="1" ht="15.75" hidden="1" customHeight="1" x14ac:dyDescent="0.25">
      <c r="A266" s="37">
        <v>44972</v>
      </c>
      <c r="B266" s="36" t="s">
        <v>3252</v>
      </c>
      <c r="C266" s="28" t="s">
        <v>2851</v>
      </c>
      <c r="D266" s="28" t="s">
        <v>2852</v>
      </c>
      <c r="E266" s="38">
        <v>0</v>
      </c>
      <c r="F266" s="42">
        <v>134798.39999999999</v>
      </c>
      <c r="G266" s="38">
        <v>28307.66</v>
      </c>
      <c r="H266" s="38">
        <v>163106.06</v>
      </c>
      <c r="I266" s="28" t="s">
        <v>19</v>
      </c>
      <c r="J266" s="29"/>
    </row>
    <row r="267" spans="1:10" customFormat="1" ht="15.75" hidden="1" customHeight="1" x14ac:dyDescent="0.25">
      <c r="A267" s="37">
        <v>44972</v>
      </c>
      <c r="B267" s="36" t="s">
        <v>3253</v>
      </c>
      <c r="C267" s="28" t="s">
        <v>2867</v>
      </c>
      <c r="D267" s="28" t="s">
        <v>2868</v>
      </c>
      <c r="E267" s="38">
        <v>6500</v>
      </c>
      <c r="F267" s="42">
        <v>93000</v>
      </c>
      <c r="G267" s="38">
        <v>19530</v>
      </c>
      <c r="H267" s="38">
        <v>119030</v>
      </c>
      <c r="I267" s="28" t="s">
        <v>19</v>
      </c>
      <c r="J267" s="29"/>
    </row>
    <row r="268" spans="1:10" customFormat="1" ht="15.75" hidden="1" customHeight="1" x14ac:dyDescent="0.25">
      <c r="A268" s="37">
        <v>44973</v>
      </c>
      <c r="B268" s="36" t="s">
        <v>3254</v>
      </c>
      <c r="C268" s="28" t="s">
        <v>2933</v>
      </c>
      <c r="D268" s="28" t="s">
        <v>2934</v>
      </c>
      <c r="E268" s="38">
        <v>6500</v>
      </c>
      <c r="F268" s="42">
        <v>87000</v>
      </c>
      <c r="G268" s="38">
        <v>18270</v>
      </c>
      <c r="H268" s="38">
        <v>111770</v>
      </c>
      <c r="I268" s="28" t="s">
        <v>19</v>
      </c>
      <c r="J268" s="29"/>
    </row>
    <row r="269" spans="1:10" customFormat="1" ht="15.75" hidden="1" customHeight="1" x14ac:dyDescent="0.25">
      <c r="A269" s="37">
        <v>44973</v>
      </c>
      <c r="B269" s="36" t="s">
        <v>3255</v>
      </c>
      <c r="C269" s="28" t="s">
        <v>2978</v>
      </c>
      <c r="D269" s="28" t="s">
        <v>2979</v>
      </c>
      <c r="E269" s="38">
        <v>0</v>
      </c>
      <c r="F269" s="42">
        <v>47124</v>
      </c>
      <c r="G269" s="38">
        <v>9896.0400000000009</v>
      </c>
      <c r="H269" s="38">
        <v>57020.04</v>
      </c>
      <c r="I269" s="28" t="s">
        <v>19</v>
      </c>
      <c r="J269" s="29"/>
    </row>
    <row r="270" spans="1:10" customFormat="1" ht="15.75" hidden="1" customHeight="1" x14ac:dyDescent="0.25">
      <c r="A270" s="37">
        <v>44973</v>
      </c>
      <c r="B270" s="36" t="s">
        <v>3256</v>
      </c>
      <c r="C270" s="28" t="s">
        <v>3257</v>
      </c>
      <c r="D270" s="28" t="s">
        <v>3258</v>
      </c>
      <c r="E270" s="38">
        <v>5700</v>
      </c>
      <c r="F270" s="42">
        <v>47124</v>
      </c>
      <c r="G270" s="38">
        <v>9896.0400000000009</v>
      </c>
      <c r="H270" s="38">
        <v>62720.04</v>
      </c>
      <c r="I270" s="28" t="s">
        <v>19</v>
      </c>
      <c r="J270" s="29"/>
    </row>
    <row r="271" spans="1:10" customFormat="1" ht="15.75" hidden="1" customHeight="1" x14ac:dyDescent="0.25">
      <c r="A271" s="37">
        <v>44973</v>
      </c>
      <c r="B271" s="36" t="s">
        <v>3259</v>
      </c>
      <c r="C271" s="28" t="s">
        <v>2972</v>
      </c>
      <c r="D271" s="28" t="s">
        <v>2973</v>
      </c>
      <c r="E271" s="38">
        <v>11400</v>
      </c>
      <c r="F271" s="42">
        <v>94248</v>
      </c>
      <c r="G271" s="38">
        <v>19792.080000000002</v>
      </c>
      <c r="H271" s="38">
        <v>125440.08</v>
      </c>
      <c r="I271" s="28" t="s">
        <v>19</v>
      </c>
      <c r="J271" s="29"/>
    </row>
    <row r="272" spans="1:10" customFormat="1" ht="15.75" hidden="1" customHeight="1" x14ac:dyDescent="0.25">
      <c r="A272" s="37">
        <v>44973</v>
      </c>
      <c r="B272" s="36" t="s">
        <v>3260</v>
      </c>
      <c r="C272" s="28" t="s">
        <v>2972</v>
      </c>
      <c r="D272" s="28" t="s">
        <v>2973</v>
      </c>
      <c r="E272" s="38">
        <v>5700</v>
      </c>
      <c r="F272" s="42">
        <v>47124</v>
      </c>
      <c r="G272" s="38">
        <v>9896.0400000000009</v>
      </c>
      <c r="H272" s="38">
        <v>62720.04</v>
      </c>
      <c r="I272" s="28" t="s">
        <v>19</v>
      </c>
      <c r="J272" s="29"/>
    </row>
    <row r="273" spans="1:10" customFormat="1" ht="15.75" hidden="1" customHeight="1" x14ac:dyDescent="0.25">
      <c r="A273" s="37">
        <v>44973</v>
      </c>
      <c r="B273" s="36" t="s">
        <v>3261</v>
      </c>
      <c r="C273" s="28" t="s">
        <v>2870</v>
      </c>
      <c r="D273" s="28" t="s">
        <v>2871</v>
      </c>
      <c r="E273" s="38">
        <v>5700</v>
      </c>
      <c r="F273" s="42">
        <v>47124</v>
      </c>
      <c r="G273" s="38">
        <v>9896.0400000000009</v>
      </c>
      <c r="H273" s="38">
        <v>62720.04</v>
      </c>
      <c r="I273" s="28" t="s">
        <v>19</v>
      </c>
      <c r="J273" s="29"/>
    </row>
    <row r="274" spans="1:10" customFormat="1" ht="15.75" hidden="1" customHeight="1" x14ac:dyDescent="0.25">
      <c r="A274" s="37">
        <v>44973</v>
      </c>
      <c r="B274" s="36" t="s">
        <v>3262</v>
      </c>
      <c r="C274" s="28" t="s">
        <v>3014</v>
      </c>
      <c r="D274" s="28" t="s">
        <v>3015</v>
      </c>
      <c r="E274" s="38">
        <v>11400</v>
      </c>
      <c r="F274" s="42">
        <v>94248</v>
      </c>
      <c r="G274" s="38">
        <v>19792.080000000002</v>
      </c>
      <c r="H274" s="38">
        <v>125440.08</v>
      </c>
      <c r="I274" s="28" t="s">
        <v>19</v>
      </c>
      <c r="J274" s="29"/>
    </row>
    <row r="275" spans="1:10" customFormat="1" ht="15.75" hidden="1" customHeight="1" x14ac:dyDescent="0.25">
      <c r="A275" s="37">
        <v>44973</v>
      </c>
      <c r="B275" s="36" t="s">
        <v>3263</v>
      </c>
      <c r="C275" s="28" t="s">
        <v>2972</v>
      </c>
      <c r="D275" s="28" t="s">
        <v>2973</v>
      </c>
      <c r="E275" s="38">
        <v>0</v>
      </c>
      <c r="F275" s="42">
        <v>94248</v>
      </c>
      <c r="G275" s="38">
        <v>19792.080000000002</v>
      </c>
      <c r="H275" s="38">
        <v>114040.08</v>
      </c>
      <c r="I275" s="28" t="s">
        <v>19</v>
      </c>
      <c r="J275" s="29"/>
    </row>
    <row r="276" spans="1:10" customFormat="1" ht="15.75" hidden="1" customHeight="1" x14ac:dyDescent="0.25">
      <c r="A276" s="37">
        <v>44973</v>
      </c>
      <c r="B276" s="36" t="s">
        <v>3264</v>
      </c>
      <c r="C276" s="28" t="s">
        <v>2921</v>
      </c>
      <c r="D276" s="28" t="s">
        <v>2922</v>
      </c>
      <c r="E276" s="38">
        <v>0</v>
      </c>
      <c r="F276" s="42">
        <v>47124</v>
      </c>
      <c r="G276" s="38">
        <v>9896.0400000000009</v>
      </c>
      <c r="H276" s="38">
        <v>57020.04</v>
      </c>
      <c r="I276" s="28" t="s">
        <v>19</v>
      </c>
      <c r="J276" s="29"/>
    </row>
    <row r="277" spans="1:10" customFormat="1" ht="15.75" hidden="1" customHeight="1" x14ac:dyDescent="0.25">
      <c r="A277" s="37">
        <v>44973</v>
      </c>
      <c r="B277" s="36" t="s">
        <v>3265</v>
      </c>
      <c r="C277" s="28" t="s">
        <v>2867</v>
      </c>
      <c r="D277" s="28" t="s">
        <v>2868</v>
      </c>
      <c r="E277" s="38">
        <v>0</v>
      </c>
      <c r="F277" s="42">
        <v>90169.2</v>
      </c>
      <c r="G277" s="38">
        <v>18935.53</v>
      </c>
      <c r="H277" s="38">
        <v>109104.73</v>
      </c>
      <c r="I277" s="28" t="s">
        <v>19</v>
      </c>
      <c r="J277" s="29"/>
    </row>
    <row r="278" spans="1:10" customFormat="1" ht="15.75" hidden="1" customHeight="1" x14ac:dyDescent="0.25">
      <c r="A278" s="37">
        <v>44973</v>
      </c>
      <c r="B278" s="36" t="s">
        <v>3266</v>
      </c>
      <c r="C278" s="28" t="s">
        <v>3041</v>
      </c>
      <c r="D278" s="28" t="s">
        <v>3042</v>
      </c>
      <c r="E278" s="38">
        <v>0</v>
      </c>
      <c r="F278" s="42">
        <v>47124</v>
      </c>
      <c r="G278" s="38">
        <v>9896.0400000000009</v>
      </c>
      <c r="H278" s="38">
        <v>57020.04</v>
      </c>
      <c r="I278" s="28" t="s">
        <v>19</v>
      </c>
      <c r="J278" s="29"/>
    </row>
    <row r="279" spans="1:10" customFormat="1" ht="15.75" hidden="1" customHeight="1" x14ac:dyDescent="0.25">
      <c r="A279" s="37">
        <v>44973</v>
      </c>
      <c r="B279" s="36" t="s">
        <v>3267</v>
      </c>
      <c r="C279" s="28" t="s">
        <v>3268</v>
      </c>
      <c r="D279" s="28" t="s">
        <v>3269</v>
      </c>
      <c r="E279" s="38">
        <v>0</v>
      </c>
      <c r="F279" s="42">
        <v>90169.2</v>
      </c>
      <c r="G279" s="38">
        <v>18935.53</v>
      </c>
      <c r="H279" s="38">
        <v>109104.73</v>
      </c>
      <c r="I279" s="28" t="s">
        <v>19</v>
      </c>
      <c r="J279" s="29"/>
    </row>
    <row r="280" spans="1:10" customFormat="1" ht="15.75" hidden="1" customHeight="1" x14ac:dyDescent="0.25">
      <c r="A280" s="37">
        <v>44973</v>
      </c>
      <c r="B280" s="36" t="s">
        <v>3270</v>
      </c>
      <c r="C280" s="28" t="s">
        <v>2892</v>
      </c>
      <c r="D280" s="28" t="s">
        <v>2893</v>
      </c>
      <c r="E280" s="38">
        <v>0</v>
      </c>
      <c r="F280" s="42">
        <v>32788.800000000003</v>
      </c>
      <c r="G280" s="38">
        <v>6885.65</v>
      </c>
      <c r="H280" s="38">
        <v>39674.449999999997</v>
      </c>
      <c r="I280" s="28" t="s">
        <v>19</v>
      </c>
      <c r="J280" s="29"/>
    </row>
    <row r="281" spans="1:10" customFormat="1" ht="15.75" hidden="1" customHeight="1" x14ac:dyDescent="0.25">
      <c r="A281" s="40">
        <v>44974</v>
      </c>
      <c r="B281" s="41" t="s">
        <v>3271</v>
      </c>
      <c r="C281" s="41" t="s">
        <v>3272</v>
      </c>
      <c r="D281" s="41" t="s">
        <v>3273</v>
      </c>
      <c r="E281" s="39">
        <v>2490</v>
      </c>
      <c r="F281" s="42">
        <v>67300</v>
      </c>
      <c r="G281" s="39">
        <v>14133</v>
      </c>
      <c r="H281" s="39">
        <v>83923</v>
      </c>
      <c r="I281" s="41" t="s">
        <v>19</v>
      </c>
      <c r="J281" s="11"/>
    </row>
    <row r="282" spans="1:10" customFormat="1" ht="15.75" hidden="1" customHeight="1" x14ac:dyDescent="0.25">
      <c r="A282" s="37">
        <v>44974</v>
      </c>
      <c r="B282" s="36" t="s">
        <v>3274</v>
      </c>
      <c r="C282" s="28" t="s">
        <v>2870</v>
      </c>
      <c r="D282" s="28" t="s">
        <v>2871</v>
      </c>
      <c r="E282" s="38">
        <v>0</v>
      </c>
      <c r="F282" s="42">
        <v>47124</v>
      </c>
      <c r="G282" s="38">
        <v>9896.0400000000009</v>
      </c>
      <c r="H282" s="38">
        <v>57020.04</v>
      </c>
      <c r="I282" s="28" t="s">
        <v>19</v>
      </c>
      <c r="J282" s="29"/>
    </row>
    <row r="283" spans="1:10" customFormat="1" ht="15.75" hidden="1" customHeight="1" x14ac:dyDescent="0.25">
      <c r="A283" s="37">
        <v>44974</v>
      </c>
      <c r="B283" s="36" t="s">
        <v>3275</v>
      </c>
      <c r="C283" s="28" t="s">
        <v>3276</v>
      </c>
      <c r="D283" s="28" t="s">
        <v>3277</v>
      </c>
      <c r="E283" s="38">
        <v>7920</v>
      </c>
      <c r="F283" s="42">
        <v>94248</v>
      </c>
      <c r="G283" s="38">
        <v>19792.080000000002</v>
      </c>
      <c r="H283" s="38">
        <v>121960.08</v>
      </c>
      <c r="I283" s="28" t="s">
        <v>19</v>
      </c>
      <c r="J283" s="29"/>
    </row>
    <row r="284" spans="1:10" customFormat="1" ht="15.75" hidden="1" customHeight="1" x14ac:dyDescent="0.25">
      <c r="A284" s="37">
        <v>44974</v>
      </c>
      <c r="B284" s="36" t="s">
        <v>3278</v>
      </c>
      <c r="C284" s="28" t="s">
        <v>3276</v>
      </c>
      <c r="D284" s="28" t="s">
        <v>3277</v>
      </c>
      <c r="E284" s="38">
        <v>3960</v>
      </c>
      <c r="F284" s="42">
        <v>47124</v>
      </c>
      <c r="G284" s="38">
        <v>9896.0400000000009</v>
      </c>
      <c r="H284" s="38">
        <v>60980.04</v>
      </c>
      <c r="I284" s="28" t="s">
        <v>19</v>
      </c>
      <c r="J284" s="29"/>
    </row>
    <row r="285" spans="1:10" customFormat="1" ht="15.75" hidden="1" customHeight="1" x14ac:dyDescent="0.25">
      <c r="A285" s="37">
        <v>44974</v>
      </c>
      <c r="B285" s="36" t="s">
        <v>3279</v>
      </c>
      <c r="C285" s="28" t="s">
        <v>2972</v>
      </c>
      <c r="D285" s="28" t="s">
        <v>2973</v>
      </c>
      <c r="E285" s="38">
        <v>11400</v>
      </c>
      <c r="F285" s="42">
        <v>141372</v>
      </c>
      <c r="G285" s="38">
        <v>29688.12</v>
      </c>
      <c r="H285" s="38">
        <v>182460.12</v>
      </c>
      <c r="I285" s="28" t="s">
        <v>19</v>
      </c>
      <c r="J285" s="29"/>
    </row>
    <row r="286" spans="1:10" customFormat="1" ht="15.75" hidden="1" customHeight="1" x14ac:dyDescent="0.25">
      <c r="A286" s="37">
        <v>44974</v>
      </c>
      <c r="B286" s="36" t="s">
        <v>3280</v>
      </c>
      <c r="C286" s="28" t="s">
        <v>2972</v>
      </c>
      <c r="D286" s="28" t="s">
        <v>2973</v>
      </c>
      <c r="E286" s="38">
        <v>3440</v>
      </c>
      <c r="F286" s="42">
        <v>47124</v>
      </c>
      <c r="G286" s="38">
        <v>9896.0400000000009</v>
      </c>
      <c r="H286" s="38">
        <v>60460.04</v>
      </c>
      <c r="I286" s="28" t="s">
        <v>19</v>
      </c>
      <c r="J286" s="29"/>
    </row>
    <row r="287" spans="1:10" customFormat="1" ht="15.75" hidden="1" customHeight="1" x14ac:dyDescent="0.25">
      <c r="A287" s="37">
        <v>44974</v>
      </c>
      <c r="B287" s="36" t="s">
        <v>3281</v>
      </c>
      <c r="C287" s="28" t="s">
        <v>3176</v>
      </c>
      <c r="D287" s="28" t="s">
        <v>3177</v>
      </c>
      <c r="E287" s="38">
        <v>0</v>
      </c>
      <c r="F287" s="42">
        <v>120225.60000000001</v>
      </c>
      <c r="G287" s="38">
        <v>25247.38</v>
      </c>
      <c r="H287" s="38">
        <v>145472.98000000001</v>
      </c>
      <c r="I287" s="28" t="s">
        <v>19</v>
      </c>
      <c r="J287" s="29"/>
    </row>
    <row r="288" spans="1:10" customFormat="1" ht="15.75" hidden="1" customHeight="1" x14ac:dyDescent="0.25">
      <c r="A288" s="37">
        <v>44974</v>
      </c>
      <c r="B288" s="36" t="s">
        <v>3282</v>
      </c>
      <c r="C288" s="28" t="s">
        <v>3033</v>
      </c>
      <c r="D288" s="28" t="s">
        <v>3034</v>
      </c>
      <c r="E288" s="38">
        <v>0</v>
      </c>
      <c r="F288" s="42">
        <v>47124</v>
      </c>
      <c r="G288" s="38">
        <v>9896.0400000000009</v>
      </c>
      <c r="H288" s="38">
        <v>57020.04</v>
      </c>
      <c r="I288" s="28" t="s">
        <v>19</v>
      </c>
      <c r="J288" s="29"/>
    </row>
    <row r="289" spans="1:10" customFormat="1" ht="15.75" hidden="1" customHeight="1" x14ac:dyDescent="0.25">
      <c r="A289" s="37">
        <v>44974</v>
      </c>
      <c r="B289" s="36" t="s">
        <v>3283</v>
      </c>
      <c r="C289" s="28" t="s">
        <v>2906</v>
      </c>
      <c r="D289" s="28" t="s">
        <v>2907</v>
      </c>
      <c r="E289" s="38">
        <v>4980</v>
      </c>
      <c r="F289" s="42">
        <v>122000</v>
      </c>
      <c r="G289" s="38">
        <v>25620</v>
      </c>
      <c r="H289" s="38">
        <v>152600</v>
      </c>
      <c r="I289" s="28" t="s">
        <v>19</v>
      </c>
      <c r="J289" s="29"/>
    </row>
    <row r="290" spans="1:10" customFormat="1" ht="15.75" hidden="1" customHeight="1" x14ac:dyDescent="0.25">
      <c r="A290" s="37">
        <v>44974</v>
      </c>
      <c r="B290" s="36" t="s">
        <v>3284</v>
      </c>
      <c r="C290" s="28" t="s">
        <v>2921</v>
      </c>
      <c r="D290" s="28" t="s">
        <v>2922</v>
      </c>
      <c r="E290" s="38">
        <v>10500</v>
      </c>
      <c r="F290" s="42">
        <v>740322</v>
      </c>
      <c r="G290" s="38">
        <v>155467.62</v>
      </c>
      <c r="H290" s="38">
        <v>906289.62</v>
      </c>
      <c r="I290" s="28" t="s">
        <v>19</v>
      </c>
      <c r="J290" s="29"/>
    </row>
    <row r="291" spans="1:10" customFormat="1" ht="15.75" hidden="1" customHeight="1" x14ac:dyDescent="0.25">
      <c r="A291" s="37">
        <v>44974</v>
      </c>
      <c r="B291" s="36" t="s">
        <v>3285</v>
      </c>
      <c r="C291" s="28" t="s">
        <v>2921</v>
      </c>
      <c r="D291" s="28" t="s">
        <v>2922</v>
      </c>
      <c r="E291" s="38">
        <v>6500</v>
      </c>
      <c r="F291" s="42">
        <v>105000</v>
      </c>
      <c r="G291" s="38">
        <v>22050</v>
      </c>
      <c r="H291" s="38">
        <v>133550</v>
      </c>
      <c r="I291" s="28" t="s">
        <v>19</v>
      </c>
      <c r="J291" s="29"/>
    </row>
    <row r="292" spans="1:10" customFormat="1" ht="15.75" hidden="1" customHeight="1" x14ac:dyDescent="0.25">
      <c r="A292" s="37">
        <v>44974</v>
      </c>
      <c r="B292" s="36" t="s">
        <v>3286</v>
      </c>
      <c r="C292" s="28" t="s">
        <v>3176</v>
      </c>
      <c r="D292" s="28" t="s">
        <v>3177</v>
      </c>
      <c r="E292" s="38">
        <v>0</v>
      </c>
      <c r="F292" s="42">
        <v>23000</v>
      </c>
      <c r="G292" s="38">
        <v>4830</v>
      </c>
      <c r="H292" s="38">
        <v>27830</v>
      </c>
      <c r="I292" s="28" t="s">
        <v>19</v>
      </c>
      <c r="J292" s="29"/>
    </row>
    <row r="293" spans="1:10" customFormat="1" ht="15.75" hidden="1" customHeight="1" x14ac:dyDescent="0.25">
      <c r="A293" s="37">
        <v>44974</v>
      </c>
      <c r="B293" s="36" t="s">
        <v>3287</v>
      </c>
      <c r="C293" s="28" t="s">
        <v>2856</v>
      </c>
      <c r="D293" s="28" t="s">
        <v>2857</v>
      </c>
      <c r="E293" s="38">
        <v>0</v>
      </c>
      <c r="F293" s="42">
        <v>23000</v>
      </c>
      <c r="G293" s="38">
        <v>4830</v>
      </c>
      <c r="H293" s="38">
        <v>27830</v>
      </c>
      <c r="I293" s="28" t="s">
        <v>19</v>
      </c>
      <c r="J293" s="29"/>
    </row>
    <row r="294" spans="1:10" customFormat="1" ht="15.75" hidden="1" customHeight="1" x14ac:dyDescent="0.25">
      <c r="A294" s="37">
        <v>44974</v>
      </c>
      <c r="B294" s="36" t="s">
        <v>3288</v>
      </c>
      <c r="C294" s="28" t="s">
        <v>1140</v>
      </c>
      <c r="D294" s="28" t="s">
        <v>1141</v>
      </c>
      <c r="E294" s="38">
        <v>12450</v>
      </c>
      <c r="F294" s="42">
        <v>250000</v>
      </c>
      <c r="G294" s="38">
        <v>52500</v>
      </c>
      <c r="H294" s="38">
        <v>314950</v>
      </c>
      <c r="I294" s="28" t="s">
        <v>19</v>
      </c>
      <c r="J294" s="29"/>
    </row>
    <row r="295" spans="1:10" customFormat="1" ht="15.75" hidden="1" customHeight="1" x14ac:dyDescent="0.25">
      <c r="A295" s="37">
        <v>44974</v>
      </c>
      <c r="B295" s="36" t="s">
        <v>3289</v>
      </c>
      <c r="C295" s="28" t="s">
        <v>3290</v>
      </c>
      <c r="D295" s="28" t="s">
        <v>3291</v>
      </c>
      <c r="E295" s="38">
        <v>4980</v>
      </c>
      <c r="F295" s="42">
        <v>100000</v>
      </c>
      <c r="G295" s="38">
        <v>21000</v>
      </c>
      <c r="H295" s="38">
        <v>125980</v>
      </c>
      <c r="I295" s="28" t="s">
        <v>19</v>
      </c>
      <c r="J295" s="29"/>
    </row>
    <row r="296" spans="1:10" customFormat="1" ht="15.75" hidden="1" customHeight="1" x14ac:dyDescent="0.25">
      <c r="A296" s="37">
        <v>44974</v>
      </c>
      <c r="B296" s="36" t="s">
        <v>3292</v>
      </c>
      <c r="C296" s="28" t="s">
        <v>2851</v>
      </c>
      <c r="D296" s="28" t="s">
        <v>2852</v>
      </c>
      <c r="E296" s="38">
        <v>4980</v>
      </c>
      <c r="F296" s="42">
        <v>150000</v>
      </c>
      <c r="G296" s="38">
        <v>31500</v>
      </c>
      <c r="H296" s="38">
        <v>186480</v>
      </c>
      <c r="I296" s="28" t="s">
        <v>19</v>
      </c>
      <c r="J296" s="29"/>
    </row>
    <row r="297" spans="1:10" customFormat="1" ht="15.75" hidden="1" customHeight="1" x14ac:dyDescent="0.25">
      <c r="A297" s="37">
        <v>44979</v>
      </c>
      <c r="B297" s="36" t="s">
        <v>3293</v>
      </c>
      <c r="C297" s="28" t="s">
        <v>3007</v>
      </c>
      <c r="D297" s="28" t="s">
        <v>3008</v>
      </c>
      <c r="E297" s="38">
        <v>19500</v>
      </c>
      <c r="F297" s="42">
        <v>270507.59999999998</v>
      </c>
      <c r="G297" s="38">
        <v>56806.6</v>
      </c>
      <c r="H297" s="38">
        <v>346814.2</v>
      </c>
      <c r="I297" s="28" t="s">
        <v>19</v>
      </c>
      <c r="J297" s="29"/>
    </row>
    <row r="298" spans="1:10" customFormat="1" ht="15.75" hidden="1" customHeight="1" x14ac:dyDescent="0.25">
      <c r="A298" s="57">
        <v>44979</v>
      </c>
      <c r="B298" s="58" t="s">
        <v>3294</v>
      </c>
      <c r="C298" s="59" t="s">
        <v>2867</v>
      </c>
      <c r="D298" s="59" t="s">
        <v>2868</v>
      </c>
      <c r="E298" s="60">
        <v>5800</v>
      </c>
      <c r="F298" s="142">
        <v>96930</v>
      </c>
      <c r="G298" s="60">
        <v>20355.3</v>
      </c>
      <c r="H298" s="60">
        <v>123085.3</v>
      </c>
      <c r="I298" s="59" t="s">
        <v>19</v>
      </c>
      <c r="J298" s="29"/>
    </row>
    <row r="299" spans="1:10" ht="15.75" hidden="1" customHeight="1" x14ac:dyDescent="0.25">
      <c r="A299" s="127">
        <v>44979</v>
      </c>
      <c r="B299" s="121" t="s">
        <v>3295</v>
      </c>
      <c r="C299" s="121" t="s">
        <v>2895</v>
      </c>
      <c r="D299" s="121" t="s">
        <v>2896</v>
      </c>
      <c r="E299" s="173">
        <v>6500</v>
      </c>
      <c r="F299" s="174">
        <v>69500</v>
      </c>
      <c r="G299" s="173">
        <v>14595</v>
      </c>
      <c r="H299" s="173">
        <v>90595</v>
      </c>
      <c r="I299" s="121" t="s">
        <v>19</v>
      </c>
      <c r="J299" s="29"/>
    </row>
    <row r="300" spans="1:10" customFormat="1" ht="15.75" hidden="1" customHeight="1" x14ac:dyDescent="0.25">
      <c r="A300" s="126">
        <v>44979</v>
      </c>
      <c r="B300" s="158" t="s">
        <v>3296</v>
      </c>
      <c r="C300" s="55" t="s">
        <v>2990</v>
      </c>
      <c r="D300" s="55" t="s">
        <v>2991</v>
      </c>
      <c r="E300" s="159">
        <v>6500</v>
      </c>
      <c r="F300" s="160">
        <v>64620</v>
      </c>
      <c r="G300" s="159">
        <v>13570.2</v>
      </c>
      <c r="H300" s="159">
        <v>84690.2</v>
      </c>
      <c r="I300" s="55" t="s">
        <v>19</v>
      </c>
      <c r="J300" s="29"/>
    </row>
    <row r="301" spans="1:10" customFormat="1" ht="15.75" hidden="1" customHeight="1" x14ac:dyDescent="0.25">
      <c r="A301" s="37">
        <v>44979</v>
      </c>
      <c r="B301" s="36" t="s">
        <v>3297</v>
      </c>
      <c r="C301" s="28" t="s">
        <v>3011</v>
      </c>
      <c r="D301" s="28" t="s">
        <v>3012</v>
      </c>
      <c r="E301" s="38">
        <v>22800</v>
      </c>
      <c r="F301" s="42">
        <v>282744</v>
      </c>
      <c r="G301" s="38">
        <v>59376.24</v>
      </c>
      <c r="H301" s="38">
        <v>364920.24</v>
      </c>
      <c r="I301" s="28" t="s">
        <v>19</v>
      </c>
      <c r="J301" s="29"/>
    </row>
    <row r="302" spans="1:10" customFormat="1" ht="15.75" hidden="1" customHeight="1" x14ac:dyDescent="0.25">
      <c r="A302" s="37">
        <v>44979</v>
      </c>
      <c r="B302" s="36" t="s">
        <v>3298</v>
      </c>
      <c r="C302" s="28" t="s">
        <v>2921</v>
      </c>
      <c r="D302" s="28" t="s">
        <v>2922</v>
      </c>
      <c r="E302" s="38">
        <v>11400</v>
      </c>
      <c r="F302" s="42">
        <v>94248</v>
      </c>
      <c r="G302" s="38">
        <v>19792.080000000002</v>
      </c>
      <c r="H302" s="38">
        <v>125440.08</v>
      </c>
      <c r="I302" s="28" t="s">
        <v>19</v>
      </c>
      <c r="J302" s="29"/>
    </row>
    <row r="303" spans="1:10" customFormat="1" ht="15.75" hidden="1" customHeight="1" x14ac:dyDescent="0.25">
      <c r="A303" s="37">
        <v>44979</v>
      </c>
      <c r="B303" s="36" t="s">
        <v>3299</v>
      </c>
      <c r="C303" s="28" t="s">
        <v>3300</v>
      </c>
      <c r="D303" s="28" t="s">
        <v>3301</v>
      </c>
      <c r="E303" s="38">
        <v>0</v>
      </c>
      <c r="F303" s="42">
        <v>45540</v>
      </c>
      <c r="G303" s="38">
        <v>9563.4</v>
      </c>
      <c r="H303" s="38">
        <v>55103.4</v>
      </c>
      <c r="I303" s="28" t="s">
        <v>19</v>
      </c>
      <c r="J303" s="29"/>
    </row>
    <row r="304" spans="1:10" customFormat="1" ht="15.75" hidden="1" customHeight="1" x14ac:dyDescent="0.25">
      <c r="A304" s="37">
        <v>44979</v>
      </c>
      <c r="B304" s="36" t="s">
        <v>3302</v>
      </c>
      <c r="C304" s="28" t="s">
        <v>2945</v>
      </c>
      <c r="D304" s="28" t="s">
        <v>2946</v>
      </c>
      <c r="E304" s="38">
        <v>0</v>
      </c>
      <c r="F304" s="42">
        <v>60112.800000000003</v>
      </c>
      <c r="G304" s="38">
        <v>12623.69</v>
      </c>
      <c r="H304" s="38">
        <v>72736.490000000005</v>
      </c>
      <c r="I304" s="28" t="s">
        <v>19</v>
      </c>
      <c r="J304" s="29"/>
    </row>
    <row r="305" spans="1:10" customFormat="1" ht="15.75" hidden="1" customHeight="1" x14ac:dyDescent="0.25">
      <c r="A305" s="37">
        <v>44979</v>
      </c>
      <c r="B305" s="36" t="s">
        <v>3303</v>
      </c>
      <c r="C305" s="28" t="s">
        <v>3067</v>
      </c>
      <c r="D305" s="28" t="s">
        <v>3068</v>
      </c>
      <c r="E305" s="38">
        <v>5700</v>
      </c>
      <c r="F305" s="42">
        <v>70686</v>
      </c>
      <c r="G305" s="38">
        <v>14844.06</v>
      </c>
      <c r="H305" s="38">
        <v>91230.06</v>
      </c>
      <c r="I305" s="28" t="s">
        <v>19</v>
      </c>
      <c r="J305" s="29"/>
    </row>
    <row r="306" spans="1:10" customFormat="1" ht="15.75" hidden="1" customHeight="1" x14ac:dyDescent="0.25">
      <c r="A306" s="37">
        <v>44979</v>
      </c>
      <c r="B306" s="36" t="s">
        <v>3304</v>
      </c>
      <c r="C306" s="28" t="s">
        <v>2906</v>
      </c>
      <c r="D306" s="28" t="s">
        <v>2907</v>
      </c>
      <c r="E306" s="38">
        <v>5700</v>
      </c>
      <c r="F306" s="42">
        <v>47124</v>
      </c>
      <c r="G306" s="38">
        <v>9896.0400000000009</v>
      </c>
      <c r="H306" s="38">
        <v>62720.04</v>
      </c>
      <c r="I306" s="28" t="s">
        <v>19</v>
      </c>
      <c r="J306" s="29"/>
    </row>
    <row r="307" spans="1:10" customFormat="1" ht="15.75" hidden="1" customHeight="1" x14ac:dyDescent="0.25">
      <c r="A307" s="37">
        <v>44979</v>
      </c>
      <c r="B307" s="28" t="s">
        <v>3305</v>
      </c>
      <c r="C307" s="28" t="s">
        <v>3132</v>
      </c>
      <c r="D307" s="28" t="s">
        <v>3133</v>
      </c>
      <c r="E307" s="38">
        <v>4800</v>
      </c>
      <c r="F307" s="67">
        <v>183169.2</v>
      </c>
      <c r="G307" s="38">
        <v>38465.53</v>
      </c>
      <c r="H307" s="38">
        <v>226434.73</v>
      </c>
      <c r="I307" s="28" t="s">
        <v>19</v>
      </c>
      <c r="J307" s="29"/>
    </row>
    <row r="308" spans="1:10" customFormat="1" ht="15.75" hidden="1" customHeight="1" x14ac:dyDescent="0.25">
      <c r="A308" s="37">
        <v>44979</v>
      </c>
      <c r="B308" s="36" t="s">
        <v>3306</v>
      </c>
      <c r="C308" s="28" t="s">
        <v>2921</v>
      </c>
      <c r="D308" s="28" t="s">
        <v>2922</v>
      </c>
      <c r="E308" s="38">
        <v>2490</v>
      </c>
      <c r="F308" s="42">
        <v>61000</v>
      </c>
      <c r="G308" s="38">
        <v>12810</v>
      </c>
      <c r="H308" s="38">
        <v>76300</v>
      </c>
      <c r="I308" s="28" t="s">
        <v>19</v>
      </c>
      <c r="J308" s="29"/>
    </row>
    <row r="309" spans="1:10" customFormat="1" ht="15.75" hidden="1" customHeight="1" x14ac:dyDescent="0.25">
      <c r="A309" s="37">
        <v>44980</v>
      </c>
      <c r="B309" s="36" t="s">
        <v>3307</v>
      </c>
      <c r="C309" s="28" t="s">
        <v>2851</v>
      </c>
      <c r="D309" s="28" t="s">
        <v>2852</v>
      </c>
      <c r="E309" s="38">
        <v>5700</v>
      </c>
      <c r="F309" s="42">
        <v>70686</v>
      </c>
      <c r="G309" s="38">
        <v>14844.06</v>
      </c>
      <c r="H309" s="38">
        <v>91230.06</v>
      </c>
      <c r="I309" s="28" t="s">
        <v>19</v>
      </c>
      <c r="J309" s="29"/>
    </row>
    <row r="310" spans="1:10" customFormat="1" ht="15.75" hidden="1" customHeight="1" x14ac:dyDescent="0.25">
      <c r="A310" s="37">
        <v>44980</v>
      </c>
      <c r="B310" s="36" t="s">
        <v>3308</v>
      </c>
      <c r="C310" s="28" t="s">
        <v>2921</v>
      </c>
      <c r="D310" s="28" t="s">
        <v>2922</v>
      </c>
      <c r="E310" s="38">
        <v>0</v>
      </c>
      <c r="F310" s="42">
        <v>50000</v>
      </c>
      <c r="G310" s="38">
        <v>10500</v>
      </c>
      <c r="H310" s="38">
        <v>60500</v>
      </c>
      <c r="I310" s="28" t="s">
        <v>19</v>
      </c>
      <c r="J310" s="29"/>
    </row>
    <row r="311" spans="1:10" customFormat="1" ht="15.75" hidden="1" customHeight="1" x14ac:dyDescent="0.25">
      <c r="A311" s="37">
        <v>44980</v>
      </c>
      <c r="B311" s="36" t="s">
        <v>3309</v>
      </c>
      <c r="C311" s="28" t="s">
        <v>2903</v>
      </c>
      <c r="D311" s="28" t="s">
        <v>2904</v>
      </c>
      <c r="E311" s="38">
        <v>0</v>
      </c>
      <c r="F311" s="42">
        <v>120225.60000000001</v>
      </c>
      <c r="G311" s="38">
        <v>25247.38</v>
      </c>
      <c r="H311" s="38">
        <v>145472.98000000001</v>
      </c>
      <c r="I311" s="28" t="s">
        <v>19</v>
      </c>
      <c r="J311" s="29"/>
    </row>
    <row r="312" spans="1:10" customFormat="1" ht="15.75" hidden="1" customHeight="1" x14ac:dyDescent="0.25">
      <c r="A312" s="37">
        <v>44980</v>
      </c>
      <c r="B312" s="36" t="s">
        <v>3310</v>
      </c>
      <c r="C312" s="28" t="s">
        <v>2921</v>
      </c>
      <c r="D312" s="28" t="s">
        <v>2922</v>
      </c>
      <c r="E312" s="38">
        <v>0</v>
      </c>
      <c r="F312" s="42">
        <v>50000</v>
      </c>
      <c r="G312" s="38">
        <v>10500</v>
      </c>
      <c r="H312" s="38">
        <v>60500</v>
      </c>
      <c r="I312" s="28" t="s">
        <v>19</v>
      </c>
      <c r="J312" s="29"/>
    </row>
    <row r="313" spans="1:10" customFormat="1" ht="15.75" hidden="1" customHeight="1" x14ac:dyDescent="0.25">
      <c r="A313" s="37">
        <v>44980</v>
      </c>
      <c r="B313" s="36" t="s">
        <v>3311</v>
      </c>
      <c r="C313" s="28" t="s">
        <v>3029</v>
      </c>
      <c r="D313" s="28" t="s">
        <v>3030</v>
      </c>
      <c r="E313" s="38">
        <v>3960</v>
      </c>
      <c r="F313" s="42">
        <v>61261.2</v>
      </c>
      <c r="G313" s="38">
        <v>12864.85</v>
      </c>
      <c r="H313" s="38">
        <v>78086.05</v>
      </c>
      <c r="I313" s="28" t="s">
        <v>19</v>
      </c>
      <c r="J313" s="29"/>
    </row>
    <row r="314" spans="1:10" customFormat="1" ht="15.75" hidden="1" customHeight="1" x14ac:dyDescent="0.25">
      <c r="A314" s="37">
        <v>44980</v>
      </c>
      <c r="B314" s="36" t="s">
        <v>3312</v>
      </c>
      <c r="C314" s="28" t="s">
        <v>2978</v>
      </c>
      <c r="D314" s="28" t="s">
        <v>2979</v>
      </c>
      <c r="E314" s="38">
        <v>3960</v>
      </c>
      <c r="F314" s="42">
        <v>61261.2</v>
      </c>
      <c r="G314" s="38">
        <v>12864.85</v>
      </c>
      <c r="H314" s="38">
        <v>78086.05</v>
      </c>
      <c r="I314" s="28" t="s">
        <v>19</v>
      </c>
      <c r="J314" s="29"/>
    </row>
    <row r="315" spans="1:10" customFormat="1" ht="15.75" hidden="1" customHeight="1" x14ac:dyDescent="0.25">
      <c r="A315" s="37">
        <v>44980</v>
      </c>
      <c r="B315" s="36" t="s">
        <v>3313</v>
      </c>
      <c r="C315" s="28" t="s">
        <v>2921</v>
      </c>
      <c r="D315" s="28" t="s">
        <v>2922</v>
      </c>
      <c r="E315" s="38">
        <v>3950</v>
      </c>
      <c r="F315" s="42">
        <v>84823.2</v>
      </c>
      <c r="G315" s="38">
        <v>17812.87</v>
      </c>
      <c r="H315" s="38">
        <v>106586.07</v>
      </c>
      <c r="I315" s="28" t="s">
        <v>19</v>
      </c>
      <c r="J315" s="29"/>
    </row>
    <row r="316" spans="1:10" customFormat="1" ht="15.75" hidden="1" customHeight="1" x14ac:dyDescent="0.25">
      <c r="A316" s="37">
        <v>44980</v>
      </c>
      <c r="B316" s="36" t="s">
        <v>3314</v>
      </c>
      <c r="C316" s="28" t="s">
        <v>3033</v>
      </c>
      <c r="D316" s="28" t="s">
        <v>3034</v>
      </c>
      <c r="E316" s="38">
        <v>3960</v>
      </c>
      <c r="F316" s="42">
        <v>47124</v>
      </c>
      <c r="G316" s="38">
        <v>9896.0400000000009</v>
      </c>
      <c r="H316" s="38">
        <v>60980.04</v>
      </c>
      <c r="I316" s="28" t="s">
        <v>19</v>
      </c>
      <c r="J316" s="29"/>
    </row>
    <row r="317" spans="1:10" customFormat="1" ht="15.75" hidden="1" customHeight="1" x14ac:dyDescent="0.25">
      <c r="A317" s="37">
        <v>44980</v>
      </c>
      <c r="B317" s="36" t="s">
        <v>3315</v>
      </c>
      <c r="C317" s="28" t="s">
        <v>3235</v>
      </c>
      <c r="D317" s="28" t="s">
        <v>3236</v>
      </c>
      <c r="E317" s="38">
        <v>5700</v>
      </c>
      <c r="F317" s="42">
        <v>47124</v>
      </c>
      <c r="G317" s="38">
        <v>9896.0400000000009</v>
      </c>
      <c r="H317" s="38">
        <v>62720.04</v>
      </c>
      <c r="I317" s="28" t="s">
        <v>19</v>
      </c>
      <c r="J317" s="29"/>
    </row>
    <row r="318" spans="1:10" customFormat="1" ht="15.75" hidden="1" customHeight="1" x14ac:dyDescent="0.25">
      <c r="A318" s="37">
        <v>44980</v>
      </c>
      <c r="B318" s="36" t="s">
        <v>3316</v>
      </c>
      <c r="C318" s="28" t="s">
        <v>2906</v>
      </c>
      <c r="D318" s="28" t="s">
        <v>2907</v>
      </c>
      <c r="E318" s="38">
        <v>3960</v>
      </c>
      <c r="F318" s="42">
        <v>47124</v>
      </c>
      <c r="G318" s="38">
        <v>9896.0400000000009</v>
      </c>
      <c r="H318" s="38">
        <v>60980.04</v>
      </c>
      <c r="I318" s="28" t="s">
        <v>19</v>
      </c>
      <c r="J318" s="29"/>
    </row>
    <row r="319" spans="1:10" customFormat="1" ht="15.75" hidden="1" customHeight="1" x14ac:dyDescent="0.25">
      <c r="A319" s="37">
        <v>44980</v>
      </c>
      <c r="B319" s="36" t="s">
        <v>3317</v>
      </c>
      <c r="C319" s="28" t="s">
        <v>2851</v>
      </c>
      <c r="D319" s="28" t="s">
        <v>2852</v>
      </c>
      <c r="E319" s="38">
        <v>3960</v>
      </c>
      <c r="F319" s="42">
        <v>47124</v>
      </c>
      <c r="G319" s="38">
        <v>9896.0400000000009</v>
      </c>
      <c r="H319" s="38">
        <v>60980.04</v>
      </c>
      <c r="I319" s="28" t="s">
        <v>19</v>
      </c>
      <c r="J319" s="29"/>
    </row>
    <row r="320" spans="1:10" customFormat="1" ht="15.75" hidden="1" customHeight="1" x14ac:dyDescent="0.25">
      <c r="A320" s="37">
        <v>44980</v>
      </c>
      <c r="B320" s="36" t="s">
        <v>3318</v>
      </c>
      <c r="C320" s="28" t="s">
        <v>2921</v>
      </c>
      <c r="D320" s="28" t="s">
        <v>2922</v>
      </c>
      <c r="E320" s="38">
        <v>3960</v>
      </c>
      <c r="F320" s="42">
        <v>94248</v>
      </c>
      <c r="G320" s="38">
        <v>19792.080000000002</v>
      </c>
      <c r="H320" s="38">
        <v>118000.08</v>
      </c>
      <c r="I320" s="28" t="s">
        <v>19</v>
      </c>
      <c r="J320" s="29"/>
    </row>
    <row r="321" spans="1:10" customFormat="1" ht="15.75" hidden="1" customHeight="1" x14ac:dyDescent="0.25">
      <c r="A321" s="37">
        <v>44980</v>
      </c>
      <c r="B321" s="36" t="s">
        <v>3319</v>
      </c>
      <c r="C321" s="28" t="s">
        <v>2903</v>
      </c>
      <c r="D321" s="28" t="s">
        <v>2904</v>
      </c>
      <c r="E321" s="38">
        <v>4690</v>
      </c>
      <c r="F321" s="42">
        <v>171600</v>
      </c>
      <c r="G321" s="38">
        <v>36036</v>
      </c>
      <c r="H321" s="38">
        <v>212326</v>
      </c>
      <c r="I321" s="28" t="s">
        <v>19</v>
      </c>
      <c r="J321" s="29"/>
    </row>
    <row r="322" spans="1:10" customFormat="1" ht="15.75" hidden="1" customHeight="1" x14ac:dyDescent="0.25">
      <c r="A322" s="37">
        <v>44980</v>
      </c>
      <c r="B322" s="36" t="s">
        <v>3320</v>
      </c>
      <c r="C322" s="28" t="s">
        <v>3096</v>
      </c>
      <c r="D322" s="28" t="s">
        <v>3097</v>
      </c>
      <c r="E322" s="38">
        <v>0</v>
      </c>
      <c r="F322" s="42">
        <v>42807.6</v>
      </c>
      <c r="G322" s="38">
        <v>8989.6</v>
      </c>
      <c r="H322" s="38">
        <v>51797.2</v>
      </c>
      <c r="I322" s="28" t="s">
        <v>19</v>
      </c>
      <c r="J322" s="29"/>
    </row>
    <row r="323" spans="1:10" customFormat="1" ht="15.75" hidden="1" customHeight="1" x14ac:dyDescent="0.25">
      <c r="A323" s="37">
        <v>44980</v>
      </c>
      <c r="B323" s="36" t="s">
        <v>3321</v>
      </c>
      <c r="C323" s="28" t="s">
        <v>2909</v>
      </c>
      <c r="D323" s="28" t="s">
        <v>2910</v>
      </c>
      <c r="E323" s="38">
        <v>5800</v>
      </c>
      <c r="F323" s="42">
        <v>90169.2</v>
      </c>
      <c r="G323" s="38">
        <v>18935.53</v>
      </c>
      <c r="H323" s="38">
        <v>114904.73</v>
      </c>
      <c r="I323" s="28" t="s">
        <v>19</v>
      </c>
      <c r="J323" s="29"/>
    </row>
    <row r="324" spans="1:10" customFormat="1" ht="15.75" hidden="1" customHeight="1" x14ac:dyDescent="0.25">
      <c r="A324" s="37">
        <v>44980</v>
      </c>
      <c r="B324" s="36" t="s">
        <v>3322</v>
      </c>
      <c r="C324" s="28" t="s">
        <v>2909</v>
      </c>
      <c r="D324" s="28" t="s">
        <v>2910</v>
      </c>
      <c r="E324" s="38">
        <v>2500</v>
      </c>
      <c r="F324" s="42">
        <v>90169.2</v>
      </c>
      <c r="G324" s="38">
        <v>18935.53</v>
      </c>
      <c r="H324" s="38">
        <v>111604.73</v>
      </c>
      <c r="I324" s="28" t="s">
        <v>19</v>
      </c>
      <c r="J324" s="29"/>
    </row>
    <row r="325" spans="1:10" customFormat="1" ht="15.75" hidden="1" customHeight="1" x14ac:dyDescent="0.25">
      <c r="A325" s="37">
        <v>44980</v>
      </c>
      <c r="B325" s="36" t="s">
        <v>3323</v>
      </c>
      <c r="C325" s="28" t="s">
        <v>2892</v>
      </c>
      <c r="D325" s="28" t="s">
        <v>2893</v>
      </c>
      <c r="E325" s="38">
        <v>0</v>
      </c>
      <c r="F325" s="42">
        <v>32788.800000000003</v>
      </c>
      <c r="G325" s="38">
        <v>6885.65</v>
      </c>
      <c r="H325" s="38">
        <v>39674.449999999997</v>
      </c>
      <c r="I325" s="28" t="s">
        <v>19</v>
      </c>
      <c r="J325" s="29"/>
    </row>
    <row r="326" spans="1:10" customFormat="1" ht="15.75" hidden="1" customHeight="1" x14ac:dyDescent="0.25">
      <c r="A326" s="37">
        <v>44980</v>
      </c>
      <c r="B326" s="36" t="s">
        <v>3324</v>
      </c>
      <c r="C326" s="28" t="s">
        <v>2945</v>
      </c>
      <c r="D326" s="28" t="s">
        <v>2946</v>
      </c>
      <c r="E326" s="38">
        <v>0</v>
      </c>
      <c r="F326" s="42">
        <v>42807.6</v>
      </c>
      <c r="G326" s="38">
        <v>8989.6</v>
      </c>
      <c r="H326" s="38">
        <v>51797.2</v>
      </c>
      <c r="I326" s="28" t="s">
        <v>19</v>
      </c>
      <c r="J326" s="29"/>
    </row>
    <row r="327" spans="1:10" customFormat="1" ht="15.75" hidden="1" customHeight="1" x14ac:dyDescent="0.25">
      <c r="A327" s="37">
        <v>44980</v>
      </c>
      <c r="B327" s="36" t="s">
        <v>3325</v>
      </c>
      <c r="C327" s="28" t="s">
        <v>3326</v>
      </c>
      <c r="D327" s="28" t="s">
        <v>3327</v>
      </c>
      <c r="E327" s="38">
        <v>0</v>
      </c>
      <c r="F327" s="42">
        <v>32788.800000000003</v>
      </c>
      <c r="G327" s="38">
        <v>6885.65</v>
      </c>
      <c r="H327" s="38">
        <v>39674.449999999997</v>
      </c>
      <c r="I327" s="28" t="s">
        <v>19</v>
      </c>
      <c r="J327" s="29"/>
    </row>
    <row r="328" spans="1:10" customFormat="1" ht="15.75" hidden="1" customHeight="1" x14ac:dyDescent="0.25">
      <c r="A328" s="37">
        <v>44980</v>
      </c>
      <c r="B328" s="36" t="s">
        <v>3328</v>
      </c>
      <c r="C328" s="28" t="s">
        <v>3041</v>
      </c>
      <c r="D328" s="28" t="s">
        <v>3042</v>
      </c>
      <c r="E328" s="38">
        <v>0</v>
      </c>
      <c r="F328" s="42">
        <v>94248</v>
      </c>
      <c r="G328" s="38">
        <v>19792.080000000002</v>
      </c>
      <c r="H328" s="38">
        <v>114040.08</v>
      </c>
      <c r="I328" s="28" t="s">
        <v>19</v>
      </c>
      <c r="J328" s="29"/>
    </row>
    <row r="329" spans="1:10" customFormat="1" ht="15.75" hidden="1" customHeight="1" x14ac:dyDescent="0.25">
      <c r="A329" s="37">
        <v>44980</v>
      </c>
      <c r="B329" s="36" t="s">
        <v>3329</v>
      </c>
      <c r="C329" s="28" t="s">
        <v>2978</v>
      </c>
      <c r="D329" s="28" t="s">
        <v>2979</v>
      </c>
      <c r="E329" s="38">
        <v>2490</v>
      </c>
      <c r="F329" s="42">
        <v>50000</v>
      </c>
      <c r="G329" s="38">
        <v>10500</v>
      </c>
      <c r="H329" s="38">
        <v>62990</v>
      </c>
      <c r="I329" s="28" t="s">
        <v>19</v>
      </c>
      <c r="J329" s="29"/>
    </row>
    <row r="330" spans="1:10" customFormat="1" ht="15.75" hidden="1" customHeight="1" x14ac:dyDescent="0.25">
      <c r="A330" s="37">
        <v>44980</v>
      </c>
      <c r="B330" s="36" t="s">
        <v>3330</v>
      </c>
      <c r="C330" s="28" t="s">
        <v>2978</v>
      </c>
      <c r="D330" s="28" t="s">
        <v>2979</v>
      </c>
      <c r="E330" s="38">
        <v>2490</v>
      </c>
      <c r="F330" s="42">
        <v>50000</v>
      </c>
      <c r="G330" s="38">
        <v>10500</v>
      </c>
      <c r="H330" s="38">
        <v>62990</v>
      </c>
      <c r="I330" s="28" t="s">
        <v>19</v>
      </c>
      <c r="J330" s="29"/>
    </row>
    <row r="331" spans="1:10" customFormat="1" ht="15.75" hidden="1" customHeight="1" x14ac:dyDescent="0.25">
      <c r="A331" s="37">
        <v>44980</v>
      </c>
      <c r="B331" s="36" t="s">
        <v>3331</v>
      </c>
      <c r="C331" s="28" t="s">
        <v>2978</v>
      </c>
      <c r="D331" s="28" t="s">
        <v>2979</v>
      </c>
      <c r="E331" s="38">
        <v>2490</v>
      </c>
      <c r="F331" s="42">
        <v>50000</v>
      </c>
      <c r="G331" s="38">
        <v>10500</v>
      </c>
      <c r="H331" s="38">
        <v>62990</v>
      </c>
      <c r="I331" s="28" t="s">
        <v>19</v>
      </c>
      <c r="J331" s="29"/>
    </row>
    <row r="332" spans="1:10" customFormat="1" ht="15.75" hidden="1" customHeight="1" x14ac:dyDescent="0.25">
      <c r="A332" s="37">
        <v>44980</v>
      </c>
      <c r="B332" s="36" t="s">
        <v>3332</v>
      </c>
      <c r="C332" s="28" t="s">
        <v>2978</v>
      </c>
      <c r="D332" s="28" t="s">
        <v>2979</v>
      </c>
      <c r="E332" s="38">
        <v>2490</v>
      </c>
      <c r="F332" s="42">
        <v>50000</v>
      </c>
      <c r="G332" s="38">
        <v>10500</v>
      </c>
      <c r="H332" s="38">
        <v>62990</v>
      </c>
      <c r="I332" s="28" t="s">
        <v>19</v>
      </c>
      <c r="J332" s="29"/>
    </row>
    <row r="333" spans="1:10" customFormat="1" ht="15.75" hidden="1" customHeight="1" x14ac:dyDescent="0.25">
      <c r="A333" s="37">
        <v>44980</v>
      </c>
      <c r="B333" s="36" t="s">
        <v>3333</v>
      </c>
      <c r="C333" s="28" t="s">
        <v>3268</v>
      </c>
      <c r="D333" s="28" t="s">
        <v>3269</v>
      </c>
      <c r="E333" s="38">
        <v>0</v>
      </c>
      <c r="F333" s="42">
        <v>90169.2</v>
      </c>
      <c r="G333" s="38">
        <v>18935.53</v>
      </c>
      <c r="H333" s="38">
        <v>109104.73</v>
      </c>
      <c r="I333" s="28" t="s">
        <v>19</v>
      </c>
      <c r="J333" s="29"/>
    </row>
    <row r="334" spans="1:10" customFormat="1" ht="15.75" hidden="1" customHeight="1" x14ac:dyDescent="0.25">
      <c r="A334" s="37">
        <v>44981</v>
      </c>
      <c r="B334" s="36" t="s">
        <v>3334</v>
      </c>
      <c r="C334" s="28" t="s">
        <v>3335</v>
      </c>
      <c r="D334" s="28" t="s">
        <v>3336</v>
      </c>
      <c r="E334" s="38">
        <v>5700</v>
      </c>
      <c r="F334" s="42">
        <v>47124</v>
      </c>
      <c r="G334" s="38">
        <v>9896.0400000000009</v>
      </c>
      <c r="H334" s="38">
        <v>62720.04</v>
      </c>
      <c r="I334" s="28" t="s">
        <v>19</v>
      </c>
      <c r="J334" s="29"/>
    </row>
    <row r="335" spans="1:10" customFormat="1" ht="15.75" hidden="1" customHeight="1" x14ac:dyDescent="0.25">
      <c r="A335" s="37">
        <v>44981</v>
      </c>
      <c r="B335" s="36" t="s">
        <v>3337</v>
      </c>
      <c r="C335" s="28" t="s">
        <v>2906</v>
      </c>
      <c r="D335" s="28" t="s">
        <v>2907</v>
      </c>
      <c r="E335" s="38">
        <v>2490</v>
      </c>
      <c r="F335" s="42">
        <v>50000</v>
      </c>
      <c r="G335" s="38">
        <v>10500</v>
      </c>
      <c r="H335" s="38">
        <v>62990</v>
      </c>
      <c r="I335" s="28" t="s">
        <v>19</v>
      </c>
      <c r="J335" s="29"/>
    </row>
    <row r="336" spans="1:10" customFormat="1" ht="15.75" hidden="1" customHeight="1" x14ac:dyDescent="0.25">
      <c r="A336" s="37">
        <v>44981</v>
      </c>
      <c r="B336" s="36" t="s">
        <v>3338</v>
      </c>
      <c r="C336" s="28" t="s">
        <v>2906</v>
      </c>
      <c r="D336" s="28" t="s">
        <v>2907</v>
      </c>
      <c r="E336" s="38">
        <v>2490</v>
      </c>
      <c r="F336" s="42">
        <v>50000</v>
      </c>
      <c r="G336" s="38">
        <v>10500</v>
      </c>
      <c r="H336" s="38">
        <v>62990</v>
      </c>
      <c r="I336" s="28" t="s">
        <v>19</v>
      </c>
      <c r="J336" s="29"/>
    </row>
    <row r="337" spans="1:10" customFormat="1" ht="15.75" hidden="1" customHeight="1" x14ac:dyDescent="0.25">
      <c r="A337" s="37">
        <v>44981</v>
      </c>
      <c r="B337" s="36" t="s">
        <v>3339</v>
      </c>
      <c r="C337" s="28" t="s">
        <v>2972</v>
      </c>
      <c r="D337" s="28" t="s">
        <v>2973</v>
      </c>
      <c r="E337" s="38">
        <v>5700</v>
      </c>
      <c r="F337" s="42">
        <v>70686</v>
      </c>
      <c r="G337" s="38">
        <v>14844.06</v>
      </c>
      <c r="H337" s="38">
        <v>91230.06</v>
      </c>
      <c r="I337" s="28" t="s">
        <v>19</v>
      </c>
      <c r="J337" s="29"/>
    </row>
    <row r="338" spans="1:10" customFormat="1" ht="15.75" hidden="1" customHeight="1" x14ac:dyDescent="0.25">
      <c r="A338" s="37">
        <v>44981</v>
      </c>
      <c r="B338" s="36" t="s">
        <v>3340</v>
      </c>
      <c r="C338" s="28" t="s">
        <v>3014</v>
      </c>
      <c r="D338" s="28" t="s">
        <v>3015</v>
      </c>
      <c r="E338" s="38">
        <v>0</v>
      </c>
      <c r="F338" s="42">
        <v>180338.4</v>
      </c>
      <c r="G338" s="38">
        <v>37871.06</v>
      </c>
      <c r="H338" s="38">
        <v>218209.46</v>
      </c>
      <c r="I338" s="28" t="s">
        <v>19</v>
      </c>
      <c r="J338" s="29"/>
    </row>
    <row r="339" spans="1:10" customFormat="1" ht="15.75" hidden="1" customHeight="1" x14ac:dyDescent="0.25">
      <c r="A339" s="37">
        <v>44981</v>
      </c>
      <c r="B339" s="36" t="s">
        <v>3341</v>
      </c>
      <c r="C339" s="28" t="s">
        <v>2909</v>
      </c>
      <c r="D339" s="28" t="s">
        <v>2910</v>
      </c>
      <c r="E339" s="38">
        <v>5800</v>
      </c>
      <c r="F339" s="42">
        <v>60112.800000000003</v>
      </c>
      <c r="G339" s="38">
        <v>12623.69</v>
      </c>
      <c r="H339" s="38">
        <v>78536.490000000005</v>
      </c>
      <c r="I339" s="28" t="s">
        <v>19</v>
      </c>
      <c r="J339" s="29"/>
    </row>
    <row r="340" spans="1:10" customFormat="1" ht="15.75" hidden="1" customHeight="1" x14ac:dyDescent="0.25">
      <c r="A340" s="37">
        <v>44981</v>
      </c>
      <c r="B340" s="36" t="s">
        <v>3342</v>
      </c>
      <c r="C340" s="28" t="s">
        <v>2909</v>
      </c>
      <c r="D340" s="28" t="s">
        <v>2910</v>
      </c>
      <c r="E340" s="38">
        <v>6500</v>
      </c>
      <c r="F340" s="42">
        <v>90169.2</v>
      </c>
      <c r="G340" s="38">
        <v>18935.53</v>
      </c>
      <c r="H340" s="38">
        <v>115604.73</v>
      </c>
      <c r="I340" s="28" t="s">
        <v>19</v>
      </c>
      <c r="J340" s="29"/>
    </row>
    <row r="341" spans="1:10" customFormat="1" ht="15.75" hidden="1" customHeight="1" x14ac:dyDescent="0.25">
      <c r="A341" s="37">
        <v>44981</v>
      </c>
      <c r="B341" s="36" t="s">
        <v>3343</v>
      </c>
      <c r="C341" s="28" t="s">
        <v>3235</v>
      </c>
      <c r="D341" s="28" t="s">
        <v>3236</v>
      </c>
      <c r="E341" s="38">
        <v>6500</v>
      </c>
      <c r="F341" s="42">
        <v>64620</v>
      </c>
      <c r="G341" s="38">
        <v>13570.2</v>
      </c>
      <c r="H341" s="38">
        <v>84690.2</v>
      </c>
      <c r="I341" s="28" t="s">
        <v>19</v>
      </c>
      <c r="J341" s="29"/>
    </row>
    <row r="342" spans="1:10" customFormat="1" ht="15.75" hidden="1" customHeight="1" x14ac:dyDescent="0.25">
      <c r="A342" s="37">
        <v>44981</v>
      </c>
      <c r="B342" s="36" t="s">
        <v>3344</v>
      </c>
      <c r="C342" s="28" t="s">
        <v>2945</v>
      </c>
      <c r="D342" s="28" t="s">
        <v>2946</v>
      </c>
      <c r="E342" s="38">
        <v>4070</v>
      </c>
      <c r="F342" s="42">
        <v>67300</v>
      </c>
      <c r="G342" s="38">
        <v>14133</v>
      </c>
      <c r="H342" s="38">
        <v>85503</v>
      </c>
      <c r="I342" s="28" t="s">
        <v>19</v>
      </c>
      <c r="J342" s="29"/>
    </row>
    <row r="343" spans="1:10" customFormat="1" ht="15.75" hidden="1" customHeight="1" x14ac:dyDescent="0.25">
      <c r="A343" s="37">
        <v>44981</v>
      </c>
      <c r="B343" s="36" t="s">
        <v>3345</v>
      </c>
      <c r="C343" s="28" t="s">
        <v>3346</v>
      </c>
      <c r="D343" s="28" t="s">
        <v>3347</v>
      </c>
      <c r="E343" s="38">
        <v>6500</v>
      </c>
      <c r="F343" s="42">
        <v>90169.2</v>
      </c>
      <c r="G343" s="38">
        <v>18935.53</v>
      </c>
      <c r="H343" s="38">
        <v>115604.73</v>
      </c>
      <c r="I343" s="28" t="s">
        <v>19</v>
      </c>
      <c r="J343" s="29"/>
    </row>
    <row r="344" spans="1:10" customFormat="1" ht="15.75" hidden="1" customHeight="1" x14ac:dyDescent="0.25">
      <c r="A344" s="37">
        <v>44981</v>
      </c>
      <c r="B344" s="36" t="s">
        <v>3348</v>
      </c>
      <c r="C344" s="28" t="s">
        <v>3268</v>
      </c>
      <c r="D344" s="28" t="s">
        <v>3269</v>
      </c>
      <c r="E344" s="38">
        <v>0</v>
      </c>
      <c r="F344" s="42">
        <v>90169.2</v>
      </c>
      <c r="G344" s="38">
        <v>18935.53</v>
      </c>
      <c r="H344" s="38">
        <v>109104.73</v>
      </c>
      <c r="I344" s="28" t="s">
        <v>19</v>
      </c>
      <c r="J344" s="29"/>
    </row>
    <row r="345" spans="1:10" customFormat="1" ht="15.75" hidden="1" customHeight="1" x14ac:dyDescent="0.25">
      <c r="A345" s="37">
        <v>44981</v>
      </c>
      <c r="B345" s="36" t="s">
        <v>3349</v>
      </c>
      <c r="C345" s="28" t="s">
        <v>3241</v>
      </c>
      <c r="D345" s="28" t="s">
        <v>3242</v>
      </c>
      <c r="E345" s="38">
        <v>2490</v>
      </c>
      <c r="F345" s="42">
        <v>50000</v>
      </c>
      <c r="G345" s="38">
        <v>10500</v>
      </c>
      <c r="H345" s="38">
        <v>62990</v>
      </c>
      <c r="I345" s="28" t="s">
        <v>19</v>
      </c>
      <c r="J345" s="29"/>
    </row>
    <row r="346" spans="1:10" customFormat="1" ht="15.75" hidden="1" customHeight="1" x14ac:dyDescent="0.25">
      <c r="A346" s="40">
        <v>44981</v>
      </c>
      <c r="B346" s="41" t="s">
        <v>3350</v>
      </c>
      <c r="C346" s="41" t="s">
        <v>3272</v>
      </c>
      <c r="D346" s="41" t="s">
        <v>3273</v>
      </c>
      <c r="E346" s="39">
        <v>4980</v>
      </c>
      <c r="F346" s="42">
        <v>100000</v>
      </c>
      <c r="G346" s="39">
        <v>21000</v>
      </c>
      <c r="H346" s="39">
        <v>125980</v>
      </c>
      <c r="I346" s="41" t="s">
        <v>19</v>
      </c>
      <c r="J346" s="11"/>
    </row>
    <row r="347" spans="1:10" customFormat="1" ht="15.75" hidden="1" customHeight="1" x14ac:dyDescent="0.25">
      <c r="A347" s="37">
        <v>44981</v>
      </c>
      <c r="B347" s="36" t="s">
        <v>3351</v>
      </c>
      <c r="C347" s="28" t="s">
        <v>2906</v>
      </c>
      <c r="D347" s="28" t="s">
        <v>2907</v>
      </c>
      <c r="E347" s="38">
        <v>4980</v>
      </c>
      <c r="F347" s="42">
        <v>122000</v>
      </c>
      <c r="G347" s="38">
        <v>25620</v>
      </c>
      <c r="H347" s="38">
        <v>152600</v>
      </c>
      <c r="I347" s="28" t="s">
        <v>19</v>
      </c>
      <c r="J347" s="29"/>
    </row>
    <row r="348" spans="1:10" customFormat="1" ht="15.75" hidden="1" customHeight="1" x14ac:dyDescent="0.25">
      <c r="A348" s="37">
        <v>44981</v>
      </c>
      <c r="B348" s="36" t="s">
        <v>3352</v>
      </c>
      <c r="C348" s="28" t="s">
        <v>3346</v>
      </c>
      <c r="D348" s="28" t="s">
        <v>3347</v>
      </c>
      <c r="E348" s="38">
        <v>0</v>
      </c>
      <c r="F348" s="42">
        <v>235620</v>
      </c>
      <c r="G348" s="38">
        <v>49480.2</v>
      </c>
      <c r="H348" s="38">
        <v>285100.2</v>
      </c>
      <c r="I348" s="28" t="s">
        <v>19</v>
      </c>
      <c r="J348" s="29"/>
    </row>
    <row r="349" spans="1:10" customFormat="1" ht="15.75" hidden="1" customHeight="1" x14ac:dyDescent="0.25">
      <c r="A349" s="37">
        <v>44981</v>
      </c>
      <c r="B349" s="36" t="s">
        <v>3353</v>
      </c>
      <c r="C349" s="28" t="s">
        <v>3354</v>
      </c>
      <c r="D349" s="28" t="s">
        <v>3355</v>
      </c>
      <c r="E349" s="38">
        <v>0</v>
      </c>
      <c r="F349" s="42">
        <v>32788.800000000003</v>
      </c>
      <c r="G349" s="38">
        <v>6885.65</v>
      </c>
      <c r="H349" s="38">
        <v>39674.449999999997</v>
      </c>
      <c r="I349" s="28" t="s">
        <v>19</v>
      </c>
      <c r="J349" s="29"/>
    </row>
    <row r="350" spans="1:10" customFormat="1" ht="15.75" hidden="1" customHeight="1" x14ac:dyDescent="0.25">
      <c r="A350" s="37">
        <v>44981</v>
      </c>
      <c r="B350" s="36" t="s">
        <v>3356</v>
      </c>
      <c r="C350" s="28" t="s">
        <v>2954</v>
      </c>
      <c r="D350" s="28" t="s">
        <v>2955</v>
      </c>
      <c r="E350" s="38">
        <v>0</v>
      </c>
      <c r="F350" s="42">
        <v>42807.6</v>
      </c>
      <c r="G350" s="38">
        <v>8989.6</v>
      </c>
      <c r="H350" s="38">
        <v>51797.2</v>
      </c>
      <c r="I350" s="28" t="s">
        <v>19</v>
      </c>
      <c r="J350" s="29"/>
    </row>
    <row r="351" spans="1:10" customFormat="1" ht="15.75" hidden="1" customHeight="1" x14ac:dyDescent="0.25">
      <c r="A351" s="37">
        <v>44981</v>
      </c>
      <c r="B351" s="36" t="s">
        <v>3357</v>
      </c>
      <c r="C351" s="28" t="s">
        <v>3358</v>
      </c>
      <c r="D351" s="28" t="s">
        <v>3359</v>
      </c>
      <c r="E351" s="38">
        <v>0</v>
      </c>
      <c r="F351" s="42">
        <v>141372</v>
      </c>
      <c r="G351" s="38">
        <v>29688.12</v>
      </c>
      <c r="H351" s="38">
        <v>171060.12</v>
      </c>
      <c r="I351" s="28" t="s">
        <v>19</v>
      </c>
      <c r="J351" s="29"/>
    </row>
    <row r="352" spans="1:10" customFormat="1" ht="15.75" hidden="1" customHeight="1" x14ac:dyDescent="0.25">
      <c r="A352" s="37">
        <v>44981</v>
      </c>
      <c r="B352" s="36" t="s">
        <v>3360</v>
      </c>
      <c r="C352" s="28" t="s">
        <v>2909</v>
      </c>
      <c r="D352" s="28" t="s">
        <v>2910</v>
      </c>
      <c r="E352" s="38">
        <v>0</v>
      </c>
      <c r="F352" s="42">
        <v>23000</v>
      </c>
      <c r="G352" s="38">
        <v>4830</v>
      </c>
      <c r="H352" s="38">
        <v>27830</v>
      </c>
      <c r="I352" s="28" t="s">
        <v>19</v>
      </c>
      <c r="J352" s="29"/>
    </row>
    <row r="353" spans="1:10" customFormat="1" ht="15.75" hidden="1" customHeight="1" x14ac:dyDescent="0.25">
      <c r="A353" s="37">
        <v>44981</v>
      </c>
      <c r="B353" s="36" t="s">
        <v>3361</v>
      </c>
      <c r="C353" s="28" t="s">
        <v>2942</v>
      </c>
      <c r="D353" s="28" t="s">
        <v>2943</v>
      </c>
      <c r="E353" s="38">
        <v>0</v>
      </c>
      <c r="F353" s="42">
        <v>70686</v>
      </c>
      <c r="G353" s="38">
        <v>14844.06</v>
      </c>
      <c r="H353" s="38">
        <v>85530.06</v>
      </c>
      <c r="I353" s="28" t="s">
        <v>19</v>
      </c>
      <c r="J353" s="29"/>
    </row>
    <row r="354" spans="1:10" customFormat="1" ht="15.75" hidden="1" customHeight="1" x14ac:dyDescent="0.25">
      <c r="A354" s="37">
        <v>44981</v>
      </c>
      <c r="B354" s="36" t="s">
        <v>3362</v>
      </c>
      <c r="C354" s="28" t="s">
        <v>3241</v>
      </c>
      <c r="D354" s="28" t="s">
        <v>3242</v>
      </c>
      <c r="E354" s="38">
        <v>0</v>
      </c>
      <c r="F354" s="42">
        <v>94248</v>
      </c>
      <c r="G354" s="38">
        <v>19792.080000000002</v>
      </c>
      <c r="H354" s="38">
        <v>114040.08</v>
      </c>
      <c r="I354" s="28" t="s">
        <v>19</v>
      </c>
      <c r="J354" s="29"/>
    </row>
    <row r="355" spans="1:10" customFormat="1" ht="15.75" hidden="1" customHeight="1" x14ac:dyDescent="0.25">
      <c r="A355" s="37">
        <v>44981</v>
      </c>
      <c r="B355" s="36" t="s">
        <v>3363</v>
      </c>
      <c r="C355" s="28" t="s">
        <v>3241</v>
      </c>
      <c r="D355" s="28" t="s">
        <v>3242</v>
      </c>
      <c r="E355" s="38">
        <v>5700</v>
      </c>
      <c r="F355" s="42">
        <v>47124</v>
      </c>
      <c r="G355" s="38">
        <v>9896.0400000000009</v>
      </c>
      <c r="H355" s="38">
        <v>62720.04</v>
      </c>
      <c r="I355" s="28" t="s">
        <v>19</v>
      </c>
      <c r="J355" s="29"/>
    </row>
    <row r="356" spans="1:10" customFormat="1" ht="15.75" hidden="1" customHeight="1" x14ac:dyDescent="0.25">
      <c r="A356" s="37">
        <v>44981</v>
      </c>
      <c r="B356" s="36" t="s">
        <v>3364</v>
      </c>
      <c r="C356" s="28" t="s">
        <v>2960</v>
      </c>
      <c r="D356" s="28" t="s">
        <v>2961</v>
      </c>
      <c r="E356" s="38">
        <v>7470</v>
      </c>
      <c r="F356" s="42">
        <v>225000</v>
      </c>
      <c r="G356" s="38">
        <v>47250</v>
      </c>
      <c r="H356" s="38">
        <v>279720</v>
      </c>
      <c r="I356" s="28" t="s">
        <v>19</v>
      </c>
      <c r="J356" s="29"/>
    </row>
    <row r="357" spans="1:10" customFormat="1" ht="15.75" hidden="1" customHeight="1" x14ac:dyDescent="0.25">
      <c r="A357" s="37">
        <v>44981</v>
      </c>
      <c r="B357" s="36" t="s">
        <v>3365</v>
      </c>
      <c r="C357" s="28" t="s">
        <v>2903</v>
      </c>
      <c r="D357" s="28" t="s">
        <v>2904</v>
      </c>
      <c r="E357" s="38">
        <v>5700</v>
      </c>
      <c r="F357" s="42">
        <v>47124</v>
      </c>
      <c r="G357" s="38">
        <v>9896.0400000000009</v>
      </c>
      <c r="H357" s="38">
        <v>62720.04</v>
      </c>
      <c r="I357" s="28" t="s">
        <v>19</v>
      </c>
      <c r="J357" s="29"/>
    </row>
    <row r="358" spans="1:10" customFormat="1" ht="15.75" hidden="1" customHeight="1" x14ac:dyDescent="0.25">
      <c r="A358" s="37">
        <v>44981</v>
      </c>
      <c r="B358" s="36" t="s">
        <v>3366</v>
      </c>
      <c r="C358" s="28" t="s">
        <v>2856</v>
      </c>
      <c r="D358" s="28" t="s">
        <v>2857</v>
      </c>
      <c r="E358" s="38">
        <v>0</v>
      </c>
      <c r="F358" s="42">
        <v>19000</v>
      </c>
      <c r="G358" s="38">
        <v>3990</v>
      </c>
      <c r="H358" s="38">
        <v>22990</v>
      </c>
      <c r="I358" s="28" t="s">
        <v>19</v>
      </c>
      <c r="J358" s="29"/>
    </row>
    <row r="359" spans="1:10" customFormat="1" ht="15.75" hidden="1" customHeight="1" x14ac:dyDescent="0.25">
      <c r="A359" s="37">
        <v>44981</v>
      </c>
      <c r="B359" s="36" t="s">
        <v>3367</v>
      </c>
      <c r="C359" s="28" t="s">
        <v>2954</v>
      </c>
      <c r="D359" s="28" t="s">
        <v>2955</v>
      </c>
      <c r="E359" s="38">
        <v>0</v>
      </c>
      <c r="F359" s="42">
        <v>120225.60000000001</v>
      </c>
      <c r="G359" s="38">
        <v>25247.38</v>
      </c>
      <c r="H359" s="38">
        <v>145472.98000000001</v>
      </c>
      <c r="I359" s="28" t="s">
        <v>19</v>
      </c>
      <c r="J359" s="29"/>
    </row>
    <row r="360" spans="1:10" customFormat="1" ht="15.75" hidden="1" customHeight="1" x14ac:dyDescent="0.25">
      <c r="A360" s="37">
        <v>44981</v>
      </c>
      <c r="B360" s="36" t="s">
        <v>3368</v>
      </c>
      <c r="C360" s="28" t="s">
        <v>3238</v>
      </c>
      <c r="D360" s="28" t="s">
        <v>3239</v>
      </c>
      <c r="E360" s="38">
        <v>4740</v>
      </c>
      <c r="F360" s="42">
        <v>113250</v>
      </c>
      <c r="G360" s="38">
        <v>23782.5</v>
      </c>
      <c r="H360" s="38">
        <v>141772.5</v>
      </c>
      <c r="I360" s="28" t="s">
        <v>19</v>
      </c>
      <c r="J360" s="29"/>
    </row>
    <row r="361" spans="1:10" customFormat="1" ht="15.75" hidden="1" customHeight="1" x14ac:dyDescent="0.25">
      <c r="A361" s="40">
        <v>44981</v>
      </c>
      <c r="B361" s="41" t="s">
        <v>3369</v>
      </c>
      <c r="C361" s="41" t="s">
        <v>3272</v>
      </c>
      <c r="D361" s="41" t="s">
        <v>3273</v>
      </c>
      <c r="E361" s="39">
        <v>11552</v>
      </c>
      <c r="F361" s="42">
        <v>134600</v>
      </c>
      <c r="G361" s="39">
        <v>28266</v>
      </c>
      <c r="H361" s="39">
        <v>174418</v>
      </c>
      <c r="I361" s="41" t="s">
        <v>19</v>
      </c>
      <c r="J361" s="11"/>
    </row>
    <row r="362" spans="1:10" customFormat="1" ht="15.75" hidden="1" customHeight="1" x14ac:dyDescent="0.25">
      <c r="A362" s="37">
        <v>44981</v>
      </c>
      <c r="B362" s="36" t="s">
        <v>3370</v>
      </c>
      <c r="C362" s="28" t="s">
        <v>3276</v>
      </c>
      <c r="D362" s="28" t="s">
        <v>3277</v>
      </c>
      <c r="E362" s="38">
        <v>0</v>
      </c>
      <c r="F362" s="42">
        <v>94248</v>
      </c>
      <c r="G362" s="38">
        <v>19792.080000000002</v>
      </c>
      <c r="H362" s="38">
        <v>114040.08</v>
      </c>
      <c r="I362" s="28" t="s">
        <v>19</v>
      </c>
      <c r="J362" s="29"/>
    </row>
    <row r="363" spans="1:10" customFormat="1" ht="15.75" hidden="1" customHeight="1" x14ac:dyDescent="0.25">
      <c r="A363" s="37">
        <v>44981</v>
      </c>
      <c r="B363" s="36" t="s">
        <v>3371</v>
      </c>
      <c r="C363" s="28" t="s">
        <v>2870</v>
      </c>
      <c r="D363" s="28" t="s">
        <v>2871</v>
      </c>
      <c r="E363" s="38">
        <v>4980</v>
      </c>
      <c r="F363" s="42">
        <v>61000</v>
      </c>
      <c r="G363" s="38">
        <v>12810</v>
      </c>
      <c r="H363" s="38">
        <v>78790</v>
      </c>
      <c r="I363" s="28" t="s">
        <v>19</v>
      </c>
      <c r="J363" s="29"/>
    </row>
    <row r="364" spans="1:10" customFormat="1" ht="15.75" hidden="1" customHeight="1" x14ac:dyDescent="0.25">
      <c r="A364" s="37">
        <v>44981</v>
      </c>
      <c r="B364" s="36" t="s">
        <v>3372</v>
      </c>
      <c r="C364" s="28" t="s">
        <v>3373</v>
      </c>
      <c r="D364" s="28" t="s">
        <v>3374</v>
      </c>
      <c r="E364" s="38">
        <v>0</v>
      </c>
      <c r="F364" s="42">
        <v>60112.800000000003</v>
      </c>
      <c r="G364" s="38">
        <v>12623.69</v>
      </c>
      <c r="H364" s="38">
        <v>72736.490000000005</v>
      </c>
      <c r="I364" s="28" t="s">
        <v>19</v>
      </c>
      <c r="J364" s="29"/>
    </row>
    <row r="365" spans="1:10" customFormat="1" ht="15.75" hidden="1" customHeight="1" x14ac:dyDescent="0.25">
      <c r="A365" s="37">
        <v>44981</v>
      </c>
      <c r="B365" s="36" t="s">
        <v>3375</v>
      </c>
      <c r="C365" s="28" t="s">
        <v>2906</v>
      </c>
      <c r="D365" s="28" t="s">
        <v>2907</v>
      </c>
      <c r="E365" s="38">
        <v>0</v>
      </c>
      <c r="F365" s="42">
        <v>47124</v>
      </c>
      <c r="G365" s="38">
        <v>9896.0400000000009</v>
      </c>
      <c r="H365" s="38">
        <v>57020.04</v>
      </c>
      <c r="I365" s="28" t="s">
        <v>19</v>
      </c>
      <c r="J365" s="29"/>
    </row>
    <row r="366" spans="1:10" customFormat="1" ht="15.75" hidden="1" customHeight="1" x14ac:dyDescent="0.25">
      <c r="A366" s="37">
        <v>44981</v>
      </c>
      <c r="B366" s="36" t="s">
        <v>3376</v>
      </c>
      <c r="C366" s="28" t="s">
        <v>2906</v>
      </c>
      <c r="D366" s="28" t="s">
        <v>2907</v>
      </c>
      <c r="E366" s="38">
        <v>0</v>
      </c>
      <c r="F366" s="42">
        <v>47124</v>
      </c>
      <c r="G366" s="38">
        <v>9896.0400000000009</v>
      </c>
      <c r="H366" s="38">
        <v>57020.04</v>
      </c>
      <c r="I366" s="28" t="s">
        <v>19</v>
      </c>
      <c r="J366" s="29"/>
    </row>
    <row r="367" spans="1:10" customFormat="1" ht="15.75" hidden="1" customHeight="1" x14ac:dyDescent="0.25">
      <c r="A367" s="37">
        <v>44984</v>
      </c>
      <c r="B367" s="28" t="s">
        <v>3377</v>
      </c>
      <c r="C367" s="28" t="s">
        <v>3160</v>
      </c>
      <c r="D367" s="28" t="s">
        <v>3161</v>
      </c>
      <c r="E367" s="38">
        <v>0</v>
      </c>
      <c r="F367" s="42">
        <v>945000</v>
      </c>
      <c r="G367" s="38">
        <v>198450</v>
      </c>
      <c r="H367" s="38">
        <v>1143450</v>
      </c>
      <c r="I367" s="28" t="s">
        <v>19</v>
      </c>
      <c r="J367" s="29"/>
    </row>
    <row r="368" spans="1:10" customFormat="1" ht="15.75" hidden="1" customHeight="1" x14ac:dyDescent="0.25">
      <c r="A368" s="37">
        <v>44984</v>
      </c>
      <c r="B368" s="36" t="s">
        <v>3378</v>
      </c>
      <c r="C368" s="28" t="s">
        <v>3029</v>
      </c>
      <c r="D368" s="28" t="s">
        <v>3030</v>
      </c>
      <c r="E368" s="38">
        <v>0</v>
      </c>
      <c r="F368" s="42">
        <v>47124</v>
      </c>
      <c r="G368" s="38">
        <v>9896.0400000000009</v>
      </c>
      <c r="H368" s="38">
        <v>57020.04</v>
      </c>
      <c r="I368" s="28" t="s">
        <v>19</v>
      </c>
      <c r="J368" s="29"/>
    </row>
    <row r="369" spans="1:10" customFormat="1" ht="15.75" hidden="1" customHeight="1" x14ac:dyDescent="0.25">
      <c r="A369" s="37">
        <v>44984</v>
      </c>
      <c r="B369" s="36" t="s">
        <v>3379</v>
      </c>
      <c r="C369" s="28" t="s">
        <v>2978</v>
      </c>
      <c r="D369" s="28" t="s">
        <v>2979</v>
      </c>
      <c r="E369" s="38">
        <v>0</v>
      </c>
      <c r="F369" s="42">
        <v>47124</v>
      </c>
      <c r="G369" s="38">
        <v>9896.0400000000009</v>
      </c>
      <c r="H369" s="38">
        <v>57020.04</v>
      </c>
      <c r="I369" s="28" t="s">
        <v>19</v>
      </c>
      <c r="J369" s="29"/>
    </row>
    <row r="370" spans="1:10" customFormat="1" ht="15.75" hidden="1" customHeight="1" x14ac:dyDescent="0.25">
      <c r="A370" s="37">
        <v>44984</v>
      </c>
      <c r="B370" s="36" t="s">
        <v>3380</v>
      </c>
      <c r="C370" s="28" t="s">
        <v>2972</v>
      </c>
      <c r="D370" s="28" t="s">
        <v>2973</v>
      </c>
      <c r="E370" s="38">
        <v>0</v>
      </c>
      <c r="F370" s="42">
        <v>90169.2</v>
      </c>
      <c r="G370" s="38">
        <v>18935.53</v>
      </c>
      <c r="H370" s="38">
        <v>109104.73</v>
      </c>
      <c r="I370" s="28" t="s">
        <v>19</v>
      </c>
      <c r="J370" s="29"/>
    </row>
    <row r="371" spans="1:10" customFormat="1" ht="15.75" hidden="1" customHeight="1" x14ac:dyDescent="0.25">
      <c r="A371" s="37">
        <v>44984</v>
      </c>
      <c r="B371" s="36" t="s">
        <v>3381</v>
      </c>
      <c r="C371" s="28" t="s">
        <v>2972</v>
      </c>
      <c r="D371" s="28" t="s">
        <v>2973</v>
      </c>
      <c r="E371" s="38">
        <v>0</v>
      </c>
      <c r="F371" s="42">
        <v>90169.2</v>
      </c>
      <c r="G371" s="38">
        <v>18935.53</v>
      </c>
      <c r="H371" s="38">
        <v>109104.73</v>
      </c>
      <c r="I371" s="28" t="s">
        <v>19</v>
      </c>
      <c r="J371" s="29"/>
    </row>
    <row r="372" spans="1:10" customFormat="1" ht="15.75" hidden="1" customHeight="1" x14ac:dyDescent="0.25">
      <c r="A372" s="37">
        <v>44984</v>
      </c>
      <c r="B372" s="36" t="s">
        <v>3382</v>
      </c>
      <c r="C372" s="28" t="s">
        <v>3383</v>
      </c>
      <c r="D372" s="28" t="s">
        <v>3384</v>
      </c>
      <c r="E372" s="38">
        <v>0</v>
      </c>
      <c r="F372" s="42">
        <v>42807.6</v>
      </c>
      <c r="G372" s="38">
        <v>8989.6</v>
      </c>
      <c r="H372" s="38">
        <v>51797.2</v>
      </c>
      <c r="I372" s="28" t="s">
        <v>19</v>
      </c>
      <c r="J372" s="29"/>
    </row>
    <row r="373" spans="1:10" customFormat="1" ht="15.75" hidden="1" customHeight="1" x14ac:dyDescent="0.25">
      <c r="A373" s="37">
        <v>44984</v>
      </c>
      <c r="B373" s="36" t="s">
        <v>3385</v>
      </c>
      <c r="C373" s="28" t="s">
        <v>3386</v>
      </c>
      <c r="D373" s="28" t="s">
        <v>3387</v>
      </c>
      <c r="E373" s="38">
        <v>0</v>
      </c>
      <c r="F373" s="42">
        <v>94248</v>
      </c>
      <c r="G373" s="38">
        <v>19792.080000000002</v>
      </c>
      <c r="H373" s="38">
        <v>114040.08</v>
      </c>
      <c r="I373" s="28" t="s">
        <v>19</v>
      </c>
      <c r="J373" s="29"/>
    </row>
    <row r="374" spans="1:10" customFormat="1" ht="15.75" hidden="1" customHeight="1" x14ac:dyDescent="0.25">
      <c r="A374" s="37">
        <v>44985</v>
      </c>
      <c r="B374" s="36" t="s">
        <v>3388</v>
      </c>
      <c r="C374" s="28" t="s">
        <v>3268</v>
      </c>
      <c r="D374" s="28" t="s">
        <v>3269</v>
      </c>
      <c r="E374" s="38">
        <v>0</v>
      </c>
      <c r="F374" s="42">
        <v>120225.60000000001</v>
      </c>
      <c r="G374" s="38">
        <v>25247.38</v>
      </c>
      <c r="H374" s="38">
        <v>145472.98000000001</v>
      </c>
      <c r="I374" s="28" t="s">
        <v>19</v>
      </c>
      <c r="J374" s="29"/>
    </row>
    <row r="375" spans="1:10" customFormat="1" ht="15.75" hidden="1" customHeight="1" x14ac:dyDescent="0.25">
      <c r="A375" s="37">
        <v>44985</v>
      </c>
      <c r="B375" s="36" t="s">
        <v>3389</v>
      </c>
      <c r="C375" s="28" t="s">
        <v>2942</v>
      </c>
      <c r="D375" s="28" t="s">
        <v>2943</v>
      </c>
      <c r="E375" s="38">
        <v>0</v>
      </c>
      <c r="F375" s="42">
        <v>32788.800000000003</v>
      </c>
      <c r="G375" s="38">
        <v>6885.65</v>
      </c>
      <c r="H375" s="38">
        <v>39674.449999999997</v>
      </c>
      <c r="I375" s="28" t="s">
        <v>19</v>
      </c>
      <c r="J375" s="29"/>
    </row>
    <row r="376" spans="1:10" customFormat="1" ht="15.75" hidden="1" customHeight="1" x14ac:dyDescent="0.25">
      <c r="A376" s="37">
        <v>44985</v>
      </c>
      <c r="B376" s="36" t="s">
        <v>3390</v>
      </c>
      <c r="C376" s="28" t="s">
        <v>2942</v>
      </c>
      <c r="D376" s="28" t="s">
        <v>2943</v>
      </c>
      <c r="E376" s="38">
        <v>0</v>
      </c>
      <c r="F376" s="42">
        <v>47124</v>
      </c>
      <c r="G376" s="38">
        <v>9896.0400000000009</v>
      </c>
      <c r="H376" s="38">
        <v>57020.04</v>
      </c>
      <c r="I376" s="28" t="s">
        <v>19</v>
      </c>
      <c r="J376" s="29"/>
    </row>
    <row r="377" spans="1:10" customFormat="1" ht="15.75" hidden="1" customHeight="1" x14ac:dyDescent="0.25">
      <c r="A377" s="37">
        <v>44985</v>
      </c>
      <c r="B377" s="36" t="s">
        <v>3391</v>
      </c>
      <c r="C377" s="28" t="s">
        <v>2870</v>
      </c>
      <c r="D377" s="28" t="s">
        <v>2871</v>
      </c>
      <c r="E377" s="38">
        <v>0</v>
      </c>
      <c r="F377" s="42">
        <v>47124</v>
      </c>
      <c r="G377" s="38">
        <v>9896.0400000000009</v>
      </c>
      <c r="H377" s="38">
        <v>57020.04</v>
      </c>
      <c r="I377" s="28" t="s">
        <v>19</v>
      </c>
      <c r="J377" s="29"/>
    </row>
    <row r="378" spans="1:10" customFormat="1" ht="15.75" hidden="1" customHeight="1" x14ac:dyDescent="0.25">
      <c r="A378" s="37">
        <v>44985</v>
      </c>
      <c r="B378" s="36" t="s">
        <v>3392</v>
      </c>
      <c r="C378" s="28" t="s">
        <v>2972</v>
      </c>
      <c r="D378" s="28" t="s">
        <v>2973</v>
      </c>
      <c r="E378" s="38">
        <v>0</v>
      </c>
      <c r="F378" s="42">
        <v>47124</v>
      </c>
      <c r="G378" s="38">
        <v>9896.0400000000009</v>
      </c>
      <c r="H378" s="38">
        <v>57020.04</v>
      </c>
      <c r="I378" s="28" t="s">
        <v>19</v>
      </c>
      <c r="J378" s="29"/>
    </row>
    <row r="379" spans="1:10" customFormat="1" ht="15.75" hidden="1" customHeight="1" x14ac:dyDescent="0.25">
      <c r="A379" s="37">
        <v>44985</v>
      </c>
      <c r="B379" s="36" t="s">
        <v>3393</v>
      </c>
      <c r="C379" s="28" t="s">
        <v>2972</v>
      </c>
      <c r="D379" s="28" t="s">
        <v>2973</v>
      </c>
      <c r="E379" s="38">
        <v>0</v>
      </c>
      <c r="F379" s="42">
        <v>120225.60000000001</v>
      </c>
      <c r="G379" s="38">
        <v>25247.38</v>
      </c>
      <c r="H379" s="38">
        <v>145472.98000000001</v>
      </c>
      <c r="I379" s="28" t="s">
        <v>19</v>
      </c>
      <c r="J379" s="29"/>
    </row>
    <row r="380" spans="1:10" customFormat="1" ht="15.75" hidden="1" customHeight="1" x14ac:dyDescent="0.25">
      <c r="A380" s="37">
        <v>44985</v>
      </c>
      <c r="B380" s="36" t="s">
        <v>3394</v>
      </c>
      <c r="C380" s="28" t="s">
        <v>3346</v>
      </c>
      <c r="D380" s="28" t="s">
        <v>3347</v>
      </c>
      <c r="E380" s="38">
        <v>0</v>
      </c>
      <c r="F380" s="42">
        <v>120225.60000000001</v>
      </c>
      <c r="G380" s="38">
        <v>25247.38</v>
      </c>
      <c r="H380" s="38">
        <v>145472.98000000001</v>
      </c>
      <c r="I380" s="28" t="s">
        <v>19</v>
      </c>
      <c r="J380" s="29"/>
    </row>
    <row r="381" spans="1:10" customFormat="1" ht="15.75" hidden="1" customHeight="1" x14ac:dyDescent="0.25">
      <c r="A381" s="37">
        <v>44985</v>
      </c>
      <c r="B381" s="36" t="s">
        <v>3395</v>
      </c>
      <c r="C381" s="28" t="s">
        <v>3147</v>
      </c>
      <c r="D381" s="28" t="s">
        <v>3148</v>
      </c>
      <c r="E381" s="38">
        <v>0</v>
      </c>
      <c r="F381" s="42">
        <v>120225.60000000001</v>
      </c>
      <c r="G381" s="38">
        <v>25247.38</v>
      </c>
      <c r="H381" s="38">
        <v>145472.98000000001</v>
      </c>
      <c r="I381" s="28" t="s">
        <v>19</v>
      </c>
      <c r="J381" s="29"/>
    </row>
    <row r="382" spans="1:10" customFormat="1" ht="15.75" hidden="1" customHeight="1" x14ac:dyDescent="0.25">
      <c r="A382" s="37">
        <v>44985</v>
      </c>
      <c r="B382" s="36" t="s">
        <v>3396</v>
      </c>
      <c r="C382" s="28" t="s">
        <v>2909</v>
      </c>
      <c r="D382" s="28" t="s">
        <v>2910</v>
      </c>
      <c r="E382" s="38">
        <v>0</v>
      </c>
      <c r="F382" s="42">
        <v>134798.39999999999</v>
      </c>
      <c r="G382" s="38">
        <v>28307.66</v>
      </c>
      <c r="H382" s="38">
        <v>163106.06</v>
      </c>
      <c r="I382" s="28" t="s">
        <v>19</v>
      </c>
      <c r="J382" s="29"/>
    </row>
    <row r="383" spans="1:10" customFormat="1" ht="15.75" hidden="1" customHeight="1" x14ac:dyDescent="0.25">
      <c r="A383" s="37">
        <v>44985</v>
      </c>
      <c r="B383" s="36" t="s">
        <v>3397</v>
      </c>
      <c r="C383" s="28" t="s">
        <v>2942</v>
      </c>
      <c r="D383" s="28" t="s">
        <v>2943</v>
      </c>
      <c r="E383" s="38">
        <v>2490</v>
      </c>
      <c r="F383" s="42">
        <v>61000</v>
      </c>
      <c r="G383" s="38">
        <v>12810</v>
      </c>
      <c r="H383" s="38">
        <v>76300</v>
      </c>
      <c r="I383" s="28" t="s">
        <v>19</v>
      </c>
      <c r="J383" s="29"/>
    </row>
    <row r="384" spans="1:10" customFormat="1" ht="15.75" hidden="1" customHeight="1" x14ac:dyDescent="0.25">
      <c r="A384" s="37">
        <v>44985</v>
      </c>
      <c r="B384" s="36" t="s">
        <v>3398</v>
      </c>
      <c r="C384" s="28" t="s">
        <v>3276</v>
      </c>
      <c r="D384" s="28" t="s">
        <v>3277</v>
      </c>
      <c r="E384" s="38">
        <v>14100</v>
      </c>
      <c r="F384" s="42">
        <v>180338.4</v>
      </c>
      <c r="G384" s="38">
        <v>37871.07</v>
      </c>
      <c r="H384" s="38">
        <v>232309.47</v>
      </c>
      <c r="I384" s="28" t="s">
        <v>19</v>
      </c>
      <c r="J384" s="29"/>
    </row>
    <row r="385" spans="1:10" customFormat="1" ht="15.75" hidden="1" customHeight="1" x14ac:dyDescent="0.25">
      <c r="A385" s="37">
        <v>44985</v>
      </c>
      <c r="B385" s="36" t="s">
        <v>3399</v>
      </c>
      <c r="C385" s="28" t="s">
        <v>3241</v>
      </c>
      <c r="D385" s="28" t="s">
        <v>3242</v>
      </c>
      <c r="E385" s="38">
        <v>5700</v>
      </c>
      <c r="F385" s="42">
        <v>47124</v>
      </c>
      <c r="G385" s="38">
        <v>9896.0400000000009</v>
      </c>
      <c r="H385" s="38">
        <v>62720.04</v>
      </c>
      <c r="I385" s="28" t="s">
        <v>19</v>
      </c>
      <c r="J385" s="29"/>
    </row>
    <row r="386" spans="1:10" customFormat="1" ht="15.75" hidden="1" customHeight="1" x14ac:dyDescent="0.25">
      <c r="A386" s="37">
        <v>44985</v>
      </c>
      <c r="B386" s="36" t="s">
        <v>3400</v>
      </c>
      <c r="C386" s="28" t="s">
        <v>3241</v>
      </c>
      <c r="D386" s="28" t="s">
        <v>3242</v>
      </c>
      <c r="E386" s="38">
        <v>6500</v>
      </c>
      <c r="F386" s="42">
        <v>53800</v>
      </c>
      <c r="G386" s="38">
        <v>11298</v>
      </c>
      <c r="H386" s="38">
        <v>71598</v>
      </c>
      <c r="I386" s="28" t="s">
        <v>19</v>
      </c>
      <c r="J386" s="29"/>
    </row>
    <row r="387" spans="1:10" customFormat="1" ht="15.75" hidden="1" customHeight="1" x14ac:dyDescent="0.25">
      <c r="A387" s="37">
        <v>44985</v>
      </c>
      <c r="B387" s="36" t="s">
        <v>3401</v>
      </c>
      <c r="C387" s="28" t="s">
        <v>2906</v>
      </c>
      <c r="D387" s="28" t="s">
        <v>2907</v>
      </c>
      <c r="E387" s="38">
        <v>5700</v>
      </c>
      <c r="F387" s="42">
        <v>47124</v>
      </c>
      <c r="G387" s="38">
        <v>9896.0400000000009</v>
      </c>
      <c r="H387" s="38">
        <v>62720.04</v>
      </c>
      <c r="I387" s="28" t="s">
        <v>19</v>
      </c>
      <c r="J387" s="29"/>
    </row>
    <row r="388" spans="1:10" customFormat="1" ht="15.75" hidden="1" customHeight="1" x14ac:dyDescent="0.25">
      <c r="A388" s="37">
        <v>44985</v>
      </c>
      <c r="B388" s="36" t="s">
        <v>3402</v>
      </c>
      <c r="C388" s="28" t="s">
        <v>3235</v>
      </c>
      <c r="D388" s="28" t="s">
        <v>3236</v>
      </c>
      <c r="E388" s="38">
        <v>22800</v>
      </c>
      <c r="F388" s="42">
        <v>188496</v>
      </c>
      <c r="G388" s="38">
        <v>39584.160000000003</v>
      </c>
      <c r="H388" s="38">
        <v>250880.16</v>
      </c>
      <c r="I388" s="28" t="s">
        <v>19</v>
      </c>
      <c r="J388" s="29"/>
    </row>
    <row r="389" spans="1:10" customFormat="1" ht="15.75" hidden="1" customHeight="1" x14ac:dyDescent="0.25">
      <c r="A389" s="37">
        <v>44985</v>
      </c>
      <c r="B389" s="36" t="s">
        <v>3403</v>
      </c>
      <c r="C389" s="28" t="s">
        <v>3029</v>
      </c>
      <c r="D389" s="28" t="s">
        <v>3030</v>
      </c>
      <c r="E389" s="38">
        <v>5700</v>
      </c>
      <c r="F389" s="42">
        <v>47124</v>
      </c>
      <c r="G389" s="38">
        <v>9896.0400000000009</v>
      </c>
      <c r="H389" s="38">
        <v>62720.04</v>
      </c>
      <c r="I389" s="28" t="s">
        <v>19</v>
      </c>
      <c r="J389" s="29"/>
    </row>
    <row r="390" spans="1:10" customFormat="1" ht="15.75" hidden="1" customHeight="1" x14ac:dyDescent="0.25">
      <c r="A390" s="37">
        <v>44985</v>
      </c>
      <c r="B390" s="36" t="s">
        <v>3404</v>
      </c>
      <c r="C390" s="28" t="s">
        <v>3029</v>
      </c>
      <c r="D390" s="28" t="s">
        <v>3030</v>
      </c>
      <c r="E390" s="38">
        <v>5700</v>
      </c>
      <c r="F390" s="42">
        <v>47124</v>
      </c>
      <c r="G390" s="38">
        <v>9896.0400000000009</v>
      </c>
      <c r="H390" s="38">
        <v>62720.04</v>
      </c>
      <c r="I390" s="28" t="s">
        <v>19</v>
      </c>
      <c r="J390" s="29"/>
    </row>
    <row r="391" spans="1:10" customFormat="1" ht="15.75" hidden="1" customHeight="1" x14ac:dyDescent="0.25">
      <c r="A391" s="37">
        <v>44985</v>
      </c>
      <c r="B391" s="36" t="s">
        <v>3405</v>
      </c>
      <c r="C391" s="28" t="s">
        <v>2867</v>
      </c>
      <c r="D391" s="28" t="s">
        <v>2868</v>
      </c>
      <c r="E391" s="38">
        <v>6500</v>
      </c>
      <c r="F391" s="42">
        <v>92400</v>
      </c>
      <c r="G391" s="38">
        <v>19404</v>
      </c>
      <c r="H391" s="38">
        <v>118304</v>
      </c>
      <c r="I391" s="28" t="s">
        <v>19</v>
      </c>
      <c r="J391" s="29"/>
    </row>
    <row r="392" spans="1:10" customFormat="1" ht="15.75" hidden="1" customHeight="1" x14ac:dyDescent="0.25">
      <c r="A392" s="37">
        <v>44985</v>
      </c>
      <c r="B392" s="36" t="s">
        <v>3406</v>
      </c>
      <c r="C392" s="28" t="s">
        <v>2870</v>
      </c>
      <c r="D392" s="28" t="s">
        <v>2871</v>
      </c>
      <c r="E392" s="38">
        <v>5700</v>
      </c>
      <c r="F392" s="42">
        <v>47124</v>
      </c>
      <c r="G392" s="38">
        <v>9896.0400000000009</v>
      </c>
      <c r="H392" s="38">
        <v>62720.04</v>
      </c>
      <c r="I392" s="28" t="s">
        <v>19</v>
      </c>
      <c r="J392" s="29"/>
    </row>
    <row r="393" spans="1:10" customFormat="1" ht="15.75" hidden="1" customHeight="1" x14ac:dyDescent="0.25">
      <c r="A393" s="37">
        <v>44985</v>
      </c>
      <c r="B393" s="36" t="s">
        <v>3407</v>
      </c>
      <c r="C393" s="28" t="s">
        <v>3257</v>
      </c>
      <c r="D393" s="28" t="s">
        <v>3258</v>
      </c>
      <c r="E393" s="38">
        <v>5700</v>
      </c>
      <c r="F393" s="42">
        <v>47124</v>
      </c>
      <c r="G393" s="38">
        <v>9896.0400000000009</v>
      </c>
      <c r="H393" s="38">
        <v>62720.04</v>
      </c>
      <c r="I393" s="28" t="s">
        <v>19</v>
      </c>
      <c r="J393" s="29"/>
    </row>
    <row r="394" spans="1:10" customFormat="1" ht="15.75" hidden="1" customHeight="1" x14ac:dyDescent="0.25">
      <c r="A394" s="37">
        <v>44985</v>
      </c>
      <c r="B394" s="36" t="s">
        <v>3408</v>
      </c>
      <c r="C394" s="28" t="s">
        <v>3029</v>
      </c>
      <c r="D394" s="28" t="s">
        <v>3030</v>
      </c>
      <c r="E394" s="38">
        <v>5700</v>
      </c>
      <c r="F394" s="42">
        <v>47124</v>
      </c>
      <c r="G394" s="38">
        <v>9896.0400000000009</v>
      </c>
      <c r="H394" s="38">
        <v>62720.04</v>
      </c>
      <c r="I394" s="28" t="s">
        <v>19</v>
      </c>
      <c r="J394" s="29"/>
    </row>
    <row r="395" spans="1:10" customFormat="1" ht="15.75" hidden="1" customHeight="1" x14ac:dyDescent="0.25">
      <c r="A395" s="37">
        <v>44985</v>
      </c>
      <c r="B395" s="36" t="s">
        <v>3409</v>
      </c>
      <c r="C395" s="28" t="s">
        <v>2906</v>
      </c>
      <c r="D395" s="28" t="s">
        <v>2907</v>
      </c>
      <c r="E395" s="38">
        <v>5700</v>
      </c>
      <c r="F395" s="42">
        <v>47124</v>
      </c>
      <c r="G395" s="38">
        <v>9896.0400000000009</v>
      </c>
      <c r="H395" s="38">
        <v>62720.04</v>
      </c>
      <c r="I395" s="28" t="s">
        <v>19</v>
      </c>
      <c r="J395" s="29"/>
    </row>
    <row r="396" spans="1:10" customFormat="1" ht="15.75" hidden="1" customHeight="1" x14ac:dyDescent="0.25">
      <c r="A396" s="37">
        <v>44985</v>
      </c>
      <c r="B396" s="36" t="s">
        <v>3410</v>
      </c>
      <c r="C396" s="28" t="s">
        <v>3257</v>
      </c>
      <c r="D396" s="28" t="s">
        <v>3258</v>
      </c>
      <c r="E396" s="38">
        <v>5700</v>
      </c>
      <c r="F396" s="42">
        <v>47124</v>
      </c>
      <c r="G396" s="38">
        <v>9896.0400000000009</v>
      </c>
      <c r="H396" s="38">
        <v>62720.04</v>
      </c>
      <c r="I396" s="28" t="s">
        <v>19</v>
      </c>
      <c r="J396" s="29"/>
    </row>
    <row r="397" spans="1:10" customFormat="1" ht="15.75" hidden="1" customHeight="1" x14ac:dyDescent="0.25">
      <c r="A397" s="37">
        <v>44985</v>
      </c>
      <c r="B397" s="36" t="s">
        <v>3411</v>
      </c>
      <c r="C397" s="28" t="s">
        <v>2972</v>
      </c>
      <c r="D397" s="28" t="s">
        <v>2973</v>
      </c>
      <c r="E397" s="38">
        <v>0</v>
      </c>
      <c r="F397" s="42">
        <v>202197.6</v>
      </c>
      <c r="G397" s="38">
        <v>42461.5</v>
      </c>
      <c r="H397" s="38">
        <v>244659.1</v>
      </c>
      <c r="I397" s="28" t="s">
        <v>19</v>
      </c>
      <c r="J397" s="29"/>
    </row>
    <row r="398" spans="1:10" customFormat="1" ht="15.75" hidden="1" customHeight="1" x14ac:dyDescent="0.25">
      <c r="A398" s="37">
        <v>44985</v>
      </c>
      <c r="B398" s="36" t="s">
        <v>3412</v>
      </c>
      <c r="C398" s="28" t="s">
        <v>2972</v>
      </c>
      <c r="D398" s="28" t="s">
        <v>2973</v>
      </c>
      <c r="E398" s="38">
        <v>-1.86264514923096E-11</v>
      </c>
      <c r="F398" s="42">
        <v>101098.8</v>
      </c>
      <c r="G398" s="38">
        <v>21230.75</v>
      </c>
      <c r="H398" s="38">
        <v>122329.54999999999</v>
      </c>
      <c r="I398" s="28" t="s">
        <v>19</v>
      </c>
      <c r="J398" s="29"/>
    </row>
    <row r="399" spans="1:10" customFormat="1" ht="15.75" hidden="1" customHeight="1" x14ac:dyDescent="0.25">
      <c r="A399" s="37">
        <v>44985</v>
      </c>
      <c r="B399" s="36" t="s">
        <v>3413</v>
      </c>
      <c r="C399" s="28" t="s">
        <v>2942</v>
      </c>
      <c r="D399" s="28" t="s">
        <v>2943</v>
      </c>
      <c r="E399" s="38">
        <v>0</v>
      </c>
      <c r="F399" s="42">
        <v>32788.800000000003</v>
      </c>
      <c r="G399" s="38">
        <v>6885.65</v>
      </c>
      <c r="H399" s="38">
        <v>39674.449999999997</v>
      </c>
      <c r="I399" s="28" t="s">
        <v>19</v>
      </c>
      <c r="J399" s="29"/>
    </row>
    <row r="400" spans="1:10" customFormat="1" ht="15.75" hidden="1" customHeight="1" x14ac:dyDescent="0.25">
      <c r="A400" s="37">
        <v>44985</v>
      </c>
      <c r="B400" s="36" t="s">
        <v>3414</v>
      </c>
      <c r="C400" s="28" t="s">
        <v>2909</v>
      </c>
      <c r="D400" s="28" t="s">
        <v>2910</v>
      </c>
      <c r="E400" s="38">
        <v>4740</v>
      </c>
      <c r="F400" s="42">
        <v>75500</v>
      </c>
      <c r="G400" s="38">
        <v>15855</v>
      </c>
      <c r="H400" s="38">
        <v>96095</v>
      </c>
      <c r="I400" s="28" t="s">
        <v>19</v>
      </c>
      <c r="J400" s="29"/>
    </row>
    <row r="401" spans="1:10" customFormat="1" ht="15.75" hidden="1" customHeight="1" x14ac:dyDescent="0.25">
      <c r="A401" s="37">
        <v>44985</v>
      </c>
      <c r="B401" s="36" t="s">
        <v>3415</v>
      </c>
      <c r="C401" s="28" t="s">
        <v>3235</v>
      </c>
      <c r="D401" s="28" t="s">
        <v>3236</v>
      </c>
      <c r="E401" s="38">
        <v>7470</v>
      </c>
      <c r="F401" s="42">
        <v>150000</v>
      </c>
      <c r="G401" s="38">
        <v>31500</v>
      </c>
      <c r="H401" s="38">
        <v>188970</v>
      </c>
      <c r="I401" s="28" t="s">
        <v>19</v>
      </c>
      <c r="J401" s="29"/>
    </row>
    <row r="402" spans="1:10" customFormat="1" ht="15.75" hidden="1" customHeight="1" x14ac:dyDescent="0.25">
      <c r="A402" s="37">
        <v>44985</v>
      </c>
      <c r="B402" s="36" t="s">
        <v>3416</v>
      </c>
      <c r="C402" s="28" t="s">
        <v>3235</v>
      </c>
      <c r="D402" s="28" t="s">
        <v>3236</v>
      </c>
      <c r="E402" s="38">
        <v>7470</v>
      </c>
      <c r="F402" s="42">
        <v>150000</v>
      </c>
      <c r="G402" s="38">
        <v>31500</v>
      </c>
      <c r="H402" s="38">
        <v>188970</v>
      </c>
      <c r="I402" s="28" t="s">
        <v>19</v>
      </c>
      <c r="J402" s="29"/>
    </row>
    <row r="403" spans="1:10" customFormat="1" ht="15.75" hidden="1" customHeight="1" x14ac:dyDescent="0.25">
      <c r="A403" s="37">
        <v>44985</v>
      </c>
      <c r="B403" s="36" t="s">
        <v>3417</v>
      </c>
      <c r="C403" s="28" t="s">
        <v>2972</v>
      </c>
      <c r="D403" s="28" t="s">
        <v>2973</v>
      </c>
      <c r="E403" s="38">
        <v>0</v>
      </c>
      <c r="F403" s="42">
        <v>67399.199999999997</v>
      </c>
      <c r="G403" s="38">
        <v>14153.83</v>
      </c>
      <c r="H403" s="38">
        <v>81553.03</v>
      </c>
      <c r="I403" s="28" t="s">
        <v>19</v>
      </c>
      <c r="J403" s="29"/>
    </row>
    <row r="404" spans="1:10" customFormat="1" ht="15.75" hidden="1" customHeight="1" x14ac:dyDescent="0.25">
      <c r="A404" s="37">
        <v>44985</v>
      </c>
      <c r="B404" s="36" t="s">
        <v>3418</v>
      </c>
      <c r="C404" s="28" t="s">
        <v>3257</v>
      </c>
      <c r="D404" s="28" t="s">
        <v>3258</v>
      </c>
      <c r="E404" s="38">
        <v>0</v>
      </c>
      <c r="F404" s="42">
        <v>47124</v>
      </c>
      <c r="G404" s="38">
        <v>9896.0400000000009</v>
      </c>
      <c r="H404" s="38">
        <v>57020.04</v>
      </c>
      <c r="I404" s="28" t="s">
        <v>19</v>
      </c>
      <c r="J404" s="29"/>
    </row>
    <row r="405" spans="1:10" customFormat="1" ht="15.75" hidden="1" customHeight="1" x14ac:dyDescent="0.25">
      <c r="A405" s="37">
        <v>44985</v>
      </c>
      <c r="B405" s="36" t="s">
        <v>3419</v>
      </c>
      <c r="C405" s="28" t="s">
        <v>3067</v>
      </c>
      <c r="D405" s="28" t="s">
        <v>3068</v>
      </c>
      <c r="E405" s="38">
        <v>2490</v>
      </c>
      <c r="F405" s="42">
        <v>50000</v>
      </c>
      <c r="G405" s="38">
        <v>10500</v>
      </c>
      <c r="H405" s="38">
        <v>62990</v>
      </c>
      <c r="I405" s="28" t="s">
        <v>19</v>
      </c>
      <c r="J405" s="29"/>
    </row>
    <row r="406" spans="1:10" customFormat="1" ht="15.75" hidden="1" customHeight="1" x14ac:dyDescent="0.25">
      <c r="A406" s="37">
        <v>44985</v>
      </c>
      <c r="B406" s="36" t="s">
        <v>3420</v>
      </c>
      <c r="C406" s="28" t="s">
        <v>2927</v>
      </c>
      <c r="D406" s="28" t="s">
        <v>2928</v>
      </c>
      <c r="E406" s="38">
        <v>0</v>
      </c>
      <c r="F406" s="42">
        <v>47124</v>
      </c>
      <c r="G406" s="38">
        <v>9896.0400000000009</v>
      </c>
      <c r="H406" s="38">
        <v>57020.04</v>
      </c>
      <c r="I406" s="28" t="s">
        <v>19</v>
      </c>
      <c r="J406" s="29"/>
    </row>
    <row r="407" spans="1:10" customFormat="1" ht="15.75" hidden="1" customHeight="1" x14ac:dyDescent="0.25">
      <c r="A407" s="37">
        <v>44985</v>
      </c>
      <c r="B407" s="36" t="s">
        <v>3421</v>
      </c>
      <c r="C407" s="28" t="s">
        <v>2906</v>
      </c>
      <c r="D407" s="28" t="s">
        <v>2907</v>
      </c>
      <c r="E407" s="38">
        <v>0</v>
      </c>
      <c r="F407" s="42">
        <v>47124</v>
      </c>
      <c r="G407" s="38">
        <v>9896.0400000000009</v>
      </c>
      <c r="H407" s="38">
        <v>57020.04</v>
      </c>
      <c r="I407" s="28" t="s">
        <v>19</v>
      </c>
      <c r="J407" s="29"/>
    </row>
    <row r="408" spans="1:10" customFormat="1" ht="15.75" hidden="1" customHeight="1" x14ac:dyDescent="0.25">
      <c r="A408" s="37">
        <v>44985</v>
      </c>
      <c r="B408" s="36" t="s">
        <v>3422</v>
      </c>
      <c r="C408" s="28" t="s">
        <v>2898</v>
      </c>
      <c r="D408" s="28" t="s">
        <v>2899</v>
      </c>
      <c r="E408" s="38">
        <v>0</v>
      </c>
      <c r="F408" s="42">
        <v>306669</v>
      </c>
      <c r="G408" s="38">
        <v>64400.49</v>
      </c>
      <c r="H408" s="38">
        <v>371069.49</v>
      </c>
      <c r="I408" s="28" t="s">
        <v>19</v>
      </c>
      <c r="J408" s="29"/>
    </row>
    <row r="409" spans="1:10" customFormat="1" ht="15" hidden="1" customHeight="1" x14ac:dyDescent="0.25">
      <c r="A409" s="37">
        <v>44986</v>
      </c>
      <c r="B409" s="25" t="s">
        <v>3423</v>
      </c>
      <c r="C409" s="26" t="s">
        <v>2978</v>
      </c>
      <c r="D409" s="26" t="s">
        <v>2979</v>
      </c>
      <c r="E409" s="27">
        <v>0</v>
      </c>
      <c r="F409" s="30">
        <v>47124</v>
      </c>
      <c r="G409" s="27">
        <v>9896.0400000000009</v>
      </c>
      <c r="H409" s="27">
        <v>57020.04</v>
      </c>
      <c r="I409" s="28" t="s">
        <v>19</v>
      </c>
      <c r="J409" s="43"/>
    </row>
    <row r="410" spans="1:10" customFormat="1" ht="15" hidden="1" customHeight="1" x14ac:dyDescent="0.25">
      <c r="A410" s="37">
        <v>44986</v>
      </c>
      <c r="B410" s="25" t="s">
        <v>3424</v>
      </c>
      <c r="C410" s="26" t="s">
        <v>3425</v>
      </c>
      <c r="D410" s="26" t="s">
        <v>3426</v>
      </c>
      <c r="E410" s="27">
        <v>5700</v>
      </c>
      <c r="F410" s="30">
        <v>42000</v>
      </c>
      <c r="G410" s="27">
        <v>8820</v>
      </c>
      <c r="H410" s="27">
        <v>56520</v>
      </c>
      <c r="I410" s="28" t="s">
        <v>19</v>
      </c>
      <c r="J410" s="43"/>
    </row>
    <row r="411" spans="1:10" customFormat="1" ht="15" hidden="1" customHeight="1" x14ac:dyDescent="0.25">
      <c r="A411" s="37">
        <v>44986</v>
      </c>
      <c r="B411" s="25" t="s">
        <v>3427</v>
      </c>
      <c r="C411" s="26" t="s">
        <v>3428</v>
      </c>
      <c r="D411" s="26" t="s">
        <v>3429</v>
      </c>
      <c r="E411" s="27">
        <v>2490</v>
      </c>
      <c r="F411" s="30">
        <v>75000</v>
      </c>
      <c r="G411" s="27">
        <v>15750</v>
      </c>
      <c r="H411" s="27">
        <v>93240</v>
      </c>
      <c r="I411" s="28" t="s">
        <v>19</v>
      </c>
      <c r="J411" s="43"/>
    </row>
    <row r="412" spans="1:10" customFormat="1" ht="15" hidden="1" customHeight="1" x14ac:dyDescent="0.25">
      <c r="A412" s="37">
        <v>44986</v>
      </c>
      <c r="B412" s="25" t="s">
        <v>3430</v>
      </c>
      <c r="C412" s="26" t="s">
        <v>3241</v>
      </c>
      <c r="D412" s="26" t="s">
        <v>3242</v>
      </c>
      <c r="E412" s="27">
        <v>0</v>
      </c>
      <c r="F412" s="30">
        <v>70686</v>
      </c>
      <c r="G412" s="27">
        <v>14844.06</v>
      </c>
      <c r="H412" s="27">
        <v>85530.06</v>
      </c>
      <c r="I412" s="28" t="s">
        <v>19</v>
      </c>
      <c r="J412" s="43"/>
    </row>
    <row r="413" spans="1:10" customFormat="1" ht="15" hidden="1" customHeight="1" x14ac:dyDescent="0.25">
      <c r="A413" s="37">
        <v>44986</v>
      </c>
      <c r="B413" s="25" t="s">
        <v>3431</v>
      </c>
      <c r="C413" s="26" t="s">
        <v>3358</v>
      </c>
      <c r="D413" s="26" t="s">
        <v>3359</v>
      </c>
      <c r="E413" s="27">
        <v>8950</v>
      </c>
      <c r="F413" s="30">
        <v>183000</v>
      </c>
      <c r="G413" s="27">
        <v>38430</v>
      </c>
      <c r="H413" s="27">
        <v>230380</v>
      </c>
      <c r="I413" s="28" t="s">
        <v>19</v>
      </c>
      <c r="J413" s="43"/>
    </row>
    <row r="414" spans="1:10" customFormat="1" ht="15" hidden="1" customHeight="1" x14ac:dyDescent="0.25">
      <c r="A414" s="37">
        <v>44986</v>
      </c>
      <c r="B414" s="25" t="s">
        <v>3432</v>
      </c>
      <c r="C414" s="26" t="s">
        <v>3276</v>
      </c>
      <c r="D414" s="26" t="s">
        <v>3277</v>
      </c>
      <c r="E414" s="27">
        <v>2890</v>
      </c>
      <c r="F414" s="30">
        <v>94248</v>
      </c>
      <c r="G414" s="27">
        <v>19792.080000000002</v>
      </c>
      <c r="H414" s="27">
        <v>116930.08</v>
      </c>
      <c r="I414" s="28" t="s">
        <v>19</v>
      </c>
      <c r="J414" s="43"/>
    </row>
    <row r="415" spans="1:10" customFormat="1" ht="15" hidden="1" customHeight="1" x14ac:dyDescent="0.25">
      <c r="A415" s="37">
        <v>44986</v>
      </c>
      <c r="B415" s="25" t="s">
        <v>3433</v>
      </c>
      <c r="C415" s="26" t="s">
        <v>3014</v>
      </c>
      <c r="D415" s="26" t="s">
        <v>3015</v>
      </c>
      <c r="E415" s="27">
        <v>6880</v>
      </c>
      <c r="F415" s="30">
        <v>94248</v>
      </c>
      <c r="G415" s="27">
        <v>19792.080000000002</v>
      </c>
      <c r="H415" s="27">
        <v>120920.08</v>
      </c>
      <c r="I415" s="28" t="s">
        <v>19</v>
      </c>
      <c r="J415" s="43"/>
    </row>
    <row r="416" spans="1:10" customFormat="1" ht="15" hidden="1" customHeight="1" x14ac:dyDescent="0.25">
      <c r="A416" s="37">
        <v>44986</v>
      </c>
      <c r="B416" s="25" t="s">
        <v>3434</v>
      </c>
      <c r="C416" s="26" t="s">
        <v>2909</v>
      </c>
      <c r="D416" s="26" t="s">
        <v>2910</v>
      </c>
      <c r="E416" s="27">
        <v>3960</v>
      </c>
      <c r="F416" s="30">
        <v>47124</v>
      </c>
      <c r="G416" s="27">
        <v>9896.0400000000009</v>
      </c>
      <c r="H416" s="27">
        <v>60980.04</v>
      </c>
      <c r="I416" s="28" t="s">
        <v>19</v>
      </c>
      <c r="J416" s="43"/>
    </row>
    <row r="417" spans="1:10" customFormat="1" ht="15" hidden="1" customHeight="1" x14ac:dyDescent="0.25">
      <c r="A417" s="37">
        <v>44986</v>
      </c>
      <c r="B417" s="25" t="s">
        <v>3435</v>
      </c>
      <c r="C417" s="26" t="s">
        <v>2978</v>
      </c>
      <c r="D417" s="26" t="s">
        <v>2979</v>
      </c>
      <c r="E417" s="27">
        <v>3960</v>
      </c>
      <c r="F417" s="30">
        <v>47124</v>
      </c>
      <c r="G417" s="27">
        <v>9896.0400000000009</v>
      </c>
      <c r="H417" s="27">
        <v>60980.04</v>
      </c>
      <c r="I417" s="28" t="s">
        <v>19</v>
      </c>
      <c r="J417" s="43"/>
    </row>
    <row r="418" spans="1:10" customFormat="1" ht="15" hidden="1" customHeight="1" x14ac:dyDescent="0.25">
      <c r="A418" s="37">
        <v>44986</v>
      </c>
      <c r="B418" s="25" t="s">
        <v>3436</v>
      </c>
      <c r="C418" s="26" t="s">
        <v>3058</v>
      </c>
      <c r="D418" s="26" t="s">
        <v>3059</v>
      </c>
      <c r="E418" s="27">
        <v>3960</v>
      </c>
      <c r="F418" s="30">
        <v>47124</v>
      </c>
      <c r="G418" s="27">
        <v>9896.0400000000009</v>
      </c>
      <c r="H418" s="27">
        <v>60980.04</v>
      </c>
      <c r="I418" s="28" t="s">
        <v>19</v>
      </c>
      <c r="J418" s="43"/>
    </row>
    <row r="419" spans="1:10" customFormat="1" ht="15" hidden="1" customHeight="1" x14ac:dyDescent="0.25">
      <c r="A419" s="44">
        <v>44986</v>
      </c>
      <c r="B419" s="25" t="s">
        <v>3437</v>
      </c>
      <c r="C419" s="26" t="s">
        <v>3272</v>
      </c>
      <c r="D419" s="25" t="s">
        <v>3273</v>
      </c>
      <c r="E419" s="27">
        <v>7920</v>
      </c>
      <c r="F419" s="30">
        <v>94248</v>
      </c>
      <c r="G419" s="45">
        <v>19792.080000000002</v>
      </c>
      <c r="H419" s="27">
        <v>121960.08</v>
      </c>
      <c r="I419" s="36" t="s">
        <v>19</v>
      </c>
      <c r="J419" s="46"/>
    </row>
    <row r="420" spans="1:10" customFormat="1" ht="15" hidden="1" customHeight="1" x14ac:dyDescent="0.25">
      <c r="A420" s="37">
        <v>44986</v>
      </c>
      <c r="B420" s="25" t="s">
        <v>3438</v>
      </c>
      <c r="C420" s="26" t="s">
        <v>2921</v>
      </c>
      <c r="D420" s="26" t="s">
        <v>2922</v>
      </c>
      <c r="E420" s="27">
        <v>3960</v>
      </c>
      <c r="F420" s="30">
        <v>47124</v>
      </c>
      <c r="G420" s="27">
        <v>9896.0400000000009</v>
      </c>
      <c r="H420" s="27">
        <v>60980.04</v>
      </c>
      <c r="I420" s="28" t="s">
        <v>19</v>
      </c>
      <c r="J420" s="43"/>
    </row>
    <row r="421" spans="1:10" customFormat="1" ht="15" hidden="1" customHeight="1" x14ac:dyDescent="0.25">
      <c r="A421" s="37">
        <v>44986</v>
      </c>
      <c r="B421" s="25" t="s">
        <v>3439</v>
      </c>
      <c r="C421" s="26" t="s">
        <v>2921</v>
      </c>
      <c r="D421" s="26" t="s">
        <v>2922</v>
      </c>
      <c r="E421" s="27">
        <v>3960</v>
      </c>
      <c r="F421" s="30">
        <v>47124</v>
      </c>
      <c r="G421" s="27">
        <v>9896.0400000000009</v>
      </c>
      <c r="H421" s="27">
        <v>60980.04</v>
      </c>
      <c r="I421" s="28" t="s">
        <v>19</v>
      </c>
      <c r="J421" s="43"/>
    </row>
    <row r="422" spans="1:10" customFormat="1" ht="15" hidden="1" customHeight="1" x14ac:dyDescent="0.25">
      <c r="A422" s="37">
        <v>44986</v>
      </c>
      <c r="B422" s="25" t="s">
        <v>3440</v>
      </c>
      <c r="C422" s="26" t="s">
        <v>2921</v>
      </c>
      <c r="D422" s="26" t="s">
        <v>2922</v>
      </c>
      <c r="E422" s="27">
        <v>7920</v>
      </c>
      <c r="F422" s="30">
        <v>94248</v>
      </c>
      <c r="G422" s="27">
        <v>19792.080000000002</v>
      </c>
      <c r="H422" s="27">
        <v>121960.08</v>
      </c>
      <c r="I422" s="28" t="s">
        <v>19</v>
      </c>
      <c r="J422" s="43"/>
    </row>
    <row r="423" spans="1:10" customFormat="1" ht="15" hidden="1" customHeight="1" x14ac:dyDescent="0.25">
      <c r="A423" s="37">
        <v>44986</v>
      </c>
      <c r="B423" s="25" t="s">
        <v>3441</v>
      </c>
      <c r="C423" s="26" t="s">
        <v>3096</v>
      </c>
      <c r="D423" s="26" t="s">
        <v>3097</v>
      </c>
      <c r="E423" s="27">
        <v>0</v>
      </c>
      <c r="F423" s="30">
        <v>27324</v>
      </c>
      <c r="G423" s="27">
        <v>5738.04</v>
      </c>
      <c r="H423" s="27">
        <v>33062.04</v>
      </c>
      <c r="I423" s="28" t="s">
        <v>19</v>
      </c>
      <c r="J423" s="43"/>
    </row>
    <row r="424" spans="1:10" customFormat="1" ht="15" hidden="1" customHeight="1" x14ac:dyDescent="0.25">
      <c r="A424" s="37">
        <v>44986</v>
      </c>
      <c r="B424" s="25" t="s">
        <v>3442</v>
      </c>
      <c r="C424" s="26" t="s">
        <v>3007</v>
      </c>
      <c r="D424" s="26" t="s">
        <v>3008</v>
      </c>
      <c r="E424" s="27">
        <v>4980</v>
      </c>
      <c r="F424" s="30">
        <v>100000</v>
      </c>
      <c r="G424" s="27">
        <v>21000</v>
      </c>
      <c r="H424" s="27">
        <v>125980</v>
      </c>
      <c r="I424" s="28" t="s">
        <v>19</v>
      </c>
      <c r="J424" s="43"/>
    </row>
    <row r="425" spans="1:10" customFormat="1" ht="15" hidden="1" customHeight="1" x14ac:dyDescent="0.25">
      <c r="A425" s="37">
        <v>44986</v>
      </c>
      <c r="B425" s="25" t="s">
        <v>3443</v>
      </c>
      <c r="C425" s="26" t="s">
        <v>3007</v>
      </c>
      <c r="D425" s="26" t="s">
        <v>3008</v>
      </c>
      <c r="E425" s="27">
        <v>2490</v>
      </c>
      <c r="F425" s="30">
        <v>50000</v>
      </c>
      <c r="G425" s="27">
        <v>10500</v>
      </c>
      <c r="H425" s="27">
        <v>62990</v>
      </c>
      <c r="I425" s="28" t="s">
        <v>19</v>
      </c>
      <c r="J425" s="43"/>
    </row>
    <row r="426" spans="1:10" customFormat="1" ht="15" hidden="1" customHeight="1" x14ac:dyDescent="0.25">
      <c r="A426" s="37">
        <v>44986</v>
      </c>
      <c r="B426" s="25" t="s">
        <v>3444</v>
      </c>
      <c r="C426" s="26" t="s">
        <v>3235</v>
      </c>
      <c r="D426" s="26" t="s">
        <v>3236</v>
      </c>
      <c r="E426" s="27">
        <v>22420</v>
      </c>
      <c r="F426" s="30">
        <v>298500</v>
      </c>
      <c r="G426" s="27">
        <v>62685</v>
      </c>
      <c r="H426" s="27">
        <v>383605</v>
      </c>
      <c r="I426" s="28" t="s">
        <v>19</v>
      </c>
      <c r="J426" s="43"/>
    </row>
    <row r="427" spans="1:10" customFormat="1" ht="15" hidden="1" customHeight="1" x14ac:dyDescent="0.25">
      <c r="A427" s="37">
        <v>44986</v>
      </c>
      <c r="B427" s="25" t="s">
        <v>3445</v>
      </c>
      <c r="C427" s="26" t="s">
        <v>2924</v>
      </c>
      <c r="D427" s="26" t="s">
        <v>2925</v>
      </c>
      <c r="E427" s="27">
        <v>4980</v>
      </c>
      <c r="F427" s="30">
        <v>100000</v>
      </c>
      <c r="G427" s="27">
        <v>21000</v>
      </c>
      <c r="H427" s="27">
        <v>125980</v>
      </c>
      <c r="I427" s="28" t="s">
        <v>19</v>
      </c>
      <c r="J427" s="43"/>
    </row>
    <row r="428" spans="1:10" customFormat="1" ht="15" hidden="1" customHeight="1" x14ac:dyDescent="0.25">
      <c r="A428" s="37">
        <v>44986</v>
      </c>
      <c r="B428" s="25" t="s">
        <v>3446</v>
      </c>
      <c r="C428" s="26" t="s">
        <v>3346</v>
      </c>
      <c r="D428" s="26" t="s">
        <v>3347</v>
      </c>
      <c r="E428" s="27">
        <v>8400</v>
      </c>
      <c r="F428" s="30">
        <v>348425.6</v>
      </c>
      <c r="G428" s="27">
        <v>73169.38</v>
      </c>
      <c r="H428" s="27">
        <v>429994.98</v>
      </c>
      <c r="I428" s="28" t="s">
        <v>19</v>
      </c>
      <c r="J428" s="43"/>
    </row>
    <row r="429" spans="1:10" customFormat="1" ht="15" hidden="1" customHeight="1" x14ac:dyDescent="0.25">
      <c r="A429" s="37">
        <v>44986</v>
      </c>
      <c r="B429" s="25" t="s">
        <v>3447</v>
      </c>
      <c r="C429" s="26" t="s">
        <v>3007</v>
      </c>
      <c r="D429" s="26" t="s">
        <v>3008</v>
      </c>
      <c r="E429" s="27">
        <v>0</v>
      </c>
      <c r="F429" s="30">
        <v>47124</v>
      </c>
      <c r="G429" s="27">
        <v>9896.0400000000009</v>
      </c>
      <c r="H429" s="27">
        <v>57020.04</v>
      </c>
      <c r="I429" s="28" t="s">
        <v>19</v>
      </c>
      <c r="J429" s="43"/>
    </row>
    <row r="430" spans="1:10" customFormat="1" ht="15" hidden="1" customHeight="1" x14ac:dyDescent="0.25">
      <c r="A430" s="37">
        <v>44986</v>
      </c>
      <c r="B430" s="25" t="s">
        <v>3448</v>
      </c>
      <c r="C430" s="26" t="s">
        <v>3007</v>
      </c>
      <c r="D430" s="26" t="s">
        <v>3008</v>
      </c>
      <c r="E430" s="27">
        <v>0</v>
      </c>
      <c r="F430" s="30">
        <v>47124</v>
      </c>
      <c r="G430" s="27">
        <v>9896.0400000000009</v>
      </c>
      <c r="H430" s="27">
        <v>57020.04</v>
      </c>
      <c r="I430" s="28" t="s">
        <v>19</v>
      </c>
      <c r="J430" s="43"/>
    </row>
    <row r="431" spans="1:10" customFormat="1" ht="15" hidden="1" customHeight="1" x14ac:dyDescent="0.25">
      <c r="A431" s="37">
        <v>44986</v>
      </c>
      <c r="B431" s="25" t="s">
        <v>3449</v>
      </c>
      <c r="C431" s="26" t="s">
        <v>3450</v>
      </c>
      <c r="D431" s="26" t="s">
        <v>3451</v>
      </c>
      <c r="E431" s="27">
        <v>2250</v>
      </c>
      <c r="F431" s="30">
        <v>61000</v>
      </c>
      <c r="G431" s="27">
        <v>12810</v>
      </c>
      <c r="H431" s="27">
        <v>76060</v>
      </c>
      <c r="I431" s="28" t="s">
        <v>19</v>
      </c>
      <c r="J431" s="43"/>
    </row>
    <row r="432" spans="1:10" customFormat="1" ht="15" hidden="1" customHeight="1" x14ac:dyDescent="0.25">
      <c r="A432" s="37">
        <v>44986</v>
      </c>
      <c r="B432" s="25" t="s">
        <v>3452</v>
      </c>
      <c r="C432" s="26" t="s">
        <v>3014</v>
      </c>
      <c r="D432" s="26" t="s">
        <v>3015</v>
      </c>
      <c r="E432" s="27">
        <v>19500</v>
      </c>
      <c r="F432" s="30">
        <v>180338.4</v>
      </c>
      <c r="G432" s="27">
        <v>37871.07</v>
      </c>
      <c r="H432" s="27">
        <v>237709.47</v>
      </c>
      <c r="I432" s="28" t="s">
        <v>19</v>
      </c>
      <c r="J432" s="43"/>
    </row>
    <row r="433" spans="1:10" customFormat="1" ht="15" hidden="1" customHeight="1" x14ac:dyDescent="0.25">
      <c r="A433" s="37">
        <v>44986</v>
      </c>
      <c r="B433" s="25" t="s">
        <v>3453</v>
      </c>
      <c r="C433" s="26" t="s">
        <v>2903</v>
      </c>
      <c r="D433" s="26" t="s">
        <v>2904</v>
      </c>
      <c r="E433" s="27">
        <v>5700</v>
      </c>
      <c r="F433" s="30">
        <v>47124</v>
      </c>
      <c r="G433" s="27">
        <v>9896.0400000000009</v>
      </c>
      <c r="H433" s="27">
        <v>62720.04</v>
      </c>
      <c r="I433" s="28" t="s">
        <v>19</v>
      </c>
      <c r="J433" s="43"/>
    </row>
    <row r="434" spans="1:10" customFormat="1" ht="15" hidden="1" customHeight="1" x14ac:dyDescent="0.25">
      <c r="A434" s="37">
        <v>44986</v>
      </c>
      <c r="B434" s="25" t="s">
        <v>3454</v>
      </c>
      <c r="C434" s="26" t="s">
        <v>2892</v>
      </c>
      <c r="D434" s="26" t="s">
        <v>2893</v>
      </c>
      <c r="E434" s="27">
        <v>6500</v>
      </c>
      <c r="F434" s="30">
        <v>60112.800000000003</v>
      </c>
      <c r="G434" s="27">
        <v>12623.69</v>
      </c>
      <c r="H434" s="27">
        <v>79236.490000000005</v>
      </c>
      <c r="I434" s="28" t="s">
        <v>19</v>
      </c>
      <c r="J434" s="43"/>
    </row>
    <row r="435" spans="1:10" customFormat="1" ht="15" hidden="1" customHeight="1" x14ac:dyDescent="0.25">
      <c r="A435" s="37">
        <v>44986</v>
      </c>
      <c r="B435" s="25" t="s">
        <v>3455</v>
      </c>
      <c r="C435" s="26" t="s">
        <v>3029</v>
      </c>
      <c r="D435" s="26" t="s">
        <v>3030</v>
      </c>
      <c r="E435" s="27">
        <v>5700</v>
      </c>
      <c r="F435" s="30">
        <v>47124</v>
      </c>
      <c r="G435" s="27">
        <v>9896.0400000000009</v>
      </c>
      <c r="H435" s="27">
        <v>62720.04</v>
      </c>
      <c r="I435" s="28" t="s">
        <v>19</v>
      </c>
      <c r="J435" s="43"/>
    </row>
    <row r="436" spans="1:10" customFormat="1" ht="15" hidden="1" customHeight="1" x14ac:dyDescent="0.25">
      <c r="A436" s="37">
        <v>44986</v>
      </c>
      <c r="B436" s="25" t="s">
        <v>3456</v>
      </c>
      <c r="C436" s="26" t="s">
        <v>3029</v>
      </c>
      <c r="D436" s="26" t="s">
        <v>3030</v>
      </c>
      <c r="E436" s="27">
        <v>5700</v>
      </c>
      <c r="F436" s="30">
        <v>47124</v>
      </c>
      <c r="G436" s="27">
        <v>9896.0400000000009</v>
      </c>
      <c r="H436" s="27">
        <v>62720.04</v>
      </c>
      <c r="I436" s="28" t="s">
        <v>19</v>
      </c>
      <c r="J436" s="43"/>
    </row>
    <row r="437" spans="1:10" customFormat="1" ht="15" hidden="1" customHeight="1" x14ac:dyDescent="0.25">
      <c r="A437" s="37">
        <v>44986</v>
      </c>
      <c r="B437" s="25" t="s">
        <v>3457</v>
      </c>
      <c r="C437" s="26" t="s">
        <v>3029</v>
      </c>
      <c r="D437" s="26" t="s">
        <v>3030</v>
      </c>
      <c r="E437" s="27">
        <v>5700</v>
      </c>
      <c r="F437" s="30">
        <v>47124</v>
      </c>
      <c r="G437" s="27">
        <v>9896.0400000000009</v>
      </c>
      <c r="H437" s="27">
        <v>62720.04</v>
      </c>
      <c r="I437" s="28" t="s">
        <v>19</v>
      </c>
      <c r="J437" s="43"/>
    </row>
    <row r="438" spans="1:10" customFormat="1" ht="15" hidden="1" customHeight="1" x14ac:dyDescent="0.25">
      <c r="A438" s="37">
        <v>44986</v>
      </c>
      <c r="B438" s="25" t="s">
        <v>3458</v>
      </c>
      <c r="C438" s="26" t="s">
        <v>2883</v>
      </c>
      <c r="D438" s="26" t="s">
        <v>2884</v>
      </c>
      <c r="E438" s="27">
        <v>2800</v>
      </c>
      <c r="F438" s="30">
        <v>114100</v>
      </c>
      <c r="G438" s="27">
        <v>23961</v>
      </c>
      <c r="H438" s="27">
        <v>140861</v>
      </c>
      <c r="I438" s="28" t="s">
        <v>19</v>
      </c>
      <c r="J438" s="43"/>
    </row>
    <row r="439" spans="1:10" customFormat="1" ht="15" hidden="1" customHeight="1" x14ac:dyDescent="0.25">
      <c r="A439" s="37">
        <v>44986</v>
      </c>
      <c r="B439" s="25" t="s">
        <v>3459</v>
      </c>
      <c r="C439" s="26" t="s">
        <v>3460</v>
      </c>
      <c r="D439" s="26" t="s">
        <v>3461</v>
      </c>
      <c r="E439" s="27">
        <v>5799.99999999998</v>
      </c>
      <c r="F439" s="30">
        <v>101098.8</v>
      </c>
      <c r="G439" s="27">
        <v>21230.75</v>
      </c>
      <c r="H439" s="27">
        <v>128129.54999999999</v>
      </c>
      <c r="I439" s="28" t="s">
        <v>19</v>
      </c>
      <c r="J439" s="43"/>
    </row>
    <row r="440" spans="1:10" customFormat="1" ht="15" hidden="1" customHeight="1" x14ac:dyDescent="0.25">
      <c r="A440" s="37">
        <v>44986</v>
      </c>
      <c r="B440" s="25" t="s">
        <v>3462</v>
      </c>
      <c r="C440" s="26" t="s">
        <v>3235</v>
      </c>
      <c r="D440" s="26" t="s">
        <v>3236</v>
      </c>
      <c r="E440" s="27">
        <v>24600</v>
      </c>
      <c r="F440" s="30">
        <v>216000</v>
      </c>
      <c r="G440" s="27">
        <v>45360</v>
      </c>
      <c r="H440" s="27">
        <v>285960</v>
      </c>
      <c r="I440" s="28" t="s">
        <v>19</v>
      </c>
      <c r="J440" s="43"/>
    </row>
    <row r="441" spans="1:10" customFormat="1" ht="15" hidden="1" customHeight="1" x14ac:dyDescent="0.25">
      <c r="A441" s="37">
        <v>44986</v>
      </c>
      <c r="B441" s="25" t="s">
        <v>3463</v>
      </c>
      <c r="C441" s="26" t="s">
        <v>3235</v>
      </c>
      <c r="D441" s="26" t="s">
        <v>3236</v>
      </c>
      <c r="E441" s="27">
        <v>24600</v>
      </c>
      <c r="F441" s="30">
        <v>216000</v>
      </c>
      <c r="G441" s="27">
        <v>45360</v>
      </c>
      <c r="H441" s="27">
        <v>285960</v>
      </c>
      <c r="I441" s="28" t="s">
        <v>19</v>
      </c>
      <c r="J441" s="43"/>
    </row>
    <row r="442" spans="1:10" customFormat="1" ht="15" hidden="1" customHeight="1" x14ac:dyDescent="0.25">
      <c r="A442" s="37">
        <v>44993</v>
      </c>
      <c r="B442" s="25" t="s">
        <v>3464</v>
      </c>
      <c r="C442" s="26" t="s">
        <v>3096</v>
      </c>
      <c r="D442" s="26" t="s">
        <v>3097</v>
      </c>
      <c r="E442" s="27">
        <v>0</v>
      </c>
      <c r="F442" s="30">
        <v>13662</v>
      </c>
      <c r="G442" s="27">
        <v>2869.02</v>
      </c>
      <c r="H442" s="27">
        <v>16531.02</v>
      </c>
      <c r="I442" s="28" t="s">
        <v>19</v>
      </c>
      <c r="J442" s="43"/>
    </row>
    <row r="443" spans="1:10" customFormat="1" ht="15" hidden="1" customHeight="1" x14ac:dyDescent="0.25">
      <c r="A443" s="37">
        <v>44993</v>
      </c>
      <c r="B443" s="25" t="s">
        <v>3465</v>
      </c>
      <c r="C443" s="26" t="s">
        <v>2990</v>
      </c>
      <c r="D443" s="26" t="s">
        <v>2991</v>
      </c>
      <c r="E443" s="27">
        <v>3960</v>
      </c>
      <c r="F443" s="30">
        <v>47124</v>
      </c>
      <c r="G443" s="27">
        <v>9896.0400000000009</v>
      </c>
      <c r="H443" s="27">
        <v>60980.04</v>
      </c>
      <c r="I443" s="28" t="s">
        <v>19</v>
      </c>
      <c r="J443" s="43"/>
    </row>
    <row r="444" spans="1:10" customFormat="1" ht="15" hidden="1" customHeight="1" x14ac:dyDescent="0.25">
      <c r="A444" s="37">
        <v>44993</v>
      </c>
      <c r="B444" s="25" t="s">
        <v>3466</v>
      </c>
      <c r="C444" s="26" t="s">
        <v>2990</v>
      </c>
      <c r="D444" s="26" t="s">
        <v>2991</v>
      </c>
      <c r="E444" s="27">
        <v>3930</v>
      </c>
      <c r="F444" s="30">
        <v>47124</v>
      </c>
      <c r="G444" s="27">
        <v>9896.0400000000009</v>
      </c>
      <c r="H444" s="27">
        <v>60950.04</v>
      </c>
      <c r="I444" s="28" t="s">
        <v>19</v>
      </c>
      <c r="J444" s="43"/>
    </row>
    <row r="445" spans="1:10" customFormat="1" ht="15" hidden="1" customHeight="1" x14ac:dyDescent="0.25">
      <c r="A445" s="37">
        <v>44993</v>
      </c>
      <c r="B445" s="25" t="s">
        <v>3467</v>
      </c>
      <c r="C445" s="26" t="s">
        <v>2972</v>
      </c>
      <c r="D445" s="26" t="s">
        <v>2973</v>
      </c>
      <c r="E445" s="27">
        <v>3930</v>
      </c>
      <c r="F445" s="30">
        <v>47124</v>
      </c>
      <c r="G445" s="27">
        <v>9896.0400000000009</v>
      </c>
      <c r="H445" s="27">
        <v>60950.04</v>
      </c>
      <c r="I445" s="28" t="s">
        <v>19</v>
      </c>
      <c r="J445" s="43"/>
    </row>
    <row r="446" spans="1:10" customFormat="1" ht="15" hidden="1" customHeight="1" x14ac:dyDescent="0.25">
      <c r="A446" s="37">
        <v>44993</v>
      </c>
      <c r="B446" s="25" t="s">
        <v>3468</v>
      </c>
      <c r="C446" s="26" t="s">
        <v>3011</v>
      </c>
      <c r="D446" s="26" t="s">
        <v>3012</v>
      </c>
      <c r="E446" s="27">
        <v>3960</v>
      </c>
      <c r="F446" s="30">
        <v>47124</v>
      </c>
      <c r="G446" s="27">
        <v>9896.0400000000009</v>
      </c>
      <c r="H446" s="27">
        <v>60980.04</v>
      </c>
      <c r="I446" s="28" t="s">
        <v>19</v>
      </c>
      <c r="J446" s="43"/>
    </row>
    <row r="447" spans="1:10" customFormat="1" ht="15" hidden="1" customHeight="1" x14ac:dyDescent="0.25">
      <c r="A447" s="37">
        <v>44993</v>
      </c>
      <c r="B447" s="25" t="s">
        <v>3469</v>
      </c>
      <c r="C447" s="26" t="s">
        <v>3241</v>
      </c>
      <c r="D447" s="26" t="s">
        <v>3242</v>
      </c>
      <c r="E447" s="27">
        <v>3960</v>
      </c>
      <c r="F447" s="30">
        <v>47124</v>
      </c>
      <c r="G447" s="27">
        <v>9896.0400000000009</v>
      </c>
      <c r="H447" s="27">
        <v>60980.04</v>
      </c>
      <c r="I447" s="28" t="s">
        <v>19</v>
      </c>
      <c r="J447" s="43"/>
    </row>
    <row r="448" spans="1:10" customFormat="1" ht="15" hidden="1" customHeight="1" x14ac:dyDescent="0.25">
      <c r="A448" s="37">
        <v>44993</v>
      </c>
      <c r="B448" s="25" t="s">
        <v>3470</v>
      </c>
      <c r="C448" s="26" t="s">
        <v>3241</v>
      </c>
      <c r="D448" s="26" t="s">
        <v>3242</v>
      </c>
      <c r="E448" s="27">
        <v>7920</v>
      </c>
      <c r="F448" s="30">
        <v>153153</v>
      </c>
      <c r="G448" s="27">
        <v>32162.13</v>
      </c>
      <c r="H448" s="27">
        <v>193235.13</v>
      </c>
      <c r="I448" s="28" t="s">
        <v>19</v>
      </c>
      <c r="J448" s="43"/>
    </row>
    <row r="449" spans="1:10" customFormat="1" ht="15" hidden="1" customHeight="1" x14ac:dyDescent="0.25">
      <c r="A449" s="37">
        <v>44993</v>
      </c>
      <c r="B449" s="25" t="s">
        <v>3471</v>
      </c>
      <c r="C449" s="26" t="s">
        <v>3235</v>
      </c>
      <c r="D449" s="26" t="s">
        <v>3236</v>
      </c>
      <c r="E449" s="27">
        <v>10320</v>
      </c>
      <c r="F449" s="30">
        <v>141372</v>
      </c>
      <c r="G449" s="27">
        <v>29688.12</v>
      </c>
      <c r="H449" s="27">
        <v>181380.12</v>
      </c>
      <c r="I449" s="28" t="s">
        <v>19</v>
      </c>
      <c r="J449" s="43"/>
    </row>
    <row r="450" spans="1:10" customFormat="1" ht="15" hidden="1" customHeight="1" x14ac:dyDescent="0.25">
      <c r="A450" s="37">
        <v>44993</v>
      </c>
      <c r="B450" s="25" t="s">
        <v>3472</v>
      </c>
      <c r="C450" s="26" t="s">
        <v>2921</v>
      </c>
      <c r="D450" s="26" t="s">
        <v>2922</v>
      </c>
      <c r="E450" s="27">
        <v>3440</v>
      </c>
      <c r="F450" s="30">
        <v>47124</v>
      </c>
      <c r="G450" s="27">
        <v>9896.0400000000009</v>
      </c>
      <c r="H450" s="27">
        <v>60460.04</v>
      </c>
      <c r="I450" s="28" t="s">
        <v>19</v>
      </c>
      <c r="J450" s="43"/>
    </row>
    <row r="451" spans="1:10" customFormat="1" ht="15" hidden="1" customHeight="1" x14ac:dyDescent="0.25">
      <c r="A451" s="40">
        <v>44993</v>
      </c>
      <c r="B451" s="47" t="s">
        <v>3473</v>
      </c>
      <c r="C451" s="47" t="s">
        <v>3272</v>
      </c>
      <c r="D451" s="47" t="s">
        <v>3273</v>
      </c>
      <c r="E451" s="48">
        <v>3440</v>
      </c>
      <c r="F451" s="30">
        <v>47124</v>
      </c>
      <c r="G451" s="48">
        <v>9896.0400000000009</v>
      </c>
      <c r="H451" s="27">
        <v>60460.04</v>
      </c>
      <c r="I451" s="41" t="s">
        <v>19</v>
      </c>
      <c r="J451" s="49"/>
    </row>
    <row r="452" spans="1:10" customFormat="1" ht="15" hidden="1" customHeight="1" x14ac:dyDescent="0.25">
      <c r="A452" s="37">
        <v>44993</v>
      </c>
      <c r="B452" s="25" t="s">
        <v>3474</v>
      </c>
      <c r="C452" s="26" t="s">
        <v>2856</v>
      </c>
      <c r="D452" s="26" t="s">
        <v>2857</v>
      </c>
      <c r="E452" s="27">
        <v>0</v>
      </c>
      <c r="F452" s="30">
        <v>60112.800000000003</v>
      </c>
      <c r="G452" s="27">
        <v>12623.69</v>
      </c>
      <c r="H452" s="27">
        <v>72736.490000000005</v>
      </c>
      <c r="I452" s="28" t="s">
        <v>19</v>
      </c>
      <c r="J452" s="43"/>
    </row>
    <row r="453" spans="1:10" customFormat="1" ht="15" hidden="1" customHeight="1" x14ac:dyDescent="0.25">
      <c r="A453" s="37">
        <v>44993</v>
      </c>
      <c r="B453" s="25" t="s">
        <v>3475</v>
      </c>
      <c r="C453" s="26" t="s">
        <v>2909</v>
      </c>
      <c r="D453" s="26" t="s">
        <v>2910</v>
      </c>
      <c r="E453" s="27">
        <v>0</v>
      </c>
      <c r="F453" s="30">
        <v>16500</v>
      </c>
      <c r="G453" s="27">
        <v>3465</v>
      </c>
      <c r="H453" s="27">
        <v>19965</v>
      </c>
      <c r="I453" s="28" t="s">
        <v>19</v>
      </c>
      <c r="J453" s="43"/>
    </row>
    <row r="454" spans="1:10" customFormat="1" ht="15" hidden="1" customHeight="1" x14ac:dyDescent="0.25">
      <c r="A454" s="37">
        <v>44993</v>
      </c>
      <c r="B454" s="25" t="s">
        <v>3476</v>
      </c>
      <c r="C454" s="26" t="s">
        <v>2909</v>
      </c>
      <c r="D454" s="26" t="s">
        <v>2910</v>
      </c>
      <c r="E454" s="27">
        <v>0</v>
      </c>
      <c r="F454" s="30">
        <v>16500</v>
      </c>
      <c r="G454" s="27">
        <v>3465</v>
      </c>
      <c r="H454" s="27">
        <v>19965</v>
      </c>
      <c r="I454" s="28" t="s">
        <v>19</v>
      </c>
      <c r="J454" s="43"/>
    </row>
    <row r="455" spans="1:10" customFormat="1" ht="15" hidden="1" customHeight="1" x14ac:dyDescent="0.25">
      <c r="A455" s="37">
        <v>44993</v>
      </c>
      <c r="B455" s="25" t="s">
        <v>3477</v>
      </c>
      <c r="C455" s="26" t="s">
        <v>2856</v>
      </c>
      <c r="D455" s="26" t="s">
        <v>2857</v>
      </c>
      <c r="E455" s="27">
        <v>0</v>
      </c>
      <c r="F455" s="30">
        <v>25000</v>
      </c>
      <c r="G455" s="27">
        <v>5250</v>
      </c>
      <c r="H455" s="27">
        <v>30250</v>
      </c>
      <c r="I455" s="28" t="s">
        <v>19</v>
      </c>
      <c r="J455" s="43"/>
    </row>
    <row r="456" spans="1:10" customFormat="1" ht="15" hidden="1" customHeight="1" x14ac:dyDescent="0.25">
      <c r="A456" s="37">
        <v>44993</v>
      </c>
      <c r="B456" s="25" t="s">
        <v>3478</v>
      </c>
      <c r="C456" s="26" t="s">
        <v>2921</v>
      </c>
      <c r="D456" s="26" t="s">
        <v>2922</v>
      </c>
      <c r="E456" s="27">
        <v>0</v>
      </c>
      <c r="F456" s="30">
        <v>50000</v>
      </c>
      <c r="G456" s="27">
        <v>10500</v>
      </c>
      <c r="H456" s="27">
        <v>60500</v>
      </c>
      <c r="I456" s="28" t="s">
        <v>19</v>
      </c>
      <c r="J456" s="43"/>
    </row>
    <row r="457" spans="1:10" customFormat="1" ht="15" hidden="1" customHeight="1" x14ac:dyDescent="0.25">
      <c r="A457" s="37">
        <v>44993</v>
      </c>
      <c r="B457" s="25" t="s">
        <v>3479</v>
      </c>
      <c r="C457" s="26" t="s">
        <v>2921</v>
      </c>
      <c r="D457" s="26" t="s">
        <v>2922</v>
      </c>
      <c r="E457" s="27">
        <v>0</v>
      </c>
      <c r="F457" s="30">
        <v>100000</v>
      </c>
      <c r="G457" s="27">
        <v>21000</v>
      </c>
      <c r="H457" s="27">
        <v>121000</v>
      </c>
      <c r="I457" s="28" t="s">
        <v>19</v>
      </c>
      <c r="J457" s="43"/>
    </row>
    <row r="458" spans="1:10" customFormat="1" ht="15" hidden="1" customHeight="1" x14ac:dyDescent="0.25">
      <c r="A458" s="37">
        <v>44993</v>
      </c>
      <c r="B458" s="25" t="s">
        <v>3480</v>
      </c>
      <c r="C458" s="26" t="s">
        <v>2921</v>
      </c>
      <c r="D458" s="26" t="s">
        <v>2922</v>
      </c>
      <c r="E458" s="27">
        <v>0</v>
      </c>
      <c r="F458" s="30">
        <v>100000</v>
      </c>
      <c r="G458" s="27">
        <v>21000</v>
      </c>
      <c r="H458" s="27">
        <v>121000</v>
      </c>
      <c r="I458" s="28" t="s">
        <v>19</v>
      </c>
      <c r="J458" s="43"/>
    </row>
    <row r="459" spans="1:10" customFormat="1" ht="15" hidden="1" customHeight="1" x14ac:dyDescent="0.25">
      <c r="A459" s="37">
        <v>44993</v>
      </c>
      <c r="B459" s="25" t="s">
        <v>3481</v>
      </c>
      <c r="C459" s="26" t="s">
        <v>2921</v>
      </c>
      <c r="D459" s="26" t="s">
        <v>2922</v>
      </c>
      <c r="E459" s="27">
        <v>0</v>
      </c>
      <c r="F459" s="30">
        <v>50000</v>
      </c>
      <c r="G459" s="27">
        <v>10500</v>
      </c>
      <c r="H459" s="27">
        <v>60500</v>
      </c>
      <c r="I459" s="28" t="s">
        <v>19</v>
      </c>
      <c r="J459" s="43"/>
    </row>
    <row r="460" spans="1:10" customFormat="1" ht="15" hidden="1" customHeight="1" x14ac:dyDescent="0.25">
      <c r="A460" s="37">
        <v>44993</v>
      </c>
      <c r="B460" s="25" t="s">
        <v>3482</v>
      </c>
      <c r="C460" s="26" t="s">
        <v>2921</v>
      </c>
      <c r="D460" s="26" t="s">
        <v>2922</v>
      </c>
      <c r="E460" s="27">
        <v>0</v>
      </c>
      <c r="F460" s="30">
        <v>50000</v>
      </c>
      <c r="G460" s="27">
        <v>10500</v>
      </c>
      <c r="H460" s="27">
        <v>60500</v>
      </c>
      <c r="I460" s="28" t="s">
        <v>19</v>
      </c>
      <c r="J460" s="43"/>
    </row>
    <row r="461" spans="1:10" customFormat="1" ht="15" hidden="1" customHeight="1" x14ac:dyDescent="0.25">
      <c r="A461" s="37">
        <v>44993</v>
      </c>
      <c r="B461" s="25" t="s">
        <v>3483</v>
      </c>
      <c r="C461" s="26" t="s">
        <v>2972</v>
      </c>
      <c r="D461" s="26" t="s">
        <v>2973</v>
      </c>
      <c r="E461" s="27">
        <v>0</v>
      </c>
      <c r="F461" s="30">
        <v>50000</v>
      </c>
      <c r="G461" s="27">
        <v>10500</v>
      </c>
      <c r="H461" s="27">
        <v>60500</v>
      </c>
      <c r="I461" s="28" t="s">
        <v>19</v>
      </c>
      <c r="J461" s="43"/>
    </row>
    <row r="462" spans="1:10" customFormat="1" ht="15" hidden="1" customHeight="1" x14ac:dyDescent="0.25">
      <c r="A462" s="37">
        <v>44993</v>
      </c>
      <c r="B462" s="25" t="s">
        <v>3484</v>
      </c>
      <c r="C462" s="26" t="s">
        <v>3290</v>
      </c>
      <c r="D462" s="26" t="s">
        <v>3291</v>
      </c>
      <c r="E462" s="27">
        <v>0</v>
      </c>
      <c r="F462" s="30">
        <v>100000</v>
      </c>
      <c r="G462" s="27">
        <v>21000</v>
      </c>
      <c r="H462" s="27">
        <v>121000</v>
      </c>
      <c r="I462" s="28" t="s">
        <v>19</v>
      </c>
      <c r="J462" s="43"/>
    </row>
    <row r="463" spans="1:10" customFormat="1" ht="15" hidden="1" customHeight="1" x14ac:dyDescent="0.25">
      <c r="A463" s="37">
        <v>44993</v>
      </c>
      <c r="B463" s="25" t="s">
        <v>3485</v>
      </c>
      <c r="C463" s="26" t="s">
        <v>2972</v>
      </c>
      <c r="D463" s="26" t="s">
        <v>2973</v>
      </c>
      <c r="E463" s="27">
        <v>0</v>
      </c>
      <c r="F463" s="30">
        <v>50000</v>
      </c>
      <c r="G463" s="27">
        <v>10500</v>
      </c>
      <c r="H463" s="27">
        <v>60500</v>
      </c>
      <c r="I463" s="28" t="s">
        <v>19</v>
      </c>
      <c r="J463" s="43"/>
    </row>
    <row r="464" spans="1:10" customFormat="1" ht="15" hidden="1" customHeight="1" x14ac:dyDescent="0.25">
      <c r="A464" s="37">
        <v>44993</v>
      </c>
      <c r="B464" s="25" t="s">
        <v>3486</v>
      </c>
      <c r="C464" s="26" t="s">
        <v>2972</v>
      </c>
      <c r="D464" s="26" t="s">
        <v>2973</v>
      </c>
      <c r="E464" s="27">
        <v>0</v>
      </c>
      <c r="F464" s="30">
        <v>100000</v>
      </c>
      <c r="G464" s="27">
        <v>21000</v>
      </c>
      <c r="H464" s="27">
        <v>121000</v>
      </c>
      <c r="I464" s="28" t="s">
        <v>19</v>
      </c>
      <c r="J464" s="43"/>
    </row>
    <row r="465" spans="1:10" customFormat="1" ht="15" hidden="1" customHeight="1" x14ac:dyDescent="0.25">
      <c r="A465" s="37">
        <v>44993</v>
      </c>
      <c r="B465" s="25" t="s">
        <v>3487</v>
      </c>
      <c r="C465" s="26" t="s">
        <v>2972</v>
      </c>
      <c r="D465" s="26" t="s">
        <v>2973</v>
      </c>
      <c r="E465" s="27">
        <v>0</v>
      </c>
      <c r="F465" s="30">
        <v>100000</v>
      </c>
      <c r="G465" s="27">
        <v>21000</v>
      </c>
      <c r="H465" s="27">
        <v>121000</v>
      </c>
      <c r="I465" s="28" t="s">
        <v>19</v>
      </c>
      <c r="J465" s="43"/>
    </row>
    <row r="466" spans="1:10" customFormat="1" ht="15" hidden="1" customHeight="1" x14ac:dyDescent="0.25">
      <c r="A466" s="37">
        <v>44993</v>
      </c>
      <c r="B466" s="25" t="s">
        <v>3488</v>
      </c>
      <c r="C466" s="26" t="s">
        <v>3007</v>
      </c>
      <c r="D466" s="26" t="s">
        <v>3008</v>
      </c>
      <c r="E466" s="27">
        <v>0</v>
      </c>
      <c r="F466" s="30">
        <v>50000</v>
      </c>
      <c r="G466" s="27">
        <v>10500</v>
      </c>
      <c r="H466" s="27">
        <v>60500</v>
      </c>
      <c r="I466" s="28" t="s">
        <v>19</v>
      </c>
      <c r="J466" s="43"/>
    </row>
    <row r="467" spans="1:10" customFormat="1" ht="15" hidden="1" customHeight="1" x14ac:dyDescent="0.25">
      <c r="A467" s="37">
        <v>44993</v>
      </c>
      <c r="B467" s="25" t="s">
        <v>3489</v>
      </c>
      <c r="C467" s="26" t="s">
        <v>2921</v>
      </c>
      <c r="D467" s="26" t="s">
        <v>2922</v>
      </c>
      <c r="E467" s="27">
        <v>0</v>
      </c>
      <c r="F467" s="30">
        <v>50000</v>
      </c>
      <c r="G467" s="27">
        <v>10500</v>
      </c>
      <c r="H467" s="27">
        <v>60500</v>
      </c>
      <c r="I467" s="28" t="s">
        <v>19</v>
      </c>
      <c r="J467" s="43"/>
    </row>
    <row r="468" spans="1:10" customFormat="1" ht="15" hidden="1" customHeight="1" x14ac:dyDescent="0.25">
      <c r="A468" s="37">
        <v>44993</v>
      </c>
      <c r="B468" s="25" t="s">
        <v>3490</v>
      </c>
      <c r="C468" s="26" t="s">
        <v>2921</v>
      </c>
      <c r="D468" s="26" t="s">
        <v>2922</v>
      </c>
      <c r="E468" s="27">
        <v>0</v>
      </c>
      <c r="F468" s="30">
        <v>50000</v>
      </c>
      <c r="G468" s="27">
        <v>10500</v>
      </c>
      <c r="H468" s="27">
        <v>60500</v>
      </c>
      <c r="I468" s="28" t="s">
        <v>19</v>
      </c>
      <c r="J468" s="43"/>
    </row>
    <row r="469" spans="1:10" customFormat="1" ht="15" hidden="1" customHeight="1" x14ac:dyDescent="0.25">
      <c r="A469" s="37">
        <v>44993</v>
      </c>
      <c r="B469" s="25" t="s">
        <v>3491</v>
      </c>
      <c r="C469" s="26" t="s">
        <v>2921</v>
      </c>
      <c r="D469" s="26" t="s">
        <v>2922</v>
      </c>
      <c r="E469" s="27">
        <v>0</v>
      </c>
      <c r="F469" s="30">
        <v>50000</v>
      </c>
      <c r="G469" s="27">
        <v>10500</v>
      </c>
      <c r="H469" s="27">
        <v>60500</v>
      </c>
      <c r="I469" s="28" t="s">
        <v>19</v>
      </c>
      <c r="J469" s="43"/>
    </row>
    <row r="470" spans="1:10" customFormat="1" ht="15" hidden="1" customHeight="1" x14ac:dyDescent="0.25">
      <c r="A470" s="37">
        <v>44993</v>
      </c>
      <c r="B470" s="25" t="s">
        <v>3492</v>
      </c>
      <c r="C470" s="26" t="s">
        <v>2921</v>
      </c>
      <c r="D470" s="26" t="s">
        <v>2922</v>
      </c>
      <c r="E470" s="27">
        <v>0</v>
      </c>
      <c r="F470" s="30">
        <v>100000</v>
      </c>
      <c r="G470" s="27">
        <v>21000</v>
      </c>
      <c r="H470" s="27">
        <v>121000</v>
      </c>
      <c r="I470" s="28" t="s">
        <v>19</v>
      </c>
      <c r="J470" s="43"/>
    </row>
    <row r="471" spans="1:10" customFormat="1" ht="15" hidden="1" customHeight="1" x14ac:dyDescent="0.25">
      <c r="A471" s="37">
        <v>44993</v>
      </c>
      <c r="B471" s="25" t="s">
        <v>3493</v>
      </c>
      <c r="C471" s="26" t="s">
        <v>3335</v>
      </c>
      <c r="D471" s="26" t="s">
        <v>3336</v>
      </c>
      <c r="E471" s="27">
        <v>0</v>
      </c>
      <c r="F471" s="30">
        <v>90169.2</v>
      </c>
      <c r="G471" s="27">
        <v>18935.53</v>
      </c>
      <c r="H471" s="27">
        <v>109104.73</v>
      </c>
      <c r="I471" s="28" t="s">
        <v>19</v>
      </c>
      <c r="J471" s="43"/>
    </row>
    <row r="472" spans="1:10" customFormat="1" ht="15" hidden="1" customHeight="1" x14ac:dyDescent="0.25">
      <c r="A472" s="37">
        <v>44993</v>
      </c>
      <c r="B472" s="25" t="s">
        <v>3494</v>
      </c>
      <c r="C472" s="26" t="s">
        <v>2978</v>
      </c>
      <c r="D472" s="26" t="s">
        <v>2979</v>
      </c>
      <c r="E472" s="27">
        <v>3960</v>
      </c>
      <c r="F472" s="30">
        <v>47124</v>
      </c>
      <c r="G472" s="27">
        <v>9896.0400000000009</v>
      </c>
      <c r="H472" s="27">
        <v>60980.04</v>
      </c>
      <c r="I472" s="28" t="s">
        <v>19</v>
      </c>
      <c r="J472" s="43"/>
    </row>
    <row r="473" spans="1:10" customFormat="1" ht="15" hidden="1" customHeight="1" x14ac:dyDescent="0.25">
      <c r="A473" s="37">
        <v>44999</v>
      </c>
      <c r="B473" s="25" t="s">
        <v>3495</v>
      </c>
      <c r="C473" s="26" t="s">
        <v>2945</v>
      </c>
      <c r="D473" s="26" t="s">
        <v>2946</v>
      </c>
      <c r="E473" s="27">
        <v>0</v>
      </c>
      <c r="F473" s="30">
        <v>180338.4</v>
      </c>
      <c r="G473" s="27">
        <v>37871.06</v>
      </c>
      <c r="H473" s="27">
        <v>218209.46</v>
      </c>
      <c r="I473" s="28" t="s">
        <v>19</v>
      </c>
      <c r="J473" s="43"/>
    </row>
    <row r="474" spans="1:10" customFormat="1" ht="15" hidden="1" customHeight="1" x14ac:dyDescent="0.25">
      <c r="A474" s="37">
        <v>44999</v>
      </c>
      <c r="B474" s="25" t="s">
        <v>3496</v>
      </c>
      <c r="C474" s="26" t="s">
        <v>2892</v>
      </c>
      <c r="D474" s="26" t="s">
        <v>2893</v>
      </c>
      <c r="E474" s="27">
        <v>0</v>
      </c>
      <c r="F474" s="30">
        <v>32788.800000000003</v>
      </c>
      <c r="G474" s="27">
        <v>6885.65</v>
      </c>
      <c r="H474" s="27">
        <v>39674.449999999997</v>
      </c>
      <c r="I474" s="28" t="s">
        <v>19</v>
      </c>
      <c r="J474" s="43"/>
    </row>
    <row r="475" spans="1:10" customFormat="1" ht="15" hidden="1" customHeight="1" x14ac:dyDescent="0.25">
      <c r="A475" s="37">
        <v>44999</v>
      </c>
      <c r="B475" s="25" t="s">
        <v>3497</v>
      </c>
      <c r="C475" s="26" t="s">
        <v>2909</v>
      </c>
      <c r="D475" s="26" t="s">
        <v>2910</v>
      </c>
      <c r="E475" s="27">
        <v>0</v>
      </c>
      <c r="F475" s="30">
        <v>21000</v>
      </c>
      <c r="G475" s="27">
        <v>4410</v>
      </c>
      <c r="H475" s="27">
        <v>25410</v>
      </c>
      <c r="I475" s="28" t="s">
        <v>19</v>
      </c>
      <c r="J475" s="43"/>
    </row>
    <row r="476" spans="1:10" customFormat="1" ht="15" hidden="1" customHeight="1" x14ac:dyDescent="0.25">
      <c r="A476" s="37">
        <v>44999</v>
      </c>
      <c r="B476" s="25" t="s">
        <v>3498</v>
      </c>
      <c r="C476" s="26" t="s">
        <v>2856</v>
      </c>
      <c r="D476" s="26" t="s">
        <v>2857</v>
      </c>
      <c r="E476" s="27">
        <v>0</v>
      </c>
      <c r="F476" s="30">
        <v>17000</v>
      </c>
      <c r="G476" s="27">
        <v>3570</v>
      </c>
      <c r="H476" s="27">
        <v>20570</v>
      </c>
      <c r="I476" s="28" t="s">
        <v>19</v>
      </c>
      <c r="J476" s="43"/>
    </row>
    <row r="477" spans="1:10" customFormat="1" ht="15" hidden="1" customHeight="1" x14ac:dyDescent="0.25">
      <c r="A477" s="37">
        <v>44999</v>
      </c>
      <c r="B477" s="25" t="s">
        <v>3499</v>
      </c>
      <c r="C477" s="26" t="s">
        <v>2945</v>
      </c>
      <c r="D477" s="26" t="s">
        <v>2946</v>
      </c>
      <c r="E477" s="27">
        <v>0</v>
      </c>
      <c r="F477" s="30">
        <v>21000</v>
      </c>
      <c r="G477" s="27">
        <v>4410</v>
      </c>
      <c r="H477" s="27">
        <v>25410</v>
      </c>
      <c r="I477" s="28" t="s">
        <v>19</v>
      </c>
      <c r="J477" s="43"/>
    </row>
    <row r="478" spans="1:10" customFormat="1" ht="15" hidden="1" customHeight="1" x14ac:dyDescent="0.25">
      <c r="A478" s="37">
        <v>44999</v>
      </c>
      <c r="B478" s="25" t="s">
        <v>3500</v>
      </c>
      <c r="C478" s="26" t="s">
        <v>2867</v>
      </c>
      <c r="D478" s="26" t="s">
        <v>2868</v>
      </c>
      <c r="E478" s="27">
        <v>0</v>
      </c>
      <c r="F478" s="30">
        <v>182160</v>
      </c>
      <c r="G478" s="27">
        <v>38253.599999999999</v>
      </c>
      <c r="H478" s="27">
        <v>220413.6</v>
      </c>
      <c r="I478" s="28" t="s">
        <v>19</v>
      </c>
      <c r="J478" s="43"/>
    </row>
    <row r="479" spans="1:10" customFormat="1" ht="15" hidden="1" customHeight="1" x14ac:dyDescent="0.25">
      <c r="A479" s="37">
        <v>44999</v>
      </c>
      <c r="B479" s="25" t="s">
        <v>3501</v>
      </c>
      <c r="C479" s="26" t="s">
        <v>2917</v>
      </c>
      <c r="D479" s="26" t="s">
        <v>2918</v>
      </c>
      <c r="E479" s="27">
        <v>-1.86264514923096E-11</v>
      </c>
      <c r="F479" s="30">
        <v>123704.4</v>
      </c>
      <c r="G479" s="27">
        <v>25977.93</v>
      </c>
      <c r="H479" s="27">
        <v>149682.32999999999</v>
      </c>
      <c r="I479" s="28" t="s">
        <v>19</v>
      </c>
      <c r="J479" s="43"/>
    </row>
    <row r="480" spans="1:10" customFormat="1" ht="15" hidden="1" customHeight="1" x14ac:dyDescent="0.25">
      <c r="A480" s="37">
        <v>45000</v>
      </c>
      <c r="B480" s="25" t="s">
        <v>3502</v>
      </c>
      <c r="C480" s="26" t="s">
        <v>3096</v>
      </c>
      <c r="D480" s="26" t="s">
        <v>3097</v>
      </c>
      <c r="E480" s="27">
        <v>17100</v>
      </c>
      <c r="F480" s="30">
        <v>176715</v>
      </c>
      <c r="G480" s="27">
        <v>37110.15</v>
      </c>
      <c r="H480" s="27">
        <v>230925.15</v>
      </c>
      <c r="I480" s="28" t="s">
        <v>19</v>
      </c>
      <c r="J480" s="43"/>
    </row>
    <row r="481" spans="1:10" customFormat="1" ht="15" hidden="1" customHeight="1" x14ac:dyDescent="0.25">
      <c r="A481" s="37">
        <v>45000</v>
      </c>
      <c r="B481" s="25" t="s">
        <v>3503</v>
      </c>
      <c r="C481" s="26" t="s">
        <v>2909</v>
      </c>
      <c r="D481" s="26" t="s">
        <v>2910</v>
      </c>
      <c r="E481" s="27">
        <v>5700</v>
      </c>
      <c r="F481" s="30">
        <v>70686</v>
      </c>
      <c r="G481" s="27">
        <v>14844.06</v>
      </c>
      <c r="H481" s="27">
        <v>91230.06</v>
      </c>
      <c r="I481" s="28" t="s">
        <v>19</v>
      </c>
      <c r="J481" s="43"/>
    </row>
    <row r="482" spans="1:10" customFormat="1" ht="15" hidden="1" customHeight="1" x14ac:dyDescent="0.25">
      <c r="A482" s="37">
        <v>45000</v>
      </c>
      <c r="B482" s="25" t="s">
        <v>3504</v>
      </c>
      <c r="C482" s="26" t="s">
        <v>2906</v>
      </c>
      <c r="D482" s="26" t="s">
        <v>2907</v>
      </c>
      <c r="E482" s="27">
        <v>5700</v>
      </c>
      <c r="F482" s="30">
        <v>58905</v>
      </c>
      <c r="G482" s="27">
        <v>12370.05</v>
      </c>
      <c r="H482" s="27">
        <v>76975.05</v>
      </c>
      <c r="I482" s="28" t="s">
        <v>19</v>
      </c>
      <c r="J482" s="43"/>
    </row>
    <row r="483" spans="1:10" customFormat="1" ht="15" hidden="1" customHeight="1" x14ac:dyDescent="0.25">
      <c r="A483" s="37">
        <v>45000</v>
      </c>
      <c r="B483" s="25" t="s">
        <v>3505</v>
      </c>
      <c r="C483" s="26" t="s">
        <v>3235</v>
      </c>
      <c r="D483" s="26" t="s">
        <v>3236</v>
      </c>
      <c r="E483" s="27">
        <v>11400</v>
      </c>
      <c r="F483" s="30">
        <v>94248</v>
      </c>
      <c r="G483" s="27">
        <v>19792.080000000002</v>
      </c>
      <c r="H483" s="27">
        <v>125440.08</v>
      </c>
      <c r="I483" s="28" t="s">
        <v>19</v>
      </c>
      <c r="J483" s="43"/>
    </row>
    <row r="484" spans="1:10" customFormat="1" ht="15" hidden="1" customHeight="1" x14ac:dyDescent="0.25">
      <c r="A484" s="37">
        <v>45000</v>
      </c>
      <c r="B484" s="25" t="s">
        <v>3506</v>
      </c>
      <c r="C484" s="26" t="s">
        <v>3235</v>
      </c>
      <c r="D484" s="26" t="s">
        <v>3236</v>
      </c>
      <c r="E484" s="27">
        <v>5700</v>
      </c>
      <c r="F484" s="30">
        <v>47124</v>
      </c>
      <c r="G484" s="27">
        <v>9896.0400000000009</v>
      </c>
      <c r="H484" s="27">
        <v>62720.04</v>
      </c>
      <c r="I484" s="28" t="s">
        <v>19</v>
      </c>
      <c r="J484" s="43"/>
    </row>
    <row r="485" spans="1:10" customFormat="1" ht="15" hidden="1" customHeight="1" x14ac:dyDescent="0.25">
      <c r="A485" s="37">
        <v>45000</v>
      </c>
      <c r="B485" s="25" t="s">
        <v>3507</v>
      </c>
      <c r="C485" s="26" t="s">
        <v>2867</v>
      </c>
      <c r="D485" s="26" t="s">
        <v>2868</v>
      </c>
      <c r="E485" s="27">
        <v>2500</v>
      </c>
      <c r="F485" s="30">
        <v>211080</v>
      </c>
      <c r="G485" s="27">
        <v>44326.8</v>
      </c>
      <c r="H485" s="27">
        <v>257906.8</v>
      </c>
      <c r="I485" s="28" t="s">
        <v>19</v>
      </c>
      <c r="J485" s="43"/>
    </row>
    <row r="486" spans="1:10" customFormat="1" ht="15" hidden="1" customHeight="1" x14ac:dyDescent="0.25">
      <c r="A486" s="37">
        <v>45000</v>
      </c>
      <c r="B486" s="25" t="s">
        <v>3508</v>
      </c>
      <c r="C486" s="26" t="s">
        <v>3083</v>
      </c>
      <c r="D486" s="26" t="s">
        <v>3084</v>
      </c>
      <c r="E486" s="27">
        <v>0</v>
      </c>
      <c r="F486" s="30">
        <v>54648</v>
      </c>
      <c r="G486" s="27">
        <v>11476.08</v>
      </c>
      <c r="H486" s="27">
        <v>66124.08</v>
      </c>
      <c r="I486" s="28" t="s">
        <v>19</v>
      </c>
      <c r="J486" s="43"/>
    </row>
    <row r="487" spans="1:10" customFormat="1" ht="15" hidden="1" customHeight="1" x14ac:dyDescent="0.25">
      <c r="A487" s="37">
        <v>45000</v>
      </c>
      <c r="B487" s="25" t="s">
        <v>3509</v>
      </c>
      <c r="C487" s="26" t="s">
        <v>2921</v>
      </c>
      <c r="D487" s="26" t="s">
        <v>2922</v>
      </c>
      <c r="E487" s="27">
        <v>0</v>
      </c>
      <c r="F487" s="30">
        <v>660462</v>
      </c>
      <c r="G487" s="27">
        <v>138697.01999999999</v>
      </c>
      <c r="H487" s="27">
        <v>799159.02</v>
      </c>
      <c r="I487" s="28" t="s">
        <v>19</v>
      </c>
      <c r="J487" s="43"/>
    </row>
    <row r="488" spans="1:10" customFormat="1" ht="15" hidden="1" customHeight="1" x14ac:dyDescent="0.25">
      <c r="A488" s="37">
        <v>45000</v>
      </c>
      <c r="B488" s="25" t="s">
        <v>3510</v>
      </c>
      <c r="C488" s="26" t="s">
        <v>3029</v>
      </c>
      <c r="D488" s="26" t="s">
        <v>3030</v>
      </c>
      <c r="E488" s="27">
        <v>2490</v>
      </c>
      <c r="F488" s="30">
        <v>50000</v>
      </c>
      <c r="G488" s="27">
        <v>10500</v>
      </c>
      <c r="H488" s="27">
        <v>62990</v>
      </c>
      <c r="I488" s="28" t="s">
        <v>19</v>
      </c>
      <c r="J488" s="43"/>
    </row>
    <row r="489" spans="1:10" customFormat="1" ht="15" hidden="1" customHeight="1" x14ac:dyDescent="0.25">
      <c r="A489" s="37">
        <v>45000</v>
      </c>
      <c r="B489" s="25" t="s">
        <v>3511</v>
      </c>
      <c r="C489" s="26" t="s">
        <v>3029</v>
      </c>
      <c r="D489" s="26" t="s">
        <v>3030</v>
      </c>
      <c r="E489" s="27">
        <v>2490</v>
      </c>
      <c r="F489" s="30">
        <v>50000</v>
      </c>
      <c r="G489" s="27">
        <v>10500</v>
      </c>
      <c r="H489" s="27">
        <v>62990</v>
      </c>
      <c r="I489" s="28" t="s">
        <v>19</v>
      </c>
      <c r="J489" s="43"/>
    </row>
    <row r="490" spans="1:10" customFormat="1" ht="15" hidden="1" customHeight="1" x14ac:dyDescent="0.25">
      <c r="A490" s="37">
        <v>45000</v>
      </c>
      <c r="B490" s="25" t="s">
        <v>3512</v>
      </c>
      <c r="C490" s="26" t="s">
        <v>3105</v>
      </c>
      <c r="D490" s="26" t="s">
        <v>3106</v>
      </c>
      <c r="E490" s="27">
        <v>2490</v>
      </c>
      <c r="F490" s="30">
        <v>50000</v>
      </c>
      <c r="G490" s="27">
        <v>10500</v>
      </c>
      <c r="H490" s="27">
        <v>62990</v>
      </c>
      <c r="I490" s="28" t="s">
        <v>19</v>
      </c>
      <c r="J490" s="43"/>
    </row>
    <row r="491" spans="1:10" customFormat="1" ht="15" hidden="1" customHeight="1" x14ac:dyDescent="0.25">
      <c r="A491" s="37">
        <v>45000</v>
      </c>
      <c r="B491" s="25" t="s">
        <v>3513</v>
      </c>
      <c r="C491" s="26" t="s">
        <v>3235</v>
      </c>
      <c r="D491" s="26" t="s">
        <v>3236</v>
      </c>
      <c r="E491" s="27">
        <v>0</v>
      </c>
      <c r="F491" s="30">
        <v>94248</v>
      </c>
      <c r="G491" s="27">
        <v>19792.080000000002</v>
      </c>
      <c r="H491" s="27">
        <v>114040.08</v>
      </c>
      <c r="I491" s="28" t="s">
        <v>19</v>
      </c>
      <c r="J491" s="43"/>
    </row>
    <row r="492" spans="1:10" customFormat="1" ht="15" hidden="1" customHeight="1" x14ac:dyDescent="0.25">
      <c r="A492" s="37">
        <v>45000</v>
      </c>
      <c r="B492" s="25" t="s">
        <v>3514</v>
      </c>
      <c r="C492" s="26" t="s">
        <v>2990</v>
      </c>
      <c r="D492" s="26" t="s">
        <v>2991</v>
      </c>
      <c r="E492" s="27">
        <v>0</v>
      </c>
      <c r="F492" s="30">
        <v>47124</v>
      </c>
      <c r="G492" s="27">
        <v>9896.0400000000009</v>
      </c>
      <c r="H492" s="27">
        <v>57020.04</v>
      </c>
      <c r="I492" s="28" t="s">
        <v>19</v>
      </c>
      <c r="J492" s="43"/>
    </row>
    <row r="493" spans="1:10" customFormat="1" ht="15" hidden="1" customHeight="1" x14ac:dyDescent="0.25">
      <c r="A493" s="37">
        <v>45000</v>
      </c>
      <c r="B493" s="25" t="s">
        <v>3515</v>
      </c>
      <c r="C493" s="26" t="s">
        <v>2990</v>
      </c>
      <c r="D493" s="26" t="s">
        <v>2991</v>
      </c>
      <c r="E493" s="27">
        <v>0</v>
      </c>
      <c r="F493" s="30">
        <v>47124</v>
      </c>
      <c r="G493" s="27">
        <v>9896.0400000000009</v>
      </c>
      <c r="H493" s="27">
        <v>57020.04</v>
      </c>
      <c r="I493" s="28" t="s">
        <v>19</v>
      </c>
      <c r="J493" s="43"/>
    </row>
    <row r="494" spans="1:10" customFormat="1" ht="15" hidden="1" customHeight="1" x14ac:dyDescent="0.25">
      <c r="A494" s="37">
        <v>45000</v>
      </c>
      <c r="B494" s="25" t="s">
        <v>3516</v>
      </c>
      <c r="C494" s="26" t="s">
        <v>3029</v>
      </c>
      <c r="D494" s="26" t="s">
        <v>3030</v>
      </c>
      <c r="E494" s="27">
        <v>0</v>
      </c>
      <c r="F494" s="30">
        <v>47124</v>
      </c>
      <c r="G494" s="27">
        <v>9896.0400000000009</v>
      </c>
      <c r="H494" s="27">
        <v>57020.04</v>
      </c>
      <c r="I494" s="28" t="s">
        <v>19</v>
      </c>
      <c r="J494" s="43"/>
    </row>
    <row r="495" spans="1:10" customFormat="1" ht="15" hidden="1" customHeight="1" x14ac:dyDescent="0.25">
      <c r="A495" s="37">
        <v>45000</v>
      </c>
      <c r="B495" s="25" t="s">
        <v>3517</v>
      </c>
      <c r="C495" s="26" t="s">
        <v>2924</v>
      </c>
      <c r="D495" s="26" t="s">
        <v>2925</v>
      </c>
      <c r="E495" s="27">
        <v>2490</v>
      </c>
      <c r="F495" s="30">
        <v>76250</v>
      </c>
      <c r="G495" s="27">
        <v>16012.5</v>
      </c>
      <c r="H495" s="27">
        <v>94752.5</v>
      </c>
      <c r="I495" s="28" t="s">
        <v>19</v>
      </c>
      <c r="J495" s="43"/>
    </row>
    <row r="496" spans="1:10" customFormat="1" ht="15" hidden="1" customHeight="1" x14ac:dyDescent="0.25">
      <c r="A496" s="37">
        <v>45000</v>
      </c>
      <c r="B496" s="25" t="s">
        <v>3518</v>
      </c>
      <c r="C496" s="26" t="s">
        <v>1140</v>
      </c>
      <c r="D496" s="26" t="s">
        <v>1141</v>
      </c>
      <c r="E496" s="27">
        <v>0</v>
      </c>
      <c r="F496" s="30">
        <v>94248</v>
      </c>
      <c r="G496" s="27">
        <v>19792.080000000002</v>
      </c>
      <c r="H496" s="27">
        <v>114040.08</v>
      </c>
      <c r="I496" s="28" t="s">
        <v>19</v>
      </c>
      <c r="J496" s="43"/>
    </row>
    <row r="497" spans="1:10" customFormat="1" ht="15" hidden="1" customHeight="1" x14ac:dyDescent="0.25">
      <c r="A497" s="37">
        <v>45000</v>
      </c>
      <c r="B497" s="25" t="s">
        <v>3519</v>
      </c>
      <c r="C497" s="26" t="s">
        <v>3520</v>
      </c>
      <c r="D497" s="26" t="s">
        <v>3521</v>
      </c>
      <c r="E497" s="27">
        <v>0</v>
      </c>
      <c r="F497" s="30">
        <v>23000</v>
      </c>
      <c r="G497" s="27">
        <v>4830</v>
      </c>
      <c r="H497" s="27">
        <v>27830</v>
      </c>
      <c r="I497" s="28" t="s">
        <v>19</v>
      </c>
      <c r="J497" s="43"/>
    </row>
    <row r="498" spans="1:10" customFormat="1" ht="15" hidden="1" customHeight="1" x14ac:dyDescent="0.25">
      <c r="A498" s="37">
        <v>45000</v>
      </c>
      <c r="B498" s="25" t="s">
        <v>3522</v>
      </c>
      <c r="C498" s="26" t="s">
        <v>2990</v>
      </c>
      <c r="D498" s="26" t="s">
        <v>2991</v>
      </c>
      <c r="E498" s="27">
        <v>2490</v>
      </c>
      <c r="F498" s="30">
        <v>50000</v>
      </c>
      <c r="G498" s="27">
        <v>10500</v>
      </c>
      <c r="H498" s="27">
        <v>62990</v>
      </c>
      <c r="I498" s="28" t="s">
        <v>19</v>
      </c>
      <c r="J498" s="43"/>
    </row>
    <row r="499" spans="1:10" customFormat="1" ht="15" hidden="1" customHeight="1" x14ac:dyDescent="0.25">
      <c r="A499" s="37">
        <v>45001</v>
      </c>
      <c r="B499" s="25" t="s">
        <v>3523</v>
      </c>
      <c r="C499" s="26" t="s">
        <v>2942</v>
      </c>
      <c r="D499" s="26" t="s">
        <v>2943</v>
      </c>
      <c r="E499" s="27">
        <v>0</v>
      </c>
      <c r="F499" s="30">
        <v>47124</v>
      </c>
      <c r="G499" s="27">
        <v>9896.0400000000009</v>
      </c>
      <c r="H499" s="27">
        <v>57020.04</v>
      </c>
      <c r="I499" s="28" t="s">
        <v>19</v>
      </c>
      <c r="J499" s="43"/>
    </row>
    <row r="500" spans="1:10" customFormat="1" ht="15" hidden="1" customHeight="1" x14ac:dyDescent="0.25">
      <c r="A500" s="37">
        <v>45001</v>
      </c>
      <c r="B500" s="25" t="s">
        <v>3524</v>
      </c>
      <c r="C500" s="26" t="s">
        <v>3235</v>
      </c>
      <c r="D500" s="26" t="s">
        <v>3236</v>
      </c>
      <c r="E500" s="27">
        <v>25750</v>
      </c>
      <c r="F500" s="30">
        <v>338496</v>
      </c>
      <c r="G500" s="27">
        <v>71084.160000000003</v>
      </c>
      <c r="H500" s="27">
        <v>435330.16</v>
      </c>
      <c r="I500" s="28" t="s">
        <v>19</v>
      </c>
      <c r="J500" s="43"/>
    </row>
    <row r="501" spans="1:10" customFormat="1" ht="15" hidden="1" customHeight="1" x14ac:dyDescent="0.25">
      <c r="A501" s="37">
        <v>45001</v>
      </c>
      <c r="B501" s="25" t="s">
        <v>3525</v>
      </c>
      <c r="C501" s="26" t="s">
        <v>2851</v>
      </c>
      <c r="D501" s="26" t="s">
        <v>2852</v>
      </c>
      <c r="E501" s="27">
        <v>2890</v>
      </c>
      <c r="F501" s="30">
        <v>67399.199999999997</v>
      </c>
      <c r="G501" s="27">
        <v>14153.83</v>
      </c>
      <c r="H501" s="27">
        <v>84443.03</v>
      </c>
      <c r="I501" s="28" t="s">
        <v>19</v>
      </c>
      <c r="J501" s="43"/>
    </row>
    <row r="502" spans="1:10" customFormat="1" ht="15" hidden="1" customHeight="1" x14ac:dyDescent="0.25">
      <c r="A502" s="37">
        <v>45001</v>
      </c>
      <c r="B502" s="25" t="s">
        <v>3526</v>
      </c>
      <c r="C502" s="26" t="s">
        <v>2880</v>
      </c>
      <c r="D502" s="26" t="s">
        <v>2881</v>
      </c>
      <c r="E502" s="27">
        <v>4980</v>
      </c>
      <c r="F502" s="30">
        <v>122000</v>
      </c>
      <c r="G502" s="27">
        <v>25620</v>
      </c>
      <c r="H502" s="27">
        <v>152600</v>
      </c>
      <c r="I502" s="28" t="s">
        <v>19</v>
      </c>
      <c r="J502" s="43"/>
    </row>
    <row r="503" spans="1:10" customFormat="1" ht="15" hidden="1" customHeight="1" x14ac:dyDescent="0.25">
      <c r="A503" s="37">
        <v>45001</v>
      </c>
      <c r="B503" s="25" t="s">
        <v>3527</v>
      </c>
      <c r="C503" s="26" t="s">
        <v>3241</v>
      </c>
      <c r="D503" s="26" t="s">
        <v>3242</v>
      </c>
      <c r="E503" s="27">
        <v>3030</v>
      </c>
      <c r="F503" s="30">
        <v>61000</v>
      </c>
      <c r="G503" s="27">
        <v>12810</v>
      </c>
      <c r="H503" s="27">
        <v>76840</v>
      </c>
      <c r="I503" s="28" t="s">
        <v>19</v>
      </c>
      <c r="J503" s="43"/>
    </row>
    <row r="504" spans="1:10" customFormat="1" ht="15" hidden="1" customHeight="1" x14ac:dyDescent="0.25">
      <c r="A504" s="37">
        <v>45001</v>
      </c>
      <c r="B504" s="25" t="s">
        <v>3528</v>
      </c>
      <c r="C504" s="26" t="s">
        <v>2909</v>
      </c>
      <c r="D504" s="26" t="s">
        <v>2910</v>
      </c>
      <c r="E504" s="27">
        <v>3440</v>
      </c>
      <c r="F504" s="30">
        <v>47124</v>
      </c>
      <c r="G504" s="27">
        <v>9896.0400000000009</v>
      </c>
      <c r="H504" s="27">
        <v>60460.04</v>
      </c>
      <c r="I504" s="28" t="s">
        <v>19</v>
      </c>
      <c r="J504" s="43"/>
    </row>
    <row r="505" spans="1:10" customFormat="1" ht="15" hidden="1" customHeight="1" x14ac:dyDescent="0.25">
      <c r="A505" s="37">
        <v>45001</v>
      </c>
      <c r="B505" s="25" t="s">
        <v>3529</v>
      </c>
      <c r="C505" s="26" t="s">
        <v>3257</v>
      </c>
      <c r="D505" s="26" t="s">
        <v>3258</v>
      </c>
      <c r="E505" s="27">
        <v>3440</v>
      </c>
      <c r="F505" s="30">
        <v>47124</v>
      </c>
      <c r="G505" s="27">
        <v>9896.0400000000009</v>
      </c>
      <c r="H505" s="27">
        <v>60460.04</v>
      </c>
      <c r="I505" s="28" t="s">
        <v>19</v>
      </c>
      <c r="J505" s="43"/>
    </row>
    <row r="506" spans="1:10" customFormat="1" ht="15" hidden="1" customHeight="1" x14ac:dyDescent="0.25">
      <c r="A506" s="37">
        <v>45001</v>
      </c>
      <c r="B506" s="25" t="s">
        <v>3530</v>
      </c>
      <c r="C506" s="26" t="s">
        <v>2921</v>
      </c>
      <c r="D506" s="26" t="s">
        <v>2922</v>
      </c>
      <c r="E506" s="27">
        <v>0</v>
      </c>
      <c r="F506" s="30">
        <v>306669</v>
      </c>
      <c r="G506" s="27">
        <v>64400.49</v>
      </c>
      <c r="H506" s="27">
        <v>371069.49</v>
      </c>
      <c r="I506" s="28" t="s">
        <v>19</v>
      </c>
      <c r="J506" s="43"/>
    </row>
    <row r="507" spans="1:10" customFormat="1" ht="15" hidden="1" customHeight="1" x14ac:dyDescent="0.25">
      <c r="A507" s="37">
        <v>45001</v>
      </c>
      <c r="B507" s="25" t="s">
        <v>3531</v>
      </c>
      <c r="C507" s="26" t="s">
        <v>2921</v>
      </c>
      <c r="D507" s="26" t="s">
        <v>2922</v>
      </c>
      <c r="E507" s="27">
        <v>0</v>
      </c>
      <c r="F507" s="30">
        <v>306669</v>
      </c>
      <c r="G507" s="27">
        <v>64400.49</v>
      </c>
      <c r="H507" s="27">
        <v>371069.49</v>
      </c>
      <c r="I507" s="28" t="s">
        <v>19</v>
      </c>
      <c r="J507" s="43"/>
    </row>
    <row r="508" spans="1:10" customFormat="1" ht="15" hidden="1" customHeight="1" x14ac:dyDescent="0.25">
      <c r="A508" s="37">
        <v>45001</v>
      </c>
      <c r="B508" s="25" t="s">
        <v>3532</v>
      </c>
      <c r="C508" s="26" t="s">
        <v>3041</v>
      </c>
      <c r="D508" s="26" t="s">
        <v>3042</v>
      </c>
      <c r="E508" s="27">
        <v>-1.86264514923096E-11</v>
      </c>
      <c r="F508" s="30">
        <v>101098.8</v>
      </c>
      <c r="G508" s="27">
        <v>21230.75</v>
      </c>
      <c r="H508" s="27">
        <v>122329.54999999999</v>
      </c>
      <c r="I508" s="28" t="s">
        <v>19</v>
      </c>
      <c r="J508" s="43"/>
    </row>
    <row r="509" spans="1:10" customFormat="1" ht="15" hidden="1" customHeight="1" x14ac:dyDescent="0.25">
      <c r="A509" s="37">
        <v>45001</v>
      </c>
      <c r="B509" s="25" t="s">
        <v>3533</v>
      </c>
      <c r="C509" s="26" t="s">
        <v>2972</v>
      </c>
      <c r="D509" s="26" t="s">
        <v>2973</v>
      </c>
      <c r="E509" s="27">
        <v>0</v>
      </c>
      <c r="F509" s="30">
        <v>67399.199999999997</v>
      </c>
      <c r="G509" s="27">
        <v>14153.83</v>
      </c>
      <c r="H509" s="27">
        <v>81553.03</v>
      </c>
      <c r="I509" s="28" t="s">
        <v>19</v>
      </c>
      <c r="J509" s="43"/>
    </row>
    <row r="510" spans="1:10" customFormat="1" ht="15" hidden="1" customHeight="1" x14ac:dyDescent="0.25">
      <c r="A510" s="37">
        <v>45001</v>
      </c>
      <c r="B510" s="25" t="s">
        <v>3534</v>
      </c>
      <c r="C510" s="26" t="s">
        <v>3257</v>
      </c>
      <c r="D510" s="26" t="s">
        <v>3258</v>
      </c>
      <c r="E510" s="27">
        <v>2490</v>
      </c>
      <c r="F510" s="30">
        <v>91500</v>
      </c>
      <c r="G510" s="27">
        <v>19215</v>
      </c>
      <c r="H510" s="27">
        <v>113205</v>
      </c>
      <c r="I510" s="28" t="s">
        <v>19</v>
      </c>
      <c r="J510" s="43"/>
    </row>
    <row r="511" spans="1:10" customFormat="1" ht="15" hidden="1" customHeight="1" x14ac:dyDescent="0.25">
      <c r="A511" s="37">
        <v>45001</v>
      </c>
      <c r="B511" s="25" t="s">
        <v>3535</v>
      </c>
      <c r="C511" s="26" t="s">
        <v>3257</v>
      </c>
      <c r="D511" s="26" t="s">
        <v>3258</v>
      </c>
      <c r="E511" s="27">
        <v>2490</v>
      </c>
      <c r="F511" s="30">
        <v>61000</v>
      </c>
      <c r="G511" s="27">
        <v>12810</v>
      </c>
      <c r="H511" s="27">
        <v>76300</v>
      </c>
      <c r="I511" s="28" t="s">
        <v>19</v>
      </c>
      <c r="J511" s="43"/>
    </row>
    <row r="512" spans="1:10" customFormat="1" ht="15" hidden="1" customHeight="1" x14ac:dyDescent="0.25">
      <c r="A512" s="37">
        <v>45001</v>
      </c>
      <c r="B512" s="25" t="s">
        <v>3536</v>
      </c>
      <c r="C512" s="26" t="s">
        <v>3257</v>
      </c>
      <c r="D512" s="26" t="s">
        <v>3258</v>
      </c>
      <c r="E512" s="27">
        <v>2490</v>
      </c>
      <c r="F512" s="30">
        <v>61000</v>
      </c>
      <c r="G512" s="27">
        <v>12810</v>
      </c>
      <c r="H512" s="27">
        <v>76300</v>
      </c>
      <c r="I512" s="28" t="s">
        <v>19</v>
      </c>
      <c r="J512" s="43"/>
    </row>
    <row r="513" spans="1:10" customFormat="1" ht="15" hidden="1" customHeight="1" x14ac:dyDescent="0.25">
      <c r="A513" s="37">
        <v>45001</v>
      </c>
      <c r="B513" s="25" t="s">
        <v>3537</v>
      </c>
      <c r="C513" s="26" t="s">
        <v>3257</v>
      </c>
      <c r="D513" s="26" t="s">
        <v>3258</v>
      </c>
      <c r="E513" s="27">
        <v>2490</v>
      </c>
      <c r="F513" s="30">
        <v>61000</v>
      </c>
      <c r="G513" s="27">
        <v>12810</v>
      </c>
      <c r="H513" s="27">
        <v>76300</v>
      </c>
      <c r="I513" s="28" t="s">
        <v>19</v>
      </c>
      <c r="J513" s="43"/>
    </row>
    <row r="514" spans="1:10" customFormat="1" ht="15" hidden="1" customHeight="1" x14ac:dyDescent="0.25">
      <c r="A514" s="37">
        <v>45001</v>
      </c>
      <c r="B514" s="25" t="s">
        <v>3538</v>
      </c>
      <c r="C514" s="26" t="s">
        <v>3539</v>
      </c>
      <c r="D514" s="26" t="s">
        <v>3540</v>
      </c>
      <c r="E514" s="27">
        <v>0</v>
      </c>
      <c r="F514" s="30">
        <v>353538</v>
      </c>
      <c r="G514" s="27">
        <v>74242.98</v>
      </c>
      <c r="H514" s="27">
        <v>427780.98</v>
      </c>
      <c r="I514" s="28" t="s">
        <v>19</v>
      </c>
      <c r="J514" s="43"/>
    </row>
    <row r="515" spans="1:10" customFormat="1" ht="15" hidden="1" customHeight="1" x14ac:dyDescent="0.25">
      <c r="A515" s="37">
        <v>45001</v>
      </c>
      <c r="B515" s="25" t="s">
        <v>3541</v>
      </c>
      <c r="C515" s="26" t="s">
        <v>2870</v>
      </c>
      <c r="D515" s="26" t="s">
        <v>2871</v>
      </c>
      <c r="E515" s="27">
        <v>6500</v>
      </c>
      <c r="F515" s="30">
        <v>57100</v>
      </c>
      <c r="G515" s="27">
        <v>11991</v>
      </c>
      <c r="H515" s="27">
        <v>75591</v>
      </c>
      <c r="I515" s="28" t="s">
        <v>19</v>
      </c>
      <c r="J515" s="43"/>
    </row>
    <row r="516" spans="1:10" customFormat="1" ht="15" hidden="1" customHeight="1" x14ac:dyDescent="0.25">
      <c r="A516" s="37">
        <v>45001</v>
      </c>
      <c r="B516" s="25" t="s">
        <v>3542</v>
      </c>
      <c r="C516" s="26" t="s">
        <v>2972</v>
      </c>
      <c r="D516" s="26" t="s">
        <v>2973</v>
      </c>
      <c r="E516" s="27">
        <v>0</v>
      </c>
      <c r="F516" s="30">
        <v>50000</v>
      </c>
      <c r="G516" s="27">
        <v>10500</v>
      </c>
      <c r="H516" s="27">
        <v>60500</v>
      </c>
      <c r="I516" s="28" t="s">
        <v>19</v>
      </c>
      <c r="J516" s="43"/>
    </row>
    <row r="517" spans="1:10" customFormat="1" ht="15" hidden="1" customHeight="1" x14ac:dyDescent="0.25">
      <c r="A517" s="37">
        <v>45001</v>
      </c>
      <c r="B517" s="25" t="s">
        <v>3543</v>
      </c>
      <c r="C517" s="26" t="s">
        <v>3235</v>
      </c>
      <c r="D517" s="26" t="s">
        <v>3236</v>
      </c>
      <c r="E517" s="27">
        <v>14220</v>
      </c>
      <c r="F517" s="30">
        <v>226500</v>
      </c>
      <c r="G517" s="27">
        <v>47565</v>
      </c>
      <c r="H517" s="27">
        <v>288285</v>
      </c>
      <c r="I517" s="28" t="s">
        <v>19</v>
      </c>
      <c r="J517" s="43"/>
    </row>
    <row r="518" spans="1:10" customFormat="1" ht="15" hidden="1" customHeight="1" x14ac:dyDescent="0.25">
      <c r="A518" s="37">
        <v>45001</v>
      </c>
      <c r="B518" s="25" t="s">
        <v>3544</v>
      </c>
      <c r="C518" s="26" t="s">
        <v>2978</v>
      </c>
      <c r="D518" s="26" t="s">
        <v>2979</v>
      </c>
      <c r="E518" s="27">
        <v>3440</v>
      </c>
      <c r="F518" s="30">
        <v>47124</v>
      </c>
      <c r="G518" s="27">
        <v>9896.0400000000009</v>
      </c>
      <c r="H518" s="27">
        <v>60460.04</v>
      </c>
      <c r="I518" s="28" t="s">
        <v>19</v>
      </c>
      <c r="J518" s="43"/>
    </row>
    <row r="519" spans="1:10" customFormat="1" ht="15" hidden="1" customHeight="1" x14ac:dyDescent="0.25">
      <c r="A519" s="37">
        <v>45001</v>
      </c>
      <c r="B519" s="25" t="s">
        <v>3545</v>
      </c>
      <c r="C519" s="26" t="s">
        <v>2921</v>
      </c>
      <c r="D519" s="26" t="s">
        <v>2922</v>
      </c>
      <c r="E519" s="27">
        <v>4900</v>
      </c>
      <c r="F519" s="30">
        <v>47124</v>
      </c>
      <c r="G519" s="27">
        <v>9896.0400000000009</v>
      </c>
      <c r="H519" s="27">
        <v>61920.04</v>
      </c>
      <c r="I519" s="28" t="s">
        <v>19</v>
      </c>
      <c r="J519" s="43"/>
    </row>
    <row r="520" spans="1:10" customFormat="1" ht="15" hidden="1" customHeight="1" x14ac:dyDescent="0.25">
      <c r="A520" s="37">
        <v>45001</v>
      </c>
      <c r="B520" s="25" t="s">
        <v>3546</v>
      </c>
      <c r="C520" s="26" t="s">
        <v>3235</v>
      </c>
      <c r="D520" s="26" t="s">
        <v>3236</v>
      </c>
      <c r="E520" s="27">
        <v>2490</v>
      </c>
      <c r="F520" s="30">
        <v>50000</v>
      </c>
      <c r="G520" s="27">
        <v>10500</v>
      </c>
      <c r="H520" s="27">
        <v>62990</v>
      </c>
      <c r="I520" s="28" t="s">
        <v>19</v>
      </c>
      <c r="J520" s="43"/>
    </row>
    <row r="521" spans="1:10" customFormat="1" ht="15" hidden="1" customHeight="1" x14ac:dyDescent="0.25">
      <c r="A521" s="37">
        <v>45001</v>
      </c>
      <c r="B521" s="25" t="s">
        <v>3547</v>
      </c>
      <c r="C521" s="26" t="s">
        <v>2909</v>
      </c>
      <c r="D521" s="26" t="s">
        <v>2910</v>
      </c>
      <c r="E521" s="27">
        <v>2490</v>
      </c>
      <c r="F521" s="30">
        <v>75000</v>
      </c>
      <c r="G521" s="27">
        <v>15750</v>
      </c>
      <c r="H521" s="27">
        <v>93240</v>
      </c>
      <c r="I521" s="28" t="s">
        <v>19</v>
      </c>
      <c r="J521" s="43"/>
    </row>
    <row r="522" spans="1:10" customFormat="1" ht="15" hidden="1" customHeight="1" x14ac:dyDescent="0.25">
      <c r="A522" s="37">
        <v>45001</v>
      </c>
      <c r="B522" s="25" t="s">
        <v>3548</v>
      </c>
      <c r="C522" s="26" t="s">
        <v>2873</v>
      </c>
      <c r="D522" s="26" t="s">
        <v>2874</v>
      </c>
      <c r="E522" s="27">
        <v>6500</v>
      </c>
      <c r="F522" s="30">
        <v>63400</v>
      </c>
      <c r="G522" s="27">
        <v>13314</v>
      </c>
      <c r="H522" s="27">
        <v>83214</v>
      </c>
      <c r="I522" s="28" t="s">
        <v>19</v>
      </c>
      <c r="J522" s="43"/>
    </row>
    <row r="523" spans="1:10" customFormat="1" ht="15" hidden="1" customHeight="1" x14ac:dyDescent="0.25">
      <c r="A523" s="37">
        <v>45001</v>
      </c>
      <c r="B523" s="25" t="s">
        <v>3549</v>
      </c>
      <c r="C523" s="26" t="s">
        <v>2927</v>
      </c>
      <c r="D523" s="26" t="s">
        <v>2928</v>
      </c>
      <c r="E523" s="27">
        <v>0</v>
      </c>
      <c r="F523" s="30">
        <v>60112.800000000003</v>
      </c>
      <c r="G523" s="27">
        <v>12623.69</v>
      </c>
      <c r="H523" s="27">
        <v>72736.490000000005</v>
      </c>
      <c r="I523" s="28" t="s">
        <v>19</v>
      </c>
      <c r="J523" s="43"/>
    </row>
    <row r="524" spans="1:10" customFormat="1" ht="15" hidden="1" customHeight="1" x14ac:dyDescent="0.25">
      <c r="A524" s="37">
        <v>45001</v>
      </c>
      <c r="B524" s="25" t="s">
        <v>3550</v>
      </c>
      <c r="C524" s="26" t="s">
        <v>3235</v>
      </c>
      <c r="D524" s="26" t="s">
        <v>3236</v>
      </c>
      <c r="E524" s="27">
        <v>24599.999999999902</v>
      </c>
      <c r="F524" s="30">
        <v>555266.4</v>
      </c>
      <c r="G524" s="27">
        <v>116605.94</v>
      </c>
      <c r="H524" s="27">
        <v>696472.33999999985</v>
      </c>
      <c r="I524" s="28" t="s">
        <v>19</v>
      </c>
      <c r="J524" s="43"/>
    </row>
    <row r="525" spans="1:10" customFormat="1" ht="15" hidden="1" customHeight="1" x14ac:dyDescent="0.25">
      <c r="A525" s="37">
        <v>45001</v>
      </c>
      <c r="B525" s="25" t="s">
        <v>3551</v>
      </c>
      <c r="C525" s="26" t="s">
        <v>3235</v>
      </c>
      <c r="D525" s="26" t="s">
        <v>3236</v>
      </c>
      <c r="E525" s="27">
        <v>8200</v>
      </c>
      <c r="F525" s="30">
        <v>72000</v>
      </c>
      <c r="G525" s="27">
        <v>15120</v>
      </c>
      <c r="H525" s="27">
        <v>95320</v>
      </c>
      <c r="I525" s="28" t="s">
        <v>19</v>
      </c>
      <c r="J525" s="43"/>
    </row>
    <row r="526" spans="1:10" customFormat="1" ht="15" hidden="1" customHeight="1" x14ac:dyDescent="0.25">
      <c r="A526" s="37">
        <v>45001</v>
      </c>
      <c r="B526" s="25" t="s">
        <v>3552</v>
      </c>
      <c r="C526" s="26" t="s">
        <v>2960</v>
      </c>
      <c r="D526" s="26" t="s">
        <v>2961</v>
      </c>
      <c r="E526" s="27">
        <v>28500</v>
      </c>
      <c r="F526" s="30">
        <v>370695.6</v>
      </c>
      <c r="G526" s="27">
        <v>77846.070000000007</v>
      </c>
      <c r="H526" s="27">
        <v>477041.67</v>
      </c>
      <c r="I526" s="28" t="s">
        <v>19</v>
      </c>
      <c r="J526" s="43"/>
    </row>
    <row r="527" spans="1:10" customFormat="1" ht="15" hidden="1" customHeight="1" x14ac:dyDescent="0.25">
      <c r="A527" s="37">
        <v>45001</v>
      </c>
      <c r="B527" s="25" t="s">
        <v>3553</v>
      </c>
      <c r="C527" s="26" t="s">
        <v>2972</v>
      </c>
      <c r="D527" s="26" t="s">
        <v>2973</v>
      </c>
      <c r="E527" s="27">
        <v>0</v>
      </c>
      <c r="F527" s="30">
        <v>60112.800000000003</v>
      </c>
      <c r="G527" s="27">
        <v>12623.69</v>
      </c>
      <c r="H527" s="27">
        <v>72736.490000000005</v>
      </c>
      <c r="I527" s="28" t="s">
        <v>19</v>
      </c>
      <c r="J527" s="43"/>
    </row>
    <row r="528" spans="1:10" customFormat="1" ht="15" hidden="1" customHeight="1" x14ac:dyDescent="0.25">
      <c r="A528" s="37">
        <v>45001</v>
      </c>
      <c r="B528" s="25" t="s">
        <v>3554</v>
      </c>
      <c r="C528" s="26" t="s">
        <v>2921</v>
      </c>
      <c r="D528" s="26" t="s">
        <v>2922</v>
      </c>
      <c r="E528" s="27">
        <v>2490</v>
      </c>
      <c r="F528" s="30">
        <v>50000</v>
      </c>
      <c r="G528" s="27">
        <v>10500</v>
      </c>
      <c r="H528" s="27">
        <v>62990</v>
      </c>
      <c r="I528" s="28" t="s">
        <v>19</v>
      </c>
      <c r="J528" s="43"/>
    </row>
    <row r="529" spans="1:10" customFormat="1" ht="15" hidden="1" customHeight="1" x14ac:dyDescent="0.25">
      <c r="A529" s="37">
        <v>45001</v>
      </c>
      <c r="B529" s="25" t="s">
        <v>3555</v>
      </c>
      <c r="C529" s="26" t="s">
        <v>3007</v>
      </c>
      <c r="D529" s="26" t="s">
        <v>3008</v>
      </c>
      <c r="E529" s="27">
        <v>4980</v>
      </c>
      <c r="F529" s="30">
        <v>100000</v>
      </c>
      <c r="G529" s="27">
        <v>21000</v>
      </c>
      <c r="H529" s="27">
        <v>125980</v>
      </c>
      <c r="I529" s="28" t="s">
        <v>19</v>
      </c>
      <c r="J529" s="43"/>
    </row>
    <row r="530" spans="1:10" customFormat="1" ht="15" hidden="1" customHeight="1" x14ac:dyDescent="0.25">
      <c r="A530" s="37">
        <v>45001</v>
      </c>
      <c r="B530" s="25" t="s">
        <v>3556</v>
      </c>
      <c r="C530" s="26" t="s">
        <v>2921</v>
      </c>
      <c r="D530" s="26" t="s">
        <v>2922</v>
      </c>
      <c r="E530" s="27">
        <v>2490</v>
      </c>
      <c r="F530" s="30">
        <v>50000</v>
      </c>
      <c r="G530" s="27">
        <v>10500</v>
      </c>
      <c r="H530" s="27">
        <v>62990</v>
      </c>
      <c r="I530" s="28" t="s">
        <v>19</v>
      </c>
      <c r="J530" s="43"/>
    </row>
    <row r="531" spans="1:10" customFormat="1" ht="15" hidden="1" customHeight="1" x14ac:dyDescent="0.25">
      <c r="A531" s="37">
        <v>45001</v>
      </c>
      <c r="B531" s="25" t="s">
        <v>3557</v>
      </c>
      <c r="C531" s="26" t="s">
        <v>2851</v>
      </c>
      <c r="D531" s="26" t="s">
        <v>2852</v>
      </c>
      <c r="E531" s="27">
        <v>4980</v>
      </c>
      <c r="F531" s="30">
        <v>150000</v>
      </c>
      <c r="G531" s="27">
        <v>31500</v>
      </c>
      <c r="H531" s="27">
        <v>186480</v>
      </c>
      <c r="I531" s="28" t="s">
        <v>19</v>
      </c>
      <c r="J531" s="43"/>
    </row>
    <row r="532" spans="1:10" customFormat="1" ht="15" hidden="1" customHeight="1" x14ac:dyDescent="0.25">
      <c r="A532" s="37">
        <v>45001</v>
      </c>
      <c r="B532" s="25" t="s">
        <v>3558</v>
      </c>
      <c r="C532" s="26" t="s">
        <v>3559</v>
      </c>
      <c r="D532" s="26" t="s">
        <v>3560</v>
      </c>
      <c r="E532" s="27">
        <v>0</v>
      </c>
      <c r="F532" s="30">
        <v>51915.6</v>
      </c>
      <c r="G532" s="27">
        <v>10902.28</v>
      </c>
      <c r="H532" s="27">
        <v>62817.88</v>
      </c>
      <c r="I532" s="28" t="s">
        <v>19</v>
      </c>
      <c r="J532" s="43"/>
    </row>
    <row r="533" spans="1:10" customFormat="1" ht="15" hidden="1" customHeight="1" x14ac:dyDescent="0.25">
      <c r="A533" s="37">
        <v>45002</v>
      </c>
      <c r="B533" s="25" t="s">
        <v>3561</v>
      </c>
      <c r="C533" s="26" t="s">
        <v>3562</v>
      </c>
      <c r="D533" s="26" t="s">
        <v>3563</v>
      </c>
      <c r="E533" s="27">
        <v>4980</v>
      </c>
      <c r="F533" s="30">
        <v>100000</v>
      </c>
      <c r="G533" s="27">
        <v>21000</v>
      </c>
      <c r="H533" s="27">
        <v>125980</v>
      </c>
      <c r="I533" s="28" t="s">
        <v>19</v>
      </c>
      <c r="J533" s="43"/>
    </row>
    <row r="534" spans="1:10" customFormat="1" ht="15" hidden="1" customHeight="1" x14ac:dyDescent="0.25">
      <c r="A534" s="37">
        <v>45002</v>
      </c>
      <c r="B534" s="25" t="s">
        <v>3564</v>
      </c>
      <c r="C534" s="26" t="s">
        <v>3007</v>
      </c>
      <c r="D534" s="26" t="s">
        <v>3008</v>
      </c>
      <c r="E534" s="27">
        <v>2490</v>
      </c>
      <c r="F534" s="30">
        <v>50000</v>
      </c>
      <c r="G534" s="27">
        <v>10500</v>
      </c>
      <c r="H534" s="27">
        <v>62990</v>
      </c>
      <c r="I534" s="28" t="s">
        <v>19</v>
      </c>
      <c r="J534" s="43"/>
    </row>
    <row r="535" spans="1:10" customFormat="1" ht="15" hidden="1" customHeight="1" x14ac:dyDescent="0.25">
      <c r="A535" s="37">
        <v>45002</v>
      </c>
      <c r="B535" s="25" t="s">
        <v>3565</v>
      </c>
      <c r="C535" s="26" t="s">
        <v>3007</v>
      </c>
      <c r="D535" s="26" t="s">
        <v>3008</v>
      </c>
      <c r="E535" s="27">
        <v>2490</v>
      </c>
      <c r="F535" s="30">
        <v>50000</v>
      </c>
      <c r="G535" s="27">
        <v>10500</v>
      </c>
      <c r="H535" s="27">
        <v>62990</v>
      </c>
      <c r="I535" s="28" t="s">
        <v>19</v>
      </c>
      <c r="J535" s="43"/>
    </row>
    <row r="536" spans="1:10" customFormat="1" ht="15" hidden="1" customHeight="1" x14ac:dyDescent="0.25">
      <c r="A536" s="37">
        <v>45002</v>
      </c>
      <c r="B536" s="25" t="s">
        <v>3566</v>
      </c>
      <c r="C536" s="26" t="s">
        <v>3007</v>
      </c>
      <c r="D536" s="26" t="s">
        <v>3008</v>
      </c>
      <c r="E536" s="27">
        <v>4980</v>
      </c>
      <c r="F536" s="30">
        <v>100000</v>
      </c>
      <c r="G536" s="27">
        <v>21000</v>
      </c>
      <c r="H536" s="27">
        <v>125980</v>
      </c>
      <c r="I536" s="28" t="s">
        <v>19</v>
      </c>
      <c r="J536" s="43"/>
    </row>
    <row r="537" spans="1:10" customFormat="1" ht="15" hidden="1" customHeight="1" x14ac:dyDescent="0.25">
      <c r="A537" s="37">
        <v>45002</v>
      </c>
      <c r="B537" s="25" t="s">
        <v>3567</v>
      </c>
      <c r="C537" s="26" t="s">
        <v>2948</v>
      </c>
      <c r="D537" s="26" t="s">
        <v>2949</v>
      </c>
      <c r="E537" s="27">
        <v>14940</v>
      </c>
      <c r="F537" s="30">
        <v>282744</v>
      </c>
      <c r="G537" s="27">
        <v>59376.24</v>
      </c>
      <c r="H537" s="27">
        <v>357060.24</v>
      </c>
      <c r="I537" s="28" t="s">
        <v>19</v>
      </c>
      <c r="J537" s="43"/>
    </row>
    <row r="538" spans="1:10" customFormat="1" ht="15" hidden="1" customHeight="1" x14ac:dyDescent="0.25">
      <c r="A538" s="37">
        <v>45002</v>
      </c>
      <c r="B538" s="25" t="s">
        <v>3568</v>
      </c>
      <c r="C538" s="26" t="s">
        <v>3235</v>
      </c>
      <c r="D538" s="26" t="s">
        <v>3236</v>
      </c>
      <c r="E538" s="27">
        <v>4980</v>
      </c>
      <c r="F538" s="30">
        <v>100000</v>
      </c>
      <c r="G538" s="27">
        <v>21000</v>
      </c>
      <c r="H538" s="27">
        <v>125980</v>
      </c>
      <c r="I538" s="28" t="s">
        <v>19</v>
      </c>
      <c r="J538" s="43"/>
    </row>
    <row r="539" spans="1:10" customFormat="1" ht="15" hidden="1" customHeight="1" x14ac:dyDescent="0.25">
      <c r="A539" s="37">
        <v>45002</v>
      </c>
      <c r="B539" s="25" t="s">
        <v>3569</v>
      </c>
      <c r="C539" s="26" t="s">
        <v>3235</v>
      </c>
      <c r="D539" s="26" t="s">
        <v>3236</v>
      </c>
      <c r="E539" s="27">
        <v>16400</v>
      </c>
      <c r="F539" s="30">
        <v>144000</v>
      </c>
      <c r="G539" s="27">
        <v>30240</v>
      </c>
      <c r="H539" s="27">
        <v>190640</v>
      </c>
      <c r="I539" s="28" t="s">
        <v>19</v>
      </c>
      <c r="J539" s="43"/>
    </row>
    <row r="540" spans="1:10" customFormat="1" ht="15" hidden="1" customHeight="1" x14ac:dyDescent="0.25">
      <c r="A540" s="37">
        <v>45002</v>
      </c>
      <c r="B540" s="25" t="s">
        <v>3570</v>
      </c>
      <c r="C540" s="26" t="s">
        <v>3562</v>
      </c>
      <c r="D540" s="26" t="s">
        <v>3563</v>
      </c>
      <c r="E540" s="27">
        <v>16400</v>
      </c>
      <c r="F540" s="30">
        <v>144000</v>
      </c>
      <c r="G540" s="27">
        <v>30240</v>
      </c>
      <c r="H540" s="27">
        <v>190640</v>
      </c>
      <c r="I540" s="28" t="s">
        <v>19</v>
      </c>
      <c r="J540" s="43"/>
    </row>
    <row r="541" spans="1:10" customFormat="1" ht="15" hidden="1" customHeight="1" x14ac:dyDescent="0.25">
      <c r="A541" s="37">
        <v>45002</v>
      </c>
      <c r="B541" s="25" t="s">
        <v>3571</v>
      </c>
      <c r="C541" s="26" t="s">
        <v>3096</v>
      </c>
      <c r="D541" s="26" t="s">
        <v>3097</v>
      </c>
      <c r="E541" s="27">
        <v>-3.7252902984619103E-11</v>
      </c>
      <c r="F541" s="30">
        <v>202197.6</v>
      </c>
      <c r="G541" s="27">
        <v>42461.49</v>
      </c>
      <c r="H541" s="27">
        <v>244659.08999999997</v>
      </c>
      <c r="I541" s="28" t="s">
        <v>19</v>
      </c>
      <c r="J541" s="43"/>
    </row>
    <row r="542" spans="1:10" customFormat="1" ht="15" hidden="1" customHeight="1" x14ac:dyDescent="0.25">
      <c r="A542" s="37">
        <v>45002</v>
      </c>
      <c r="B542" s="25" t="s">
        <v>3572</v>
      </c>
      <c r="C542" s="26" t="s">
        <v>2851</v>
      </c>
      <c r="D542" s="26" t="s">
        <v>2852</v>
      </c>
      <c r="E542" s="27">
        <v>0</v>
      </c>
      <c r="F542" s="30">
        <v>50000</v>
      </c>
      <c r="G542" s="27">
        <v>10500</v>
      </c>
      <c r="H542" s="27">
        <v>60500</v>
      </c>
      <c r="I542" s="28" t="s">
        <v>19</v>
      </c>
      <c r="J542" s="43"/>
    </row>
    <row r="543" spans="1:10" customFormat="1" ht="15" hidden="1" customHeight="1" x14ac:dyDescent="0.25">
      <c r="A543" s="37">
        <v>45002</v>
      </c>
      <c r="B543" s="25" t="s">
        <v>3573</v>
      </c>
      <c r="C543" s="26" t="s">
        <v>2921</v>
      </c>
      <c r="D543" s="26" t="s">
        <v>2922</v>
      </c>
      <c r="E543" s="27">
        <v>0</v>
      </c>
      <c r="F543" s="30">
        <v>47124</v>
      </c>
      <c r="G543" s="27">
        <v>9896.0400000000009</v>
      </c>
      <c r="H543" s="27">
        <v>57020.04</v>
      </c>
      <c r="I543" s="28" t="s">
        <v>19</v>
      </c>
      <c r="J543" s="43"/>
    </row>
    <row r="544" spans="1:10" customFormat="1" ht="15" hidden="1" customHeight="1" x14ac:dyDescent="0.25">
      <c r="A544" s="37">
        <v>45002</v>
      </c>
      <c r="B544" s="25" t="s">
        <v>3574</v>
      </c>
      <c r="C544" s="26" t="s">
        <v>3007</v>
      </c>
      <c r="D544" s="26" t="s">
        <v>3008</v>
      </c>
      <c r="E544" s="27">
        <v>0</v>
      </c>
      <c r="F544" s="30">
        <v>47124</v>
      </c>
      <c r="G544" s="27">
        <v>9896.0400000000009</v>
      </c>
      <c r="H544" s="27">
        <v>57020.04</v>
      </c>
      <c r="I544" s="28" t="s">
        <v>19</v>
      </c>
      <c r="J544" s="43"/>
    </row>
    <row r="545" spans="1:10" customFormat="1" ht="15" hidden="1" customHeight="1" x14ac:dyDescent="0.25">
      <c r="A545" s="37">
        <v>45002</v>
      </c>
      <c r="B545" s="25" t="s">
        <v>3575</v>
      </c>
      <c r="C545" s="26" t="s">
        <v>3562</v>
      </c>
      <c r="D545" s="26" t="s">
        <v>3563</v>
      </c>
      <c r="E545" s="27">
        <v>11400</v>
      </c>
      <c r="F545" s="30">
        <v>94248</v>
      </c>
      <c r="G545" s="27">
        <v>19792.080000000002</v>
      </c>
      <c r="H545" s="27">
        <v>125440.08</v>
      </c>
      <c r="I545" s="28" t="s">
        <v>19</v>
      </c>
      <c r="J545" s="43"/>
    </row>
    <row r="546" spans="1:10" customFormat="1" ht="15" hidden="1" customHeight="1" x14ac:dyDescent="0.25">
      <c r="A546" s="37">
        <v>45005</v>
      </c>
      <c r="B546" s="25" t="s">
        <v>3576</v>
      </c>
      <c r="C546" s="26" t="s">
        <v>3235</v>
      </c>
      <c r="D546" s="26" t="s">
        <v>3236</v>
      </c>
      <c r="E546" s="27">
        <v>7920</v>
      </c>
      <c r="F546" s="30">
        <v>94248</v>
      </c>
      <c r="G546" s="27">
        <v>19792.080000000002</v>
      </c>
      <c r="H546" s="27">
        <v>121960.08</v>
      </c>
      <c r="I546" s="28" t="s">
        <v>19</v>
      </c>
      <c r="J546" s="43"/>
    </row>
    <row r="547" spans="1:10" customFormat="1" ht="15" hidden="1" customHeight="1" x14ac:dyDescent="0.25">
      <c r="A547" s="37">
        <v>45005</v>
      </c>
      <c r="B547" s="25" t="s">
        <v>3577</v>
      </c>
      <c r="C547" s="26" t="s">
        <v>3238</v>
      </c>
      <c r="D547" s="26" t="s">
        <v>3239</v>
      </c>
      <c r="E547" s="27">
        <v>3065</v>
      </c>
      <c r="F547" s="30">
        <v>67399.199999999997</v>
      </c>
      <c r="G547" s="27">
        <v>14153.83</v>
      </c>
      <c r="H547" s="27">
        <v>84618.03</v>
      </c>
      <c r="I547" s="28" t="s">
        <v>19</v>
      </c>
      <c r="J547" s="43"/>
    </row>
    <row r="548" spans="1:10" customFormat="1" ht="15" hidden="1" customHeight="1" x14ac:dyDescent="0.25">
      <c r="A548" s="37">
        <v>45005</v>
      </c>
      <c r="B548" s="25" t="s">
        <v>3578</v>
      </c>
      <c r="C548" s="26" t="s">
        <v>3460</v>
      </c>
      <c r="D548" s="26" t="s">
        <v>3461</v>
      </c>
      <c r="E548" s="27">
        <v>3065</v>
      </c>
      <c r="F548" s="30">
        <v>67399.199999999997</v>
      </c>
      <c r="G548" s="27">
        <v>14153.83</v>
      </c>
      <c r="H548" s="27">
        <v>84618.03</v>
      </c>
      <c r="I548" s="28" t="s">
        <v>19</v>
      </c>
      <c r="J548" s="43"/>
    </row>
    <row r="549" spans="1:10" customFormat="1" ht="15" hidden="1" customHeight="1" x14ac:dyDescent="0.25">
      <c r="A549" s="37">
        <v>45005</v>
      </c>
      <c r="B549" s="25" t="s">
        <v>3579</v>
      </c>
      <c r="C549" s="26" t="s">
        <v>2942</v>
      </c>
      <c r="D549" s="26" t="s">
        <v>2943</v>
      </c>
      <c r="E549" s="27">
        <v>0</v>
      </c>
      <c r="F549" s="30">
        <v>42807.6</v>
      </c>
      <c r="G549" s="27">
        <v>8989.6</v>
      </c>
      <c r="H549" s="27">
        <v>51797.2</v>
      </c>
      <c r="I549" s="28" t="s">
        <v>19</v>
      </c>
      <c r="J549" s="43"/>
    </row>
    <row r="550" spans="1:10" customFormat="1" ht="15" hidden="1" customHeight="1" x14ac:dyDescent="0.25">
      <c r="A550" s="37">
        <v>45005</v>
      </c>
      <c r="B550" s="25" t="s">
        <v>3580</v>
      </c>
      <c r="C550" s="26" t="s">
        <v>2909</v>
      </c>
      <c r="D550" s="26" t="s">
        <v>2910</v>
      </c>
      <c r="E550" s="27">
        <v>0</v>
      </c>
      <c r="F550" s="30">
        <v>134798.39999999999</v>
      </c>
      <c r="G550" s="27">
        <v>28307.66</v>
      </c>
      <c r="H550" s="27">
        <v>163106.06</v>
      </c>
      <c r="I550" s="28" t="s">
        <v>19</v>
      </c>
      <c r="J550" s="43"/>
    </row>
    <row r="551" spans="1:10" customFormat="1" ht="15" hidden="1" customHeight="1" x14ac:dyDescent="0.25">
      <c r="A551" s="37">
        <v>45005</v>
      </c>
      <c r="B551" s="25" t="s">
        <v>3581</v>
      </c>
      <c r="C551" s="26" t="s">
        <v>2909</v>
      </c>
      <c r="D551" s="26" t="s">
        <v>2910</v>
      </c>
      <c r="E551" s="27">
        <v>0</v>
      </c>
      <c r="F551" s="30">
        <v>134798.39999999999</v>
      </c>
      <c r="G551" s="27">
        <v>28307.66</v>
      </c>
      <c r="H551" s="27">
        <v>163106.06</v>
      </c>
      <c r="I551" s="28" t="s">
        <v>19</v>
      </c>
      <c r="J551" s="43"/>
    </row>
    <row r="552" spans="1:10" customFormat="1" ht="15" hidden="1" customHeight="1" x14ac:dyDescent="0.25">
      <c r="A552" s="37">
        <v>45005</v>
      </c>
      <c r="B552" s="25" t="s">
        <v>3582</v>
      </c>
      <c r="C552" s="26" t="s">
        <v>2945</v>
      </c>
      <c r="D552" s="26" t="s">
        <v>2946</v>
      </c>
      <c r="E552" s="27">
        <v>0</v>
      </c>
      <c r="F552" s="30">
        <v>47124</v>
      </c>
      <c r="G552" s="27">
        <v>9896.0400000000009</v>
      </c>
      <c r="H552" s="27">
        <v>57020.04</v>
      </c>
      <c r="I552" s="28" t="s">
        <v>19</v>
      </c>
      <c r="J552" s="43"/>
    </row>
    <row r="553" spans="1:10" customFormat="1" ht="15" hidden="1" customHeight="1" x14ac:dyDescent="0.25">
      <c r="A553" s="37">
        <v>45006</v>
      </c>
      <c r="B553" s="25" t="s">
        <v>3583</v>
      </c>
      <c r="C553" s="26" t="s">
        <v>2942</v>
      </c>
      <c r="D553" s="26" t="s">
        <v>2943</v>
      </c>
      <c r="E553" s="27">
        <v>0</v>
      </c>
      <c r="F553" s="30">
        <v>17000</v>
      </c>
      <c r="G553" s="27">
        <v>3570</v>
      </c>
      <c r="H553" s="27">
        <v>20570</v>
      </c>
      <c r="I553" s="28" t="s">
        <v>19</v>
      </c>
      <c r="J553" s="43"/>
    </row>
    <row r="554" spans="1:10" customFormat="1" ht="15" hidden="1" customHeight="1" x14ac:dyDescent="0.25">
      <c r="A554" s="37">
        <v>45006</v>
      </c>
      <c r="B554" s="25" t="s">
        <v>3584</v>
      </c>
      <c r="C554" s="26" t="s">
        <v>2942</v>
      </c>
      <c r="D554" s="26" t="s">
        <v>2943</v>
      </c>
      <c r="E554" s="27">
        <v>0</v>
      </c>
      <c r="F554" s="30">
        <v>60112.800000000003</v>
      </c>
      <c r="G554" s="27">
        <v>12623.69</v>
      </c>
      <c r="H554" s="27">
        <v>72736.490000000005</v>
      </c>
      <c r="I554" s="28" t="s">
        <v>19</v>
      </c>
      <c r="J554" s="43"/>
    </row>
    <row r="555" spans="1:10" customFormat="1" ht="15" hidden="1" customHeight="1" x14ac:dyDescent="0.25">
      <c r="A555" s="37">
        <v>45006</v>
      </c>
      <c r="B555" s="25" t="s">
        <v>3585</v>
      </c>
      <c r="C555" s="26" t="s">
        <v>3033</v>
      </c>
      <c r="D555" s="26" t="s">
        <v>3034</v>
      </c>
      <c r="E555" s="27">
        <v>0</v>
      </c>
      <c r="F555" s="30">
        <v>90169.2</v>
      </c>
      <c r="G555" s="27">
        <v>18935.53</v>
      </c>
      <c r="H555" s="27">
        <v>109104.73</v>
      </c>
      <c r="I555" s="28" t="s">
        <v>19</v>
      </c>
      <c r="J555" s="43"/>
    </row>
    <row r="556" spans="1:10" customFormat="1" ht="15" hidden="1" customHeight="1" x14ac:dyDescent="0.25">
      <c r="A556" s="37">
        <v>45007</v>
      </c>
      <c r="B556" s="25" t="s">
        <v>3586</v>
      </c>
      <c r="C556" s="26" t="s">
        <v>2945</v>
      </c>
      <c r="D556" s="26" t="s">
        <v>2946</v>
      </c>
      <c r="E556" s="27">
        <v>5000</v>
      </c>
      <c r="F556" s="30">
        <v>100000</v>
      </c>
      <c r="G556" s="27">
        <v>21000</v>
      </c>
      <c r="H556" s="27">
        <v>126000</v>
      </c>
      <c r="I556" s="28" t="s">
        <v>19</v>
      </c>
      <c r="J556" s="43"/>
    </row>
    <row r="557" spans="1:10" customFormat="1" ht="15" hidden="1" customHeight="1" x14ac:dyDescent="0.25">
      <c r="A557" s="37">
        <v>45007</v>
      </c>
      <c r="B557" s="25" t="s">
        <v>3587</v>
      </c>
      <c r="C557" s="26" t="s">
        <v>2867</v>
      </c>
      <c r="D557" s="26" t="s">
        <v>2868</v>
      </c>
      <c r="E557" s="27">
        <v>0</v>
      </c>
      <c r="F557" s="30">
        <v>200000</v>
      </c>
      <c r="G557" s="27">
        <v>42000</v>
      </c>
      <c r="H557" s="27">
        <v>242000</v>
      </c>
      <c r="I557" s="28" t="s">
        <v>19</v>
      </c>
      <c r="J557" s="43"/>
    </row>
    <row r="558" spans="1:10" customFormat="1" ht="15" hidden="1" customHeight="1" x14ac:dyDescent="0.25">
      <c r="A558" s="37">
        <v>45007</v>
      </c>
      <c r="B558" s="25" t="s">
        <v>3588</v>
      </c>
      <c r="C558" s="26" t="s">
        <v>2924</v>
      </c>
      <c r="D558" s="26" t="s">
        <v>2925</v>
      </c>
      <c r="E558" s="27">
        <v>11400</v>
      </c>
      <c r="F558" s="30">
        <v>141372</v>
      </c>
      <c r="G558" s="27">
        <v>29688.12</v>
      </c>
      <c r="H558" s="27">
        <v>182460.12</v>
      </c>
      <c r="I558" s="28" t="s">
        <v>19</v>
      </c>
      <c r="J558" s="43"/>
    </row>
    <row r="559" spans="1:10" customFormat="1" ht="15" hidden="1" customHeight="1" x14ac:dyDescent="0.25">
      <c r="A559" s="37">
        <v>45007</v>
      </c>
      <c r="B559" s="25" t="s">
        <v>3589</v>
      </c>
      <c r="C559" s="26" t="s">
        <v>2924</v>
      </c>
      <c r="D559" s="26" t="s">
        <v>2925</v>
      </c>
      <c r="E559" s="27">
        <v>5700</v>
      </c>
      <c r="F559" s="30">
        <v>70686</v>
      </c>
      <c r="G559" s="27">
        <v>14844.06</v>
      </c>
      <c r="H559" s="27">
        <v>91230.06</v>
      </c>
      <c r="I559" s="28" t="s">
        <v>19</v>
      </c>
      <c r="J559" s="43"/>
    </row>
    <row r="560" spans="1:10" customFormat="1" ht="15" hidden="1" customHeight="1" x14ac:dyDescent="0.25">
      <c r="A560" s="37">
        <v>45007</v>
      </c>
      <c r="B560" s="25" t="s">
        <v>3590</v>
      </c>
      <c r="C560" s="26" t="s">
        <v>2924</v>
      </c>
      <c r="D560" s="26" t="s">
        <v>2925</v>
      </c>
      <c r="E560" s="27">
        <v>7470</v>
      </c>
      <c r="F560" s="30">
        <v>225000</v>
      </c>
      <c r="G560" s="27">
        <v>47250</v>
      </c>
      <c r="H560" s="27">
        <v>279720</v>
      </c>
      <c r="I560" s="28" t="s">
        <v>19</v>
      </c>
      <c r="J560" s="43"/>
    </row>
    <row r="561" spans="1:10" customFormat="1" ht="15" hidden="1" customHeight="1" x14ac:dyDescent="0.25">
      <c r="A561" s="37">
        <v>45007</v>
      </c>
      <c r="B561" s="25" t="s">
        <v>3591</v>
      </c>
      <c r="C561" s="26" t="s">
        <v>2921</v>
      </c>
      <c r="D561" s="26" t="s">
        <v>2922</v>
      </c>
      <c r="E561" s="27">
        <v>11400</v>
      </c>
      <c r="F561" s="30">
        <v>94248</v>
      </c>
      <c r="G561" s="27">
        <v>19792.080000000002</v>
      </c>
      <c r="H561" s="27">
        <v>125440.08</v>
      </c>
      <c r="I561" s="28" t="s">
        <v>19</v>
      </c>
      <c r="J561" s="43"/>
    </row>
    <row r="562" spans="1:10" customFormat="1" ht="15" hidden="1" customHeight="1" x14ac:dyDescent="0.25">
      <c r="A562" s="37">
        <v>45007</v>
      </c>
      <c r="B562" s="25" t="s">
        <v>3592</v>
      </c>
      <c r="C562" s="26" t="s">
        <v>3235</v>
      </c>
      <c r="D562" s="26" t="s">
        <v>3236</v>
      </c>
      <c r="E562" s="27">
        <v>4980</v>
      </c>
      <c r="F562" s="30">
        <v>100000</v>
      </c>
      <c r="G562" s="27">
        <v>21000</v>
      </c>
      <c r="H562" s="27">
        <v>125980</v>
      </c>
      <c r="I562" s="28" t="s">
        <v>19</v>
      </c>
      <c r="J562" s="43"/>
    </row>
    <row r="563" spans="1:10" customFormat="1" ht="15" hidden="1" customHeight="1" x14ac:dyDescent="0.25">
      <c r="A563" s="37">
        <v>45007</v>
      </c>
      <c r="B563" s="25" t="s">
        <v>3593</v>
      </c>
      <c r="C563" s="26" t="s">
        <v>3235</v>
      </c>
      <c r="D563" s="26" t="s">
        <v>3236</v>
      </c>
      <c r="E563" s="27">
        <v>11400</v>
      </c>
      <c r="F563" s="30">
        <v>94248</v>
      </c>
      <c r="G563" s="27">
        <v>19792.080000000002</v>
      </c>
      <c r="H563" s="27">
        <v>125440.08</v>
      </c>
      <c r="I563" s="28" t="s">
        <v>19</v>
      </c>
      <c r="J563" s="43"/>
    </row>
    <row r="564" spans="1:10" customFormat="1" ht="15" hidden="1" customHeight="1" x14ac:dyDescent="0.25">
      <c r="A564" s="37">
        <v>45007</v>
      </c>
      <c r="B564" s="25" t="s">
        <v>3594</v>
      </c>
      <c r="C564" s="26" t="s">
        <v>2851</v>
      </c>
      <c r="D564" s="26" t="s">
        <v>2852</v>
      </c>
      <c r="E564" s="27">
        <v>4980</v>
      </c>
      <c r="F564" s="30">
        <v>150000</v>
      </c>
      <c r="G564" s="27">
        <v>31500</v>
      </c>
      <c r="H564" s="27">
        <v>186480</v>
      </c>
      <c r="I564" s="28" t="s">
        <v>19</v>
      </c>
      <c r="J564" s="43"/>
    </row>
    <row r="565" spans="1:10" customFormat="1" ht="15" hidden="1" customHeight="1" x14ac:dyDescent="0.25">
      <c r="A565" s="37">
        <v>45007</v>
      </c>
      <c r="B565" s="25" t="s">
        <v>3595</v>
      </c>
      <c r="C565" s="26" t="s">
        <v>3033</v>
      </c>
      <c r="D565" s="26" t="s">
        <v>3034</v>
      </c>
      <c r="E565" s="27">
        <v>8900</v>
      </c>
      <c r="F565" s="30">
        <v>83250</v>
      </c>
      <c r="G565" s="27">
        <v>17482.5</v>
      </c>
      <c r="H565" s="27">
        <v>109632.5</v>
      </c>
      <c r="I565" s="28" t="s">
        <v>19</v>
      </c>
      <c r="J565" s="43"/>
    </row>
    <row r="566" spans="1:10" customFormat="1" ht="15" hidden="1" customHeight="1" x14ac:dyDescent="0.25">
      <c r="A566" s="37">
        <v>45007</v>
      </c>
      <c r="B566" s="25" t="s">
        <v>3596</v>
      </c>
      <c r="C566" s="26" t="s">
        <v>3033</v>
      </c>
      <c r="D566" s="26" t="s">
        <v>3034</v>
      </c>
      <c r="E566" s="27">
        <v>8900</v>
      </c>
      <c r="F566" s="30">
        <v>110000</v>
      </c>
      <c r="G566" s="27">
        <v>23100</v>
      </c>
      <c r="H566" s="27">
        <v>142000</v>
      </c>
      <c r="I566" s="28" t="s">
        <v>19</v>
      </c>
      <c r="J566" s="43"/>
    </row>
    <row r="567" spans="1:10" customFormat="1" ht="15" hidden="1" customHeight="1" x14ac:dyDescent="0.25">
      <c r="A567" s="37">
        <v>45007</v>
      </c>
      <c r="B567" s="25" t="s">
        <v>3597</v>
      </c>
      <c r="C567" s="26" t="s">
        <v>3235</v>
      </c>
      <c r="D567" s="26" t="s">
        <v>3236</v>
      </c>
      <c r="E567" s="27">
        <v>9480</v>
      </c>
      <c r="F567" s="30">
        <v>151000</v>
      </c>
      <c r="G567" s="27">
        <v>31710</v>
      </c>
      <c r="H567" s="27">
        <v>192190</v>
      </c>
      <c r="I567" s="28" t="s">
        <v>19</v>
      </c>
      <c r="J567" s="43"/>
    </row>
    <row r="568" spans="1:10" customFormat="1" ht="15" hidden="1" customHeight="1" x14ac:dyDescent="0.25">
      <c r="A568" s="37">
        <v>45007</v>
      </c>
      <c r="B568" s="25" t="s">
        <v>3598</v>
      </c>
      <c r="C568" s="26" t="s">
        <v>3235</v>
      </c>
      <c r="D568" s="26" t="s">
        <v>3236</v>
      </c>
      <c r="E568" s="27">
        <v>7470</v>
      </c>
      <c r="F568" s="30">
        <v>150000</v>
      </c>
      <c r="G568" s="27">
        <v>31500</v>
      </c>
      <c r="H568" s="27">
        <v>188970</v>
      </c>
      <c r="I568" s="28" t="s">
        <v>19</v>
      </c>
      <c r="J568" s="43"/>
    </row>
    <row r="569" spans="1:10" customFormat="1" ht="15" hidden="1" customHeight="1" x14ac:dyDescent="0.25">
      <c r="A569" s="37">
        <v>45007</v>
      </c>
      <c r="B569" s="25" t="s">
        <v>3599</v>
      </c>
      <c r="C569" s="26" t="s">
        <v>3011</v>
      </c>
      <c r="D569" s="26" t="s">
        <v>3012</v>
      </c>
      <c r="E569" s="27">
        <v>6499.99999999998</v>
      </c>
      <c r="F569" s="30">
        <v>101068.8</v>
      </c>
      <c r="G569" s="27">
        <v>21224.45</v>
      </c>
      <c r="H569" s="27">
        <v>128793.24999999999</v>
      </c>
      <c r="I569" s="28" t="s">
        <v>19</v>
      </c>
      <c r="J569" s="43"/>
    </row>
    <row r="570" spans="1:10" customFormat="1" ht="15" hidden="1" customHeight="1" x14ac:dyDescent="0.25">
      <c r="A570" s="37">
        <v>45007</v>
      </c>
      <c r="B570" s="25" t="s">
        <v>3600</v>
      </c>
      <c r="C570" s="26" t="s">
        <v>3238</v>
      </c>
      <c r="D570" s="26" t="s">
        <v>3239</v>
      </c>
      <c r="E570" s="27">
        <v>8800</v>
      </c>
      <c r="F570" s="30">
        <v>134798.39999999999</v>
      </c>
      <c r="G570" s="27">
        <v>28307.66</v>
      </c>
      <c r="H570" s="27">
        <v>171906.06</v>
      </c>
      <c r="I570" s="28" t="s">
        <v>19</v>
      </c>
      <c r="J570" s="43"/>
    </row>
    <row r="571" spans="1:10" customFormat="1" ht="15" hidden="1" customHeight="1" x14ac:dyDescent="0.25">
      <c r="A571" s="37">
        <v>45007</v>
      </c>
      <c r="B571" s="25" t="s">
        <v>3601</v>
      </c>
      <c r="C571" s="26" t="s">
        <v>3238</v>
      </c>
      <c r="D571" s="26" t="s">
        <v>3239</v>
      </c>
      <c r="E571" s="27">
        <v>8800</v>
      </c>
      <c r="F571" s="30">
        <v>134798.39999999999</v>
      </c>
      <c r="G571" s="27">
        <v>28307.66</v>
      </c>
      <c r="H571" s="27">
        <v>171906.06</v>
      </c>
      <c r="I571" s="28" t="s">
        <v>19</v>
      </c>
      <c r="J571" s="43"/>
    </row>
    <row r="572" spans="1:10" customFormat="1" ht="15" hidden="1" customHeight="1" x14ac:dyDescent="0.25">
      <c r="A572" s="37">
        <v>45007</v>
      </c>
      <c r="B572" s="25" t="s">
        <v>3602</v>
      </c>
      <c r="C572" s="26" t="s">
        <v>3603</v>
      </c>
      <c r="D572" s="26" t="s">
        <v>3604</v>
      </c>
      <c r="E572" s="27">
        <v>3050</v>
      </c>
      <c r="F572" s="30">
        <v>120000</v>
      </c>
      <c r="G572" s="27">
        <v>25200</v>
      </c>
      <c r="H572" s="27">
        <v>148250</v>
      </c>
      <c r="I572" s="28" t="s">
        <v>19</v>
      </c>
      <c r="J572" s="43"/>
    </row>
    <row r="573" spans="1:10" customFormat="1" ht="15" hidden="1" customHeight="1" x14ac:dyDescent="0.25">
      <c r="A573" s="37">
        <v>45007</v>
      </c>
      <c r="B573" s="25" t="s">
        <v>3605</v>
      </c>
      <c r="C573" s="26" t="s">
        <v>3606</v>
      </c>
      <c r="D573" s="26" t="s">
        <v>3607</v>
      </c>
      <c r="E573" s="27">
        <v>0</v>
      </c>
      <c r="F573" s="30">
        <v>19000</v>
      </c>
      <c r="G573" s="27">
        <v>3990</v>
      </c>
      <c r="H573" s="27">
        <v>22990</v>
      </c>
      <c r="I573" s="28" t="s">
        <v>19</v>
      </c>
      <c r="J573" s="43"/>
    </row>
    <row r="574" spans="1:10" customFormat="1" ht="15" hidden="1" customHeight="1" x14ac:dyDescent="0.25">
      <c r="A574" s="37">
        <v>45007</v>
      </c>
      <c r="B574" s="25" t="s">
        <v>3608</v>
      </c>
      <c r="C574" s="26" t="s">
        <v>3346</v>
      </c>
      <c r="D574" s="26" t="s">
        <v>3347</v>
      </c>
      <c r="E574" s="27">
        <v>0</v>
      </c>
      <c r="F574" s="30">
        <v>19000</v>
      </c>
      <c r="G574" s="27">
        <v>3990</v>
      </c>
      <c r="H574" s="27">
        <v>22990</v>
      </c>
      <c r="I574" s="28" t="s">
        <v>19</v>
      </c>
      <c r="J574" s="43"/>
    </row>
    <row r="575" spans="1:10" customFormat="1" ht="15" hidden="1" customHeight="1" x14ac:dyDescent="0.25">
      <c r="A575" s="37">
        <v>45008</v>
      </c>
      <c r="B575" s="25" t="s">
        <v>3609</v>
      </c>
      <c r="C575" s="26" t="s">
        <v>2870</v>
      </c>
      <c r="D575" s="26" t="s">
        <v>2871</v>
      </c>
      <c r="E575" s="27">
        <v>3828</v>
      </c>
      <c r="F575" s="30">
        <v>55500</v>
      </c>
      <c r="G575" s="27">
        <v>11655</v>
      </c>
      <c r="H575" s="27">
        <v>70983</v>
      </c>
      <c r="I575" s="28" t="s">
        <v>19</v>
      </c>
      <c r="J575" s="43"/>
    </row>
    <row r="576" spans="1:10" customFormat="1" ht="15" hidden="1" customHeight="1" x14ac:dyDescent="0.25">
      <c r="A576" s="37">
        <v>45008</v>
      </c>
      <c r="B576" s="25" t="s">
        <v>3610</v>
      </c>
      <c r="C576" s="26" t="s">
        <v>2945</v>
      </c>
      <c r="D576" s="26" t="s">
        <v>2946</v>
      </c>
      <c r="E576" s="27">
        <v>6570</v>
      </c>
      <c r="F576" s="30">
        <v>150000</v>
      </c>
      <c r="G576" s="27">
        <v>31500</v>
      </c>
      <c r="H576" s="27">
        <v>188070</v>
      </c>
      <c r="I576" s="28" t="s">
        <v>19</v>
      </c>
      <c r="J576" s="43"/>
    </row>
    <row r="577" spans="1:10" customFormat="1" ht="15" hidden="1" customHeight="1" x14ac:dyDescent="0.25">
      <c r="A577" s="37">
        <v>45008</v>
      </c>
      <c r="B577" s="25" t="s">
        <v>3611</v>
      </c>
      <c r="C577" s="26" t="s">
        <v>2909</v>
      </c>
      <c r="D577" s="26" t="s">
        <v>2910</v>
      </c>
      <c r="E577" s="27">
        <v>8060</v>
      </c>
      <c r="F577" s="30">
        <v>67399.199999999997</v>
      </c>
      <c r="G577" s="27">
        <v>14153.83</v>
      </c>
      <c r="H577" s="27">
        <v>89613.03</v>
      </c>
      <c r="I577" s="28" t="s">
        <v>19</v>
      </c>
      <c r="J577" s="43"/>
    </row>
    <row r="578" spans="1:10" customFormat="1" ht="15" hidden="1" customHeight="1" x14ac:dyDescent="0.25">
      <c r="A578" s="37">
        <v>45008</v>
      </c>
      <c r="B578" s="25" t="s">
        <v>3612</v>
      </c>
      <c r="C578" s="26" t="s">
        <v>2945</v>
      </c>
      <c r="D578" s="26" t="s">
        <v>2946</v>
      </c>
      <c r="E578" s="27">
        <v>0</v>
      </c>
      <c r="F578" s="30">
        <v>21000</v>
      </c>
      <c r="G578" s="27">
        <v>4410</v>
      </c>
      <c r="H578" s="27">
        <v>25410</v>
      </c>
      <c r="I578" s="28" t="s">
        <v>19</v>
      </c>
      <c r="J578" s="43"/>
    </row>
    <row r="579" spans="1:10" customFormat="1" ht="15" hidden="1" customHeight="1" x14ac:dyDescent="0.25">
      <c r="A579" s="37">
        <v>45008</v>
      </c>
      <c r="B579" s="25" t="s">
        <v>3613</v>
      </c>
      <c r="C579" s="26" t="s">
        <v>2921</v>
      </c>
      <c r="D579" s="26" t="s">
        <v>2922</v>
      </c>
      <c r="E579" s="27">
        <v>0</v>
      </c>
      <c r="F579" s="30">
        <v>17000</v>
      </c>
      <c r="G579" s="27">
        <v>3570</v>
      </c>
      <c r="H579" s="27">
        <v>20570</v>
      </c>
      <c r="I579" s="28" t="s">
        <v>19</v>
      </c>
      <c r="J579" s="43"/>
    </row>
    <row r="580" spans="1:10" customFormat="1" ht="15" hidden="1" customHeight="1" x14ac:dyDescent="0.25">
      <c r="A580" s="37">
        <v>45008</v>
      </c>
      <c r="B580" s="25" t="s">
        <v>3614</v>
      </c>
      <c r="C580" s="26" t="s">
        <v>2851</v>
      </c>
      <c r="D580" s="26" t="s">
        <v>2852</v>
      </c>
      <c r="E580" s="27">
        <v>-1.86264514923096E-11</v>
      </c>
      <c r="F580" s="30">
        <v>84704.4</v>
      </c>
      <c r="G580" s="27">
        <v>17787.93</v>
      </c>
      <c r="H580" s="27">
        <v>102492.32999999999</v>
      </c>
      <c r="I580" s="28" t="s">
        <v>19</v>
      </c>
      <c r="J580" s="43"/>
    </row>
    <row r="581" spans="1:10" customFormat="1" ht="15" hidden="1" customHeight="1" x14ac:dyDescent="0.25">
      <c r="A581" s="37">
        <v>45008</v>
      </c>
      <c r="B581" s="25" t="s">
        <v>3615</v>
      </c>
      <c r="C581" s="26" t="s">
        <v>2892</v>
      </c>
      <c r="D581" s="26" t="s">
        <v>2893</v>
      </c>
      <c r="E581" s="27">
        <v>0</v>
      </c>
      <c r="F581" s="30">
        <v>120225.60000000001</v>
      </c>
      <c r="G581" s="27">
        <v>25247.38</v>
      </c>
      <c r="H581" s="27">
        <v>145472.98000000001</v>
      </c>
      <c r="I581" s="28" t="s">
        <v>19</v>
      </c>
      <c r="J581" s="43"/>
    </row>
    <row r="582" spans="1:10" customFormat="1" ht="15" hidden="1" customHeight="1" x14ac:dyDescent="0.25">
      <c r="A582" s="37">
        <v>45008</v>
      </c>
      <c r="B582" s="25" t="s">
        <v>3616</v>
      </c>
      <c r="C582" s="26" t="s">
        <v>3238</v>
      </c>
      <c r="D582" s="26" t="s">
        <v>3239</v>
      </c>
      <c r="E582" s="27">
        <v>-1.86264514923096E-11</v>
      </c>
      <c r="F582" s="30">
        <v>101098.8</v>
      </c>
      <c r="G582" s="27">
        <v>21230.75</v>
      </c>
      <c r="H582" s="27">
        <v>122329.54999999999</v>
      </c>
      <c r="I582" s="28" t="s">
        <v>19</v>
      </c>
      <c r="J582" s="43"/>
    </row>
    <row r="583" spans="1:10" customFormat="1" ht="15" hidden="1" customHeight="1" x14ac:dyDescent="0.25">
      <c r="A583" s="37">
        <v>45008</v>
      </c>
      <c r="B583" s="25" t="s">
        <v>3617</v>
      </c>
      <c r="C583" s="26" t="s">
        <v>2906</v>
      </c>
      <c r="D583" s="26" t="s">
        <v>2907</v>
      </c>
      <c r="E583" s="27">
        <v>0</v>
      </c>
      <c r="F583" s="30">
        <v>47124</v>
      </c>
      <c r="G583" s="27">
        <v>9896.0400000000009</v>
      </c>
      <c r="H583" s="27">
        <v>57020.04</v>
      </c>
      <c r="I583" s="28" t="s">
        <v>19</v>
      </c>
      <c r="J583" s="43"/>
    </row>
    <row r="584" spans="1:10" customFormat="1" ht="15" hidden="1" customHeight="1" x14ac:dyDescent="0.25">
      <c r="A584" s="37">
        <v>45008</v>
      </c>
      <c r="B584" s="25" t="s">
        <v>3618</v>
      </c>
      <c r="C584" s="26" t="s">
        <v>2964</v>
      </c>
      <c r="D584" s="26" t="s">
        <v>2965</v>
      </c>
      <c r="E584" s="27">
        <v>0</v>
      </c>
      <c r="F584" s="30">
        <v>47124</v>
      </c>
      <c r="G584" s="27">
        <v>9896.0400000000009</v>
      </c>
      <c r="H584" s="27">
        <v>57020.04</v>
      </c>
      <c r="I584" s="28" t="s">
        <v>19</v>
      </c>
      <c r="J584" s="43"/>
    </row>
    <row r="585" spans="1:10" customFormat="1" ht="15" hidden="1" customHeight="1" x14ac:dyDescent="0.25">
      <c r="A585" s="37">
        <v>45012</v>
      </c>
      <c r="B585" s="25" t="s">
        <v>3619</v>
      </c>
      <c r="C585" s="26" t="s">
        <v>2856</v>
      </c>
      <c r="D585" s="26" t="s">
        <v>2857</v>
      </c>
      <c r="E585" s="27">
        <v>0</v>
      </c>
      <c r="F585" s="30">
        <v>17000</v>
      </c>
      <c r="G585" s="27">
        <v>3570</v>
      </c>
      <c r="H585" s="27">
        <v>20570</v>
      </c>
      <c r="I585" s="28" t="s">
        <v>19</v>
      </c>
      <c r="J585" s="43"/>
    </row>
    <row r="586" spans="1:10" customFormat="1" ht="15" hidden="1" customHeight="1" x14ac:dyDescent="0.25">
      <c r="A586" s="37">
        <v>45012</v>
      </c>
      <c r="B586" s="25" t="s">
        <v>3620</v>
      </c>
      <c r="C586" s="26" t="s">
        <v>3606</v>
      </c>
      <c r="D586" s="26" t="s">
        <v>3607</v>
      </c>
      <c r="E586" s="27">
        <v>0</v>
      </c>
      <c r="F586" s="30">
        <v>19000</v>
      </c>
      <c r="G586" s="27">
        <v>3990</v>
      </c>
      <c r="H586" s="27">
        <v>22990</v>
      </c>
      <c r="I586" s="28" t="s">
        <v>19</v>
      </c>
      <c r="J586" s="43"/>
    </row>
    <row r="587" spans="1:10" customFormat="1" ht="15" hidden="1" customHeight="1" x14ac:dyDescent="0.25">
      <c r="A587" s="37">
        <v>45012</v>
      </c>
      <c r="B587" s="25" t="s">
        <v>3621</v>
      </c>
      <c r="C587" s="26" t="s">
        <v>3007</v>
      </c>
      <c r="D587" s="26" t="s">
        <v>3008</v>
      </c>
      <c r="E587" s="27">
        <v>0</v>
      </c>
      <c r="F587" s="30">
        <v>47124</v>
      </c>
      <c r="G587" s="27">
        <v>9896.0400000000009</v>
      </c>
      <c r="H587" s="27">
        <v>57020.04</v>
      </c>
      <c r="I587" s="28" t="s">
        <v>19</v>
      </c>
      <c r="J587" s="43"/>
    </row>
    <row r="588" spans="1:10" customFormat="1" ht="15" hidden="1" customHeight="1" x14ac:dyDescent="0.25">
      <c r="A588" s="37">
        <v>45013</v>
      </c>
      <c r="B588" s="25" t="s">
        <v>3622</v>
      </c>
      <c r="C588" s="26" t="s">
        <v>3562</v>
      </c>
      <c r="D588" s="26" t="s">
        <v>3563</v>
      </c>
      <c r="E588" s="27">
        <v>3960</v>
      </c>
      <c r="F588" s="30">
        <v>47124</v>
      </c>
      <c r="G588" s="27">
        <v>9896.0400000000009</v>
      </c>
      <c r="H588" s="27">
        <v>60980.04</v>
      </c>
      <c r="I588" s="28" t="s">
        <v>19</v>
      </c>
      <c r="J588" s="43"/>
    </row>
    <row r="589" spans="1:10" customFormat="1" ht="15" hidden="1" customHeight="1" x14ac:dyDescent="0.25">
      <c r="A589" s="37">
        <v>45013</v>
      </c>
      <c r="B589" s="25" t="s">
        <v>3623</v>
      </c>
      <c r="C589" s="26" t="s">
        <v>3235</v>
      </c>
      <c r="D589" s="26" t="s">
        <v>3236</v>
      </c>
      <c r="E589" s="27">
        <v>10410</v>
      </c>
      <c r="F589" s="30">
        <v>188496</v>
      </c>
      <c r="G589" s="27">
        <v>39584.160000000003</v>
      </c>
      <c r="H589" s="27">
        <v>238490.16</v>
      </c>
      <c r="I589" s="28" t="s">
        <v>19</v>
      </c>
      <c r="J589" s="43"/>
    </row>
    <row r="590" spans="1:10" customFormat="1" ht="15" hidden="1" customHeight="1" x14ac:dyDescent="0.25">
      <c r="A590" s="37">
        <v>45013</v>
      </c>
      <c r="B590" s="25" t="s">
        <v>3624</v>
      </c>
      <c r="C590" s="26" t="s">
        <v>3007</v>
      </c>
      <c r="D590" s="26" t="s">
        <v>3008</v>
      </c>
      <c r="E590" s="27">
        <v>8900</v>
      </c>
      <c r="F590" s="30">
        <v>47124</v>
      </c>
      <c r="G590" s="27">
        <v>9896.0400000000009</v>
      </c>
      <c r="H590" s="27">
        <v>65920.039999999994</v>
      </c>
      <c r="I590" s="28" t="s">
        <v>19</v>
      </c>
      <c r="J590" s="43"/>
    </row>
    <row r="591" spans="1:10" customFormat="1" ht="15" hidden="1" customHeight="1" x14ac:dyDescent="0.25">
      <c r="A591" s="37">
        <v>45013</v>
      </c>
      <c r="B591" s="25" t="s">
        <v>3625</v>
      </c>
      <c r="C591" s="26" t="s">
        <v>2921</v>
      </c>
      <c r="D591" s="26" t="s">
        <v>2922</v>
      </c>
      <c r="E591" s="27">
        <v>8900</v>
      </c>
      <c r="F591" s="30">
        <v>47124</v>
      </c>
      <c r="G591" s="27">
        <v>9896.0400000000009</v>
      </c>
      <c r="H591" s="27">
        <v>65920.039999999994</v>
      </c>
      <c r="I591" s="28" t="s">
        <v>19</v>
      </c>
      <c r="J591" s="43"/>
    </row>
    <row r="592" spans="1:10" customFormat="1" ht="15" hidden="1" customHeight="1" x14ac:dyDescent="0.25">
      <c r="A592" s="37">
        <v>45013</v>
      </c>
      <c r="B592" s="25" t="s">
        <v>3626</v>
      </c>
      <c r="C592" s="26" t="s">
        <v>3627</v>
      </c>
      <c r="D592" s="26" t="s">
        <v>3628</v>
      </c>
      <c r="E592" s="27">
        <v>8900</v>
      </c>
      <c r="F592" s="30">
        <v>47124</v>
      </c>
      <c r="G592" s="27">
        <v>9896.0400000000009</v>
      </c>
      <c r="H592" s="27">
        <v>65920.039999999994</v>
      </c>
      <c r="I592" s="28" t="s">
        <v>19</v>
      </c>
      <c r="J592" s="43"/>
    </row>
    <row r="593" spans="1:10" customFormat="1" ht="15" hidden="1" customHeight="1" x14ac:dyDescent="0.25">
      <c r="A593" s="37">
        <v>45013</v>
      </c>
      <c r="B593" s="25" t="s">
        <v>3629</v>
      </c>
      <c r="C593" s="26" t="s">
        <v>2921</v>
      </c>
      <c r="D593" s="26" t="s">
        <v>2922</v>
      </c>
      <c r="E593" s="27">
        <v>0</v>
      </c>
      <c r="F593" s="30">
        <v>47124</v>
      </c>
      <c r="G593" s="27">
        <v>9896.0400000000009</v>
      </c>
      <c r="H593" s="27">
        <v>57020.04</v>
      </c>
      <c r="I593" s="28" t="s">
        <v>19</v>
      </c>
      <c r="J593" s="43"/>
    </row>
    <row r="594" spans="1:10" customFormat="1" ht="15" hidden="1" customHeight="1" x14ac:dyDescent="0.25">
      <c r="A594" s="37">
        <v>45013</v>
      </c>
      <c r="B594" s="25" t="s">
        <v>3630</v>
      </c>
      <c r="C594" s="26" t="s">
        <v>3007</v>
      </c>
      <c r="D594" s="26" t="s">
        <v>3008</v>
      </c>
      <c r="E594" s="27">
        <v>0</v>
      </c>
      <c r="F594" s="30">
        <v>47124</v>
      </c>
      <c r="G594" s="27">
        <v>9896.0400000000009</v>
      </c>
      <c r="H594" s="27">
        <v>57020.04</v>
      </c>
      <c r="I594" s="28" t="s">
        <v>19</v>
      </c>
      <c r="J594" s="43"/>
    </row>
    <row r="595" spans="1:10" customFormat="1" ht="15" hidden="1" customHeight="1" x14ac:dyDescent="0.25">
      <c r="A595" s="37">
        <v>45013</v>
      </c>
      <c r="B595" s="25" t="s">
        <v>3631</v>
      </c>
      <c r="C595" s="26" t="s">
        <v>3235</v>
      </c>
      <c r="D595" s="26" t="s">
        <v>3236</v>
      </c>
      <c r="E595" s="27">
        <v>0</v>
      </c>
      <c r="F595" s="30">
        <v>47124</v>
      </c>
      <c r="G595" s="27">
        <v>9896.0400000000009</v>
      </c>
      <c r="H595" s="27">
        <v>57020.04</v>
      </c>
      <c r="I595" s="28" t="s">
        <v>19</v>
      </c>
      <c r="J595" s="43"/>
    </row>
    <row r="596" spans="1:10" customFormat="1" ht="15" hidden="1" customHeight="1" x14ac:dyDescent="0.25">
      <c r="A596" s="37">
        <v>45013</v>
      </c>
      <c r="B596" s="25" t="s">
        <v>3632</v>
      </c>
      <c r="C596" s="26" t="s">
        <v>3235</v>
      </c>
      <c r="D596" s="26" t="s">
        <v>3236</v>
      </c>
      <c r="E596" s="27">
        <v>16400</v>
      </c>
      <c r="F596" s="30">
        <v>94248</v>
      </c>
      <c r="G596" s="27">
        <v>19792.080000000002</v>
      </c>
      <c r="H596" s="27">
        <v>130440.08</v>
      </c>
      <c r="I596" s="28" t="s">
        <v>19</v>
      </c>
      <c r="J596" s="43"/>
    </row>
    <row r="597" spans="1:10" customFormat="1" ht="15" hidden="1" customHeight="1" x14ac:dyDescent="0.25">
      <c r="A597" s="37">
        <v>45013</v>
      </c>
      <c r="B597" s="25" t="s">
        <v>3633</v>
      </c>
      <c r="C597" s="26" t="s">
        <v>3559</v>
      </c>
      <c r="D597" s="26" t="s">
        <v>3560</v>
      </c>
      <c r="E597" s="27">
        <v>3830</v>
      </c>
      <c r="F597" s="30">
        <v>67399.199999999997</v>
      </c>
      <c r="G597" s="27">
        <v>14153.83</v>
      </c>
      <c r="H597" s="27">
        <v>85383.03</v>
      </c>
      <c r="I597" s="28" t="s">
        <v>19</v>
      </c>
      <c r="J597" s="43"/>
    </row>
    <row r="598" spans="1:10" customFormat="1" ht="15" hidden="1" customHeight="1" x14ac:dyDescent="0.25">
      <c r="A598" s="37">
        <v>45013</v>
      </c>
      <c r="B598" s="25" t="s">
        <v>3634</v>
      </c>
      <c r="C598" s="26" t="s">
        <v>2972</v>
      </c>
      <c r="D598" s="26" t="s">
        <v>2973</v>
      </c>
      <c r="E598" s="27">
        <v>10400</v>
      </c>
      <c r="F598" s="30">
        <v>195900</v>
      </c>
      <c r="G598" s="27">
        <v>41139</v>
      </c>
      <c r="H598" s="27">
        <v>247439</v>
      </c>
      <c r="I598" s="28" t="s">
        <v>19</v>
      </c>
      <c r="J598" s="43"/>
    </row>
    <row r="599" spans="1:10" customFormat="1" ht="15" hidden="1" customHeight="1" x14ac:dyDescent="0.25">
      <c r="A599" s="37">
        <v>45013</v>
      </c>
      <c r="B599" s="25" t="s">
        <v>3635</v>
      </c>
      <c r="C599" s="26" t="s">
        <v>2942</v>
      </c>
      <c r="D599" s="26" t="s">
        <v>2943</v>
      </c>
      <c r="E599" s="27">
        <v>3430</v>
      </c>
      <c r="F599" s="30">
        <v>61000</v>
      </c>
      <c r="G599" s="27">
        <v>12810</v>
      </c>
      <c r="H599" s="27">
        <v>77240</v>
      </c>
      <c r="I599" s="28" t="s">
        <v>19</v>
      </c>
      <c r="J599" s="43"/>
    </row>
    <row r="600" spans="1:10" customFormat="1" ht="15" hidden="1" customHeight="1" x14ac:dyDescent="0.25">
      <c r="A600" s="37">
        <v>45013</v>
      </c>
      <c r="B600" s="25" t="s">
        <v>3636</v>
      </c>
      <c r="C600" s="26" t="s">
        <v>2942</v>
      </c>
      <c r="D600" s="26" t="s">
        <v>2943</v>
      </c>
      <c r="E600" s="27">
        <v>3430</v>
      </c>
      <c r="F600" s="30">
        <v>61000</v>
      </c>
      <c r="G600" s="27">
        <v>12810</v>
      </c>
      <c r="H600" s="27">
        <v>77240</v>
      </c>
      <c r="I600" s="28" t="s">
        <v>19</v>
      </c>
      <c r="J600" s="43"/>
    </row>
    <row r="601" spans="1:10" customFormat="1" ht="15" hidden="1" customHeight="1" x14ac:dyDescent="0.25">
      <c r="A601" s="37">
        <v>45013</v>
      </c>
      <c r="B601" s="25" t="s">
        <v>3637</v>
      </c>
      <c r="C601" s="26" t="s">
        <v>2960</v>
      </c>
      <c r="D601" s="26" t="s">
        <v>2961</v>
      </c>
      <c r="E601" s="27">
        <v>8630</v>
      </c>
      <c r="F601" s="30">
        <v>778790.40000000002</v>
      </c>
      <c r="G601" s="27">
        <v>163545.98000000001</v>
      </c>
      <c r="H601" s="27">
        <v>950966.38</v>
      </c>
      <c r="I601" s="28" t="s">
        <v>19</v>
      </c>
      <c r="J601" s="43"/>
    </row>
    <row r="602" spans="1:10" customFormat="1" ht="15" hidden="1" customHeight="1" x14ac:dyDescent="0.25">
      <c r="A602" s="37">
        <v>45013</v>
      </c>
      <c r="B602" s="25" t="s">
        <v>3638</v>
      </c>
      <c r="C602" s="26" t="s">
        <v>2903</v>
      </c>
      <c r="D602" s="26" t="s">
        <v>2904</v>
      </c>
      <c r="E602" s="27">
        <v>3960</v>
      </c>
      <c r="F602" s="30">
        <v>47124</v>
      </c>
      <c r="G602" s="27">
        <v>9896.0400000000009</v>
      </c>
      <c r="H602" s="27">
        <v>60980.04</v>
      </c>
      <c r="I602" s="28" t="s">
        <v>19</v>
      </c>
      <c r="J602" s="43"/>
    </row>
    <row r="603" spans="1:10" customFormat="1" ht="15" hidden="1" customHeight="1" x14ac:dyDescent="0.25">
      <c r="A603" s="37">
        <v>45013</v>
      </c>
      <c r="B603" s="25" t="s">
        <v>3639</v>
      </c>
      <c r="C603" s="26" t="s">
        <v>3562</v>
      </c>
      <c r="D603" s="26" t="s">
        <v>3563</v>
      </c>
      <c r="E603" s="27">
        <v>11000</v>
      </c>
      <c r="F603" s="30">
        <v>72000</v>
      </c>
      <c r="G603" s="27">
        <v>15120</v>
      </c>
      <c r="H603" s="27">
        <v>98120</v>
      </c>
      <c r="I603" s="28" t="s">
        <v>19</v>
      </c>
      <c r="J603" s="43"/>
    </row>
    <row r="604" spans="1:10" customFormat="1" ht="15" hidden="1" customHeight="1" x14ac:dyDescent="0.25">
      <c r="A604" s="37">
        <v>45013</v>
      </c>
      <c r="B604" s="25" t="s">
        <v>3640</v>
      </c>
      <c r="C604" s="26" t="s">
        <v>3241</v>
      </c>
      <c r="D604" s="26" t="s">
        <v>3242</v>
      </c>
      <c r="E604" s="27">
        <v>8900</v>
      </c>
      <c r="F604" s="30">
        <v>90169.2</v>
      </c>
      <c r="G604" s="27">
        <v>18935.53</v>
      </c>
      <c r="H604" s="27">
        <v>118004.73</v>
      </c>
      <c r="I604" s="28" t="s">
        <v>19</v>
      </c>
      <c r="J604" s="43"/>
    </row>
    <row r="605" spans="1:10" customFormat="1" ht="15" hidden="1" customHeight="1" x14ac:dyDescent="0.25">
      <c r="A605" s="37">
        <v>45013</v>
      </c>
      <c r="B605" s="25" t="s">
        <v>3641</v>
      </c>
      <c r="C605" s="26" t="s">
        <v>2921</v>
      </c>
      <c r="D605" s="26" t="s">
        <v>2922</v>
      </c>
      <c r="E605" s="27">
        <v>2490</v>
      </c>
      <c r="F605" s="30">
        <v>50000</v>
      </c>
      <c r="G605" s="27">
        <v>10500</v>
      </c>
      <c r="H605" s="27">
        <v>62990</v>
      </c>
      <c r="I605" s="28" t="s">
        <v>19</v>
      </c>
      <c r="J605" s="43"/>
    </row>
    <row r="606" spans="1:10" customFormat="1" ht="15" hidden="1" customHeight="1" x14ac:dyDescent="0.25">
      <c r="A606" s="37">
        <v>45013</v>
      </c>
      <c r="B606" s="25" t="s">
        <v>3642</v>
      </c>
      <c r="C606" s="26" t="s">
        <v>2921</v>
      </c>
      <c r="D606" s="26" t="s">
        <v>2922</v>
      </c>
      <c r="E606" s="27">
        <v>2490</v>
      </c>
      <c r="F606" s="30">
        <v>97124</v>
      </c>
      <c r="G606" s="27">
        <v>20396.04</v>
      </c>
      <c r="H606" s="27">
        <v>120010.04</v>
      </c>
      <c r="I606" s="28" t="s">
        <v>19</v>
      </c>
      <c r="J606" s="43"/>
    </row>
    <row r="607" spans="1:10" customFormat="1" ht="15" hidden="1" customHeight="1" x14ac:dyDescent="0.25">
      <c r="A607" s="37">
        <v>45013</v>
      </c>
      <c r="B607" s="25" t="s">
        <v>3643</v>
      </c>
      <c r="C607" s="26" t="s">
        <v>3058</v>
      </c>
      <c r="D607" s="26" t="s">
        <v>3059</v>
      </c>
      <c r="E607" s="27">
        <v>2490</v>
      </c>
      <c r="F607" s="30">
        <v>50000</v>
      </c>
      <c r="G607" s="27">
        <v>10500</v>
      </c>
      <c r="H607" s="27">
        <v>62990</v>
      </c>
      <c r="I607" s="28" t="s">
        <v>19</v>
      </c>
      <c r="J607" s="43"/>
    </row>
    <row r="608" spans="1:10" customFormat="1" ht="15" hidden="1" customHeight="1" x14ac:dyDescent="0.25">
      <c r="A608" s="37">
        <v>45013</v>
      </c>
      <c r="B608" s="25" t="s">
        <v>3644</v>
      </c>
      <c r="C608" s="26" t="s">
        <v>3562</v>
      </c>
      <c r="D608" s="26" t="s">
        <v>3563</v>
      </c>
      <c r="E608" s="27">
        <v>0</v>
      </c>
      <c r="F608" s="30">
        <v>94248</v>
      </c>
      <c r="G608" s="27">
        <v>19792.080000000002</v>
      </c>
      <c r="H608" s="27">
        <v>114040.08</v>
      </c>
      <c r="I608" s="28" t="s">
        <v>19</v>
      </c>
      <c r="J608" s="43"/>
    </row>
    <row r="609" spans="1:10" customFormat="1" ht="15" hidden="1" customHeight="1" x14ac:dyDescent="0.25">
      <c r="A609" s="37">
        <v>45013</v>
      </c>
      <c r="B609" s="25" t="s">
        <v>3645</v>
      </c>
      <c r="C609" s="26" t="s">
        <v>2909</v>
      </c>
      <c r="D609" s="26" t="s">
        <v>2910</v>
      </c>
      <c r="E609" s="27">
        <v>0</v>
      </c>
      <c r="F609" s="30">
        <v>67399.199999999997</v>
      </c>
      <c r="G609" s="27">
        <v>14153.83</v>
      </c>
      <c r="H609" s="27">
        <v>81553.03</v>
      </c>
      <c r="I609" s="28" t="s">
        <v>19</v>
      </c>
      <c r="J609" s="43"/>
    </row>
    <row r="610" spans="1:10" customFormat="1" ht="15" hidden="1" customHeight="1" x14ac:dyDescent="0.25">
      <c r="A610" s="37">
        <v>45013</v>
      </c>
      <c r="B610" s="25" t="s">
        <v>3646</v>
      </c>
      <c r="C610" s="26" t="s">
        <v>3165</v>
      </c>
      <c r="D610" s="26" t="s">
        <v>3166</v>
      </c>
      <c r="E610" s="27">
        <v>0</v>
      </c>
      <c r="F610" s="30">
        <v>120225.60000000001</v>
      </c>
      <c r="G610" s="27">
        <v>25247.38</v>
      </c>
      <c r="H610" s="27">
        <v>145472.98000000001</v>
      </c>
      <c r="I610" s="28" t="s">
        <v>19</v>
      </c>
      <c r="J610" s="43"/>
    </row>
    <row r="611" spans="1:10" customFormat="1" ht="15" hidden="1" customHeight="1" x14ac:dyDescent="0.25">
      <c r="A611" s="37">
        <v>45013</v>
      </c>
      <c r="B611" s="25" t="s">
        <v>3647</v>
      </c>
      <c r="C611" s="26" t="s">
        <v>3014</v>
      </c>
      <c r="D611" s="26" t="s">
        <v>3015</v>
      </c>
      <c r="E611" s="27">
        <v>0</v>
      </c>
      <c r="F611" s="30">
        <v>100000</v>
      </c>
      <c r="G611" s="27">
        <v>21000</v>
      </c>
      <c r="H611" s="27">
        <v>121000</v>
      </c>
      <c r="I611" s="28" t="s">
        <v>19</v>
      </c>
      <c r="J611" s="43"/>
    </row>
    <row r="612" spans="1:10" customFormat="1" ht="15" hidden="1" customHeight="1" x14ac:dyDescent="0.25">
      <c r="A612" s="37">
        <v>45013</v>
      </c>
      <c r="B612" s="25" t="s">
        <v>3648</v>
      </c>
      <c r="C612" s="26" t="s">
        <v>2945</v>
      </c>
      <c r="D612" s="26" t="s">
        <v>2946</v>
      </c>
      <c r="E612" s="27">
        <v>0</v>
      </c>
      <c r="F612" s="30">
        <v>21000</v>
      </c>
      <c r="G612" s="27">
        <v>4410</v>
      </c>
      <c r="H612" s="27">
        <v>25410</v>
      </c>
      <c r="I612" s="28" t="s">
        <v>19</v>
      </c>
      <c r="J612" s="43"/>
    </row>
    <row r="613" spans="1:10" customFormat="1" ht="15" hidden="1" customHeight="1" x14ac:dyDescent="0.25">
      <c r="A613" s="37">
        <v>45013</v>
      </c>
      <c r="B613" s="25" t="s">
        <v>3649</v>
      </c>
      <c r="C613" s="26" t="s">
        <v>3176</v>
      </c>
      <c r="D613" s="26" t="s">
        <v>3177</v>
      </c>
      <c r="E613" s="27">
        <v>0</v>
      </c>
      <c r="F613" s="30">
        <v>21000</v>
      </c>
      <c r="G613" s="27">
        <v>4410</v>
      </c>
      <c r="H613" s="27">
        <v>25410</v>
      </c>
      <c r="I613" s="28" t="s">
        <v>19</v>
      </c>
      <c r="J613" s="43"/>
    </row>
    <row r="614" spans="1:10" customFormat="1" ht="15" hidden="1" customHeight="1" x14ac:dyDescent="0.25">
      <c r="A614" s="37">
        <v>45014</v>
      </c>
      <c r="B614" s="25" t="s">
        <v>3650</v>
      </c>
      <c r="C614" s="26" t="s">
        <v>2909</v>
      </c>
      <c r="D614" s="26" t="s">
        <v>2910</v>
      </c>
      <c r="E614" s="27">
        <v>4699.99999999996</v>
      </c>
      <c r="F614" s="30">
        <v>238629.6</v>
      </c>
      <c r="G614" s="27">
        <v>50112.22</v>
      </c>
      <c r="H614" s="27">
        <v>293441.81999999995</v>
      </c>
      <c r="I614" s="28" t="s">
        <v>19</v>
      </c>
      <c r="J614" s="43"/>
    </row>
    <row r="615" spans="1:10" customFormat="1" ht="15" hidden="1" customHeight="1" x14ac:dyDescent="0.25">
      <c r="A615" s="37">
        <v>45014</v>
      </c>
      <c r="B615" s="25" t="s">
        <v>3651</v>
      </c>
      <c r="C615" s="26" t="s">
        <v>3235</v>
      </c>
      <c r="D615" s="26" t="s">
        <v>3236</v>
      </c>
      <c r="E615" s="27">
        <v>23800</v>
      </c>
      <c r="F615" s="30">
        <v>180000</v>
      </c>
      <c r="G615" s="27">
        <v>37800</v>
      </c>
      <c r="H615" s="27">
        <v>241600</v>
      </c>
      <c r="I615" s="28" t="s">
        <v>19</v>
      </c>
      <c r="J615" s="43"/>
    </row>
    <row r="616" spans="1:10" customFormat="1" ht="15" hidden="1" customHeight="1" x14ac:dyDescent="0.25">
      <c r="A616" s="37">
        <v>45014</v>
      </c>
      <c r="B616" s="25" t="s">
        <v>3652</v>
      </c>
      <c r="C616" s="26" t="s">
        <v>1140</v>
      </c>
      <c r="D616" s="26" t="s">
        <v>1141</v>
      </c>
      <c r="E616" s="27">
        <v>0</v>
      </c>
      <c r="F616" s="30">
        <v>631184.4</v>
      </c>
      <c r="G616" s="27">
        <v>132548.73000000001</v>
      </c>
      <c r="H616" s="27">
        <v>763733.13</v>
      </c>
      <c r="I616" s="28" t="s">
        <v>19</v>
      </c>
      <c r="J616" s="43"/>
    </row>
    <row r="617" spans="1:10" customFormat="1" ht="15" hidden="1" customHeight="1" x14ac:dyDescent="0.25">
      <c r="A617" s="37">
        <v>45014</v>
      </c>
      <c r="B617" s="25" t="s">
        <v>3653</v>
      </c>
      <c r="C617" s="26" t="s">
        <v>3235</v>
      </c>
      <c r="D617" s="26" t="s">
        <v>3236</v>
      </c>
      <c r="E617" s="27">
        <v>11000</v>
      </c>
      <c r="F617" s="30">
        <v>72000</v>
      </c>
      <c r="G617" s="27">
        <v>15120</v>
      </c>
      <c r="H617" s="27">
        <v>98120</v>
      </c>
      <c r="I617" s="28" t="s">
        <v>19</v>
      </c>
      <c r="J617" s="43"/>
    </row>
    <row r="618" spans="1:10" customFormat="1" ht="15" hidden="1" customHeight="1" x14ac:dyDescent="0.25">
      <c r="A618" s="37">
        <v>45014</v>
      </c>
      <c r="B618" s="25" t="s">
        <v>3654</v>
      </c>
      <c r="C618" s="26" t="s">
        <v>3011</v>
      </c>
      <c r="D618" s="26" t="s">
        <v>3012</v>
      </c>
      <c r="E618" s="27">
        <v>27440</v>
      </c>
      <c r="F618" s="30">
        <v>808790.4</v>
      </c>
      <c r="G618" s="27">
        <v>169845.96</v>
      </c>
      <c r="H618" s="27">
        <v>1006076.36</v>
      </c>
      <c r="I618" s="28" t="s">
        <v>19</v>
      </c>
      <c r="J618" s="43"/>
    </row>
    <row r="619" spans="1:10" customFormat="1" ht="15" hidden="1" customHeight="1" x14ac:dyDescent="0.25">
      <c r="A619" s="37">
        <v>45014</v>
      </c>
      <c r="B619" s="25" t="s">
        <v>3655</v>
      </c>
      <c r="C619" s="26" t="s">
        <v>2972</v>
      </c>
      <c r="D619" s="26" t="s">
        <v>2973</v>
      </c>
      <c r="E619" s="27">
        <v>3850</v>
      </c>
      <c r="F619" s="30">
        <v>120225.60000000001</v>
      </c>
      <c r="G619" s="27">
        <v>25247.38</v>
      </c>
      <c r="H619" s="27">
        <v>149322.98000000001</v>
      </c>
      <c r="I619" s="28" t="s">
        <v>19</v>
      </c>
      <c r="J619" s="43"/>
    </row>
    <row r="620" spans="1:10" customFormat="1" ht="15" hidden="1" customHeight="1" x14ac:dyDescent="0.25">
      <c r="A620" s="37">
        <v>45014</v>
      </c>
      <c r="B620" s="25" t="s">
        <v>3656</v>
      </c>
      <c r="C620" s="26" t="s">
        <v>2972</v>
      </c>
      <c r="D620" s="26" t="s">
        <v>2973</v>
      </c>
      <c r="E620" s="27">
        <v>3850</v>
      </c>
      <c r="F620" s="30">
        <v>90169.2</v>
      </c>
      <c r="G620" s="27">
        <v>18935.53</v>
      </c>
      <c r="H620" s="27">
        <v>112954.73</v>
      </c>
      <c r="I620" s="28" t="s">
        <v>19</v>
      </c>
      <c r="J620" s="43"/>
    </row>
    <row r="621" spans="1:10" customFormat="1" ht="15" hidden="1" customHeight="1" x14ac:dyDescent="0.25">
      <c r="A621" s="37">
        <v>45014</v>
      </c>
      <c r="B621" s="25" t="s">
        <v>3657</v>
      </c>
      <c r="C621" s="26" t="s">
        <v>3562</v>
      </c>
      <c r="D621" s="26" t="s">
        <v>3563</v>
      </c>
      <c r="E621" s="27">
        <v>22000</v>
      </c>
      <c r="F621" s="30">
        <v>144000</v>
      </c>
      <c r="G621" s="27">
        <v>30240</v>
      </c>
      <c r="H621" s="27">
        <v>196240</v>
      </c>
      <c r="I621" s="28" t="s">
        <v>19</v>
      </c>
      <c r="J621" s="43"/>
    </row>
    <row r="622" spans="1:10" customFormat="1" ht="15" hidden="1" customHeight="1" x14ac:dyDescent="0.25">
      <c r="A622" s="37">
        <v>45014</v>
      </c>
      <c r="B622" s="25" t="s">
        <v>3658</v>
      </c>
      <c r="C622" s="26" t="s">
        <v>2972</v>
      </c>
      <c r="D622" s="26" t="s">
        <v>2973</v>
      </c>
      <c r="E622" s="27">
        <v>0</v>
      </c>
      <c r="F622" s="30">
        <v>60112.800000000003</v>
      </c>
      <c r="G622" s="27">
        <v>12623.69</v>
      </c>
      <c r="H622" s="27">
        <v>72736.490000000005</v>
      </c>
      <c r="I622" s="28" t="s">
        <v>19</v>
      </c>
      <c r="J622" s="43"/>
    </row>
    <row r="623" spans="1:10" customFormat="1" ht="15" hidden="1" customHeight="1" x14ac:dyDescent="0.25">
      <c r="A623" s="37">
        <v>45014</v>
      </c>
      <c r="B623" s="25" t="s">
        <v>3659</v>
      </c>
      <c r="C623" s="26" t="s">
        <v>3235</v>
      </c>
      <c r="D623" s="26" t="s">
        <v>3236</v>
      </c>
      <c r="E623" s="27">
        <v>22000</v>
      </c>
      <c r="F623" s="30">
        <v>144000</v>
      </c>
      <c r="G623" s="27">
        <v>30240</v>
      </c>
      <c r="H623" s="27">
        <v>196240</v>
      </c>
      <c r="I623" s="28" t="s">
        <v>19</v>
      </c>
      <c r="J623" s="43"/>
    </row>
    <row r="624" spans="1:10" customFormat="1" ht="15" hidden="1" customHeight="1" x14ac:dyDescent="0.25">
      <c r="A624" s="40">
        <v>45014</v>
      </c>
      <c r="B624" s="47" t="s">
        <v>3660</v>
      </c>
      <c r="C624" s="47" t="s">
        <v>3272</v>
      </c>
      <c r="D624" s="47" t="s">
        <v>3273</v>
      </c>
      <c r="E624" s="48">
        <v>6500</v>
      </c>
      <c r="F624" s="30">
        <v>68500</v>
      </c>
      <c r="G624" s="48">
        <v>14385</v>
      </c>
      <c r="H624" s="27">
        <v>89385</v>
      </c>
      <c r="I624" s="41" t="s">
        <v>19</v>
      </c>
      <c r="J624" s="49"/>
    </row>
    <row r="625" spans="1:10" customFormat="1" ht="15" hidden="1" customHeight="1" x14ac:dyDescent="0.25">
      <c r="A625" s="37">
        <v>45014</v>
      </c>
      <c r="B625" s="25" t="s">
        <v>3661</v>
      </c>
      <c r="C625" s="26" t="s">
        <v>2856</v>
      </c>
      <c r="D625" s="26" t="s">
        <v>2857</v>
      </c>
      <c r="E625" s="27">
        <v>0</v>
      </c>
      <c r="F625" s="30">
        <v>17000</v>
      </c>
      <c r="G625" s="27">
        <v>3570</v>
      </c>
      <c r="H625" s="27">
        <v>20570</v>
      </c>
      <c r="I625" s="28" t="s">
        <v>19</v>
      </c>
      <c r="J625" s="43"/>
    </row>
    <row r="626" spans="1:10" customFormat="1" ht="15" hidden="1" customHeight="1" x14ac:dyDescent="0.25">
      <c r="A626" s="37">
        <v>45014</v>
      </c>
      <c r="B626" s="25" t="s">
        <v>3662</v>
      </c>
      <c r="C626" s="26" t="s">
        <v>3663</v>
      </c>
      <c r="D626" s="26" t="s">
        <v>3664</v>
      </c>
      <c r="E626" s="27">
        <v>0</v>
      </c>
      <c r="F626" s="30">
        <v>32788.800000000003</v>
      </c>
      <c r="G626" s="27">
        <v>6885.65</v>
      </c>
      <c r="H626" s="27">
        <v>39674.449999999997</v>
      </c>
      <c r="I626" s="28" t="s">
        <v>19</v>
      </c>
      <c r="J626" s="43"/>
    </row>
    <row r="627" spans="1:10" customFormat="1" ht="15" hidden="1" customHeight="1" x14ac:dyDescent="0.25">
      <c r="A627" s="37">
        <v>45014</v>
      </c>
      <c r="B627" s="25" t="s">
        <v>3665</v>
      </c>
      <c r="C627" s="26" t="s">
        <v>3007</v>
      </c>
      <c r="D627" s="26" t="s">
        <v>3008</v>
      </c>
      <c r="E627" s="27">
        <v>0</v>
      </c>
      <c r="F627" s="30">
        <v>94248</v>
      </c>
      <c r="G627" s="27">
        <v>19792.080000000002</v>
      </c>
      <c r="H627" s="27">
        <v>114040.08</v>
      </c>
      <c r="I627" s="28" t="s">
        <v>19</v>
      </c>
      <c r="J627" s="43"/>
    </row>
    <row r="628" spans="1:10" customFormat="1" ht="15" hidden="1" customHeight="1" x14ac:dyDescent="0.25">
      <c r="A628" s="37">
        <v>45014</v>
      </c>
      <c r="B628" s="25" t="s">
        <v>3666</v>
      </c>
      <c r="C628" s="26" t="s">
        <v>3007</v>
      </c>
      <c r="D628" s="26" t="s">
        <v>3008</v>
      </c>
      <c r="E628" s="27">
        <v>8200</v>
      </c>
      <c r="F628" s="30">
        <v>47124</v>
      </c>
      <c r="G628" s="27">
        <v>9896.0400000000009</v>
      </c>
      <c r="H628" s="27">
        <v>65220.04</v>
      </c>
      <c r="I628" s="28" t="s">
        <v>19</v>
      </c>
      <c r="J628" s="43"/>
    </row>
    <row r="629" spans="1:10" customFormat="1" ht="15" hidden="1" customHeight="1" x14ac:dyDescent="0.25">
      <c r="A629" s="37">
        <v>45014</v>
      </c>
      <c r="B629" s="25" t="s">
        <v>3667</v>
      </c>
      <c r="C629" s="26" t="s">
        <v>3007</v>
      </c>
      <c r="D629" s="26" t="s">
        <v>3008</v>
      </c>
      <c r="E629" s="27">
        <v>8200</v>
      </c>
      <c r="F629" s="30">
        <v>47124</v>
      </c>
      <c r="G629" s="27">
        <v>9896.0400000000009</v>
      </c>
      <c r="H629" s="27">
        <v>65220.04</v>
      </c>
      <c r="I629" s="28" t="s">
        <v>19</v>
      </c>
      <c r="J629" s="43"/>
    </row>
    <row r="630" spans="1:10" customFormat="1" ht="15" hidden="1" customHeight="1" x14ac:dyDescent="0.25">
      <c r="A630" s="37">
        <v>45014</v>
      </c>
      <c r="B630" s="25" t="s">
        <v>3668</v>
      </c>
      <c r="C630" s="26" t="s">
        <v>3235</v>
      </c>
      <c r="D630" s="26" t="s">
        <v>3236</v>
      </c>
      <c r="E630" s="27">
        <v>0</v>
      </c>
      <c r="F630" s="30">
        <v>94248</v>
      </c>
      <c r="G630" s="27">
        <v>19792.080000000002</v>
      </c>
      <c r="H630" s="27">
        <v>114040.08</v>
      </c>
      <c r="I630" s="28" t="s">
        <v>19</v>
      </c>
      <c r="J630" s="43"/>
    </row>
    <row r="631" spans="1:10" customFormat="1" ht="15" hidden="1" customHeight="1" x14ac:dyDescent="0.25">
      <c r="A631" s="37">
        <v>45014</v>
      </c>
      <c r="B631" s="25" t="s">
        <v>3669</v>
      </c>
      <c r="C631" s="26" t="s">
        <v>3058</v>
      </c>
      <c r="D631" s="26" t="s">
        <v>3059</v>
      </c>
      <c r="E631" s="27">
        <v>8200</v>
      </c>
      <c r="F631" s="30">
        <v>47124</v>
      </c>
      <c r="G631" s="27">
        <v>9896.0400000000009</v>
      </c>
      <c r="H631" s="27">
        <v>65220.04</v>
      </c>
      <c r="I631" s="28" t="s">
        <v>19</v>
      </c>
      <c r="J631" s="43"/>
    </row>
    <row r="632" spans="1:10" customFormat="1" ht="15" hidden="1" customHeight="1" x14ac:dyDescent="0.25">
      <c r="A632" s="37">
        <v>45014</v>
      </c>
      <c r="B632" s="25" t="s">
        <v>3670</v>
      </c>
      <c r="C632" s="26" t="s">
        <v>2909</v>
      </c>
      <c r="D632" s="26" t="s">
        <v>2910</v>
      </c>
      <c r="E632" s="27">
        <v>0</v>
      </c>
      <c r="F632" s="30">
        <v>45540</v>
      </c>
      <c r="G632" s="27">
        <v>9563.4</v>
      </c>
      <c r="H632" s="27">
        <v>55103.4</v>
      </c>
      <c r="I632" s="28" t="s">
        <v>19</v>
      </c>
      <c r="J632" s="43"/>
    </row>
    <row r="633" spans="1:10" customFormat="1" ht="15" hidden="1" customHeight="1" x14ac:dyDescent="0.25">
      <c r="A633" s="37">
        <v>45014</v>
      </c>
      <c r="B633" s="25" t="s">
        <v>3671</v>
      </c>
      <c r="C633" s="26" t="s">
        <v>3176</v>
      </c>
      <c r="D633" s="26" t="s">
        <v>3177</v>
      </c>
      <c r="E633" s="27">
        <v>0</v>
      </c>
      <c r="F633" s="30">
        <v>60112.800000000003</v>
      </c>
      <c r="G633" s="27">
        <v>12623.69</v>
      </c>
      <c r="H633" s="27">
        <v>72736.490000000005</v>
      </c>
      <c r="I633" s="28" t="s">
        <v>19</v>
      </c>
      <c r="J633" s="43"/>
    </row>
    <row r="634" spans="1:10" customFormat="1" ht="15" hidden="1" customHeight="1" x14ac:dyDescent="0.25">
      <c r="A634" s="37">
        <v>45015</v>
      </c>
      <c r="B634" s="25" t="s">
        <v>3672</v>
      </c>
      <c r="C634" s="26" t="s">
        <v>2921</v>
      </c>
      <c r="D634" s="26" t="s">
        <v>2922</v>
      </c>
      <c r="E634" s="27">
        <v>0</v>
      </c>
      <c r="F634" s="30">
        <v>19000</v>
      </c>
      <c r="G634" s="27">
        <v>3990</v>
      </c>
      <c r="H634" s="27">
        <v>22990</v>
      </c>
      <c r="I634" s="28" t="s">
        <v>19</v>
      </c>
      <c r="J634" s="43"/>
    </row>
    <row r="635" spans="1:10" customFormat="1" ht="15" hidden="1" customHeight="1" x14ac:dyDescent="0.25">
      <c r="A635" s="37">
        <v>45015</v>
      </c>
      <c r="B635" s="25" t="s">
        <v>3673</v>
      </c>
      <c r="C635" s="26" t="s">
        <v>3241</v>
      </c>
      <c r="D635" s="26" t="s">
        <v>3242</v>
      </c>
      <c r="E635" s="27">
        <v>0</v>
      </c>
      <c r="F635" s="30">
        <v>94248</v>
      </c>
      <c r="G635" s="27">
        <v>19792.080000000002</v>
      </c>
      <c r="H635" s="27">
        <v>114040.08</v>
      </c>
      <c r="I635" s="28" t="s">
        <v>19</v>
      </c>
      <c r="J635" s="43"/>
    </row>
    <row r="636" spans="1:10" customFormat="1" ht="15" hidden="1" customHeight="1" x14ac:dyDescent="0.25">
      <c r="A636" s="37">
        <v>45015</v>
      </c>
      <c r="B636" s="25" t="s">
        <v>3674</v>
      </c>
      <c r="C636" s="26" t="s">
        <v>3176</v>
      </c>
      <c r="D636" s="26" t="s">
        <v>3177</v>
      </c>
      <c r="E636" s="27">
        <v>0</v>
      </c>
      <c r="F636" s="30">
        <v>188496</v>
      </c>
      <c r="G636" s="27">
        <v>39584.160000000003</v>
      </c>
      <c r="H636" s="27">
        <v>228080.16</v>
      </c>
      <c r="I636" s="28" t="s">
        <v>19</v>
      </c>
      <c r="J636" s="43"/>
    </row>
    <row r="637" spans="1:10" customFormat="1" ht="15" hidden="1" customHeight="1" x14ac:dyDescent="0.25">
      <c r="A637" s="37">
        <v>45015</v>
      </c>
      <c r="B637" s="25" t="s">
        <v>3675</v>
      </c>
      <c r="C637" s="26" t="s">
        <v>2892</v>
      </c>
      <c r="D637" s="26" t="s">
        <v>2893</v>
      </c>
      <c r="E637" s="27">
        <v>0</v>
      </c>
      <c r="F637" s="30">
        <v>32788.800000000003</v>
      </c>
      <c r="G637" s="27">
        <v>6885.65</v>
      </c>
      <c r="H637" s="27">
        <v>39674.449999999997</v>
      </c>
      <c r="I637" s="28" t="s">
        <v>19</v>
      </c>
      <c r="J637" s="43"/>
    </row>
    <row r="638" spans="1:10" customFormat="1" ht="15" hidden="1" customHeight="1" x14ac:dyDescent="0.25">
      <c r="A638" s="37">
        <v>45015</v>
      </c>
      <c r="B638" s="25" t="s">
        <v>3676</v>
      </c>
      <c r="C638" s="26" t="s">
        <v>2909</v>
      </c>
      <c r="D638" s="26" t="s">
        <v>2910</v>
      </c>
      <c r="E638" s="27">
        <v>0</v>
      </c>
      <c r="F638" s="30">
        <v>67399.199999999997</v>
      </c>
      <c r="G638" s="27">
        <v>14153.83</v>
      </c>
      <c r="H638" s="27">
        <v>81553.03</v>
      </c>
      <c r="I638" s="28" t="s">
        <v>19</v>
      </c>
      <c r="J638" s="43"/>
    </row>
    <row r="639" spans="1:10" customFormat="1" ht="15" hidden="1" customHeight="1" x14ac:dyDescent="0.25">
      <c r="A639" s="37">
        <v>45015</v>
      </c>
      <c r="B639" s="25" t="s">
        <v>3677</v>
      </c>
      <c r="C639" s="26" t="s">
        <v>3606</v>
      </c>
      <c r="D639" s="26" t="s">
        <v>3607</v>
      </c>
      <c r="E639" s="27">
        <v>0</v>
      </c>
      <c r="F639" s="30">
        <v>17000</v>
      </c>
      <c r="G639" s="27">
        <v>3570</v>
      </c>
      <c r="H639" s="27">
        <v>20570</v>
      </c>
      <c r="I639" s="28" t="s">
        <v>19</v>
      </c>
      <c r="J639" s="43"/>
    </row>
    <row r="640" spans="1:10" customFormat="1" ht="15" hidden="1" customHeight="1" x14ac:dyDescent="0.25">
      <c r="A640" s="37">
        <v>45015</v>
      </c>
      <c r="B640" s="25" t="s">
        <v>3678</v>
      </c>
      <c r="C640" s="26" t="s">
        <v>3606</v>
      </c>
      <c r="D640" s="26" t="s">
        <v>3607</v>
      </c>
      <c r="E640" s="27">
        <v>0</v>
      </c>
      <c r="F640" s="30">
        <v>17000</v>
      </c>
      <c r="G640" s="27">
        <v>3570</v>
      </c>
      <c r="H640" s="27">
        <v>20570</v>
      </c>
      <c r="I640" s="28" t="s">
        <v>19</v>
      </c>
      <c r="J640" s="43"/>
    </row>
    <row r="641" spans="1:10" customFormat="1" ht="15" hidden="1" customHeight="1" x14ac:dyDescent="0.25">
      <c r="A641" s="37">
        <v>45015</v>
      </c>
      <c r="B641" s="25" t="s">
        <v>3679</v>
      </c>
      <c r="C641" s="26" t="s">
        <v>2909</v>
      </c>
      <c r="D641" s="26" t="s">
        <v>2910</v>
      </c>
      <c r="E641" s="27">
        <v>6720.05</v>
      </c>
      <c r="F641" s="30">
        <v>70686</v>
      </c>
      <c r="G641" s="27">
        <v>14844.06</v>
      </c>
      <c r="H641" s="27">
        <v>92250.11</v>
      </c>
      <c r="I641" s="28" t="s">
        <v>19</v>
      </c>
      <c r="J641" s="43"/>
    </row>
    <row r="642" spans="1:10" customFormat="1" ht="15" hidden="1" customHeight="1" x14ac:dyDescent="0.25">
      <c r="A642" s="37">
        <v>45015</v>
      </c>
      <c r="B642" s="25" t="s">
        <v>3680</v>
      </c>
      <c r="C642" s="26" t="s">
        <v>2909</v>
      </c>
      <c r="D642" s="26" t="s">
        <v>2910</v>
      </c>
      <c r="E642" s="27">
        <v>6720.05</v>
      </c>
      <c r="F642" s="30">
        <v>70686</v>
      </c>
      <c r="G642" s="27">
        <v>14844.06</v>
      </c>
      <c r="H642" s="27">
        <v>92250.11</v>
      </c>
      <c r="I642" s="28" t="s">
        <v>19</v>
      </c>
      <c r="J642" s="43"/>
    </row>
    <row r="643" spans="1:10" customFormat="1" ht="15" hidden="1" customHeight="1" x14ac:dyDescent="0.25">
      <c r="A643" s="37">
        <v>45015</v>
      </c>
      <c r="B643" s="25" t="s">
        <v>3681</v>
      </c>
      <c r="C643" s="26" t="s">
        <v>2909</v>
      </c>
      <c r="D643" s="26" t="s">
        <v>2910</v>
      </c>
      <c r="E643" s="27">
        <v>9525.2199999999993</v>
      </c>
      <c r="F643" s="30">
        <v>168498</v>
      </c>
      <c r="G643" s="27">
        <v>35384.58</v>
      </c>
      <c r="H643" s="27">
        <v>213407.8</v>
      </c>
      <c r="I643" s="28" t="s">
        <v>19</v>
      </c>
      <c r="J643" s="43"/>
    </row>
    <row r="644" spans="1:10" customFormat="1" ht="15" hidden="1" customHeight="1" x14ac:dyDescent="0.25">
      <c r="A644" s="37">
        <v>45015</v>
      </c>
      <c r="B644" s="25" t="s">
        <v>3682</v>
      </c>
      <c r="C644" s="26" t="s">
        <v>3373</v>
      </c>
      <c r="D644" s="26" t="s">
        <v>3374</v>
      </c>
      <c r="E644" s="27">
        <v>8422.2199999999993</v>
      </c>
      <c r="F644" s="30">
        <v>90169.2</v>
      </c>
      <c r="G644" s="27">
        <v>18935.53</v>
      </c>
      <c r="H644" s="27">
        <v>117526.95</v>
      </c>
      <c r="I644" s="28" t="s">
        <v>19</v>
      </c>
      <c r="J644" s="43"/>
    </row>
    <row r="645" spans="1:10" customFormat="1" ht="15" hidden="1" customHeight="1" x14ac:dyDescent="0.25">
      <c r="A645" s="37">
        <v>45015</v>
      </c>
      <c r="B645" s="25" t="s">
        <v>3683</v>
      </c>
      <c r="C645" s="26" t="s">
        <v>3257</v>
      </c>
      <c r="D645" s="26" t="s">
        <v>3258</v>
      </c>
      <c r="E645" s="27">
        <v>6720.05</v>
      </c>
      <c r="F645" s="30">
        <v>47124</v>
      </c>
      <c r="G645" s="27">
        <v>9896.0400000000009</v>
      </c>
      <c r="H645" s="27">
        <v>63740.09</v>
      </c>
      <c r="I645" s="28" t="s">
        <v>19</v>
      </c>
      <c r="J645" s="43"/>
    </row>
    <row r="646" spans="1:10" customFormat="1" ht="15" hidden="1" customHeight="1" x14ac:dyDescent="0.25">
      <c r="A646" s="37">
        <v>45016</v>
      </c>
      <c r="B646" s="26" t="s">
        <v>3684</v>
      </c>
      <c r="C646" s="26" t="s">
        <v>3160</v>
      </c>
      <c r="D646" s="26" t="s">
        <v>3161</v>
      </c>
      <c r="E646" s="27">
        <v>69909.66</v>
      </c>
      <c r="F646" s="30">
        <v>1245000</v>
      </c>
      <c r="G646" s="27">
        <v>261450</v>
      </c>
      <c r="H646" s="27">
        <v>1576359.66</v>
      </c>
      <c r="I646" s="28" t="s">
        <v>19</v>
      </c>
      <c r="J646" s="43"/>
    </row>
    <row r="647" spans="1:10" customFormat="1" ht="15" hidden="1" customHeight="1" x14ac:dyDescent="0.25">
      <c r="A647" s="37">
        <v>45016</v>
      </c>
      <c r="B647" s="25" t="s">
        <v>3685</v>
      </c>
      <c r="C647" s="26" t="s">
        <v>2921</v>
      </c>
      <c r="D647" s="26" t="s">
        <v>2922</v>
      </c>
      <c r="E647" s="27">
        <v>-3.7252902984619103E-11</v>
      </c>
      <c r="F647" s="30">
        <v>246774</v>
      </c>
      <c r="G647" s="27">
        <v>51822.54</v>
      </c>
      <c r="H647" s="27">
        <v>298596.53999999998</v>
      </c>
      <c r="I647" s="28" t="s">
        <v>19</v>
      </c>
      <c r="J647" s="43"/>
    </row>
    <row r="648" spans="1:10" customFormat="1" ht="15" hidden="1" customHeight="1" x14ac:dyDescent="0.25">
      <c r="A648" s="37">
        <v>45016</v>
      </c>
      <c r="B648" s="25" t="s">
        <v>3686</v>
      </c>
      <c r="C648" s="26" t="s">
        <v>3687</v>
      </c>
      <c r="D648" s="26" t="s">
        <v>3688</v>
      </c>
      <c r="E648" s="27">
        <v>2157.9699999999998</v>
      </c>
      <c r="F648" s="30">
        <v>32788.800000000003</v>
      </c>
      <c r="G648" s="27">
        <v>6885.65</v>
      </c>
      <c r="H648" s="27">
        <v>41832.42</v>
      </c>
      <c r="I648" s="28" t="s">
        <v>19</v>
      </c>
      <c r="J648" s="43"/>
    </row>
    <row r="649" spans="1:10" customFormat="1" ht="15" hidden="1" customHeight="1" x14ac:dyDescent="0.25">
      <c r="A649" s="37">
        <v>45016</v>
      </c>
      <c r="B649" s="25" t="s">
        <v>3689</v>
      </c>
      <c r="C649" s="26" t="s">
        <v>2867</v>
      </c>
      <c r="D649" s="26" t="s">
        <v>2868</v>
      </c>
      <c r="E649" s="27">
        <v>0</v>
      </c>
      <c r="F649" s="30">
        <v>60112.800000000003</v>
      </c>
      <c r="G649" s="27">
        <v>12623.69</v>
      </c>
      <c r="H649" s="27">
        <v>72736.490000000005</v>
      </c>
      <c r="I649" s="28" t="s">
        <v>19</v>
      </c>
      <c r="J649" s="43"/>
    </row>
    <row r="650" spans="1:10" customFormat="1" ht="15" hidden="1" customHeight="1" x14ac:dyDescent="0.25">
      <c r="A650" s="37">
        <v>45016</v>
      </c>
      <c r="B650" s="25" t="s">
        <v>3690</v>
      </c>
      <c r="C650" s="26" t="s">
        <v>3539</v>
      </c>
      <c r="D650" s="26" t="s">
        <v>3540</v>
      </c>
      <c r="E650" s="27">
        <v>3183.22</v>
      </c>
      <c r="F650" s="30">
        <v>32788.800000000003</v>
      </c>
      <c r="G650" s="27">
        <v>6885.65</v>
      </c>
      <c r="H650" s="27">
        <v>42857.67</v>
      </c>
      <c r="I650" s="28" t="s">
        <v>19</v>
      </c>
      <c r="J650" s="43"/>
    </row>
    <row r="651" spans="1:10" customFormat="1" ht="15" hidden="1" customHeight="1" x14ac:dyDescent="0.25">
      <c r="A651" s="37">
        <v>45016</v>
      </c>
      <c r="B651" s="25" t="s">
        <v>3691</v>
      </c>
      <c r="C651" s="26" t="s">
        <v>2867</v>
      </c>
      <c r="D651" s="26" t="s">
        <v>2868</v>
      </c>
      <c r="E651" s="27">
        <v>0</v>
      </c>
      <c r="F651" s="30">
        <v>60112.800000000003</v>
      </c>
      <c r="G651" s="27">
        <v>12623.69</v>
      </c>
      <c r="H651" s="27">
        <v>72736.490000000005</v>
      </c>
      <c r="I651" s="28" t="s">
        <v>19</v>
      </c>
      <c r="J651" s="43"/>
    </row>
    <row r="652" spans="1:10" customFormat="1" ht="15" hidden="1" customHeight="1" x14ac:dyDescent="0.25">
      <c r="A652" s="37">
        <v>45016</v>
      </c>
      <c r="B652" s="25" t="s">
        <v>3692</v>
      </c>
      <c r="C652" s="26" t="s">
        <v>3559</v>
      </c>
      <c r="D652" s="26" t="s">
        <v>3560</v>
      </c>
      <c r="E652" s="27">
        <v>6500</v>
      </c>
      <c r="F652" s="30">
        <v>135899.20000000001</v>
      </c>
      <c r="G652" s="27">
        <v>28538.83</v>
      </c>
      <c r="H652" s="27">
        <v>170938.03</v>
      </c>
      <c r="I652" s="28" t="s">
        <v>19</v>
      </c>
      <c r="J652" s="43"/>
    </row>
    <row r="653" spans="1:10" customFormat="1" ht="15" hidden="1" customHeight="1" x14ac:dyDescent="0.25">
      <c r="A653" s="37">
        <v>45016</v>
      </c>
      <c r="B653" s="25" t="s">
        <v>3693</v>
      </c>
      <c r="C653" s="26" t="s">
        <v>2921</v>
      </c>
      <c r="D653" s="26" t="s">
        <v>2922</v>
      </c>
      <c r="E653" s="27">
        <v>0</v>
      </c>
      <c r="F653" s="30">
        <v>306886.8</v>
      </c>
      <c r="G653" s="27">
        <v>64446.23</v>
      </c>
      <c r="H653" s="27">
        <v>371333.03</v>
      </c>
      <c r="I653" s="28" t="s">
        <v>19</v>
      </c>
      <c r="J653" s="43"/>
    </row>
    <row r="654" spans="1:10" customFormat="1" ht="15" hidden="1" customHeight="1" x14ac:dyDescent="0.25">
      <c r="A654" s="37">
        <v>45016</v>
      </c>
      <c r="B654" s="25" t="s">
        <v>3694</v>
      </c>
      <c r="C654" s="26" t="s">
        <v>3007</v>
      </c>
      <c r="D654" s="26" t="s">
        <v>3008</v>
      </c>
      <c r="E654" s="27">
        <v>0</v>
      </c>
      <c r="F654" s="30">
        <v>120225.60000000001</v>
      </c>
      <c r="G654" s="27">
        <v>25247.38</v>
      </c>
      <c r="H654" s="27">
        <v>145472.98000000001</v>
      </c>
      <c r="I654" s="28" t="s">
        <v>19</v>
      </c>
      <c r="J654" s="43"/>
    </row>
    <row r="655" spans="1:10" customFormat="1" ht="15" hidden="1" customHeight="1" x14ac:dyDescent="0.25">
      <c r="A655" s="37">
        <v>45016</v>
      </c>
      <c r="B655" s="25" t="s">
        <v>3695</v>
      </c>
      <c r="C655" s="26" t="s">
        <v>3007</v>
      </c>
      <c r="D655" s="26" t="s">
        <v>3008</v>
      </c>
      <c r="E655" s="27">
        <v>0</v>
      </c>
      <c r="F655" s="30">
        <v>67399.199999999997</v>
      </c>
      <c r="G655" s="27">
        <v>14153.83</v>
      </c>
      <c r="H655" s="27">
        <v>81553.03</v>
      </c>
      <c r="I655" s="28" t="s">
        <v>19</v>
      </c>
      <c r="J655" s="43"/>
    </row>
    <row r="656" spans="1:10" customFormat="1" ht="15" hidden="1" customHeight="1" x14ac:dyDescent="0.25">
      <c r="A656" s="37">
        <v>45016</v>
      </c>
      <c r="B656" s="25" t="s">
        <v>3696</v>
      </c>
      <c r="C656" s="26" t="s">
        <v>2921</v>
      </c>
      <c r="D656" s="26" t="s">
        <v>2922</v>
      </c>
      <c r="E656" s="27">
        <v>0</v>
      </c>
      <c r="F656" s="30">
        <v>120225.60000000001</v>
      </c>
      <c r="G656" s="27">
        <v>25247.38</v>
      </c>
      <c r="H656" s="27">
        <v>145472.98000000001</v>
      </c>
      <c r="I656" s="28" t="s">
        <v>19</v>
      </c>
      <c r="J656" s="43"/>
    </row>
    <row r="657" spans="1:10" customFormat="1" ht="15" hidden="1" customHeight="1" x14ac:dyDescent="0.25">
      <c r="A657" s="37">
        <v>45016</v>
      </c>
      <c r="B657" s="25" t="s">
        <v>3697</v>
      </c>
      <c r="C657" s="26" t="s">
        <v>2903</v>
      </c>
      <c r="D657" s="26" t="s">
        <v>2904</v>
      </c>
      <c r="E657" s="27">
        <v>0</v>
      </c>
      <c r="F657" s="30">
        <v>94248</v>
      </c>
      <c r="G657" s="27">
        <v>19792.080000000002</v>
      </c>
      <c r="H657" s="27">
        <v>114040.08</v>
      </c>
      <c r="I657" s="28" t="s">
        <v>19</v>
      </c>
      <c r="J657" s="43"/>
    </row>
    <row r="658" spans="1:10" customFormat="1" ht="15" hidden="1" customHeight="1" x14ac:dyDescent="0.25">
      <c r="A658" s="37">
        <v>45016</v>
      </c>
      <c r="B658" s="25" t="s">
        <v>3698</v>
      </c>
      <c r="C658" s="26" t="s">
        <v>3067</v>
      </c>
      <c r="D658" s="26" t="s">
        <v>3068</v>
      </c>
      <c r="E658" s="27">
        <v>10728.98</v>
      </c>
      <c r="F658" s="30">
        <v>67399.199999999997</v>
      </c>
      <c r="G658" s="27">
        <v>14153.83</v>
      </c>
      <c r="H658" s="27">
        <v>92282.01</v>
      </c>
      <c r="I658" s="28" t="s">
        <v>19</v>
      </c>
      <c r="J658" s="43"/>
    </row>
    <row r="659" spans="1:10" customFormat="1" ht="15" hidden="1" customHeight="1" x14ac:dyDescent="0.25">
      <c r="A659" s="37">
        <v>45016</v>
      </c>
      <c r="B659" s="25" t="s">
        <v>3699</v>
      </c>
      <c r="C659" s="26" t="s">
        <v>3067</v>
      </c>
      <c r="D659" s="26" t="s">
        <v>3068</v>
      </c>
      <c r="E659" s="27">
        <v>10728.98</v>
      </c>
      <c r="F659" s="30">
        <v>67399.199999999997</v>
      </c>
      <c r="G659" s="27">
        <v>14153.83</v>
      </c>
      <c r="H659" s="27">
        <v>92282.01</v>
      </c>
      <c r="I659" s="28" t="s">
        <v>19</v>
      </c>
      <c r="J659" s="43"/>
    </row>
    <row r="660" spans="1:10" customFormat="1" ht="15" hidden="1" customHeight="1" x14ac:dyDescent="0.25">
      <c r="A660" s="37">
        <v>45016</v>
      </c>
      <c r="B660" s="25" t="s">
        <v>3700</v>
      </c>
      <c r="C660" s="26" t="s">
        <v>3067</v>
      </c>
      <c r="D660" s="26" t="s">
        <v>3068</v>
      </c>
      <c r="E660" s="27">
        <v>6280.6599999999899</v>
      </c>
      <c r="F660" s="30">
        <v>51915.6</v>
      </c>
      <c r="G660" s="27">
        <v>10902.28</v>
      </c>
      <c r="H660" s="27">
        <v>69098.539999999994</v>
      </c>
      <c r="I660" s="28" t="s">
        <v>19</v>
      </c>
      <c r="J660" s="43"/>
    </row>
    <row r="661" spans="1:10" customFormat="1" ht="15" hidden="1" customHeight="1" x14ac:dyDescent="0.25">
      <c r="A661" s="37">
        <v>45016</v>
      </c>
      <c r="B661" s="25" t="s">
        <v>3701</v>
      </c>
      <c r="C661" s="26" t="s">
        <v>2856</v>
      </c>
      <c r="D661" s="26" t="s">
        <v>2857</v>
      </c>
      <c r="E661" s="27">
        <v>0</v>
      </c>
      <c r="F661" s="30">
        <v>23000</v>
      </c>
      <c r="G661" s="27">
        <v>4830</v>
      </c>
      <c r="H661" s="27">
        <v>27830</v>
      </c>
      <c r="I661" s="28" t="s">
        <v>19</v>
      </c>
      <c r="J661" s="43"/>
    </row>
    <row r="662" spans="1:10" customFormat="1" ht="15" hidden="1" customHeight="1" x14ac:dyDescent="0.25">
      <c r="A662" s="37">
        <v>45016</v>
      </c>
      <c r="B662" s="25" t="s">
        <v>3702</v>
      </c>
      <c r="C662" s="26" t="s">
        <v>3703</v>
      </c>
      <c r="D662" s="26" t="s">
        <v>3704</v>
      </c>
      <c r="E662" s="27">
        <v>0</v>
      </c>
      <c r="F662" s="30">
        <v>42807.6</v>
      </c>
      <c r="G662" s="27">
        <v>8989.6</v>
      </c>
      <c r="H662" s="27">
        <v>51797.2</v>
      </c>
      <c r="I662" s="28" t="s">
        <v>19</v>
      </c>
      <c r="J662" s="43"/>
    </row>
    <row r="663" spans="1:10" customFormat="1" ht="15" hidden="1" customHeight="1" x14ac:dyDescent="0.25">
      <c r="A663" s="37">
        <v>45016</v>
      </c>
      <c r="B663" s="25" t="s">
        <v>3705</v>
      </c>
      <c r="C663" s="26" t="s">
        <v>2856</v>
      </c>
      <c r="D663" s="26" t="s">
        <v>2857</v>
      </c>
      <c r="E663" s="27">
        <v>0</v>
      </c>
      <c r="F663" s="30">
        <v>27324</v>
      </c>
      <c r="G663" s="27">
        <v>5738.04</v>
      </c>
      <c r="H663" s="27">
        <v>33062.04</v>
      </c>
      <c r="I663" s="28" t="s">
        <v>19</v>
      </c>
      <c r="J663" s="43"/>
    </row>
    <row r="664" spans="1:10" customFormat="1" ht="15" hidden="1" customHeight="1" x14ac:dyDescent="0.25">
      <c r="A664" s="37">
        <v>45016</v>
      </c>
      <c r="B664" s="25" t="s">
        <v>3706</v>
      </c>
      <c r="C664" s="26" t="s">
        <v>3707</v>
      </c>
      <c r="D664" s="26" t="s">
        <v>3708</v>
      </c>
      <c r="E664" s="27">
        <v>0</v>
      </c>
      <c r="F664" s="30">
        <v>21000</v>
      </c>
      <c r="G664" s="27">
        <v>4410</v>
      </c>
      <c r="H664" s="27">
        <v>25410</v>
      </c>
      <c r="I664" s="28" t="s">
        <v>19</v>
      </c>
      <c r="J664" s="43"/>
    </row>
    <row r="665" spans="1:10" customFormat="1" ht="15" hidden="1" customHeight="1" x14ac:dyDescent="0.25">
      <c r="A665" s="37">
        <v>45016</v>
      </c>
      <c r="B665" s="25" t="s">
        <v>3709</v>
      </c>
      <c r="C665" s="26" t="s">
        <v>3067</v>
      </c>
      <c r="D665" s="26" t="s">
        <v>3068</v>
      </c>
      <c r="E665" s="27">
        <v>0</v>
      </c>
      <c r="F665" s="30">
        <v>51915.6</v>
      </c>
      <c r="G665" s="27">
        <v>10902.28</v>
      </c>
      <c r="H665" s="27">
        <v>62817.88</v>
      </c>
      <c r="I665" s="28" t="s">
        <v>19</v>
      </c>
      <c r="J665" s="43"/>
    </row>
    <row r="666" spans="1:10" customFormat="1" ht="15" hidden="1" customHeight="1" x14ac:dyDescent="0.25">
      <c r="A666" s="37">
        <v>45016</v>
      </c>
      <c r="B666" s="25" t="s">
        <v>3710</v>
      </c>
      <c r="C666" s="26" t="s">
        <v>2856</v>
      </c>
      <c r="D666" s="26" t="s">
        <v>2857</v>
      </c>
      <c r="E666" s="27">
        <v>0</v>
      </c>
      <c r="F666" s="30">
        <v>26000</v>
      </c>
      <c r="G666" s="27">
        <v>5460</v>
      </c>
      <c r="H666" s="27">
        <v>31460</v>
      </c>
      <c r="I666" s="28" t="s">
        <v>19</v>
      </c>
      <c r="J666" s="43"/>
    </row>
    <row r="667" spans="1:10" customFormat="1" ht="15" hidden="1" customHeight="1" x14ac:dyDescent="0.25">
      <c r="A667" s="37">
        <v>45016</v>
      </c>
      <c r="B667" s="25" t="s">
        <v>3711</v>
      </c>
      <c r="C667" s="26" t="s">
        <v>2892</v>
      </c>
      <c r="D667" s="26" t="s">
        <v>2893</v>
      </c>
      <c r="E667" s="27">
        <v>0</v>
      </c>
      <c r="F667" s="30">
        <v>237414</v>
      </c>
      <c r="G667" s="27">
        <v>49856.94</v>
      </c>
      <c r="H667" s="27">
        <v>287270.94</v>
      </c>
      <c r="I667" s="28" t="s">
        <v>103</v>
      </c>
      <c r="J667" s="43"/>
    </row>
    <row r="668" spans="1:10" customFormat="1" ht="15" hidden="1" customHeight="1" x14ac:dyDescent="0.25">
      <c r="A668" s="37">
        <v>45016</v>
      </c>
      <c r="B668" s="25" t="s">
        <v>3712</v>
      </c>
      <c r="C668" s="26" t="s">
        <v>2892</v>
      </c>
      <c r="D668" s="26" t="s">
        <v>2893</v>
      </c>
      <c r="E668" s="27">
        <v>0</v>
      </c>
      <c r="F668" s="30">
        <v>46284</v>
      </c>
      <c r="G668" s="27">
        <v>9719.64</v>
      </c>
      <c r="H668" s="27">
        <v>56003.64</v>
      </c>
      <c r="I668" s="28" t="s">
        <v>103</v>
      </c>
      <c r="J668" s="43"/>
    </row>
    <row r="669" spans="1:10" customFormat="1" ht="15" hidden="1" customHeight="1" x14ac:dyDescent="0.25">
      <c r="A669" s="37">
        <v>45016</v>
      </c>
      <c r="B669" s="25" t="s">
        <v>3713</v>
      </c>
      <c r="C669" s="26" t="s">
        <v>3147</v>
      </c>
      <c r="D669" s="26" t="s">
        <v>3148</v>
      </c>
      <c r="E669" s="27">
        <v>0</v>
      </c>
      <c r="F669" s="30">
        <v>309593</v>
      </c>
      <c r="G669" s="27">
        <v>65014.53</v>
      </c>
      <c r="H669" s="27">
        <v>374607.53</v>
      </c>
      <c r="I669" s="28" t="s">
        <v>103</v>
      </c>
      <c r="J669" s="43"/>
    </row>
    <row r="670" spans="1:10" customFormat="1" ht="15" hidden="1" customHeight="1" x14ac:dyDescent="0.25">
      <c r="A670" s="37">
        <v>45016</v>
      </c>
      <c r="B670" s="25" t="s">
        <v>3714</v>
      </c>
      <c r="C670" s="26" t="s">
        <v>3147</v>
      </c>
      <c r="D670" s="26" t="s">
        <v>3148</v>
      </c>
      <c r="E670" s="27">
        <v>0</v>
      </c>
      <c r="F670" s="30">
        <v>164772</v>
      </c>
      <c r="G670" s="27">
        <v>34602.120000000003</v>
      </c>
      <c r="H670" s="27">
        <v>199374.12</v>
      </c>
      <c r="I670" s="28" t="s">
        <v>103</v>
      </c>
      <c r="J670" s="43"/>
    </row>
    <row r="671" spans="1:10" customFormat="1" ht="15" hidden="1" customHeight="1" x14ac:dyDescent="0.25">
      <c r="A671" s="37">
        <v>45016</v>
      </c>
      <c r="B671" s="25" t="s">
        <v>3715</v>
      </c>
      <c r="C671" s="26" t="s">
        <v>1140</v>
      </c>
      <c r="D671" s="26" t="s">
        <v>1141</v>
      </c>
      <c r="E671" s="27">
        <v>0</v>
      </c>
      <c r="F671" s="30">
        <v>462247</v>
      </c>
      <c r="G671" s="27">
        <v>97071.87</v>
      </c>
      <c r="H671" s="27">
        <v>559318.87</v>
      </c>
      <c r="I671" s="28" t="s">
        <v>103</v>
      </c>
      <c r="J671" s="43"/>
    </row>
    <row r="672" spans="1:10" customFormat="1" ht="15" hidden="1" customHeight="1" x14ac:dyDescent="0.25">
      <c r="A672" s="37">
        <v>45016</v>
      </c>
      <c r="B672" s="25" t="s">
        <v>3716</v>
      </c>
      <c r="C672" s="26" t="s">
        <v>1140</v>
      </c>
      <c r="D672" s="26" t="s">
        <v>1141</v>
      </c>
      <c r="E672" s="27">
        <v>0</v>
      </c>
      <c r="F672" s="30">
        <v>1108813</v>
      </c>
      <c r="G672" s="27">
        <v>232850.73</v>
      </c>
      <c r="H672" s="27">
        <v>1341663.73</v>
      </c>
      <c r="I672" s="28" t="s">
        <v>103</v>
      </c>
      <c r="J672" s="43"/>
    </row>
    <row r="673" spans="1:10" customFormat="1" ht="15" hidden="1" customHeight="1" x14ac:dyDescent="0.25">
      <c r="A673" s="37">
        <v>45016</v>
      </c>
      <c r="B673" s="25" t="s">
        <v>3717</v>
      </c>
      <c r="C673" s="26" t="s">
        <v>3346</v>
      </c>
      <c r="D673" s="26" t="s">
        <v>3347</v>
      </c>
      <c r="E673" s="27">
        <v>0</v>
      </c>
      <c r="F673" s="30">
        <v>584230</v>
      </c>
      <c r="G673" s="27">
        <v>122688.3</v>
      </c>
      <c r="H673" s="27">
        <v>706918.3</v>
      </c>
      <c r="I673" s="28" t="s">
        <v>103</v>
      </c>
      <c r="J673" s="43"/>
    </row>
    <row r="674" spans="1:10" customFormat="1" ht="15" hidden="1" customHeight="1" x14ac:dyDescent="0.25">
      <c r="A674" s="37">
        <v>45016</v>
      </c>
      <c r="B674" s="25" t="s">
        <v>3718</v>
      </c>
      <c r="C674" s="26" t="s">
        <v>3346</v>
      </c>
      <c r="D674" s="26" t="s">
        <v>3347</v>
      </c>
      <c r="E674" s="27">
        <v>0</v>
      </c>
      <c r="F674" s="30">
        <v>1352411</v>
      </c>
      <c r="G674" s="27">
        <v>284006.31</v>
      </c>
      <c r="H674" s="27">
        <v>1636417.31</v>
      </c>
      <c r="I674" s="28" t="s">
        <v>19</v>
      </c>
      <c r="J674" s="43"/>
    </row>
    <row r="675" spans="1:10" customFormat="1" ht="15" hidden="1" customHeight="1" x14ac:dyDescent="0.25">
      <c r="A675" s="37">
        <v>45016</v>
      </c>
      <c r="B675" s="25" t="s">
        <v>3719</v>
      </c>
      <c r="C675" s="26" t="s">
        <v>3041</v>
      </c>
      <c r="D675" s="26" t="s">
        <v>3042</v>
      </c>
      <c r="E675" s="27">
        <v>-1.4901161193847701E-10</v>
      </c>
      <c r="F675" s="30">
        <v>892115</v>
      </c>
      <c r="G675" s="27">
        <v>187344.15</v>
      </c>
      <c r="H675" s="27">
        <v>1079459.1499999999</v>
      </c>
      <c r="I675" s="28" t="s">
        <v>103</v>
      </c>
      <c r="J675" s="43"/>
    </row>
    <row r="676" spans="1:10" customFormat="1" ht="15" hidden="1" customHeight="1" x14ac:dyDescent="0.25">
      <c r="A676" s="37">
        <v>45016</v>
      </c>
      <c r="B676" s="25" t="s">
        <v>3720</v>
      </c>
      <c r="C676" s="26" t="s">
        <v>3041</v>
      </c>
      <c r="D676" s="26" t="s">
        <v>3042</v>
      </c>
      <c r="E676" s="27">
        <v>0</v>
      </c>
      <c r="F676" s="30">
        <v>497184</v>
      </c>
      <c r="G676" s="27">
        <v>104408.64</v>
      </c>
      <c r="H676" s="27">
        <v>601592.64</v>
      </c>
      <c r="I676" s="28" t="s">
        <v>103</v>
      </c>
      <c r="J676" s="43"/>
    </row>
    <row r="677" spans="1:10" customFormat="1" ht="15" hidden="1" customHeight="1" x14ac:dyDescent="0.25">
      <c r="A677" s="37">
        <v>45016</v>
      </c>
      <c r="B677" s="25" t="s">
        <v>3721</v>
      </c>
      <c r="C677" s="26" t="s">
        <v>3722</v>
      </c>
      <c r="D677" s="26" t="s">
        <v>3723</v>
      </c>
      <c r="E677" s="27">
        <v>0</v>
      </c>
      <c r="F677" s="30">
        <v>505152</v>
      </c>
      <c r="G677" s="27">
        <v>106081.92</v>
      </c>
      <c r="H677" s="27">
        <v>611233.92000000004</v>
      </c>
      <c r="I677" s="28" t="s">
        <v>103</v>
      </c>
      <c r="J677" s="43"/>
    </row>
    <row r="678" spans="1:10" customFormat="1" ht="15" hidden="1" customHeight="1" x14ac:dyDescent="0.25">
      <c r="A678" s="37">
        <v>45016</v>
      </c>
      <c r="B678" s="25" t="s">
        <v>3724</v>
      </c>
      <c r="C678" s="26" t="s">
        <v>3722</v>
      </c>
      <c r="D678" s="26" t="s">
        <v>3723</v>
      </c>
      <c r="E678" s="27">
        <v>0</v>
      </c>
      <c r="F678" s="30">
        <v>173734</v>
      </c>
      <c r="G678" s="27">
        <v>36484.14</v>
      </c>
      <c r="H678" s="27">
        <v>210218.14</v>
      </c>
      <c r="I678" s="28" t="s">
        <v>103</v>
      </c>
      <c r="J678" s="43"/>
    </row>
    <row r="679" spans="1:10" customFormat="1" ht="15" hidden="1" customHeight="1" x14ac:dyDescent="0.25">
      <c r="A679" s="37">
        <v>45016</v>
      </c>
      <c r="B679" s="25" t="s">
        <v>3725</v>
      </c>
      <c r="C679" s="26" t="s">
        <v>3268</v>
      </c>
      <c r="D679" s="26" t="s">
        <v>3269</v>
      </c>
      <c r="E679" s="27">
        <v>0</v>
      </c>
      <c r="F679" s="30">
        <v>389207</v>
      </c>
      <c r="G679" s="27">
        <v>81733.47</v>
      </c>
      <c r="H679" s="27">
        <v>470940.47</v>
      </c>
      <c r="I679" s="28" t="s">
        <v>103</v>
      </c>
      <c r="J679" s="43"/>
    </row>
    <row r="680" spans="1:10" customFormat="1" ht="15" hidden="1" customHeight="1" x14ac:dyDescent="0.25">
      <c r="A680" s="37">
        <v>45016</v>
      </c>
      <c r="B680" s="25" t="s">
        <v>3726</v>
      </c>
      <c r="C680" s="26" t="s">
        <v>3268</v>
      </c>
      <c r="D680" s="26" t="s">
        <v>3269</v>
      </c>
      <c r="E680" s="27">
        <v>0</v>
      </c>
      <c r="F680" s="30">
        <v>48109</v>
      </c>
      <c r="G680" s="27">
        <v>10102.89</v>
      </c>
      <c r="H680" s="27">
        <v>58211.89</v>
      </c>
      <c r="I680" s="28" t="s">
        <v>103</v>
      </c>
      <c r="J680" s="43"/>
    </row>
    <row r="681" spans="1:10" customFormat="1" ht="15" hidden="1" customHeight="1" x14ac:dyDescent="0.25">
      <c r="A681" s="37">
        <v>45016</v>
      </c>
      <c r="B681" s="25" t="s">
        <v>3727</v>
      </c>
      <c r="C681" s="26" t="s">
        <v>2856</v>
      </c>
      <c r="D681" s="26" t="s">
        <v>2857</v>
      </c>
      <c r="E681" s="27">
        <v>0</v>
      </c>
      <c r="F681" s="30">
        <v>3916209.35</v>
      </c>
      <c r="G681" s="27">
        <v>822403.96</v>
      </c>
      <c r="H681" s="50">
        <v>4738613.3099999996</v>
      </c>
      <c r="I681" s="51" t="s">
        <v>103</v>
      </c>
      <c r="J681" s="43"/>
    </row>
    <row r="682" spans="1:10" customFormat="1" ht="15" hidden="1" customHeight="1" x14ac:dyDescent="0.25">
      <c r="A682" s="57">
        <v>45016</v>
      </c>
      <c r="B682" s="138" t="s">
        <v>3728</v>
      </c>
      <c r="C682" s="139" t="s">
        <v>2856</v>
      </c>
      <c r="D682" s="139" t="s">
        <v>2857</v>
      </c>
      <c r="E682" s="140">
        <v>0</v>
      </c>
      <c r="F682" s="141">
        <v>2350317</v>
      </c>
      <c r="G682" s="140">
        <v>493566.57</v>
      </c>
      <c r="H682" s="143">
        <v>2843883.57</v>
      </c>
      <c r="I682" s="144" t="s">
        <v>103</v>
      </c>
      <c r="J682" s="43"/>
    </row>
    <row r="683" spans="1:10" ht="15" hidden="1" customHeight="1" x14ac:dyDescent="0.25">
      <c r="A683" s="127">
        <v>45016</v>
      </c>
      <c r="B683" s="128" t="s">
        <v>3729</v>
      </c>
      <c r="C683" s="128" t="s">
        <v>2895</v>
      </c>
      <c r="D683" s="128" t="s">
        <v>2896</v>
      </c>
      <c r="E683" s="129">
        <v>0</v>
      </c>
      <c r="F683" s="130">
        <v>379493</v>
      </c>
      <c r="G683" s="129">
        <v>79693.53</v>
      </c>
      <c r="H683" s="129">
        <v>459186.53</v>
      </c>
      <c r="I683" s="121" t="s">
        <v>103</v>
      </c>
      <c r="J683" s="43"/>
    </row>
    <row r="684" spans="1:10" ht="15" hidden="1" customHeight="1" x14ac:dyDescent="0.25">
      <c r="A684" s="127">
        <v>45016</v>
      </c>
      <c r="B684" s="128" t="s">
        <v>3730</v>
      </c>
      <c r="C684" s="128" t="s">
        <v>2895</v>
      </c>
      <c r="D684" s="128" t="s">
        <v>2896</v>
      </c>
      <c r="E684" s="129">
        <v>0</v>
      </c>
      <c r="F684" s="130">
        <v>442357</v>
      </c>
      <c r="G684" s="129">
        <v>92894.97</v>
      </c>
      <c r="H684" s="129">
        <v>535251.97</v>
      </c>
      <c r="I684" s="121" t="s">
        <v>103</v>
      </c>
      <c r="J684" s="43"/>
    </row>
    <row r="685" spans="1:10" customFormat="1" ht="15" hidden="1" customHeight="1" x14ac:dyDescent="0.25">
      <c r="A685" s="126">
        <v>45016</v>
      </c>
      <c r="B685" s="155" t="s">
        <v>3731</v>
      </c>
      <c r="C685" s="155" t="s">
        <v>3132</v>
      </c>
      <c r="D685" s="155" t="s">
        <v>3133</v>
      </c>
      <c r="E685" s="156">
        <v>0</v>
      </c>
      <c r="F685" s="157">
        <v>409670</v>
      </c>
      <c r="G685" s="156">
        <v>86030.7</v>
      </c>
      <c r="H685" s="156">
        <v>495700.7</v>
      </c>
      <c r="I685" s="55" t="s">
        <v>103</v>
      </c>
      <c r="J685" s="43"/>
    </row>
    <row r="686" spans="1:10" customFormat="1" ht="15" hidden="1" customHeight="1" x14ac:dyDescent="0.25">
      <c r="A686" s="37">
        <v>45016</v>
      </c>
      <c r="B686" s="26" t="s">
        <v>3732</v>
      </c>
      <c r="C686" s="26" t="s">
        <v>3132</v>
      </c>
      <c r="D686" s="26" t="s">
        <v>3133</v>
      </c>
      <c r="E686" s="27">
        <v>0</v>
      </c>
      <c r="F686" s="30">
        <v>257194</v>
      </c>
      <c r="G686" s="27">
        <v>54010.74</v>
      </c>
      <c r="H686" s="27">
        <v>311204.74</v>
      </c>
      <c r="I686" s="28" t="s">
        <v>103</v>
      </c>
      <c r="J686" s="43"/>
    </row>
    <row r="687" spans="1:10" customFormat="1" ht="15" hidden="1" customHeight="1" x14ac:dyDescent="0.25">
      <c r="A687" s="37">
        <v>45016</v>
      </c>
      <c r="B687" s="25" t="s">
        <v>3733</v>
      </c>
      <c r="C687" s="26" t="s">
        <v>3007</v>
      </c>
      <c r="D687" s="26" t="s">
        <v>3008</v>
      </c>
      <c r="E687" s="27">
        <v>0</v>
      </c>
      <c r="F687" s="30">
        <v>1232410.3</v>
      </c>
      <c r="G687" s="27">
        <v>258806.16</v>
      </c>
      <c r="H687" s="27">
        <v>1491216.46</v>
      </c>
      <c r="I687" s="28" t="s">
        <v>19</v>
      </c>
      <c r="J687" s="43"/>
    </row>
    <row r="688" spans="1:10" customFormat="1" ht="15" hidden="1" customHeight="1" x14ac:dyDescent="0.25">
      <c r="A688" s="37">
        <v>45016</v>
      </c>
      <c r="B688" s="25" t="s">
        <v>3734</v>
      </c>
      <c r="C688" s="26" t="s">
        <v>3007</v>
      </c>
      <c r="D688" s="26" t="s">
        <v>3008</v>
      </c>
      <c r="E688" s="27">
        <v>0</v>
      </c>
      <c r="F688" s="30">
        <v>237017</v>
      </c>
      <c r="G688" s="27">
        <v>49773.57</v>
      </c>
      <c r="H688" s="27">
        <v>286790.57</v>
      </c>
      <c r="I688" s="28" t="s">
        <v>103</v>
      </c>
      <c r="J688" s="43"/>
    </row>
    <row r="689" spans="1:10" customFormat="1" ht="15" hidden="1" customHeight="1" x14ac:dyDescent="0.25">
      <c r="A689" s="37">
        <v>45016</v>
      </c>
      <c r="B689" s="25" t="s">
        <v>3735</v>
      </c>
      <c r="C689" s="26" t="s">
        <v>3007</v>
      </c>
      <c r="D689" s="26" t="s">
        <v>3008</v>
      </c>
      <c r="E689" s="27">
        <v>0</v>
      </c>
      <c r="F689" s="30">
        <v>178943</v>
      </c>
      <c r="G689" s="27">
        <v>37578.03</v>
      </c>
      <c r="H689" s="27">
        <v>216521.03</v>
      </c>
      <c r="I689" s="28" t="s">
        <v>103</v>
      </c>
      <c r="J689" s="43"/>
    </row>
    <row r="690" spans="1:10" customFormat="1" ht="15" hidden="1" customHeight="1" x14ac:dyDescent="0.25">
      <c r="A690" s="37">
        <v>45016</v>
      </c>
      <c r="B690" s="25" t="s">
        <v>3736</v>
      </c>
      <c r="C690" s="26" t="s">
        <v>3150</v>
      </c>
      <c r="D690" s="26" t="s">
        <v>3151</v>
      </c>
      <c r="E690" s="27">
        <v>0</v>
      </c>
      <c r="F690" s="30">
        <v>101356</v>
      </c>
      <c r="G690" s="27">
        <v>21284.76</v>
      </c>
      <c r="H690" s="27">
        <v>122640.76</v>
      </c>
      <c r="I690" s="28" t="s">
        <v>103</v>
      </c>
      <c r="J690" s="43"/>
    </row>
    <row r="691" spans="1:10" customFormat="1" ht="15" hidden="1" customHeight="1" x14ac:dyDescent="0.25">
      <c r="A691" s="37">
        <v>45016</v>
      </c>
      <c r="B691" s="25" t="s">
        <v>3737</v>
      </c>
      <c r="C691" s="26" t="s">
        <v>3117</v>
      </c>
      <c r="D691" s="26" t="s">
        <v>3118</v>
      </c>
      <c r="E691" s="27">
        <v>0</v>
      </c>
      <c r="F691" s="30">
        <v>68382</v>
      </c>
      <c r="G691" s="27">
        <v>14360.22</v>
      </c>
      <c r="H691" s="27">
        <v>82742.22</v>
      </c>
      <c r="I691" s="28" t="s">
        <v>103</v>
      </c>
      <c r="J691" s="43"/>
    </row>
    <row r="692" spans="1:10" customFormat="1" ht="15" hidden="1" customHeight="1" x14ac:dyDescent="0.25">
      <c r="A692" s="37">
        <v>45016</v>
      </c>
      <c r="B692" s="25" t="s">
        <v>3738</v>
      </c>
      <c r="C692" s="26" t="s">
        <v>3114</v>
      </c>
      <c r="D692" s="26" t="s">
        <v>3115</v>
      </c>
      <c r="E692" s="27">
        <v>0</v>
      </c>
      <c r="F692" s="30">
        <v>182000</v>
      </c>
      <c r="G692" s="27">
        <v>38220</v>
      </c>
      <c r="H692" s="27">
        <v>220220</v>
      </c>
      <c r="I692" s="28" t="s">
        <v>103</v>
      </c>
      <c r="J692" s="43"/>
    </row>
    <row r="693" spans="1:10" customFormat="1" ht="15" hidden="1" customHeight="1" x14ac:dyDescent="0.25">
      <c r="A693" s="37">
        <v>45016</v>
      </c>
      <c r="B693" s="25" t="s">
        <v>3739</v>
      </c>
      <c r="C693" s="26" t="s">
        <v>2909</v>
      </c>
      <c r="D693" s="26" t="s">
        <v>2910</v>
      </c>
      <c r="E693" s="27">
        <v>-3.7252902984619103E-11</v>
      </c>
      <c r="F693" s="30">
        <v>233407</v>
      </c>
      <c r="G693" s="27">
        <v>49015.47</v>
      </c>
      <c r="H693" s="27">
        <v>282422.46999999997</v>
      </c>
      <c r="I693" s="28" t="s">
        <v>19</v>
      </c>
      <c r="J693" s="43"/>
    </row>
    <row r="694" spans="1:10" customFormat="1" ht="15" hidden="1" customHeight="1" x14ac:dyDescent="0.25">
      <c r="A694" s="37">
        <v>45016</v>
      </c>
      <c r="B694" s="25" t="s">
        <v>3740</v>
      </c>
      <c r="C694" s="26" t="s">
        <v>3450</v>
      </c>
      <c r="D694" s="26" t="s">
        <v>3451</v>
      </c>
      <c r="E694" s="27">
        <v>0</v>
      </c>
      <c r="F694" s="30">
        <v>311648</v>
      </c>
      <c r="G694" s="27">
        <v>65446.080000000002</v>
      </c>
      <c r="H694" s="27">
        <v>377094.08</v>
      </c>
      <c r="I694" s="28" t="s">
        <v>103</v>
      </c>
      <c r="J694" s="43"/>
    </row>
    <row r="695" spans="1:10" customFormat="1" ht="15" hidden="1" customHeight="1" x14ac:dyDescent="0.25">
      <c r="A695" s="37">
        <v>45016</v>
      </c>
      <c r="B695" s="25" t="s">
        <v>3741</v>
      </c>
      <c r="C695" s="26" t="s">
        <v>3562</v>
      </c>
      <c r="D695" s="26" t="s">
        <v>3563</v>
      </c>
      <c r="E695" s="27">
        <v>22000</v>
      </c>
      <c r="F695" s="30">
        <v>144000</v>
      </c>
      <c r="G695" s="27">
        <v>30240</v>
      </c>
      <c r="H695" s="27">
        <v>196240</v>
      </c>
      <c r="I695" s="28" t="s">
        <v>19</v>
      </c>
      <c r="J695" s="43"/>
    </row>
    <row r="696" spans="1:10" customFormat="1" ht="15" hidden="1" customHeight="1" x14ac:dyDescent="0.25">
      <c r="A696" s="37">
        <v>45016</v>
      </c>
      <c r="B696" s="25" t="s">
        <v>3742</v>
      </c>
      <c r="C696" s="26" t="s">
        <v>3235</v>
      </c>
      <c r="D696" s="26" t="s">
        <v>3236</v>
      </c>
      <c r="E696" s="27">
        <v>16400</v>
      </c>
      <c r="F696" s="30">
        <v>104390</v>
      </c>
      <c r="G696" s="27">
        <v>21921.9</v>
      </c>
      <c r="H696" s="27">
        <v>142711.9</v>
      </c>
      <c r="I696" s="28" t="s">
        <v>19</v>
      </c>
      <c r="J696" s="43"/>
    </row>
    <row r="697" spans="1:10" customFormat="1" ht="15" hidden="1" customHeight="1" x14ac:dyDescent="0.25">
      <c r="A697" s="37">
        <v>45016</v>
      </c>
      <c r="B697" s="25" t="s">
        <v>3743</v>
      </c>
      <c r="C697" s="26" t="s">
        <v>2903</v>
      </c>
      <c r="D697" s="26" t="s">
        <v>2904</v>
      </c>
      <c r="E697" s="27">
        <v>8200</v>
      </c>
      <c r="F697" s="30">
        <v>94248</v>
      </c>
      <c r="G697" s="27">
        <v>19792.080000000002</v>
      </c>
      <c r="H697" s="27">
        <v>122240.08</v>
      </c>
      <c r="I697" s="28" t="s">
        <v>19</v>
      </c>
      <c r="J697" s="43"/>
    </row>
    <row r="698" spans="1:10" customFormat="1" ht="15" hidden="1" customHeight="1" x14ac:dyDescent="0.25">
      <c r="A698" s="37">
        <v>45016</v>
      </c>
      <c r="B698" s="25" t="s">
        <v>3744</v>
      </c>
      <c r="C698" s="26" t="s">
        <v>2903</v>
      </c>
      <c r="D698" s="26" t="s">
        <v>2904</v>
      </c>
      <c r="E698" s="27">
        <v>16400</v>
      </c>
      <c r="F698" s="30">
        <v>94248</v>
      </c>
      <c r="G698" s="27">
        <v>19792.080000000002</v>
      </c>
      <c r="H698" s="27">
        <v>130440.08</v>
      </c>
      <c r="I698" s="28" t="s">
        <v>19</v>
      </c>
      <c r="J698" s="43"/>
    </row>
    <row r="699" spans="1:10" customFormat="1" ht="15" hidden="1" customHeight="1" x14ac:dyDescent="0.25">
      <c r="A699" s="37">
        <v>45016</v>
      </c>
      <c r="B699" s="25" t="s">
        <v>3745</v>
      </c>
      <c r="C699" s="26" t="s">
        <v>2903</v>
      </c>
      <c r="D699" s="26" t="s">
        <v>2904</v>
      </c>
      <c r="E699" s="27">
        <v>8200</v>
      </c>
      <c r="F699" s="30">
        <v>47124</v>
      </c>
      <c r="G699" s="27">
        <v>9896.0400000000009</v>
      </c>
      <c r="H699" s="27">
        <v>65220.04</v>
      </c>
      <c r="I699" s="28" t="s">
        <v>19</v>
      </c>
      <c r="J699" s="43"/>
    </row>
    <row r="700" spans="1:10" customFormat="1" ht="15" hidden="1" customHeight="1" x14ac:dyDescent="0.25">
      <c r="A700" s="37">
        <v>45016</v>
      </c>
      <c r="B700" s="25" t="s">
        <v>3746</v>
      </c>
      <c r="C700" s="26" t="s">
        <v>3235</v>
      </c>
      <c r="D700" s="26" t="s">
        <v>3236</v>
      </c>
      <c r="E700" s="27">
        <v>22000</v>
      </c>
      <c r="F700" s="30">
        <v>144000</v>
      </c>
      <c r="G700" s="27">
        <v>30240</v>
      </c>
      <c r="H700" s="27">
        <v>196240</v>
      </c>
      <c r="I700" s="28" t="s">
        <v>19</v>
      </c>
      <c r="J700" s="43"/>
    </row>
    <row r="701" spans="1:10" customFormat="1" ht="15" hidden="1" customHeight="1" x14ac:dyDescent="0.25">
      <c r="A701" s="37">
        <v>45016</v>
      </c>
      <c r="B701" s="25" t="s">
        <v>3747</v>
      </c>
      <c r="C701" s="26" t="s">
        <v>3748</v>
      </c>
      <c r="D701" s="26" t="s">
        <v>3749</v>
      </c>
      <c r="E701" s="27">
        <v>7200</v>
      </c>
      <c r="F701" s="30">
        <v>60115.8</v>
      </c>
      <c r="G701" s="27">
        <v>12624.32</v>
      </c>
      <c r="H701" s="27">
        <v>79940.12</v>
      </c>
      <c r="I701" s="28" t="s">
        <v>19</v>
      </c>
      <c r="J701" s="43"/>
    </row>
    <row r="702" spans="1:10" customFormat="1" ht="15" hidden="1" customHeight="1" x14ac:dyDescent="0.25">
      <c r="A702" s="37">
        <v>45016</v>
      </c>
      <c r="B702" s="25" t="s">
        <v>3750</v>
      </c>
      <c r="C702" s="26" t="s">
        <v>3067</v>
      </c>
      <c r="D702" s="26" t="s">
        <v>3068</v>
      </c>
      <c r="E702" s="27">
        <v>0</v>
      </c>
      <c r="F702" s="30">
        <v>134798.39999999999</v>
      </c>
      <c r="G702" s="27">
        <v>28307.66</v>
      </c>
      <c r="H702" s="27">
        <v>163106.06</v>
      </c>
      <c r="I702" s="28" t="s">
        <v>19</v>
      </c>
      <c r="J702" s="43"/>
    </row>
    <row r="703" spans="1:10" customFormat="1" ht="15" hidden="1" customHeight="1" x14ac:dyDescent="0.25">
      <c r="A703" s="37">
        <v>45016</v>
      </c>
      <c r="B703" s="25" t="s">
        <v>3751</v>
      </c>
      <c r="C703" s="26" t="s">
        <v>3187</v>
      </c>
      <c r="D703" s="26" t="s">
        <v>3188</v>
      </c>
      <c r="E703" s="27">
        <v>0</v>
      </c>
      <c r="F703" s="30">
        <v>32788.800000000003</v>
      </c>
      <c r="G703" s="27">
        <v>6885.65</v>
      </c>
      <c r="H703" s="27">
        <v>39674.449999999997</v>
      </c>
      <c r="I703" s="28" t="s">
        <v>19</v>
      </c>
      <c r="J703" s="43"/>
    </row>
    <row r="704" spans="1:10" customFormat="1" ht="15" hidden="1" customHeight="1" x14ac:dyDescent="0.25">
      <c r="A704" s="37">
        <v>45016</v>
      </c>
      <c r="B704" s="25" t="s">
        <v>3752</v>
      </c>
      <c r="C704" s="26" t="s">
        <v>2924</v>
      </c>
      <c r="D704" s="26" t="s">
        <v>2925</v>
      </c>
      <c r="E704" s="27">
        <v>0</v>
      </c>
      <c r="F704" s="30">
        <v>60112.800000000003</v>
      </c>
      <c r="G704" s="27">
        <v>12623.69</v>
      </c>
      <c r="H704" s="27">
        <v>72736.490000000005</v>
      </c>
      <c r="I704" s="28" t="s">
        <v>19</v>
      </c>
      <c r="J704" s="43"/>
    </row>
    <row r="705" spans="1:10" customFormat="1" ht="15" hidden="1" customHeight="1" x14ac:dyDescent="0.25">
      <c r="A705" s="37">
        <v>45014</v>
      </c>
      <c r="B705" s="25" t="s">
        <v>3753</v>
      </c>
      <c r="C705" s="26" t="s">
        <v>2851</v>
      </c>
      <c r="D705" s="26" t="s">
        <v>2852</v>
      </c>
      <c r="E705" s="27">
        <v>12450</v>
      </c>
      <c r="F705" s="30">
        <v>375000</v>
      </c>
      <c r="G705" s="27">
        <v>78750</v>
      </c>
      <c r="H705" s="27">
        <v>466200</v>
      </c>
      <c r="I705" s="28" t="s">
        <v>19</v>
      </c>
      <c r="J705" s="43"/>
    </row>
    <row r="706" spans="1:10" customFormat="1" ht="15" hidden="1" customHeight="1" x14ac:dyDescent="0.25">
      <c r="A706" s="37">
        <v>44993</v>
      </c>
      <c r="B706" s="25" t="s">
        <v>3754</v>
      </c>
      <c r="C706" s="26" t="s">
        <v>3096</v>
      </c>
      <c r="D706" s="26" t="s">
        <v>3097</v>
      </c>
      <c r="E706" s="27">
        <v>0</v>
      </c>
      <c r="F706" s="30">
        <v>-27324</v>
      </c>
      <c r="G706" s="27">
        <v>-5738.04</v>
      </c>
      <c r="H706" s="27">
        <v>-33062.04</v>
      </c>
      <c r="I706" s="28" t="s">
        <v>19</v>
      </c>
      <c r="J706" s="43"/>
    </row>
    <row r="707" spans="1:10" customFormat="1" ht="15" hidden="1" customHeight="1" x14ac:dyDescent="0.25">
      <c r="A707" s="37">
        <v>45012</v>
      </c>
      <c r="B707" s="25" t="s">
        <v>3755</v>
      </c>
      <c r="C707" s="26" t="s">
        <v>2917</v>
      </c>
      <c r="D707" s="26" t="s">
        <v>2918</v>
      </c>
      <c r="E707" s="27">
        <v>0</v>
      </c>
      <c r="F707" s="30">
        <v>-39000</v>
      </c>
      <c r="G707" s="27">
        <v>-8190</v>
      </c>
      <c r="H707" s="27">
        <v>-47190</v>
      </c>
      <c r="I707" s="28" t="s">
        <v>19</v>
      </c>
      <c r="J707" s="43"/>
    </row>
    <row r="708" spans="1:10" customFormat="1" ht="15" hidden="1" customHeight="1" x14ac:dyDescent="0.25">
      <c r="A708" s="37">
        <v>45026</v>
      </c>
      <c r="B708" s="25" t="s">
        <v>3756</v>
      </c>
      <c r="C708" s="26" t="s">
        <v>3235</v>
      </c>
      <c r="D708" s="26" t="s">
        <v>3236</v>
      </c>
      <c r="E708" s="27">
        <v>0</v>
      </c>
      <c r="F708" s="30">
        <v>269596.79999999999</v>
      </c>
      <c r="G708" s="27">
        <v>56615.32</v>
      </c>
      <c r="H708" s="27">
        <v>326212.12</v>
      </c>
      <c r="I708" s="28" t="s">
        <v>19</v>
      </c>
      <c r="J708" s="43"/>
    </row>
    <row r="709" spans="1:10" customFormat="1" ht="15" hidden="1" customHeight="1" x14ac:dyDescent="0.25">
      <c r="A709" s="37">
        <v>45026</v>
      </c>
      <c r="B709" s="25" t="s">
        <v>3757</v>
      </c>
      <c r="C709" s="26" t="s">
        <v>3241</v>
      </c>
      <c r="D709" s="26" t="s">
        <v>3242</v>
      </c>
      <c r="E709" s="27">
        <v>3960</v>
      </c>
      <c r="F709" s="30">
        <v>47124</v>
      </c>
      <c r="G709" s="27">
        <v>9896.0400000000009</v>
      </c>
      <c r="H709" s="27">
        <v>60980.04</v>
      </c>
      <c r="I709" s="28" t="s">
        <v>19</v>
      </c>
      <c r="J709" s="43"/>
    </row>
    <row r="710" spans="1:10" customFormat="1" ht="15" hidden="1" customHeight="1" x14ac:dyDescent="0.25">
      <c r="A710" s="37">
        <v>45026</v>
      </c>
      <c r="B710" s="25" t="s">
        <v>3758</v>
      </c>
      <c r="C710" s="26" t="s">
        <v>2921</v>
      </c>
      <c r="D710" s="26" t="s">
        <v>2922</v>
      </c>
      <c r="E710" s="27">
        <v>3960</v>
      </c>
      <c r="F710" s="30">
        <v>94248</v>
      </c>
      <c r="G710" s="27">
        <v>19792.080000000002</v>
      </c>
      <c r="H710" s="27">
        <v>118000.08</v>
      </c>
      <c r="I710" s="28" t="s">
        <v>19</v>
      </c>
      <c r="J710" s="43"/>
    </row>
    <row r="711" spans="1:10" customFormat="1" ht="15" hidden="1" customHeight="1" x14ac:dyDescent="0.25">
      <c r="A711" s="37">
        <v>45026</v>
      </c>
      <c r="B711" s="25" t="s">
        <v>3759</v>
      </c>
      <c r="C711" s="26" t="s">
        <v>2921</v>
      </c>
      <c r="D711" s="26" t="s">
        <v>2922</v>
      </c>
      <c r="E711" s="27">
        <v>9000</v>
      </c>
      <c r="F711" s="30">
        <v>94248</v>
      </c>
      <c r="G711" s="27">
        <v>19792.080000000002</v>
      </c>
      <c r="H711" s="27">
        <v>123040.08</v>
      </c>
      <c r="I711" s="28" t="s">
        <v>19</v>
      </c>
      <c r="J711" s="43"/>
    </row>
    <row r="712" spans="1:10" customFormat="1" ht="15" hidden="1" customHeight="1" x14ac:dyDescent="0.25">
      <c r="A712" s="37">
        <v>45026</v>
      </c>
      <c r="B712" s="25" t="s">
        <v>3760</v>
      </c>
      <c r="C712" s="26" t="s">
        <v>3235</v>
      </c>
      <c r="D712" s="26" t="s">
        <v>3236</v>
      </c>
      <c r="E712" s="27">
        <v>9000</v>
      </c>
      <c r="F712" s="30">
        <v>94248</v>
      </c>
      <c r="G712" s="27">
        <v>19792.080000000002</v>
      </c>
      <c r="H712" s="27">
        <v>123040.08</v>
      </c>
      <c r="I712" s="28" t="s">
        <v>19</v>
      </c>
      <c r="J712" s="43"/>
    </row>
    <row r="713" spans="1:10" customFormat="1" ht="15" hidden="1" customHeight="1" x14ac:dyDescent="0.25">
      <c r="A713" s="37">
        <v>45026</v>
      </c>
      <c r="B713" s="25" t="s">
        <v>3761</v>
      </c>
      <c r="C713" s="26" t="s">
        <v>2856</v>
      </c>
      <c r="D713" s="26" t="s">
        <v>2857</v>
      </c>
      <c r="E713" s="27">
        <v>0</v>
      </c>
      <c r="F713" s="30">
        <v>25000</v>
      </c>
      <c r="G713" s="27">
        <v>5250</v>
      </c>
      <c r="H713" s="27">
        <v>30250</v>
      </c>
      <c r="I713" s="28" t="s">
        <v>19</v>
      </c>
      <c r="J713" s="43"/>
    </row>
    <row r="714" spans="1:10" customFormat="1" ht="15" hidden="1" customHeight="1" x14ac:dyDescent="0.25">
      <c r="A714" s="37">
        <v>45026</v>
      </c>
      <c r="B714" s="25" t="s">
        <v>3762</v>
      </c>
      <c r="C714" s="26" t="s">
        <v>2945</v>
      </c>
      <c r="D714" s="26" t="s">
        <v>2946</v>
      </c>
      <c r="E714" s="27">
        <v>0</v>
      </c>
      <c r="F714" s="30">
        <v>25000</v>
      </c>
      <c r="G714" s="27">
        <v>5250</v>
      </c>
      <c r="H714" s="27">
        <v>30250</v>
      </c>
      <c r="I714" s="28" t="s">
        <v>19</v>
      </c>
      <c r="J714" s="43"/>
    </row>
    <row r="715" spans="1:10" customFormat="1" ht="15" hidden="1" customHeight="1" x14ac:dyDescent="0.25">
      <c r="A715" s="37">
        <v>45028</v>
      </c>
      <c r="B715" s="25" t="s">
        <v>3763</v>
      </c>
      <c r="C715" s="26" t="s">
        <v>2892</v>
      </c>
      <c r="D715" s="26" t="s">
        <v>2893</v>
      </c>
      <c r="E715" s="27">
        <v>2905.72</v>
      </c>
      <c r="F715" s="30">
        <v>42000</v>
      </c>
      <c r="G715" s="27">
        <v>8820</v>
      </c>
      <c r="H715" s="27">
        <v>53725.72</v>
      </c>
      <c r="I715" s="28" t="s">
        <v>19</v>
      </c>
      <c r="J715" s="43"/>
    </row>
    <row r="716" spans="1:10" customFormat="1" ht="15" hidden="1" customHeight="1" x14ac:dyDescent="0.25">
      <c r="A716" s="37">
        <v>45028</v>
      </c>
      <c r="B716" s="25" t="s">
        <v>3764</v>
      </c>
      <c r="C716" s="26" t="s">
        <v>2945</v>
      </c>
      <c r="D716" s="26" t="s">
        <v>2946</v>
      </c>
      <c r="E716" s="27">
        <v>0</v>
      </c>
      <c r="F716" s="30">
        <v>21000</v>
      </c>
      <c r="G716" s="27">
        <v>4410</v>
      </c>
      <c r="H716" s="27">
        <v>25410</v>
      </c>
      <c r="I716" s="28" t="s">
        <v>19</v>
      </c>
      <c r="J716" s="43"/>
    </row>
    <row r="717" spans="1:10" customFormat="1" ht="15" hidden="1" customHeight="1" x14ac:dyDescent="0.25">
      <c r="A717" s="37">
        <v>45028</v>
      </c>
      <c r="B717" s="25" t="s">
        <v>3765</v>
      </c>
      <c r="C717" s="26" t="s">
        <v>3766</v>
      </c>
      <c r="D717" s="26" t="s">
        <v>3767</v>
      </c>
      <c r="E717" s="27">
        <v>0</v>
      </c>
      <c r="F717" s="30">
        <v>9000</v>
      </c>
      <c r="G717" s="27">
        <v>1890</v>
      </c>
      <c r="H717" s="27">
        <v>10890</v>
      </c>
      <c r="I717" s="28" t="s">
        <v>19</v>
      </c>
      <c r="J717" s="43"/>
    </row>
    <row r="718" spans="1:10" customFormat="1" ht="15" hidden="1" customHeight="1" x14ac:dyDescent="0.25">
      <c r="A718" s="37">
        <v>45028</v>
      </c>
      <c r="B718" s="25" t="s">
        <v>3768</v>
      </c>
      <c r="C718" s="26" t="s">
        <v>3187</v>
      </c>
      <c r="D718" s="26" t="s">
        <v>3188</v>
      </c>
      <c r="E718" s="27">
        <v>3047.9</v>
      </c>
      <c r="F718" s="30">
        <v>186000</v>
      </c>
      <c r="G718" s="27">
        <v>39060</v>
      </c>
      <c r="H718" s="27">
        <v>228107.9</v>
      </c>
      <c r="I718" s="28" t="s">
        <v>19</v>
      </c>
      <c r="J718" s="43"/>
    </row>
    <row r="719" spans="1:10" customFormat="1" ht="15" hidden="1" customHeight="1" x14ac:dyDescent="0.25">
      <c r="A719" s="37">
        <v>45028</v>
      </c>
      <c r="B719" s="25" t="s">
        <v>3769</v>
      </c>
      <c r="C719" s="26" t="s">
        <v>2997</v>
      </c>
      <c r="D719" s="26" t="s">
        <v>2998</v>
      </c>
      <c r="E719" s="27">
        <v>9241.9599999999991</v>
      </c>
      <c r="F719" s="30">
        <v>124000</v>
      </c>
      <c r="G719" s="27">
        <v>26040</v>
      </c>
      <c r="H719" s="27">
        <v>159281.96</v>
      </c>
      <c r="I719" s="28" t="s">
        <v>19</v>
      </c>
      <c r="J719" s="43"/>
    </row>
    <row r="720" spans="1:10" customFormat="1" ht="15" hidden="1" customHeight="1" x14ac:dyDescent="0.25">
      <c r="A720" s="37">
        <v>45028</v>
      </c>
      <c r="B720" s="25" t="s">
        <v>3770</v>
      </c>
      <c r="C720" s="26" t="s">
        <v>2997</v>
      </c>
      <c r="D720" s="26" t="s">
        <v>2998</v>
      </c>
      <c r="E720" s="27">
        <v>9241.9599999999991</v>
      </c>
      <c r="F720" s="30">
        <v>124000</v>
      </c>
      <c r="G720" s="27">
        <v>26040</v>
      </c>
      <c r="H720" s="27">
        <v>159281.96</v>
      </c>
      <c r="I720" s="28" t="s">
        <v>19</v>
      </c>
      <c r="J720" s="43"/>
    </row>
    <row r="721" spans="1:10" customFormat="1" ht="15" hidden="1" customHeight="1" x14ac:dyDescent="0.25">
      <c r="A721" s="37">
        <v>45030</v>
      </c>
      <c r="B721" s="25" t="s">
        <v>3771</v>
      </c>
      <c r="C721" s="26" t="s">
        <v>2954</v>
      </c>
      <c r="D721" s="26" t="s">
        <v>2955</v>
      </c>
      <c r="E721" s="27">
        <v>2800</v>
      </c>
      <c r="F721" s="30">
        <v>82000</v>
      </c>
      <c r="G721" s="27">
        <v>17220</v>
      </c>
      <c r="H721" s="27">
        <v>102020</v>
      </c>
      <c r="I721" s="28" t="s">
        <v>19</v>
      </c>
      <c r="J721" s="43"/>
    </row>
    <row r="722" spans="1:10" customFormat="1" ht="15" hidden="1" customHeight="1" x14ac:dyDescent="0.25">
      <c r="A722" s="37">
        <v>45030</v>
      </c>
      <c r="B722" s="25" t="s">
        <v>3772</v>
      </c>
      <c r="C722" s="26" t="s">
        <v>2954</v>
      </c>
      <c r="D722" s="26" t="s">
        <v>2955</v>
      </c>
      <c r="E722" s="27">
        <v>8200</v>
      </c>
      <c r="F722" s="30">
        <v>54000</v>
      </c>
      <c r="G722" s="27">
        <v>11340</v>
      </c>
      <c r="H722" s="27">
        <v>73540</v>
      </c>
      <c r="I722" s="28" t="s">
        <v>19</v>
      </c>
      <c r="J722" s="43"/>
    </row>
    <row r="723" spans="1:10" customFormat="1" ht="15" hidden="1" customHeight="1" x14ac:dyDescent="0.25">
      <c r="A723" s="37">
        <v>45030</v>
      </c>
      <c r="B723" s="25" t="s">
        <v>3773</v>
      </c>
      <c r="C723" s="26" t="s">
        <v>3235</v>
      </c>
      <c r="D723" s="26" t="s">
        <v>3236</v>
      </c>
      <c r="E723" s="27">
        <v>19733.86</v>
      </c>
      <c r="F723" s="30">
        <v>162000</v>
      </c>
      <c r="G723" s="27">
        <v>34020</v>
      </c>
      <c r="H723" s="27">
        <v>215753.86</v>
      </c>
      <c r="I723" s="28" t="s">
        <v>19</v>
      </c>
      <c r="J723" s="43"/>
    </row>
    <row r="724" spans="1:10" customFormat="1" ht="15" hidden="1" customHeight="1" x14ac:dyDescent="0.25">
      <c r="A724" s="37">
        <v>45030</v>
      </c>
      <c r="B724" s="25" t="s">
        <v>3774</v>
      </c>
      <c r="C724" s="26" t="s">
        <v>3007</v>
      </c>
      <c r="D724" s="26" t="s">
        <v>3008</v>
      </c>
      <c r="E724" s="27">
        <v>18596.419999999998</v>
      </c>
      <c r="F724" s="30">
        <v>124000</v>
      </c>
      <c r="G724" s="27">
        <v>26040</v>
      </c>
      <c r="H724" s="27">
        <v>168636.42</v>
      </c>
      <c r="I724" s="28" t="s">
        <v>19</v>
      </c>
      <c r="J724" s="43"/>
    </row>
    <row r="725" spans="1:10" customFormat="1" ht="15" hidden="1" customHeight="1" x14ac:dyDescent="0.25">
      <c r="A725" s="37">
        <v>45030</v>
      </c>
      <c r="B725" s="25" t="s">
        <v>3775</v>
      </c>
      <c r="C725" s="26" t="s">
        <v>3067</v>
      </c>
      <c r="D725" s="26" t="s">
        <v>3068</v>
      </c>
      <c r="E725" s="27">
        <v>1895</v>
      </c>
      <c r="F725" s="30">
        <v>82000</v>
      </c>
      <c r="G725" s="27">
        <v>17220</v>
      </c>
      <c r="H725" s="27">
        <v>101115</v>
      </c>
      <c r="I725" s="28" t="s">
        <v>19</v>
      </c>
      <c r="J725" s="43"/>
    </row>
    <row r="726" spans="1:10" customFormat="1" ht="15" hidden="1" customHeight="1" x14ac:dyDescent="0.25">
      <c r="A726" s="57">
        <v>45030</v>
      </c>
      <c r="B726" s="138" t="s">
        <v>3776</v>
      </c>
      <c r="C726" s="139" t="s">
        <v>1140</v>
      </c>
      <c r="D726" s="139" t="s">
        <v>1141</v>
      </c>
      <c r="E726" s="140">
        <v>7893.48</v>
      </c>
      <c r="F726" s="141">
        <v>248000</v>
      </c>
      <c r="G726" s="140">
        <v>52080</v>
      </c>
      <c r="H726" s="140">
        <v>307973.48</v>
      </c>
      <c r="I726" s="59" t="s">
        <v>19</v>
      </c>
      <c r="J726" s="43"/>
    </row>
    <row r="727" spans="1:10" ht="15" hidden="1" customHeight="1" x14ac:dyDescent="0.25">
      <c r="A727" s="127">
        <v>45030</v>
      </c>
      <c r="B727" s="128" t="s">
        <v>3777</v>
      </c>
      <c r="C727" s="128" t="s">
        <v>2895</v>
      </c>
      <c r="D727" s="128" t="s">
        <v>2896</v>
      </c>
      <c r="E727" s="129">
        <v>5766.9299999999903</v>
      </c>
      <c r="F727" s="130">
        <v>54000</v>
      </c>
      <c r="G727" s="129">
        <v>11340</v>
      </c>
      <c r="H727" s="129">
        <v>71106.929999999993</v>
      </c>
      <c r="I727" s="121" t="s">
        <v>19</v>
      </c>
      <c r="J727" s="43"/>
    </row>
    <row r="728" spans="1:10" customFormat="1" ht="15" hidden="1" customHeight="1" x14ac:dyDescent="0.25">
      <c r="A728" s="126">
        <v>45030</v>
      </c>
      <c r="B728" s="154" t="s">
        <v>3778</v>
      </c>
      <c r="C728" s="155" t="s">
        <v>3627</v>
      </c>
      <c r="D728" s="155" t="s">
        <v>3628</v>
      </c>
      <c r="E728" s="156">
        <v>0</v>
      </c>
      <c r="F728" s="157">
        <v>60000</v>
      </c>
      <c r="G728" s="156">
        <v>12600</v>
      </c>
      <c r="H728" s="156">
        <v>72600</v>
      </c>
      <c r="I728" s="55" t="s">
        <v>19</v>
      </c>
      <c r="J728" s="43"/>
    </row>
    <row r="729" spans="1:10" customFormat="1" ht="15" hidden="1" customHeight="1" x14ac:dyDescent="0.25">
      <c r="A729" s="37">
        <v>45030</v>
      </c>
      <c r="B729" s="25" t="s">
        <v>3779</v>
      </c>
      <c r="C729" s="26" t="s">
        <v>2964</v>
      </c>
      <c r="D729" s="26" t="s">
        <v>2965</v>
      </c>
      <c r="E729" s="27">
        <v>0</v>
      </c>
      <c r="F729" s="30">
        <v>60000</v>
      </c>
      <c r="G729" s="27">
        <v>12600</v>
      </c>
      <c r="H729" s="27">
        <v>72600</v>
      </c>
      <c r="I729" s="28" t="s">
        <v>19</v>
      </c>
      <c r="J729" s="43"/>
    </row>
    <row r="730" spans="1:10" customFormat="1" ht="15" hidden="1" customHeight="1" x14ac:dyDescent="0.25">
      <c r="A730" s="37">
        <v>45030</v>
      </c>
      <c r="B730" s="25" t="s">
        <v>3780</v>
      </c>
      <c r="C730" s="26" t="s">
        <v>3007</v>
      </c>
      <c r="D730" s="26" t="s">
        <v>3008</v>
      </c>
      <c r="E730" s="27">
        <v>28170.2</v>
      </c>
      <c r="F730" s="30">
        <v>124000</v>
      </c>
      <c r="G730" s="27">
        <v>26040</v>
      </c>
      <c r="H730" s="27">
        <v>178210.2</v>
      </c>
      <c r="I730" s="28" t="s">
        <v>19</v>
      </c>
      <c r="J730" s="43"/>
    </row>
    <row r="731" spans="1:10" customFormat="1" ht="15" hidden="1" customHeight="1" x14ac:dyDescent="0.25">
      <c r="A731" s="37">
        <v>45030</v>
      </c>
      <c r="B731" s="25" t="s">
        <v>3781</v>
      </c>
      <c r="C731" s="26" t="s">
        <v>2921</v>
      </c>
      <c r="D731" s="26" t="s">
        <v>2922</v>
      </c>
      <c r="E731" s="27">
        <v>8900</v>
      </c>
      <c r="F731" s="30">
        <v>73200</v>
      </c>
      <c r="G731" s="27">
        <v>15372</v>
      </c>
      <c r="H731" s="27">
        <v>97472</v>
      </c>
      <c r="I731" s="28" t="s">
        <v>19</v>
      </c>
      <c r="J731" s="43"/>
    </row>
    <row r="732" spans="1:10" customFormat="1" ht="15" hidden="1" customHeight="1" x14ac:dyDescent="0.25">
      <c r="A732" s="37">
        <v>45030</v>
      </c>
      <c r="B732" s="25" t="s">
        <v>3782</v>
      </c>
      <c r="C732" s="26" t="s">
        <v>3014</v>
      </c>
      <c r="D732" s="26" t="s">
        <v>3015</v>
      </c>
      <c r="E732" s="27">
        <v>6860</v>
      </c>
      <c r="F732" s="30">
        <v>146400</v>
      </c>
      <c r="G732" s="27">
        <v>30744</v>
      </c>
      <c r="H732" s="27">
        <v>184004</v>
      </c>
      <c r="I732" s="28" t="s">
        <v>19</v>
      </c>
      <c r="J732" s="43"/>
    </row>
    <row r="733" spans="1:10" customFormat="1" ht="15" hidden="1" customHeight="1" x14ac:dyDescent="0.25">
      <c r="A733" s="37">
        <v>45030</v>
      </c>
      <c r="B733" s="25" t="s">
        <v>3783</v>
      </c>
      <c r="C733" s="26" t="s">
        <v>3007</v>
      </c>
      <c r="D733" s="26" t="s">
        <v>3008</v>
      </c>
      <c r="E733" s="27">
        <v>10513.62</v>
      </c>
      <c r="F733" s="30">
        <v>82000</v>
      </c>
      <c r="G733" s="27">
        <v>17220</v>
      </c>
      <c r="H733" s="27">
        <v>109733.62</v>
      </c>
      <c r="I733" s="28" t="s">
        <v>19</v>
      </c>
      <c r="J733" s="43"/>
    </row>
    <row r="734" spans="1:10" customFormat="1" ht="15" hidden="1" customHeight="1" x14ac:dyDescent="0.25">
      <c r="A734" s="40">
        <v>45030</v>
      </c>
      <c r="B734" s="47" t="s">
        <v>3784</v>
      </c>
      <c r="C734" s="47" t="s">
        <v>3272</v>
      </c>
      <c r="D734" s="47" t="s">
        <v>3273</v>
      </c>
      <c r="E734" s="48">
        <v>5187</v>
      </c>
      <c r="F734" s="107">
        <v>164000</v>
      </c>
      <c r="G734" s="48">
        <v>34440</v>
      </c>
      <c r="H734" s="48">
        <v>203627</v>
      </c>
      <c r="I734" s="41" t="s">
        <v>19</v>
      </c>
      <c r="J734" s="49"/>
    </row>
    <row r="735" spans="1:10" customFormat="1" ht="15" hidden="1" customHeight="1" x14ac:dyDescent="0.25">
      <c r="A735" s="37">
        <v>45030</v>
      </c>
      <c r="B735" s="25" t="s">
        <v>3785</v>
      </c>
      <c r="C735" s="26" t="s">
        <v>2909</v>
      </c>
      <c r="D735" s="26" t="s">
        <v>2910</v>
      </c>
      <c r="E735" s="27">
        <v>2182</v>
      </c>
      <c r="F735" s="30">
        <v>82000</v>
      </c>
      <c r="G735" s="27">
        <v>17220</v>
      </c>
      <c r="H735" s="27">
        <v>101402</v>
      </c>
      <c r="I735" s="28" t="s">
        <v>19</v>
      </c>
      <c r="J735" s="43"/>
    </row>
    <row r="736" spans="1:10" customFormat="1" ht="15" hidden="1" customHeight="1" x14ac:dyDescent="0.25">
      <c r="A736" s="37">
        <v>45030</v>
      </c>
      <c r="B736" s="25" t="s">
        <v>3786</v>
      </c>
      <c r="C736" s="26" t="s">
        <v>2917</v>
      </c>
      <c r="D736" s="26" t="s">
        <v>2918</v>
      </c>
      <c r="E736" s="27">
        <v>4528.33</v>
      </c>
      <c r="F736" s="30">
        <v>63000</v>
      </c>
      <c r="G736" s="27">
        <v>13230</v>
      </c>
      <c r="H736" s="27">
        <v>80758.33</v>
      </c>
      <c r="I736" s="28" t="s">
        <v>19</v>
      </c>
      <c r="J736" s="43"/>
    </row>
    <row r="737" spans="1:10" customFormat="1" ht="15" hidden="1" customHeight="1" x14ac:dyDescent="0.25">
      <c r="A737" s="37">
        <v>45033</v>
      </c>
      <c r="B737" s="25" t="s">
        <v>3787</v>
      </c>
      <c r="C737" s="26" t="s">
        <v>2856</v>
      </c>
      <c r="D737" s="26" t="s">
        <v>2857</v>
      </c>
      <c r="E737" s="27">
        <v>0</v>
      </c>
      <c r="F737" s="30">
        <v>22000</v>
      </c>
      <c r="G737" s="27">
        <v>4620</v>
      </c>
      <c r="H737" s="27">
        <v>26620</v>
      </c>
      <c r="I737" s="28" t="s">
        <v>19</v>
      </c>
      <c r="J737" s="43"/>
    </row>
    <row r="738" spans="1:10" customFormat="1" ht="15" hidden="1" customHeight="1" x14ac:dyDescent="0.25">
      <c r="A738" s="37">
        <v>45033</v>
      </c>
      <c r="B738" s="25" t="s">
        <v>3788</v>
      </c>
      <c r="C738" s="26" t="s">
        <v>2912</v>
      </c>
      <c r="D738" s="26" t="s">
        <v>2913</v>
      </c>
      <c r="E738" s="27">
        <v>6900.62</v>
      </c>
      <c r="F738" s="30">
        <v>162000</v>
      </c>
      <c r="G738" s="27">
        <v>34020</v>
      </c>
      <c r="H738" s="27">
        <v>202920.62</v>
      </c>
      <c r="I738" s="28" t="s">
        <v>19</v>
      </c>
      <c r="J738" s="43"/>
    </row>
    <row r="739" spans="1:10" customFormat="1" ht="15" hidden="1" customHeight="1" x14ac:dyDescent="0.25">
      <c r="A739" s="37">
        <v>45033</v>
      </c>
      <c r="B739" s="25" t="s">
        <v>3789</v>
      </c>
      <c r="C739" s="26" t="s">
        <v>2856</v>
      </c>
      <c r="D739" s="26" t="s">
        <v>2857</v>
      </c>
      <c r="E739" s="27">
        <v>0</v>
      </c>
      <c r="F739" s="30">
        <v>22000</v>
      </c>
      <c r="G739" s="27">
        <v>4620</v>
      </c>
      <c r="H739" s="27">
        <v>26620</v>
      </c>
      <c r="I739" s="28" t="s">
        <v>19</v>
      </c>
      <c r="J739" s="43"/>
    </row>
    <row r="740" spans="1:10" customFormat="1" ht="15" hidden="1" customHeight="1" x14ac:dyDescent="0.25">
      <c r="A740" s="37">
        <v>45033</v>
      </c>
      <c r="B740" s="25" t="s">
        <v>3790</v>
      </c>
      <c r="C740" s="26" t="s">
        <v>3140</v>
      </c>
      <c r="D740" s="26" t="s">
        <v>3141</v>
      </c>
      <c r="E740" s="27">
        <v>0</v>
      </c>
      <c r="F740" s="30">
        <v>46748</v>
      </c>
      <c r="G740" s="27">
        <v>9817.08</v>
      </c>
      <c r="H740" s="27">
        <v>56565.08</v>
      </c>
      <c r="I740" s="28" t="s">
        <v>19</v>
      </c>
      <c r="J740" s="43"/>
    </row>
    <row r="741" spans="1:10" customFormat="1" ht="15" hidden="1" customHeight="1" x14ac:dyDescent="0.25">
      <c r="A741" s="37">
        <v>45033</v>
      </c>
      <c r="B741" s="25" t="s">
        <v>3791</v>
      </c>
      <c r="C741" s="26" t="s">
        <v>3140</v>
      </c>
      <c r="D741" s="26" t="s">
        <v>3141</v>
      </c>
      <c r="E741" s="27">
        <v>0</v>
      </c>
      <c r="F741" s="30">
        <v>42224</v>
      </c>
      <c r="G741" s="27">
        <v>8867.0400000000009</v>
      </c>
      <c r="H741" s="27">
        <v>51091.040000000001</v>
      </c>
      <c r="I741" s="28" t="s">
        <v>19</v>
      </c>
      <c r="J741" s="43"/>
    </row>
    <row r="742" spans="1:10" customFormat="1" ht="15" hidden="1" customHeight="1" x14ac:dyDescent="0.25">
      <c r="A742" s="37">
        <v>45033</v>
      </c>
      <c r="B742" s="25" t="s">
        <v>3792</v>
      </c>
      <c r="C742" s="26" t="s">
        <v>3346</v>
      </c>
      <c r="D742" s="26" t="s">
        <v>3347</v>
      </c>
      <c r="E742" s="27">
        <v>0</v>
      </c>
      <c r="F742" s="30">
        <v>1316011.94</v>
      </c>
      <c r="G742" s="27">
        <v>276362.51</v>
      </c>
      <c r="H742" s="27">
        <v>1592374.45</v>
      </c>
      <c r="I742" s="28" t="s">
        <v>19</v>
      </c>
      <c r="J742" s="43"/>
    </row>
    <row r="743" spans="1:10" customFormat="1" ht="15" hidden="1" customHeight="1" x14ac:dyDescent="0.25">
      <c r="A743" s="37">
        <v>45033</v>
      </c>
      <c r="B743" s="25" t="s">
        <v>3793</v>
      </c>
      <c r="C743" s="26" t="s">
        <v>3346</v>
      </c>
      <c r="D743" s="26" t="s">
        <v>3347</v>
      </c>
      <c r="E743" s="27">
        <v>0</v>
      </c>
      <c r="F743" s="30">
        <v>542296</v>
      </c>
      <c r="G743" s="27">
        <v>113882.16</v>
      </c>
      <c r="H743" s="27">
        <v>656178.16</v>
      </c>
      <c r="I743" s="28" t="s">
        <v>19</v>
      </c>
      <c r="J743" s="43"/>
    </row>
    <row r="744" spans="1:10" customFormat="1" ht="15" hidden="1" customHeight="1" x14ac:dyDescent="0.25">
      <c r="A744" s="37">
        <v>45034</v>
      </c>
      <c r="B744" s="25" t="s">
        <v>3794</v>
      </c>
      <c r="C744" s="26" t="s">
        <v>3703</v>
      </c>
      <c r="D744" s="26" t="s">
        <v>3704</v>
      </c>
      <c r="E744" s="27">
        <v>4500</v>
      </c>
      <c r="F744" s="30">
        <v>54000</v>
      </c>
      <c r="G744" s="27">
        <v>11340</v>
      </c>
      <c r="H744" s="27">
        <v>69840</v>
      </c>
      <c r="I744" s="28" t="s">
        <v>19</v>
      </c>
      <c r="J744" s="43"/>
    </row>
    <row r="745" spans="1:10" customFormat="1" ht="15" hidden="1" customHeight="1" x14ac:dyDescent="0.25">
      <c r="A745" s="37">
        <v>45034</v>
      </c>
      <c r="B745" s="25" t="s">
        <v>3795</v>
      </c>
      <c r="C745" s="26" t="s">
        <v>3235</v>
      </c>
      <c r="D745" s="26" t="s">
        <v>3236</v>
      </c>
      <c r="E745" s="27">
        <v>33600</v>
      </c>
      <c r="F745" s="30">
        <v>270000</v>
      </c>
      <c r="G745" s="27">
        <v>56700</v>
      </c>
      <c r="H745" s="27">
        <v>360300</v>
      </c>
      <c r="I745" s="28" t="s">
        <v>19</v>
      </c>
      <c r="J745" s="43"/>
    </row>
    <row r="746" spans="1:10" customFormat="1" ht="15" hidden="1" customHeight="1" x14ac:dyDescent="0.25">
      <c r="A746" s="37">
        <v>45034</v>
      </c>
      <c r="B746" s="25" t="s">
        <v>3796</v>
      </c>
      <c r="C746" s="26" t="s">
        <v>3241</v>
      </c>
      <c r="D746" s="26" t="s">
        <v>3242</v>
      </c>
      <c r="E746" s="27">
        <v>7496</v>
      </c>
      <c r="F746" s="30">
        <v>201500</v>
      </c>
      <c r="G746" s="27">
        <v>42315</v>
      </c>
      <c r="H746" s="27">
        <v>251311</v>
      </c>
      <c r="I746" s="28" t="s">
        <v>19</v>
      </c>
      <c r="J746" s="43"/>
    </row>
    <row r="747" spans="1:10" customFormat="1" ht="15" hidden="1" customHeight="1" x14ac:dyDescent="0.25">
      <c r="A747" s="37">
        <v>45034</v>
      </c>
      <c r="B747" s="25" t="s">
        <v>3797</v>
      </c>
      <c r="C747" s="26" t="s">
        <v>3562</v>
      </c>
      <c r="D747" s="26" t="s">
        <v>3563</v>
      </c>
      <c r="E747" s="27">
        <v>5520</v>
      </c>
      <c r="F747" s="30">
        <v>54000</v>
      </c>
      <c r="G747" s="27">
        <v>11340</v>
      </c>
      <c r="H747" s="27">
        <v>70860</v>
      </c>
      <c r="I747" s="28" t="s">
        <v>19</v>
      </c>
      <c r="J747" s="43"/>
    </row>
    <row r="748" spans="1:10" customFormat="1" ht="15" hidden="1" customHeight="1" x14ac:dyDescent="0.25">
      <c r="A748" s="37">
        <v>45034</v>
      </c>
      <c r="B748" s="25" t="s">
        <v>3798</v>
      </c>
      <c r="C748" s="26" t="s">
        <v>3235</v>
      </c>
      <c r="D748" s="26" t="s">
        <v>3236</v>
      </c>
      <c r="E748" s="27">
        <v>11040</v>
      </c>
      <c r="F748" s="30">
        <v>108000</v>
      </c>
      <c r="G748" s="27">
        <v>22680</v>
      </c>
      <c r="H748" s="27">
        <v>141720</v>
      </c>
      <c r="I748" s="28" t="s">
        <v>19</v>
      </c>
      <c r="J748" s="43"/>
    </row>
    <row r="749" spans="1:10" customFormat="1" ht="15" hidden="1" customHeight="1" x14ac:dyDescent="0.25">
      <c r="A749" s="37">
        <v>45034</v>
      </c>
      <c r="B749" s="25" t="s">
        <v>3799</v>
      </c>
      <c r="C749" s="26" t="s">
        <v>3235</v>
      </c>
      <c r="D749" s="26" t="s">
        <v>3236</v>
      </c>
      <c r="E749" s="27">
        <v>79800</v>
      </c>
      <c r="F749" s="30">
        <v>738000</v>
      </c>
      <c r="G749" s="27">
        <v>154980</v>
      </c>
      <c r="H749" s="27">
        <v>972780</v>
      </c>
      <c r="I749" s="28" t="s">
        <v>19</v>
      </c>
      <c r="J749" s="43"/>
    </row>
    <row r="750" spans="1:10" customFormat="1" ht="15" hidden="1" customHeight="1" x14ac:dyDescent="0.25">
      <c r="A750" s="37">
        <v>45034</v>
      </c>
      <c r="B750" s="25" t="s">
        <v>3800</v>
      </c>
      <c r="C750" s="26" t="s">
        <v>3235</v>
      </c>
      <c r="D750" s="26" t="s">
        <v>3236</v>
      </c>
      <c r="E750" s="27">
        <v>21407.48</v>
      </c>
      <c r="F750" s="30">
        <v>328000</v>
      </c>
      <c r="G750" s="27">
        <v>68880</v>
      </c>
      <c r="H750" s="27">
        <v>418287.48</v>
      </c>
      <c r="I750" s="28" t="s">
        <v>19</v>
      </c>
      <c r="J750" s="43"/>
    </row>
    <row r="751" spans="1:10" customFormat="1" ht="15" hidden="1" customHeight="1" x14ac:dyDescent="0.25">
      <c r="A751" s="37">
        <v>45034</v>
      </c>
      <c r="B751" s="25" t="s">
        <v>3801</v>
      </c>
      <c r="C751" s="26" t="s">
        <v>2909</v>
      </c>
      <c r="D751" s="26" t="s">
        <v>2910</v>
      </c>
      <c r="E751" s="27">
        <v>3134</v>
      </c>
      <c r="F751" s="30">
        <v>164000</v>
      </c>
      <c r="G751" s="27">
        <v>34440</v>
      </c>
      <c r="H751" s="27">
        <v>201574</v>
      </c>
      <c r="I751" s="28" t="s">
        <v>19</v>
      </c>
      <c r="J751" s="43"/>
    </row>
    <row r="752" spans="1:10" customFormat="1" ht="15" hidden="1" customHeight="1" x14ac:dyDescent="0.25">
      <c r="A752" s="37">
        <v>45034</v>
      </c>
      <c r="B752" s="25" t="s">
        <v>3802</v>
      </c>
      <c r="C752" s="26" t="s">
        <v>3235</v>
      </c>
      <c r="D752" s="26" t="s">
        <v>3236</v>
      </c>
      <c r="E752" s="27">
        <v>16400</v>
      </c>
      <c r="F752" s="30">
        <v>108000</v>
      </c>
      <c r="G752" s="27">
        <v>22680</v>
      </c>
      <c r="H752" s="27">
        <v>147080</v>
      </c>
      <c r="I752" s="28" t="s">
        <v>19</v>
      </c>
      <c r="J752" s="43"/>
    </row>
    <row r="753" spans="1:10" customFormat="1" ht="15" hidden="1" customHeight="1" x14ac:dyDescent="0.25">
      <c r="A753" s="37">
        <v>45034</v>
      </c>
      <c r="B753" s="25" t="s">
        <v>3803</v>
      </c>
      <c r="C753" s="26" t="s">
        <v>3562</v>
      </c>
      <c r="D753" s="26" t="s">
        <v>3563</v>
      </c>
      <c r="E753" s="27">
        <v>16253.62</v>
      </c>
      <c r="F753" s="30">
        <v>108000</v>
      </c>
      <c r="G753" s="27">
        <v>22680</v>
      </c>
      <c r="H753" s="27">
        <v>146933.62</v>
      </c>
      <c r="I753" s="28" t="s">
        <v>19</v>
      </c>
      <c r="J753" s="43"/>
    </row>
    <row r="754" spans="1:10" customFormat="1" ht="15" hidden="1" customHeight="1" x14ac:dyDescent="0.25">
      <c r="A754" s="37">
        <v>45034</v>
      </c>
      <c r="B754" s="25" t="s">
        <v>3804</v>
      </c>
      <c r="C754" s="26" t="s">
        <v>2927</v>
      </c>
      <c r="D754" s="26" t="s">
        <v>2928</v>
      </c>
      <c r="E754" s="27">
        <v>3430</v>
      </c>
      <c r="F754" s="30">
        <v>77400</v>
      </c>
      <c r="G754" s="27">
        <v>16254</v>
      </c>
      <c r="H754" s="27">
        <v>97084</v>
      </c>
      <c r="I754" s="28" t="s">
        <v>19</v>
      </c>
      <c r="J754" s="43"/>
    </row>
    <row r="755" spans="1:10" customFormat="1" ht="15" hidden="1" customHeight="1" x14ac:dyDescent="0.25">
      <c r="A755" s="37">
        <v>45034</v>
      </c>
      <c r="B755" s="25" t="s">
        <v>3805</v>
      </c>
      <c r="C755" s="26" t="s">
        <v>2921</v>
      </c>
      <c r="D755" s="26" t="s">
        <v>2922</v>
      </c>
      <c r="E755" s="27">
        <v>12767.24</v>
      </c>
      <c r="F755" s="30">
        <v>108000</v>
      </c>
      <c r="G755" s="27">
        <v>22680</v>
      </c>
      <c r="H755" s="27">
        <v>143447.24</v>
      </c>
      <c r="I755" s="28" t="s">
        <v>19</v>
      </c>
      <c r="J755" s="43"/>
    </row>
    <row r="756" spans="1:10" customFormat="1" ht="15" hidden="1" customHeight="1" x14ac:dyDescent="0.25">
      <c r="A756" s="37">
        <v>45034</v>
      </c>
      <c r="B756" s="25" t="s">
        <v>3806</v>
      </c>
      <c r="C756" s="26" t="s">
        <v>3007</v>
      </c>
      <c r="D756" s="26" t="s">
        <v>3008</v>
      </c>
      <c r="E756" s="27">
        <v>8900</v>
      </c>
      <c r="F756" s="30">
        <v>73200</v>
      </c>
      <c r="G756" s="27">
        <v>15372</v>
      </c>
      <c r="H756" s="27">
        <v>97472</v>
      </c>
      <c r="I756" s="28" t="s">
        <v>19</v>
      </c>
      <c r="J756" s="43"/>
    </row>
    <row r="757" spans="1:10" customFormat="1" ht="15" hidden="1" customHeight="1" x14ac:dyDescent="0.25">
      <c r="A757" s="37">
        <v>45036</v>
      </c>
      <c r="B757" s="25" t="s">
        <v>3807</v>
      </c>
      <c r="C757" s="26" t="s">
        <v>2921</v>
      </c>
      <c r="D757" s="26" t="s">
        <v>2922</v>
      </c>
      <c r="E757" s="27">
        <v>6383.62</v>
      </c>
      <c r="F757" s="30">
        <v>54000</v>
      </c>
      <c r="G757" s="27">
        <v>11340</v>
      </c>
      <c r="H757" s="27">
        <v>71723.62</v>
      </c>
      <c r="I757" s="28" t="s">
        <v>19</v>
      </c>
      <c r="J757" s="43"/>
    </row>
    <row r="758" spans="1:10" customFormat="1" ht="15" hidden="1" customHeight="1" x14ac:dyDescent="0.25">
      <c r="A758" s="37">
        <v>45036</v>
      </c>
      <c r="B758" s="25" t="s">
        <v>3808</v>
      </c>
      <c r="C758" s="26" t="s">
        <v>3539</v>
      </c>
      <c r="D758" s="26" t="s">
        <v>3540</v>
      </c>
      <c r="E758" s="27">
        <v>11800.48</v>
      </c>
      <c r="F758" s="30">
        <v>413000</v>
      </c>
      <c r="G758" s="27">
        <v>86730</v>
      </c>
      <c r="H758" s="27">
        <v>511530.48</v>
      </c>
      <c r="I758" s="28" t="s">
        <v>19</v>
      </c>
      <c r="J758" s="43"/>
    </row>
    <row r="759" spans="1:10" customFormat="1" ht="15" hidden="1" customHeight="1" x14ac:dyDescent="0.25">
      <c r="A759" s="37">
        <v>45036</v>
      </c>
      <c r="B759" s="25" t="s">
        <v>3809</v>
      </c>
      <c r="C759" s="26" t="s">
        <v>3241</v>
      </c>
      <c r="D759" s="26" t="s">
        <v>3242</v>
      </c>
      <c r="E759" s="27">
        <v>5270.32</v>
      </c>
      <c r="F759" s="30">
        <v>108000</v>
      </c>
      <c r="G759" s="27">
        <v>22680</v>
      </c>
      <c r="H759" s="27">
        <v>135950.32</v>
      </c>
      <c r="I759" s="28" t="s">
        <v>19</v>
      </c>
      <c r="J759" s="43"/>
    </row>
    <row r="760" spans="1:10" customFormat="1" ht="15" hidden="1" customHeight="1" x14ac:dyDescent="0.25">
      <c r="A760" s="37">
        <v>45036</v>
      </c>
      <c r="B760" s="25" t="s">
        <v>3810</v>
      </c>
      <c r="C760" s="26" t="s">
        <v>2912</v>
      </c>
      <c r="D760" s="26" t="s">
        <v>2913</v>
      </c>
      <c r="E760" s="27">
        <v>6400</v>
      </c>
      <c r="F760" s="30">
        <v>216000</v>
      </c>
      <c r="G760" s="27">
        <v>45360</v>
      </c>
      <c r="H760" s="27">
        <v>267760</v>
      </c>
      <c r="I760" s="28" t="s">
        <v>19</v>
      </c>
      <c r="J760" s="43"/>
    </row>
    <row r="761" spans="1:10" customFormat="1" ht="15" hidden="1" customHeight="1" x14ac:dyDescent="0.25">
      <c r="A761" s="37">
        <v>45036</v>
      </c>
      <c r="B761" s="25" t="s">
        <v>3811</v>
      </c>
      <c r="C761" s="26" t="s">
        <v>3235</v>
      </c>
      <c r="D761" s="26" t="s">
        <v>3236</v>
      </c>
      <c r="E761" s="27">
        <v>24800</v>
      </c>
      <c r="F761" s="30">
        <v>164000</v>
      </c>
      <c r="G761" s="27">
        <v>34440</v>
      </c>
      <c r="H761" s="27">
        <v>223240</v>
      </c>
      <c r="I761" s="28" t="s">
        <v>19</v>
      </c>
      <c r="J761" s="43"/>
    </row>
    <row r="762" spans="1:10" customFormat="1" ht="15" hidden="1" customHeight="1" x14ac:dyDescent="0.25">
      <c r="A762" s="37">
        <v>45036</v>
      </c>
      <c r="B762" s="25" t="s">
        <v>3812</v>
      </c>
      <c r="C762" s="26" t="s">
        <v>3007</v>
      </c>
      <c r="D762" s="26" t="s">
        <v>3008</v>
      </c>
      <c r="E762" s="27">
        <v>8900</v>
      </c>
      <c r="F762" s="30">
        <v>73200</v>
      </c>
      <c r="G762" s="27">
        <v>15372</v>
      </c>
      <c r="H762" s="27">
        <v>97472</v>
      </c>
      <c r="I762" s="28" t="s">
        <v>19</v>
      </c>
      <c r="J762" s="43"/>
    </row>
    <row r="763" spans="1:10" customFormat="1" ht="15" hidden="1" customHeight="1" x14ac:dyDescent="0.25">
      <c r="A763" s="37">
        <v>45036</v>
      </c>
      <c r="B763" s="25" t="s">
        <v>3813</v>
      </c>
      <c r="C763" s="26" t="s">
        <v>2867</v>
      </c>
      <c r="D763" s="26" t="s">
        <v>2868</v>
      </c>
      <c r="E763" s="27">
        <v>10700</v>
      </c>
      <c r="F763" s="30">
        <v>124000</v>
      </c>
      <c r="G763" s="27">
        <v>26040</v>
      </c>
      <c r="H763" s="27">
        <v>160740</v>
      </c>
      <c r="I763" s="28" t="s">
        <v>19</v>
      </c>
      <c r="J763" s="43"/>
    </row>
    <row r="764" spans="1:10" customFormat="1" ht="15" hidden="1" customHeight="1" x14ac:dyDescent="0.25">
      <c r="A764" s="37">
        <v>45036</v>
      </c>
      <c r="B764" s="25" t="s">
        <v>3814</v>
      </c>
      <c r="C764" s="26" t="s">
        <v>2883</v>
      </c>
      <c r="D764" s="26" t="s">
        <v>2884</v>
      </c>
      <c r="E764" s="27">
        <v>12300</v>
      </c>
      <c r="F764" s="30">
        <v>372000</v>
      </c>
      <c r="G764" s="27">
        <v>78120</v>
      </c>
      <c r="H764" s="27">
        <v>462420</v>
      </c>
      <c r="I764" s="28" t="s">
        <v>19</v>
      </c>
      <c r="J764" s="43"/>
    </row>
    <row r="765" spans="1:10" customFormat="1" ht="15" hidden="1" customHeight="1" x14ac:dyDescent="0.25">
      <c r="A765" s="37">
        <v>45036</v>
      </c>
      <c r="B765" s="25" t="s">
        <v>3815</v>
      </c>
      <c r="C765" s="26" t="s">
        <v>3083</v>
      </c>
      <c r="D765" s="26" t="s">
        <v>3084</v>
      </c>
      <c r="E765" s="27">
        <v>0</v>
      </c>
      <c r="F765" s="30">
        <v>33000</v>
      </c>
      <c r="G765" s="27">
        <v>6930</v>
      </c>
      <c r="H765" s="27">
        <v>39930</v>
      </c>
      <c r="I765" s="28" t="s">
        <v>19</v>
      </c>
      <c r="J765" s="43"/>
    </row>
    <row r="766" spans="1:10" customFormat="1" ht="15" hidden="1" customHeight="1" x14ac:dyDescent="0.25">
      <c r="A766" s="37">
        <v>45036</v>
      </c>
      <c r="B766" s="25" t="s">
        <v>3816</v>
      </c>
      <c r="C766" s="26" t="s">
        <v>2921</v>
      </c>
      <c r="D766" s="26" t="s">
        <v>2922</v>
      </c>
      <c r="E766" s="27">
        <v>10290</v>
      </c>
      <c r="F766" s="30">
        <v>232200</v>
      </c>
      <c r="G766" s="27">
        <v>48762</v>
      </c>
      <c r="H766" s="27">
        <v>291252</v>
      </c>
      <c r="I766" s="28" t="s">
        <v>19</v>
      </c>
      <c r="J766" s="43"/>
    </row>
    <row r="767" spans="1:10" customFormat="1" ht="15" hidden="1" customHeight="1" x14ac:dyDescent="0.25">
      <c r="A767" s="37">
        <v>45036</v>
      </c>
      <c r="B767" s="25" t="s">
        <v>3817</v>
      </c>
      <c r="C767" s="26" t="s">
        <v>2924</v>
      </c>
      <c r="D767" s="26" t="s">
        <v>2925</v>
      </c>
      <c r="E767" s="27">
        <v>1362</v>
      </c>
      <c r="F767" s="30">
        <v>54000</v>
      </c>
      <c r="G767" s="27">
        <v>11340</v>
      </c>
      <c r="H767" s="27">
        <v>66702</v>
      </c>
      <c r="I767" s="28" t="s">
        <v>19</v>
      </c>
      <c r="J767" s="43"/>
    </row>
    <row r="768" spans="1:10" customFormat="1" ht="15" hidden="1" customHeight="1" x14ac:dyDescent="0.25">
      <c r="A768" s="37">
        <v>45036</v>
      </c>
      <c r="B768" s="25" t="s">
        <v>3818</v>
      </c>
      <c r="C768" s="26" t="s">
        <v>3703</v>
      </c>
      <c r="D768" s="26" t="s">
        <v>3704</v>
      </c>
      <c r="E768" s="27">
        <v>1605</v>
      </c>
      <c r="F768" s="30">
        <v>93000</v>
      </c>
      <c r="G768" s="27">
        <v>19530</v>
      </c>
      <c r="H768" s="27">
        <v>114135</v>
      </c>
      <c r="I768" s="28" t="s">
        <v>19</v>
      </c>
      <c r="J768" s="43"/>
    </row>
    <row r="769" spans="1:10" customFormat="1" ht="15" hidden="1" customHeight="1" x14ac:dyDescent="0.25">
      <c r="A769" s="37">
        <v>45036</v>
      </c>
      <c r="B769" s="25" t="s">
        <v>3819</v>
      </c>
      <c r="C769" s="26" t="s">
        <v>3559</v>
      </c>
      <c r="D769" s="26" t="s">
        <v>3560</v>
      </c>
      <c r="E769" s="27">
        <v>13000</v>
      </c>
      <c r="F769" s="30">
        <v>164000</v>
      </c>
      <c r="G769" s="27">
        <v>34440</v>
      </c>
      <c r="H769" s="27">
        <v>211440</v>
      </c>
      <c r="I769" s="28" t="s">
        <v>19</v>
      </c>
      <c r="J769" s="43"/>
    </row>
    <row r="770" spans="1:10" customFormat="1" ht="15" hidden="1" customHeight="1" x14ac:dyDescent="0.25">
      <c r="A770" s="37">
        <v>45036</v>
      </c>
      <c r="B770" s="25" t="s">
        <v>3820</v>
      </c>
      <c r="C770" s="26" t="s">
        <v>3235</v>
      </c>
      <c r="D770" s="26" t="s">
        <v>3236</v>
      </c>
      <c r="E770" s="27">
        <v>7610</v>
      </c>
      <c r="F770" s="30">
        <v>164000</v>
      </c>
      <c r="G770" s="27">
        <v>34440</v>
      </c>
      <c r="H770" s="27">
        <v>206050</v>
      </c>
      <c r="I770" s="28" t="s">
        <v>19</v>
      </c>
      <c r="J770" s="43"/>
    </row>
    <row r="771" spans="1:10" customFormat="1" ht="15" hidden="1" customHeight="1" x14ac:dyDescent="0.25">
      <c r="A771" s="37">
        <v>45036</v>
      </c>
      <c r="B771" s="25" t="s">
        <v>3821</v>
      </c>
      <c r="C771" s="26" t="s">
        <v>3235</v>
      </c>
      <c r="D771" s="26" t="s">
        <v>3236</v>
      </c>
      <c r="E771" s="27">
        <v>7980</v>
      </c>
      <c r="F771" s="30">
        <v>90000</v>
      </c>
      <c r="G771" s="27">
        <v>18900</v>
      </c>
      <c r="H771" s="27">
        <v>116880</v>
      </c>
      <c r="I771" s="28" t="s">
        <v>19</v>
      </c>
      <c r="J771" s="43"/>
    </row>
    <row r="772" spans="1:10" customFormat="1" ht="15" hidden="1" customHeight="1" x14ac:dyDescent="0.25">
      <c r="A772" s="37">
        <v>45036</v>
      </c>
      <c r="B772" s="25" t="s">
        <v>3822</v>
      </c>
      <c r="C772" s="26" t="s">
        <v>2870</v>
      </c>
      <c r="D772" s="26" t="s">
        <v>2871</v>
      </c>
      <c r="E772" s="27">
        <v>8200</v>
      </c>
      <c r="F772" s="30">
        <v>54000</v>
      </c>
      <c r="G772" s="27">
        <v>11340</v>
      </c>
      <c r="H772" s="27">
        <v>73540</v>
      </c>
      <c r="I772" s="28" t="s">
        <v>19</v>
      </c>
      <c r="J772" s="43"/>
    </row>
    <row r="773" spans="1:10" customFormat="1" ht="15" hidden="1" customHeight="1" x14ac:dyDescent="0.25">
      <c r="A773" s="37">
        <v>45036</v>
      </c>
      <c r="B773" s="25" t="s">
        <v>3823</v>
      </c>
      <c r="C773" s="26" t="s">
        <v>2921</v>
      </c>
      <c r="D773" s="26" t="s">
        <v>2922</v>
      </c>
      <c r="E773" s="27">
        <v>24600</v>
      </c>
      <c r="F773" s="30">
        <v>202500</v>
      </c>
      <c r="G773" s="27">
        <v>42525</v>
      </c>
      <c r="H773" s="27">
        <v>269625</v>
      </c>
      <c r="I773" s="28" t="s">
        <v>19</v>
      </c>
      <c r="J773" s="43"/>
    </row>
    <row r="774" spans="1:10" customFormat="1" ht="15" hidden="1" customHeight="1" x14ac:dyDescent="0.25">
      <c r="A774" s="37">
        <v>45036</v>
      </c>
      <c r="B774" s="25" t="s">
        <v>3824</v>
      </c>
      <c r="C774" s="26" t="s">
        <v>2921</v>
      </c>
      <c r="D774" s="26" t="s">
        <v>2922</v>
      </c>
      <c r="E774" s="27">
        <v>16560</v>
      </c>
      <c r="F774" s="30">
        <v>162000</v>
      </c>
      <c r="G774" s="27">
        <v>34020</v>
      </c>
      <c r="H774" s="27">
        <v>212580</v>
      </c>
      <c r="I774" s="28" t="s">
        <v>19</v>
      </c>
      <c r="J774" s="43"/>
    </row>
    <row r="775" spans="1:10" customFormat="1" ht="15" hidden="1" customHeight="1" x14ac:dyDescent="0.25">
      <c r="A775" s="37">
        <v>45036</v>
      </c>
      <c r="B775" s="25" t="s">
        <v>3825</v>
      </c>
      <c r="C775" s="26" t="s">
        <v>2903</v>
      </c>
      <c r="D775" s="26" t="s">
        <v>2904</v>
      </c>
      <c r="E775" s="27">
        <v>5520</v>
      </c>
      <c r="F775" s="30">
        <v>54000</v>
      </c>
      <c r="G775" s="27">
        <v>11340</v>
      </c>
      <c r="H775" s="27">
        <v>70860</v>
      </c>
      <c r="I775" s="28" t="s">
        <v>19</v>
      </c>
      <c r="J775" s="43"/>
    </row>
    <row r="776" spans="1:10" customFormat="1" ht="15" hidden="1" customHeight="1" x14ac:dyDescent="0.25">
      <c r="A776" s="37">
        <v>45036</v>
      </c>
      <c r="B776" s="25" t="s">
        <v>3826</v>
      </c>
      <c r="C776" s="26" t="s">
        <v>2909</v>
      </c>
      <c r="D776" s="26" t="s">
        <v>2910</v>
      </c>
      <c r="E776" s="27">
        <v>5520</v>
      </c>
      <c r="F776" s="30">
        <v>81000</v>
      </c>
      <c r="G776" s="27">
        <v>17010</v>
      </c>
      <c r="H776" s="27">
        <v>103530</v>
      </c>
      <c r="I776" s="28" t="s">
        <v>19</v>
      </c>
      <c r="J776" s="43"/>
    </row>
    <row r="777" spans="1:10" customFormat="1" ht="15" hidden="1" customHeight="1" x14ac:dyDescent="0.25">
      <c r="A777" s="37">
        <v>45036</v>
      </c>
      <c r="B777" s="25" t="s">
        <v>3827</v>
      </c>
      <c r="C777" s="26" t="s">
        <v>3235</v>
      </c>
      <c r="D777" s="26" t="s">
        <v>3236</v>
      </c>
      <c r="E777" s="27">
        <v>34400</v>
      </c>
      <c r="F777" s="30">
        <v>328000</v>
      </c>
      <c r="G777" s="27">
        <v>68880</v>
      </c>
      <c r="H777" s="27">
        <v>431280</v>
      </c>
      <c r="I777" s="28" t="s">
        <v>19</v>
      </c>
      <c r="J777" s="43"/>
    </row>
    <row r="778" spans="1:10" customFormat="1" ht="15" hidden="1" customHeight="1" x14ac:dyDescent="0.25">
      <c r="A778" s="37">
        <v>45036</v>
      </c>
      <c r="B778" s="25" t="s">
        <v>3828</v>
      </c>
      <c r="C778" s="26" t="s">
        <v>2924</v>
      </c>
      <c r="D778" s="26" t="s">
        <v>2925</v>
      </c>
      <c r="E778" s="27">
        <v>1197</v>
      </c>
      <c r="F778" s="30">
        <v>62000</v>
      </c>
      <c r="G778" s="27">
        <v>13020</v>
      </c>
      <c r="H778" s="27">
        <v>76217</v>
      </c>
      <c r="I778" s="28" t="s">
        <v>19</v>
      </c>
      <c r="J778" s="43"/>
    </row>
    <row r="779" spans="1:10" customFormat="1" ht="15" hidden="1" customHeight="1" x14ac:dyDescent="0.25">
      <c r="A779" s="37">
        <v>45036</v>
      </c>
      <c r="B779" s="25" t="s">
        <v>3829</v>
      </c>
      <c r="C779" s="26" t="s">
        <v>2892</v>
      </c>
      <c r="D779" s="26" t="s">
        <v>2893</v>
      </c>
      <c r="E779" s="27">
        <v>3183.22</v>
      </c>
      <c r="F779" s="30">
        <v>42000</v>
      </c>
      <c r="G779" s="27">
        <v>8820</v>
      </c>
      <c r="H779" s="27">
        <v>54003.22</v>
      </c>
      <c r="I779" s="28" t="s">
        <v>19</v>
      </c>
      <c r="J779" s="43"/>
    </row>
    <row r="780" spans="1:10" customFormat="1" ht="15" hidden="1" customHeight="1" x14ac:dyDescent="0.25">
      <c r="A780" s="37">
        <v>45036</v>
      </c>
      <c r="B780" s="25" t="s">
        <v>3830</v>
      </c>
      <c r="C780" s="26" t="s">
        <v>3831</v>
      </c>
      <c r="D780" s="26" t="s">
        <v>3832</v>
      </c>
      <c r="E780" s="27">
        <v>8200</v>
      </c>
      <c r="F780" s="30">
        <v>54000</v>
      </c>
      <c r="G780" s="27">
        <v>11340</v>
      </c>
      <c r="H780" s="27">
        <v>73540</v>
      </c>
      <c r="I780" s="28" t="s">
        <v>19</v>
      </c>
      <c r="J780" s="43"/>
    </row>
    <row r="781" spans="1:10" customFormat="1" ht="15" hidden="1" customHeight="1" x14ac:dyDescent="0.25">
      <c r="A781" s="37">
        <v>45036</v>
      </c>
      <c r="B781" s="25" t="s">
        <v>3833</v>
      </c>
      <c r="C781" s="26" t="s">
        <v>3834</v>
      </c>
      <c r="D781" s="26" t="s">
        <v>3835</v>
      </c>
      <c r="E781" s="27">
        <v>0</v>
      </c>
      <c r="F781" s="30">
        <v>33000</v>
      </c>
      <c r="G781" s="27">
        <v>6930</v>
      </c>
      <c r="H781" s="27">
        <v>39930</v>
      </c>
      <c r="I781" s="28" t="s">
        <v>19</v>
      </c>
      <c r="J781" s="43"/>
    </row>
    <row r="782" spans="1:10" customFormat="1" ht="15" hidden="1" customHeight="1" x14ac:dyDescent="0.25">
      <c r="A782" s="37">
        <v>45036</v>
      </c>
      <c r="B782" s="25" t="s">
        <v>3836</v>
      </c>
      <c r="C782" s="26" t="s">
        <v>2892</v>
      </c>
      <c r="D782" s="26" t="s">
        <v>2893</v>
      </c>
      <c r="E782" s="27">
        <v>1253.06</v>
      </c>
      <c r="F782" s="30">
        <v>42000</v>
      </c>
      <c r="G782" s="27">
        <v>8820</v>
      </c>
      <c r="H782" s="27">
        <v>52073.06</v>
      </c>
      <c r="I782" s="28" t="s">
        <v>19</v>
      </c>
      <c r="J782" s="43"/>
    </row>
    <row r="783" spans="1:10" customFormat="1" ht="15" hidden="1" customHeight="1" x14ac:dyDescent="0.25">
      <c r="A783" s="37">
        <v>45036</v>
      </c>
      <c r="B783" s="25" t="s">
        <v>3837</v>
      </c>
      <c r="C783" s="26" t="s">
        <v>3235</v>
      </c>
      <c r="D783" s="26" t="s">
        <v>3236</v>
      </c>
      <c r="E783" s="27">
        <v>22000</v>
      </c>
      <c r="F783" s="30">
        <v>164000</v>
      </c>
      <c r="G783" s="27">
        <v>34440</v>
      </c>
      <c r="H783" s="27">
        <v>220440</v>
      </c>
      <c r="I783" s="28" t="s">
        <v>19</v>
      </c>
      <c r="J783" s="43"/>
    </row>
    <row r="784" spans="1:10" customFormat="1" ht="15" hidden="1" customHeight="1" x14ac:dyDescent="0.25">
      <c r="A784" s="37">
        <v>45036</v>
      </c>
      <c r="B784" s="25" t="s">
        <v>3838</v>
      </c>
      <c r="C784" s="26" t="s">
        <v>3562</v>
      </c>
      <c r="D784" s="26" t="s">
        <v>3563</v>
      </c>
      <c r="E784" s="27">
        <v>11000</v>
      </c>
      <c r="F784" s="30">
        <v>82000</v>
      </c>
      <c r="G784" s="27">
        <v>17220</v>
      </c>
      <c r="H784" s="27">
        <v>110220</v>
      </c>
      <c r="I784" s="28" t="s">
        <v>19</v>
      </c>
      <c r="J784" s="43"/>
    </row>
    <row r="785" spans="1:10" customFormat="1" ht="15" hidden="1" customHeight="1" x14ac:dyDescent="0.25">
      <c r="A785" s="37">
        <v>45036</v>
      </c>
      <c r="B785" s="25" t="s">
        <v>3839</v>
      </c>
      <c r="C785" s="26" t="s">
        <v>2856</v>
      </c>
      <c r="D785" s="26" t="s">
        <v>2857</v>
      </c>
      <c r="E785" s="27">
        <v>0</v>
      </c>
      <c r="F785" s="30">
        <v>18000</v>
      </c>
      <c r="G785" s="27">
        <v>3780</v>
      </c>
      <c r="H785" s="27">
        <v>21780</v>
      </c>
      <c r="I785" s="28" t="s">
        <v>19</v>
      </c>
      <c r="J785" s="43"/>
    </row>
    <row r="786" spans="1:10" customFormat="1" ht="15" hidden="1" customHeight="1" x14ac:dyDescent="0.25">
      <c r="A786" s="37">
        <v>45036</v>
      </c>
      <c r="B786" s="25" t="s">
        <v>3840</v>
      </c>
      <c r="C786" s="26" t="s">
        <v>3748</v>
      </c>
      <c r="D786" s="26" t="s">
        <v>3749</v>
      </c>
      <c r="E786" s="27">
        <v>6552.66</v>
      </c>
      <c r="F786" s="30">
        <v>62000</v>
      </c>
      <c r="G786" s="27">
        <v>13020</v>
      </c>
      <c r="H786" s="27">
        <v>81572.66</v>
      </c>
      <c r="I786" s="28" t="s">
        <v>19</v>
      </c>
      <c r="J786" s="43"/>
    </row>
    <row r="787" spans="1:10" customFormat="1" ht="15" hidden="1" customHeight="1" x14ac:dyDescent="0.25">
      <c r="A787" s="37">
        <v>45036</v>
      </c>
      <c r="B787" s="25" t="s">
        <v>3841</v>
      </c>
      <c r="C787" s="26" t="s">
        <v>3346</v>
      </c>
      <c r="D787" s="26" t="s">
        <v>3347</v>
      </c>
      <c r="E787" s="27">
        <v>0</v>
      </c>
      <c r="F787" s="30">
        <v>1286135.94</v>
      </c>
      <c r="G787" s="27">
        <v>270088.55</v>
      </c>
      <c r="H787" s="27">
        <v>1556224.49</v>
      </c>
      <c r="I787" s="28" t="s">
        <v>103</v>
      </c>
      <c r="J787" s="43"/>
    </row>
    <row r="788" spans="1:10" customFormat="1" ht="15" hidden="1" customHeight="1" x14ac:dyDescent="0.25">
      <c r="A788" s="37">
        <v>45040</v>
      </c>
      <c r="B788" s="25" t="s">
        <v>3842</v>
      </c>
      <c r="C788" s="26" t="s">
        <v>1140</v>
      </c>
      <c r="D788" s="26" t="s">
        <v>1141</v>
      </c>
      <c r="E788" s="27">
        <v>0</v>
      </c>
      <c r="F788" s="30">
        <v>33000</v>
      </c>
      <c r="G788" s="27">
        <v>6930</v>
      </c>
      <c r="H788" s="27">
        <v>39930</v>
      </c>
      <c r="I788" s="28" t="s">
        <v>19</v>
      </c>
      <c r="J788" s="43"/>
    </row>
    <row r="789" spans="1:10" customFormat="1" ht="15" hidden="1" customHeight="1" x14ac:dyDescent="0.25">
      <c r="A789" s="37">
        <v>45040</v>
      </c>
      <c r="B789" s="25" t="s">
        <v>3843</v>
      </c>
      <c r="C789" s="26" t="s">
        <v>2924</v>
      </c>
      <c r="D789" s="26" t="s">
        <v>2925</v>
      </c>
      <c r="E789" s="27">
        <v>0</v>
      </c>
      <c r="F789" s="30">
        <v>33000</v>
      </c>
      <c r="G789" s="27">
        <v>6930</v>
      </c>
      <c r="H789" s="27">
        <v>39930</v>
      </c>
      <c r="I789" s="28" t="s">
        <v>19</v>
      </c>
      <c r="J789" s="43"/>
    </row>
    <row r="790" spans="1:10" customFormat="1" ht="15" hidden="1" customHeight="1" x14ac:dyDescent="0.25">
      <c r="A790" s="37">
        <v>45040</v>
      </c>
      <c r="B790" s="25" t="s">
        <v>3844</v>
      </c>
      <c r="C790" s="26" t="s">
        <v>3011</v>
      </c>
      <c r="D790" s="26" t="s">
        <v>3012</v>
      </c>
      <c r="E790" s="27">
        <v>0</v>
      </c>
      <c r="F790" s="30">
        <v>33000</v>
      </c>
      <c r="G790" s="27">
        <v>6930</v>
      </c>
      <c r="H790" s="27">
        <v>39930</v>
      </c>
      <c r="I790" s="28" t="s">
        <v>19</v>
      </c>
      <c r="J790" s="43"/>
    </row>
    <row r="791" spans="1:10" customFormat="1" ht="15" hidden="1" customHeight="1" x14ac:dyDescent="0.25">
      <c r="A791" s="37">
        <v>45040</v>
      </c>
      <c r="B791" s="25" t="s">
        <v>3845</v>
      </c>
      <c r="C791" s="26" t="s">
        <v>2856</v>
      </c>
      <c r="D791" s="26" t="s">
        <v>2857</v>
      </c>
      <c r="E791" s="27">
        <v>0</v>
      </c>
      <c r="F791" s="30">
        <v>33000</v>
      </c>
      <c r="G791" s="27">
        <v>6930</v>
      </c>
      <c r="H791" s="27">
        <v>39930</v>
      </c>
      <c r="I791" s="28" t="s">
        <v>19</v>
      </c>
      <c r="J791" s="43"/>
    </row>
    <row r="792" spans="1:10" customFormat="1" ht="15" hidden="1" customHeight="1" x14ac:dyDescent="0.25">
      <c r="A792" s="37">
        <v>45040</v>
      </c>
      <c r="B792" s="25" t="s">
        <v>3846</v>
      </c>
      <c r="C792" s="26" t="s">
        <v>2870</v>
      </c>
      <c r="D792" s="26" t="s">
        <v>2871</v>
      </c>
      <c r="E792" s="27">
        <v>5520</v>
      </c>
      <c r="F792" s="30">
        <v>54000</v>
      </c>
      <c r="G792" s="27">
        <v>11340</v>
      </c>
      <c r="H792" s="27">
        <v>70860</v>
      </c>
      <c r="I792" s="28" t="s">
        <v>19</v>
      </c>
      <c r="J792" s="43"/>
    </row>
    <row r="793" spans="1:10" customFormat="1" ht="15" hidden="1" customHeight="1" x14ac:dyDescent="0.25">
      <c r="A793" s="37">
        <v>45040</v>
      </c>
      <c r="B793" s="25" t="s">
        <v>3847</v>
      </c>
      <c r="C793" s="26" t="s">
        <v>3235</v>
      </c>
      <c r="D793" s="26" t="s">
        <v>3236</v>
      </c>
      <c r="E793" s="27">
        <v>15960</v>
      </c>
      <c r="F793" s="30">
        <v>186000</v>
      </c>
      <c r="G793" s="27">
        <v>39060</v>
      </c>
      <c r="H793" s="27">
        <v>241020</v>
      </c>
      <c r="I793" s="28" t="s">
        <v>19</v>
      </c>
      <c r="J793" s="43"/>
    </row>
    <row r="794" spans="1:10" customFormat="1" ht="15" hidden="1" customHeight="1" x14ac:dyDescent="0.25">
      <c r="A794" s="37">
        <v>45040</v>
      </c>
      <c r="B794" s="25" t="s">
        <v>3848</v>
      </c>
      <c r="C794" s="26" t="s">
        <v>3235</v>
      </c>
      <c r="D794" s="26" t="s">
        <v>3236</v>
      </c>
      <c r="E794" s="27">
        <v>7610</v>
      </c>
      <c r="F794" s="30">
        <v>164000</v>
      </c>
      <c r="G794" s="27">
        <v>34440</v>
      </c>
      <c r="H794" s="27">
        <v>206050</v>
      </c>
      <c r="I794" s="28" t="s">
        <v>19</v>
      </c>
      <c r="J794" s="43"/>
    </row>
    <row r="795" spans="1:10" customFormat="1" ht="15" hidden="1" customHeight="1" x14ac:dyDescent="0.25">
      <c r="A795" s="37">
        <v>45040</v>
      </c>
      <c r="B795" s="25" t="s">
        <v>3849</v>
      </c>
      <c r="C795" s="26" t="s">
        <v>2954</v>
      </c>
      <c r="D795" s="26" t="s">
        <v>2955</v>
      </c>
      <c r="E795" s="27">
        <v>6748</v>
      </c>
      <c r="F795" s="30">
        <v>123000</v>
      </c>
      <c r="G795" s="27">
        <v>25830</v>
      </c>
      <c r="H795" s="27">
        <v>155578</v>
      </c>
      <c r="I795" s="28" t="s">
        <v>19</v>
      </c>
      <c r="J795" s="43"/>
    </row>
    <row r="796" spans="1:10" customFormat="1" ht="15" hidden="1" customHeight="1" x14ac:dyDescent="0.25">
      <c r="A796" s="37">
        <v>45040</v>
      </c>
      <c r="B796" s="25" t="s">
        <v>3850</v>
      </c>
      <c r="C796" s="26" t="s">
        <v>2921</v>
      </c>
      <c r="D796" s="26" t="s">
        <v>2922</v>
      </c>
      <c r="E796" s="27">
        <v>16560</v>
      </c>
      <c r="F796" s="30">
        <v>243000</v>
      </c>
      <c r="G796" s="27">
        <v>51030</v>
      </c>
      <c r="H796" s="27">
        <v>310590</v>
      </c>
      <c r="I796" s="28" t="s">
        <v>19</v>
      </c>
      <c r="J796" s="43"/>
    </row>
    <row r="797" spans="1:10" customFormat="1" ht="15" hidden="1" customHeight="1" x14ac:dyDescent="0.25">
      <c r="A797" s="37">
        <v>45040</v>
      </c>
      <c r="B797" s="25" t="s">
        <v>3851</v>
      </c>
      <c r="C797" s="26" t="s">
        <v>2883</v>
      </c>
      <c r="D797" s="26" t="s">
        <v>2884</v>
      </c>
      <c r="E797" s="27">
        <v>0</v>
      </c>
      <c r="F797" s="30">
        <v>33000</v>
      </c>
      <c r="G797" s="27">
        <v>6930</v>
      </c>
      <c r="H797" s="27">
        <v>39930</v>
      </c>
      <c r="I797" s="28" t="s">
        <v>19</v>
      </c>
      <c r="J797" s="43"/>
    </row>
    <row r="798" spans="1:10" customFormat="1" ht="15" hidden="1" customHeight="1" x14ac:dyDescent="0.25">
      <c r="A798" s="37">
        <v>45040</v>
      </c>
      <c r="B798" s="25" t="s">
        <v>3852</v>
      </c>
      <c r="C798" s="26" t="s">
        <v>2851</v>
      </c>
      <c r="D798" s="26" t="s">
        <v>2852</v>
      </c>
      <c r="E798" s="27">
        <v>5919.54</v>
      </c>
      <c r="F798" s="30">
        <v>82000</v>
      </c>
      <c r="G798" s="27">
        <v>17220</v>
      </c>
      <c r="H798" s="27">
        <v>105139.54</v>
      </c>
      <c r="I798" s="28" t="s">
        <v>19</v>
      </c>
      <c r="J798" s="43"/>
    </row>
    <row r="799" spans="1:10" customFormat="1" ht="15" hidden="1" customHeight="1" x14ac:dyDescent="0.25">
      <c r="A799" s="37">
        <v>45040</v>
      </c>
      <c r="B799" s="25" t="s">
        <v>3853</v>
      </c>
      <c r="C799" s="26" t="s">
        <v>3854</v>
      </c>
      <c r="D799" s="26" t="s">
        <v>3855</v>
      </c>
      <c r="E799" s="27">
        <v>7288.28</v>
      </c>
      <c r="F799" s="30">
        <v>93000</v>
      </c>
      <c r="G799" s="27">
        <v>19530</v>
      </c>
      <c r="H799" s="27">
        <v>119818.28</v>
      </c>
      <c r="I799" s="28" t="s">
        <v>19</v>
      </c>
      <c r="J799" s="43"/>
    </row>
    <row r="800" spans="1:10" customFormat="1" ht="15" hidden="1" customHeight="1" x14ac:dyDescent="0.25">
      <c r="A800" s="37">
        <v>45040</v>
      </c>
      <c r="B800" s="25" t="s">
        <v>3856</v>
      </c>
      <c r="C800" s="26" t="s">
        <v>3373</v>
      </c>
      <c r="D800" s="26" t="s">
        <v>3374</v>
      </c>
      <c r="E800" s="27">
        <v>7485.48</v>
      </c>
      <c r="F800" s="30">
        <v>81000</v>
      </c>
      <c r="G800" s="27">
        <v>17010</v>
      </c>
      <c r="H800" s="27">
        <v>105495.48</v>
      </c>
      <c r="I800" s="28" t="s">
        <v>19</v>
      </c>
      <c r="J800" s="43"/>
    </row>
    <row r="801" spans="1:10" customFormat="1" ht="15" hidden="1" customHeight="1" x14ac:dyDescent="0.25">
      <c r="A801" s="37">
        <v>45040</v>
      </c>
      <c r="B801" s="25" t="s">
        <v>3857</v>
      </c>
      <c r="C801" s="26" t="s">
        <v>2948</v>
      </c>
      <c r="D801" s="26" t="s">
        <v>2949</v>
      </c>
      <c r="E801" s="27">
        <v>6020.09</v>
      </c>
      <c r="F801" s="30">
        <v>54000</v>
      </c>
      <c r="G801" s="27">
        <v>11340</v>
      </c>
      <c r="H801" s="27">
        <v>71360.09</v>
      </c>
      <c r="I801" s="28" t="s">
        <v>19</v>
      </c>
      <c r="J801" s="43"/>
    </row>
    <row r="802" spans="1:10" customFormat="1" ht="15" hidden="1" customHeight="1" x14ac:dyDescent="0.25">
      <c r="A802" s="37">
        <v>45040</v>
      </c>
      <c r="B802" s="25" t="s">
        <v>3858</v>
      </c>
      <c r="C802" s="26" t="s">
        <v>2851</v>
      </c>
      <c r="D802" s="26" t="s">
        <v>2852</v>
      </c>
      <c r="E802" s="27">
        <v>2597.9699999999998</v>
      </c>
      <c r="F802" s="30">
        <v>63000</v>
      </c>
      <c r="G802" s="27">
        <v>13230</v>
      </c>
      <c r="H802" s="27">
        <v>78827.97</v>
      </c>
      <c r="I802" s="28" t="s">
        <v>19</v>
      </c>
      <c r="J802" s="43"/>
    </row>
    <row r="803" spans="1:10" customFormat="1" ht="15" hidden="1" customHeight="1" x14ac:dyDescent="0.25">
      <c r="A803" s="37">
        <v>45040</v>
      </c>
      <c r="B803" s="25" t="s">
        <v>3859</v>
      </c>
      <c r="C803" s="26" t="s">
        <v>2898</v>
      </c>
      <c r="D803" s="26" t="s">
        <v>2899</v>
      </c>
      <c r="E803" s="27">
        <v>5994</v>
      </c>
      <c r="F803" s="30">
        <v>413000</v>
      </c>
      <c r="G803" s="27">
        <v>86730</v>
      </c>
      <c r="H803" s="27">
        <v>505724</v>
      </c>
      <c r="I803" s="28" t="s">
        <v>19</v>
      </c>
      <c r="J803" s="43"/>
    </row>
    <row r="804" spans="1:10" customFormat="1" ht="15" hidden="1" customHeight="1" x14ac:dyDescent="0.25">
      <c r="A804" s="37">
        <v>45040</v>
      </c>
      <c r="B804" s="25" t="s">
        <v>3860</v>
      </c>
      <c r="C804" s="26" t="s">
        <v>3373</v>
      </c>
      <c r="D804" s="26" t="s">
        <v>3374</v>
      </c>
      <c r="E804" s="27">
        <v>7485.48</v>
      </c>
      <c r="F804" s="30">
        <v>81000</v>
      </c>
      <c r="G804" s="27">
        <v>17010</v>
      </c>
      <c r="H804" s="27">
        <v>105495.48</v>
      </c>
      <c r="I804" s="28" t="s">
        <v>19</v>
      </c>
      <c r="J804" s="43"/>
    </row>
    <row r="805" spans="1:10" customFormat="1" ht="15" hidden="1" customHeight="1" x14ac:dyDescent="0.25">
      <c r="A805" s="37">
        <v>45041</v>
      </c>
      <c r="B805" s="25" t="s">
        <v>3861</v>
      </c>
      <c r="C805" s="26" t="s">
        <v>2867</v>
      </c>
      <c r="D805" s="26" t="s">
        <v>2868</v>
      </c>
      <c r="E805" s="27">
        <v>8900</v>
      </c>
      <c r="F805" s="30">
        <v>108500</v>
      </c>
      <c r="G805" s="27">
        <v>22785</v>
      </c>
      <c r="H805" s="27">
        <v>140185</v>
      </c>
      <c r="I805" s="28" t="s">
        <v>19</v>
      </c>
      <c r="J805" s="43"/>
    </row>
    <row r="806" spans="1:10" customFormat="1" ht="15" hidden="1" customHeight="1" x14ac:dyDescent="0.25">
      <c r="A806" s="37">
        <v>45041</v>
      </c>
      <c r="B806" s="25" t="s">
        <v>3862</v>
      </c>
      <c r="C806" s="26" t="s">
        <v>2948</v>
      </c>
      <c r="D806" s="26" t="s">
        <v>2949</v>
      </c>
      <c r="E806" s="27">
        <v>26700</v>
      </c>
      <c r="F806" s="30">
        <v>219600</v>
      </c>
      <c r="G806" s="27">
        <v>46116</v>
      </c>
      <c r="H806" s="27">
        <v>292416</v>
      </c>
      <c r="I806" s="28" t="s">
        <v>19</v>
      </c>
      <c r="J806" s="43"/>
    </row>
    <row r="807" spans="1:10" customFormat="1" ht="15" hidden="1" customHeight="1" x14ac:dyDescent="0.25">
      <c r="A807" s="37">
        <v>45041</v>
      </c>
      <c r="B807" s="25" t="s">
        <v>3863</v>
      </c>
      <c r="C807" s="26" t="s">
        <v>2909</v>
      </c>
      <c r="D807" s="26" t="s">
        <v>2910</v>
      </c>
      <c r="E807" s="27">
        <v>8100</v>
      </c>
      <c r="F807" s="30">
        <v>164000</v>
      </c>
      <c r="G807" s="27">
        <v>34440</v>
      </c>
      <c r="H807" s="27">
        <v>206540</v>
      </c>
      <c r="I807" s="28" t="s">
        <v>19</v>
      </c>
      <c r="J807" s="43"/>
    </row>
    <row r="808" spans="1:10" customFormat="1" ht="15" hidden="1" customHeight="1" x14ac:dyDescent="0.25">
      <c r="A808" s="37">
        <v>45041</v>
      </c>
      <c r="B808" s="25" t="s">
        <v>3864</v>
      </c>
      <c r="C808" s="26" t="s">
        <v>2851</v>
      </c>
      <c r="D808" s="26" t="s">
        <v>2852</v>
      </c>
      <c r="E808" s="27">
        <v>6300</v>
      </c>
      <c r="F808" s="30">
        <v>126000</v>
      </c>
      <c r="G808" s="27">
        <v>26460</v>
      </c>
      <c r="H808" s="27">
        <v>158760</v>
      </c>
      <c r="I808" s="28" t="s">
        <v>19</v>
      </c>
      <c r="J808" s="43"/>
    </row>
    <row r="809" spans="1:10" customFormat="1" ht="15" hidden="1" customHeight="1" x14ac:dyDescent="0.25">
      <c r="A809" s="37">
        <v>45041</v>
      </c>
      <c r="B809" s="25" t="s">
        <v>3865</v>
      </c>
      <c r="C809" s="26" t="s">
        <v>2870</v>
      </c>
      <c r="D809" s="26" t="s">
        <v>2871</v>
      </c>
      <c r="E809" s="27">
        <v>8900</v>
      </c>
      <c r="F809" s="30">
        <v>62000</v>
      </c>
      <c r="G809" s="27">
        <v>13020</v>
      </c>
      <c r="H809" s="27">
        <v>83920</v>
      </c>
      <c r="I809" s="28" t="s">
        <v>19</v>
      </c>
      <c r="J809" s="43"/>
    </row>
    <row r="810" spans="1:10" customFormat="1" ht="15" hidden="1" customHeight="1" x14ac:dyDescent="0.25">
      <c r="A810" s="37">
        <v>45041</v>
      </c>
      <c r="B810" s="25" t="s">
        <v>3866</v>
      </c>
      <c r="C810" s="26" t="s">
        <v>2870</v>
      </c>
      <c r="D810" s="26" t="s">
        <v>2871</v>
      </c>
      <c r="E810" s="27">
        <v>8900</v>
      </c>
      <c r="F810" s="30">
        <v>62000</v>
      </c>
      <c r="G810" s="27">
        <v>13020</v>
      </c>
      <c r="H810" s="27">
        <v>83920</v>
      </c>
      <c r="I810" s="28" t="s">
        <v>19</v>
      </c>
      <c r="J810" s="43"/>
    </row>
    <row r="811" spans="1:10" customFormat="1" ht="15" hidden="1" customHeight="1" x14ac:dyDescent="0.25">
      <c r="A811" s="37">
        <v>45041</v>
      </c>
      <c r="B811" s="25" t="s">
        <v>3867</v>
      </c>
      <c r="C811" s="26" t="s">
        <v>2921</v>
      </c>
      <c r="D811" s="26" t="s">
        <v>2922</v>
      </c>
      <c r="E811" s="27">
        <v>8900</v>
      </c>
      <c r="F811" s="30">
        <v>73200</v>
      </c>
      <c r="G811" s="27">
        <v>15372</v>
      </c>
      <c r="H811" s="27">
        <v>97472</v>
      </c>
      <c r="I811" s="28" t="s">
        <v>19</v>
      </c>
      <c r="J811" s="43"/>
    </row>
    <row r="812" spans="1:10" customFormat="1" ht="15" hidden="1" customHeight="1" x14ac:dyDescent="0.25">
      <c r="A812" s="37">
        <v>45041</v>
      </c>
      <c r="B812" s="25" t="s">
        <v>3868</v>
      </c>
      <c r="C812" s="26" t="s">
        <v>3562</v>
      </c>
      <c r="D812" s="26" t="s">
        <v>3563</v>
      </c>
      <c r="E812" s="27">
        <v>12730</v>
      </c>
      <c r="F812" s="30">
        <v>164000</v>
      </c>
      <c r="G812" s="27">
        <v>34440</v>
      </c>
      <c r="H812" s="27">
        <v>211170</v>
      </c>
      <c r="I812" s="28" t="s">
        <v>19</v>
      </c>
      <c r="J812" s="43"/>
    </row>
    <row r="813" spans="1:10" customFormat="1" ht="15" hidden="1" customHeight="1" x14ac:dyDescent="0.25">
      <c r="A813" s="37">
        <v>45041</v>
      </c>
      <c r="B813" s="25" t="s">
        <v>3869</v>
      </c>
      <c r="C813" s="26" t="s">
        <v>2856</v>
      </c>
      <c r="D813" s="26" t="s">
        <v>2857</v>
      </c>
      <c r="E813" s="27">
        <v>1800</v>
      </c>
      <c r="F813" s="30">
        <v>42000</v>
      </c>
      <c r="G813" s="27">
        <v>8820</v>
      </c>
      <c r="H813" s="27">
        <v>52620</v>
      </c>
      <c r="I813" s="28" t="s">
        <v>19</v>
      </c>
      <c r="J813" s="43"/>
    </row>
    <row r="814" spans="1:10" customFormat="1" ht="15" hidden="1" customHeight="1" x14ac:dyDescent="0.25">
      <c r="A814" s="37">
        <v>45041</v>
      </c>
      <c r="B814" s="25" t="s">
        <v>3870</v>
      </c>
      <c r="C814" s="26" t="s">
        <v>3033</v>
      </c>
      <c r="D814" s="26" t="s">
        <v>3034</v>
      </c>
      <c r="E814" s="27">
        <v>8200</v>
      </c>
      <c r="F814" s="30">
        <v>54000</v>
      </c>
      <c r="G814" s="27">
        <v>11340</v>
      </c>
      <c r="H814" s="27">
        <v>73540</v>
      </c>
      <c r="I814" s="28" t="s">
        <v>19</v>
      </c>
      <c r="J814" s="43"/>
    </row>
    <row r="815" spans="1:10" customFormat="1" ht="15" hidden="1" customHeight="1" x14ac:dyDescent="0.25">
      <c r="A815" s="37">
        <v>45041</v>
      </c>
      <c r="B815" s="25" t="s">
        <v>3871</v>
      </c>
      <c r="C815" s="26" t="s">
        <v>2954</v>
      </c>
      <c r="D815" s="26" t="s">
        <v>2955</v>
      </c>
      <c r="E815" s="27">
        <v>8200</v>
      </c>
      <c r="F815" s="30">
        <v>54000</v>
      </c>
      <c r="G815" s="27">
        <v>11340</v>
      </c>
      <c r="H815" s="27">
        <v>73540</v>
      </c>
      <c r="I815" s="28" t="s">
        <v>19</v>
      </c>
      <c r="J815" s="43"/>
    </row>
    <row r="816" spans="1:10" customFormat="1" ht="15" hidden="1" customHeight="1" x14ac:dyDescent="0.25">
      <c r="A816" s="37">
        <v>45041</v>
      </c>
      <c r="B816" s="25" t="s">
        <v>3872</v>
      </c>
      <c r="C816" s="26" t="s">
        <v>2921</v>
      </c>
      <c r="D816" s="26" t="s">
        <v>2922</v>
      </c>
      <c r="E816" s="27">
        <v>16400</v>
      </c>
      <c r="F816" s="30">
        <v>108000</v>
      </c>
      <c r="G816" s="27">
        <v>22680</v>
      </c>
      <c r="H816" s="27">
        <v>147080</v>
      </c>
      <c r="I816" s="28" t="s">
        <v>19</v>
      </c>
      <c r="J816" s="43"/>
    </row>
    <row r="817" spans="1:10" customFormat="1" ht="15" hidden="1" customHeight="1" x14ac:dyDescent="0.25">
      <c r="A817" s="37">
        <v>45041</v>
      </c>
      <c r="B817" s="25" t="s">
        <v>3873</v>
      </c>
      <c r="C817" s="26" t="s">
        <v>2921</v>
      </c>
      <c r="D817" s="26" t="s">
        <v>2922</v>
      </c>
      <c r="E817" s="27">
        <v>8900</v>
      </c>
      <c r="F817" s="30">
        <v>73200</v>
      </c>
      <c r="G817" s="27">
        <v>15372</v>
      </c>
      <c r="H817" s="27">
        <v>97472</v>
      </c>
      <c r="I817" s="28" t="s">
        <v>19</v>
      </c>
      <c r="J817" s="43"/>
    </row>
    <row r="818" spans="1:10" customFormat="1" ht="15" hidden="1" customHeight="1" x14ac:dyDescent="0.25">
      <c r="A818" s="37">
        <v>45041</v>
      </c>
      <c r="B818" s="25" t="s">
        <v>3874</v>
      </c>
      <c r="C818" s="26" t="s">
        <v>3083</v>
      </c>
      <c r="D818" s="26" t="s">
        <v>3084</v>
      </c>
      <c r="E818" s="27">
        <v>0</v>
      </c>
      <c r="F818" s="30">
        <v>33000</v>
      </c>
      <c r="G818" s="27">
        <v>6930</v>
      </c>
      <c r="H818" s="27">
        <v>39930</v>
      </c>
      <c r="I818" s="28" t="s">
        <v>19</v>
      </c>
      <c r="J818" s="43"/>
    </row>
    <row r="819" spans="1:10" customFormat="1" ht="15" hidden="1" customHeight="1" x14ac:dyDescent="0.25">
      <c r="A819" s="37">
        <v>45042</v>
      </c>
      <c r="B819" s="25" t="s">
        <v>3875</v>
      </c>
      <c r="C819" s="26" t="s">
        <v>3876</v>
      </c>
      <c r="D819" s="26" t="s">
        <v>3877</v>
      </c>
      <c r="E819" s="27">
        <v>1257</v>
      </c>
      <c r="F819" s="30">
        <v>124000</v>
      </c>
      <c r="G819" s="27">
        <v>26040</v>
      </c>
      <c r="H819" s="27">
        <v>151297</v>
      </c>
      <c r="I819" s="28" t="s">
        <v>19</v>
      </c>
      <c r="J819" s="43"/>
    </row>
    <row r="820" spans="1:10" customFormat="1" ht="15" hidden="1" customHeight="1" x14ac:dyDescent="0.25">
      <c r="A820" s="37">
        <v>45042</v>
      </c>
      <c r="B820" s="25" t="s">
        <v>3878</v>
      </c>
      <c r="C820" s="26" t="s">
        <v>2856</v>
      </c>
      <c r="D820" s="26" t="s">
        <v>2857</v>
      </c>
      <c r="E820" s="27">
        <v>0</v>
      </c>
      <c r="F820" s="30">
        <v>19000</v>
      </c>
      <c r="G820" s="27">
        <v>3990</v>
      </c>
      <c r="H820" s="27">
        <v>22990</v>
      </c>
      <c r="I820" s="28" t="s">
        <v>19</v>
      </c>
      <c r="J820" s="43"/>
    </row>
    <row r="821" spans="1:10" customFormat="1" ht="15" hidden="1" customHeight="1" x14ac:dyDescent="0.25">
      <c r="A821" s="37">
        <v>45042</v>
      </c>
      <c r="B821" s="25" t="s">
        <v>3879</v>
      </c>
      <c r="C821" s="26" t="s">
        <v>2851</v>
      </c>
      <c r="D821" s="26" t="s">
        <v>2852</v>
      </c>
      <c r="E821" s="27">
        <v>4844</v>
      </c>
      <c r="F821" s="30">
        <v>82000</v>
      </c>
      <c r="G821" s="27">
        <v>17220</v>
      </c>
      <c r="H821" s="27">
        <v>104064</v>
      </c>
      <c r="I821" s="28" t="s">
        <v>19</v>
      </c>
      <c r="J821" s="43"/>
    </row>
    <row r="822" spans="1:10" customFormat="1" ht="15" hidden="1" customHeight="1" x14ac:dyDescent="0.25">
      <c r="A822" s="37">
        <v>45042</v>
      </c>
      <c r="B822" s="25" t="s">
        <v>3880</v>
      </c>
      <c r="C822" s="26" t="s">
        <v>3176</v>
      </c>
      <c r="D822" s="26" t="s">
        <v>3177</v>
      </c>
      <c r="E822" s="27">
        <v>9172.2199999999993</v>
      </c>
      <c r="F822" s="30">
        <v>124000</v>
      </c>
      <c r="G822" s="27">
        <v>26040</v>
      </c>
      <c r="H822" s="27">
        <v>159212.22</v>
      </c>
      <c r="I822" s="28" t="s">
        <v>19</v>
      </c>
      <c r="J822" s="43"/>
    </row>
    <row r="823" spans="1:10" customFormat="1" ht="15" hidden="1" customHeight="1" x14ac:dyDescent="0.25">
      <c r="A823" s="37">
        <v>45042</v>
      </c>
      <c r="B823" s="25" t="s">
        <v>3881</v>
      </c>
      <c r="C823" s="26" t="s">
        <v>3235</v>
      </c>
      <c r="D823" s="26" t="s">
        <v>3236</v>
      </c>
      <c r="E823" s="27">
        <v>33000</v>
      </c>
      <c r="F823" s="30">
        <v>246000</v>
      </c>
      <c r="G823" s="27">
        <v>51660</v>
      </c>
      <c r="H823" s="27">
        <v>330660</v>
      </c>
      <c r="I823" s="28" t="s">
        <v>19</v>
      </c>
      <c r="J823" s="43"/>
    </row>
    <row r="824" spans="1:10" customFormat="1" ht="15" hidden="1" customHeight="1" x14ac:dyDescent="0.25">
      <c r="A824" s="37">
        <v>45042</v>
      </c>
      <c r="B824" s="25" t="s">
        <v>3882</v>
      </c>
      <c r="C824" s="26" t="s">
        <v>2921</v>
      </c>
      <c r="D824" s="26" t="s">
        <v>2922</v>
      </c>
      <c r="E824" s="27">
        <v>6765.62</v>
      </c>
      <c r="F824" s="30">
        <v>62000</v>
      </c>
      <c r="G824" s="27">
        <v>13020</v>
      </c>
      <c r="H824" s="27">
        <v>81785.62</v>
      </c>
      <c r="I824" s="28" t="s">
        <v>19</v>
      </c>
      <c r="J824" s="43"/>
    </row>
    <row r="825" spans="1:10" customFormat="1" ht="15" hidden="1" customHeight="1" x14ac:dyDescent="0.25">
      <c r="A825" s="37">
        <v>45042</v>
      </c>
      <c r="B825" s="25" t="s">
        <v>3883</v>
      </c>
      <c r="C825" s="26" t="s">
        <v>2954</v>
      </c>
      <c r="D825" s="26" t="s">
        <v>2955</v>
      </c>
      <c r="E825" s="27">
        <v>3430</v>
      </c>
      <c r="F825" s="30">
        <v>60000</v>
      </c>
      <c r="G825" s="27">
        <v>12600</v>
      </c>
      <c r="H825" s="27">
        <v>76030</v>
      </c>
      <c r="I825" s="28" t="s">
        <v>19</v>
      </c>
      <c r="J825" s="43"/>
    </row>
    <row r="826" spans="1:10" customFormat="1" ht="15" hidden="1" customHeight="1" x14ac:dyDescent="0.25">
      <c r="A826" s="37">
        <v>45042</v>
      </c>
      <c r="B826" s="25" t="s">
        <v>3884</v>
      </c>
      <c r="C826" s="26" t="s">
        <v>3235</v>
      </c>
      <c r="D826" s="26" t="s">
        <v>3236</v>
      </c>
      <c r="E826" s="27">
        <v>4848.9299999999903</v>
      </c>
      <c r="F826" s="30">
        <v>54000</v>
      </c>
      <c r="G826" s="27">
        <v>11340</v>
      </c>
      <c r="H826" s="27">
        <v>70188.929999999993</v>
      </c>
      <c r="I826" s="28" t="s">
        <v>19</v>
      </c>
      <c r="J826" s="43"/>
    </row>
    <row r="827" spans="1:10" customFormat="1" ht="15" hidden="1" customHeight="1" x14ac:dyDescent="0.25">
      <c r="A827" s="37">
        <v>45042</v>
      </c>
      <c r="B827" s="25" t="s">
        <v>3885</v>
      </c>
      <c r="C827" s="26" t="s">
        <v>3235</v>
      </c>
      <c r="D827" s="26" t="s">
        <v>3236</v>
      </c>
      <c r="E827" s="27">
        <v>16400</v>
      </c>
      <c r="F827" s="30">
        <v>108000</v>
      </c>
      <c r="G827" s="27">
        <v>22680</v>
      </c>
      <c r="H827" s="27">
        <v>147080</v>
      </c>
      <c r="I827" s="28" t="s">
        <v>19</v>
      </c>
      <c r="J827" s="43"/>
    </row>
    <row r="828" spans="1:10" customFormat="1" ht="15" hidden="1" customHeight="1" x14ac:dyDescent="0.25">
      <c r="A828" s="37">
        <v>45042</v>
      </c>
      <c r="B828" s="25" t="s">
        <v>3886</v>
      </c>
      <c r="C828" s="26" t="s">
        <v>2856</v>
      </c>
      <c r="D828" s="26" t="s">
        <v>2857</v>
      </c>
      <c r="E828" s="27">
        <v>0</v>
      </c>
      <c r="F828" s="30">
        <v>22000</v>
      </c>
      <c r="G828" s="27">
        <v>4620</v>
      </c>
      <c r="H828" s="27">
        <v>26620</v>
      </c>
      <c r="I828" s="28" t="s">
        <v>19</v>
      </c>
      <c r="J828" s="43"/>
    </row>
    <row r="829" spans="1:10" customFormat="1" ht="15" hidden="1" customHeight="1" x14ac:dyDescent="0.25">
      <c r="A829" s="37">
        <v>45042</v>
      </c>
      <c r="B829" s="25" t="s">
        <v>3887</v>
      </c>
      <c r="C829" s="26" t="s">
        <v>3888</v>
      </c>
      <c r="D829" s="26" t="s">
        <v>3889</v>
      </c>
      <c r="E829" s="27">
        <v>2597.9699999999998</v>
      </c>
      <c r="F829" s="30">
        <v>63000</v>
      </c>
      <c r="G829" s="27">
        <v>13230</v>
      </c>
      <c r="H829" s="27">
        <v>78827.97</v>
      </c>
      <c r="I829" s="28" t="s">
        <v>19</v>
      </c>
      <c r="J829" s="43"/>
    </row>
    <row r="830" spans="1:10" customFormat="1" ht="15" hidden="1" customHeight="1" x14ac:dyDescent="0.25">
      <c r="A830" s="37">
        <v>45043</v>
      </c>
      <c r="B830" s="25" t="s">
        <v>3890</v>
      </c>
      <c r="C830" s="26" t="s">
        <v>2856</v>
      </c>
      <c r="D830" s="26" t="s">
        <v>2857</v>
      </c>
      <c r="E830" s="27">
        <v>1800</v>
      </c>
      <c r="F830" s="30">
        <v>42000</v>
      </c>
      <c r="G830" s="27">
        <v>8820</v>
      </c>
      <c r="H830" s="27">
        <v>52620</v>
      </c>
      <c r="I830" s="28" t="s">
        <v>19</v>
      </c>
      <c r="J830" s="43"/>
    </row>
    <row r="831" spans="1:10" customFormat="1" ht="15" hidden="1" customHeight="1" x14ac:dyDescent="0.25">
      <c r="A831" s="37">
        <v>45043</v>
      </c>
      <c r="B831" s="25" t="s">
        <v>3891</v>
      </c>
      <c r="C831" s="26" t="s">
        <v>2921</v>
      </c>
      <c r="D831" s="26" t="s">
        <v>2922</v>
      </c>
      <c r="E831" s="27">
        <v>8900</v>
      </c>
      <c r="F831" s="30">
        <v>93000</v>
      </c>
      <c r="G831" s="27">
        <v>19530</v>
      </c>
      <c r="H831" s="27">
        <v>121430</v>
      </c>
      <c r="I831" s="28" t="s">
        <v>19</v>
      </c>
      <c r="J831" s="43"/>
    </row>
    <row r="832" spans="1:10" customFormat="1" ht="15" hidden="1" customHeight="1" x14ac:dyDescent="0.25">
      <c r="A832" s="37">
        <v>45043</v>
      </c>
      <c r="B832" s="25" t="s">
        <v>3892</v>
      </c>
      <c r="C832" s="26" t="s">
        <v>3007</v>
      </c>
      <c r="D832" s="26" t="s">
        <v>3008</v>
      </c>
      <c r="E832" s="27">
        <v>8900</v>
      </c>
      <c r="F832" s="30">
        <v>73200</v>
      </c>
      <c r="G832" s="27">
        <v>15372</v>
      </c>
      <c r="H832" s="27">
        <v>97472</v>
      </c>
      <c r="I832" s="28" t="s">
        <v>19</v>
      </c>
      <c r="J832" s="43"/>
    </row>
    <row r="833" spans="1:10" customFormat="1" ht="15" hidden="1" customHeight="1" x14ac:dyDescent="0.25">
      <c r="A833" s="37">
        <v>45043</v>
      </c>
      <c r="B833" s="25" t="s">
        <v>3893</v>
      </c>
      <c r="C833" s="26" t="s">
        <v>2909</v>
      </c>
      <c r="D833" s="26" t="s">
        <v>2910</v>
      </c>
      <c r="E833" s="27">
        <v>8100</v>
      </c>
      <c r="F833" s="30">
        <v>205000</v>
      </c>
      <c r="G833" s="27">
        <v>43050</v>
      </c>
      <c r="H833" s="27">
        <v>256150</v>
      </c>
      <c r="I833" s="28" t="s">
        <v>19</v>
      </c>
      <c r="J833" s="43"/>
    </row>
    <row r="834" spans="1:10" customFormat="1" ht="15" hidden="1" customHeight="1" x14ac:dyDescent="0.25">
      <c r="A834" s="37">
        <v>45043</v>
      </c>
      <c r="B834" s="25" t="s">
        <v>3894</v>
      </c>
      <c r="C834" s="26" t="s">
        <v>2909</v>
      </c>
      <c r="D834" s="26" t="s">
        <v>2910</v>
      </c>
      <c r="E834" s="27">
        <v>8100</v>
      </c>
      <c r="F834" s="30">
        <v>164000</v>
      </c>
      <c r="G834" s="27">
        <v>34440</v>
      </c>
      <c r="H834" s="27">
        <v>206540</v>
      </c>
      <c r="I834" s="28" t="s">
        <v>19</v>
      </c>
      <c r="J834" s="43"/>
    </row>
    <row r="835" spans="1:10" customFormat="1" ht="15" hidden="1" customHeight="1" x14ac:dyDescent="0.25">
      <c r="A835" s="37">
        <v>45043</v>
      </c>
      <c r="B835" s="25" t="s">
        <v>3895</v>
      </c>
      <c r="C835" s="26" t="s">
        <v>3896</v>
      </c>
      <c r="D835" s="26" t="s">
        <v>3897</v>
      </c>
      <c r="E835" s="27">
        <v>18296.96</v>
      </c>
      <c r="F835" s="30">
        <v>324000</v>
      </c>
      <c r="G835" s="27">
        <v>68040</v>
      </c>
      <c r="H835" s="27">
        <v>410336.96</v>
      </c>
      <c r="I835" s="28" t="s">
        <v>19</v>
      </c>
      <c r="J835" s="43"/>
    </row>
    <row r="836" spans="1:10" customFormat="1" ht="15" hidden="1" customHeight="1" x14ac:dyDescent="0.25">
      <c r="A836" s="37">
        <v>45043</v>
      </c>
      <c r="B836" s="25" t="s">
        <v>3898</v>
      </c>
      <c r="C836" s="26" t="s">
        <v>3896</v>
      </c>
      <c r="D836" s="26" t="s">
        <v>3897</v>
      </c>
      <c r="E836" s="27">
        <v>18704.439999999999</v>
      </c>
      <c r="F836" s="30">
        <v>216000</v>
      </c>
      <c r="G836" s="27">
        <v>45360</v>
      </c>
      <c r="H836" s="27">
        <v>280064.44</v>
      </c>
      <c r="I836" s="28" t="s">
        <v>19</v>
      </c>
      <c r="J836" s="43"/>
    </row>
    <row r="837" spans="1:10" customFormat="1" ht="15" hidden="1" customHeight="1" x14ac:dyDescent="0.25">
      <c r="A837" s="37">
        <v>45043</v>
      </c>
      <c r="B837" s="25" t="s">
        <v>3899</v>
      </c>
      <c r="C837" s="26" t="s">
        <v>2972</v>
      </c>
      <c r="D837" s="26" t="s">
        <v>2973</v>
      </c>
      <c r="E837" s="27">
        <v>8200</v>
      </c>
      <c r="F837" s="30">
        <v>54000</v>
      </c>
      <c r="G837" s="27">
        <v>11340</v>
      </c>
      <c r="H837" s="27">
        <v>73540</v>
      </c>
      <c r="I837" s="28" t="s">
        <v>19</v>
      </c>
      <c r="J837" s="43"/>
    </row>
    <row r="838" spans="1:10" customFormat="1" ht="15" hidden="1" customHeight="1" x14ac:dyDescent="0.25">
      <c r="A838" s="37">
        <v>45043</v>
      </c>
      <c r="B838" s="25" t="s">
        <v>3900</v>
      </c>
      <c r="C838" s="26" t="s">
        <v>3235</v>
      </c>
      <c r="D838" s="26" t="s">
        <v>3236</v>
      </c>
      <c r="E838" s="27">
        <v>8200</v>
      </c>
      <c r="F838" s="30">
        <v>54000</v>
      </c>
      <c r="G838" s="27">
        <v>11340</v>
      </c>
      <c r="H838" s="27">
        <v>73540</v>
      </c>
      <c r="I838" s="28" t="s">
        <v>19</v>
      </c>
      <c r="J838" s="43"/>
    </row>
    <row r="839" spans="1:10" customFormat="1" ht="15" hidden="1" customHeight="1" x14ac:dyDescent="0.25">
      <c r="A839" s="37">
        <v>45043</v>
      </c>
      <c r="B839" s="25" t="s">
        <v>3901</v>
      </c>
      <c r="C839" s="26" t="s">
        <v>2903</v>
      </c>
      <c r="D839" s="26" t="s">
        <v>2904</v>
      </c>
      <c r="E839" s="27">
        <v>8200</v>
      </c>
      <c r="F839" s="30">
        <v>54000</v>
      </c>
      <c r="G839" s="27">
        <v>11340</v>
      </c>
      <c r="H839" s="27">
        <v>73540</v>
      </c>
      <c r="I839" s="28" t="s">
        <v>19</v>
      </c>
      <c r="J839" s="43"/>
    </row>
    <row r="840" spans="1:10" customFormat="1" ht="15" hidden="1" customHeight="1" x14ac:dyDescent="0.25">
      <c r="A840" s="37">
        <v>45043</v>
      </c>
      <c r="B840" s="25" t="s">
        <v>3902</v>
      </c>
      <c r="C840" s="26" t="s">
        <v>2927</v>
      </c>
      <c r="D840" s="26" t="s">
        <v>2928</v>
      </c>
      <c r="E840" s="27">
        <v>8900</v>
      </c>
      <c r="F840" s="30">
        <v>73200</v>
      </c>
      <c r="G840" s="27">
        <v>15372</v>
      </c>
      <c r="H840" s="27">
        <v>97472</v>
      </c>
      <c r="I840" s="28" t="s">
        <v>19</v>
      </c>
      <c r="J840" s="43"/>
    </row>
    <row r="841" spans="1:10" customFormat="1" ht="15" hidden="1" customHeight="1" x14ac:dyDescent="0.25">
      <c r="A841" s="37">
        <v>45043</v>
      </c>
      <c r="B841" s="25" t="s">
        <v>3903</v>
      </c>
      <c r="C841" s="26" t="s">
        <v>2867</v>
      </c>
      <c r="D841" s="26" t="s">
        <v>2868</v>
      </c>
      <c r="E841" s="27">
        <v>3430</v>
      </c>
      <c r="F841" s="30">
        <v>73200</v>
      </c>
      <c r="G841" s="27">
        <v>15372</v>
      </c>
      <c r="H841" s="27">
        <v>92002</v>
      </c>
      <c r="I841" s="28" t="s">
        <v>19</v>
      </c>
      <c r="J841" s="43"/>
    </row>
    <row r="842" spans="1:10" customFormat="1" ht="15" hidden="1" customHeight="1" x14ac:dyDescent="0.25">
      <c r="A842" s="37">
        <v>45043</v>
      </c>
      <c r="B842" s="25" t="s">
        <v>3904</v>
      </c>
      <c r="C842" s="26" t="s">
        <v>3007</v>
      </c>
      <c r="D842" s="26" t="s">
        <v>3008</v>
      </c>
      <c r="E842" s="27">
        <v>8200</v>
      </c>
      <c r="F842" s="30">
        <v>54000</v>
      </c>
      <c r="G842" s="27">
        <v>11340</v>
      </c>
      <c r="H842" s="27">
        <v>73540</v>
      </c>
      <c r="I842" s="28" t="s">
        <v>19</v>
      </c>
      <c r="J842" s="43"/>
    </row>
    <row r="843" spans="1:10" customFormat="1" ht="15" hidden="1" customHeight="1" x14ac:dyDescent="0.25">
      <c r="A843" s="37">
        <v>45043</v>
      </c>
      <c r="B843" s="25" t="s">
        <v>3905</v>
      </c>
      <c r="C843" s="26" t="s">
        <v>3083</v>
      </c>
      <c r="D843" s="26" t="s">
        <v>3084</v>
      </c>
      <c r="E843" s="27">
        <v>0</v>
      </c>
      <c r="F843" s="30">
        <v>33000</v>
      </c>
      <c r="G843" s="27">
        <v>6930</v>
      </c>
      <c r="H843" s="27">
        <v>39930</v>
      </c>
      <c r="I843" s="28" t="s">
        <v>19</v>
      </c>
      <c r="J843" s="43"/>
    </row>
    <row r="844" spans="1:10" customFormat="1" ht="15" hidden="1" customHeight="1" x14ac:dyDescent="0.25">
      <c r="A844" s="37">
        <v>45043</v>
      </c>
      <c r="B844" s="25" t="s">
        <v>3906</v>
      </c>
      <c r="C844" s="26" t="s">
        <v>3150</v>
      </c>
      <c r="D844" s="26" t="s">
        <v>3151</v>
      </c>
      <c r="E844" s="27">
        <v>116100</v>
      </c>
      <c r="F844" s="30">
        <v>1620000</v>
      </c>
      <c r="G844" s="27">
        <v>340200</v>
      </c>
      <c r="H844" s="27">
        <v>2076300</v>
      </c>
      <c r="I844" s="28" t="s">
        <v>103</v>
      </c>
      <c r="J844" s="43"/>
    </row>
    <row r="845" spans="1:10" customFormat="1" ht="15" hidden="1" customHeight="1" x14ac:dyDescent="0.25">
      <c r="A845" s="37">
        <v>45043</v>
      </c>
      <c r="B845" s="25" t="s">
        <v>3907</v>
      </c>
      <c r="C845" s="26" t="s">
        <v>2851</v>
      </c>
      <c r="D845" s="26" t="s">
        <v>2852</v>
      </c>
      <c r="E845" s="27">
        <v>7725.05</v>
      </c>
      <c r="F845" s="30">
        <v>82000</v>
      </c>
      <c r="G845" s="27">
        <v>17220</v>
      </c>
      <c r="H845" s="27">
        <v>106945.05</v>
      </c>
      <c r="I845" s="28" t="s">
        <v>19</v>
      </c>
      <c r="J845" s="43"/>
    </row>
    <row r="846" spans="1:10" customFormat="1" ht="15" hidden="1" customHeight="1" x14ac:dyDescent="0.25">
      <c r="A846" s="37">
        <v>45044</v>
      </c>
      <c r="B846" s="25" t="s">
        <v>3908</v>
      </c>
      <c r="C846" s="26" t="s">
        <v>3235</v>
      </c>
      <c r="D846" s="26" t="s">
        <v>3236</v>
      </c>
      <c r="E846" s="27">
        <v>13281.57</v>
      </c>
      <c r="F846" s="30">
        <v>162000</v>
      </c>
      <c r="G846" s="27">
        <v>34020</v>
      </c>
      <c r="H846" s="27">
        <v>209301.57</v>
      </c>
      <c r="I846" s="28" t="s">
        <v>19</v>
      </c>
      <c r="J846" s="43"/>
    </row>
    <row r="847" spans="1:10" customFormat="1" ht="15" hidden="1" customHeight="1" x14ac:dyDescent="0.25">
      <c r="A847" s="37">
        <v>45046</v>
      </c>
      <c r="B847" s="25" t="s">
        <v>3909</v>
      </c>
      <c r="C847" s="26" t="s">
        <v>2909</v>
      </c>
      <c r="D847" s="26" t="s">
        <v>2910</v>
      </c>
      <c r="E847" s="27">
        <v>3040</v>
      </c>
      <c r="F847" s="30">
        <v>164000</v>
      </c>
      <c r="G847" s="27">
        <v>34440</v>
      </c>
      <c r="H847" s="27">
        <v>201480</v>
      </c>
      <c r="I847" s="28" t="s">
        <v>19</v>
      </c>
      <c r="J847" s="43"/>
    </row>
    <row r="848" spans="1:10" customFormat="1" ht="15" hidden="1" customHeight="1" x14ac:dyDescent="0.25">
      <c r="A848" s="37">
        <v>45046</v>
      </c>
      <c r="B848" s="25" t="s">
        <v>3910</v>
      </c>
      <c r="C848" s="26" t="s">
        <v>2909</v>
      </c>
      <c r="D848" s="26" t="s">
        <v>2910</v>
      </c>
      <c r="E848" s="27">
        <v>5878.48</v>
      </c>
      <c r="F848" s="30">
        <v>82000</v>
      </c>
      <c r="G848" s="27">
        <v>17220</v>
      </c>
      <c r="H848" s="27">
        <v>105098.48</v>
      </c>
      <c r="I848" s="28" t="s">
        <v>19</v>
      </c>
      <c r="J848" s="43"/>
    </row>
    <row r="849" spans="1:10" customFormat="1" ht="15" hidden="1" customHeight="1" x14ac:dyDescent="0.25">
      <c r="A849" s="37">
        <v>45046</v>
      </c>
      <c r="B849" s="25" t="s">
        <v>3911</v>
      </c>
      <c r="C849" s="26" t="s">
        <v>2924</v>
      </c>
      <c r="D849" s="26" t="s">
        <v>2925</v>
      </c>
      <c r="E849" s="27">
        <v>1850</v>
      </c>
      <c r="F849" s="30">
        <v>124000</v>
      </c>
      <c r="G849" s="27">
        <v>26040</v>
      </c>
      <c r="H849" s="27">
        <v>151890</v>
      </c>
      <c r="I849" s="28" t="s">
        <v>19</v>
      </c>
      <c r="J849" s="43"/>
    </row>
    <row r="850" spans="1:10" customFormat="1" ht="15" hidden="1" customHeight="1" x14ac:dyDescent="0.25">
      <c r="A850" s="37">
        <v>45046</v>
      </c>
      <c r="B850" s="25" t="s">
        <v>3912</v>
      </c>
      <c r="C850" s="26" t="s">
        <v>2972</v>
      </c>
      <c r="D850" s="26" t="s">
        <v>2973</v>
      </c>
      <c r="E850" s="27">
        <v>11329.41</v>
      </c>
      <c r="F850" s="30">
        <v>93000</v>
      </c>
      <c r="G850" s="27">
        <v>19530</v>
      </c>
      <c r="H850" s="27">
        <v>123859.41</v>
      </c>
      <c r="I850" s="28" t="s">
        <v>19</v>
      </c>
      <c r="J850" s="43"/>
    </row>
    <row r="851" spans="1:10" customFormat="1" ht="15" hidden="1" customHeight="1" x14ac:dyDescent="0.25">
      <c r="A851" s="37">
        <v>45046</v>
      </c>
      <c r="B851" s="25" t="s">
        <v>3913</v>
      </c>
      <c r="C851" s="26" t="s">
        <v>2954</v>
      </c>
      <c r="D851" s="26" t="s">
        <v>2955</v>
      </c>
      <c r="E851" s="27">
        <v>12171</v>
      </c>
      <c r="F851" s="30">
        <v>123000</v>
      </c>
      <c r="G851" s="27">
        <v>25830</v>
      </c>
      <c r="H851" s="27">
        <v>161001</v>
      </c>
      <c r="I851" s="28" t="s">
        <v>19</v>
      </c>
      <c r="J851" s="43"/>
    </row>
    <row r="852" spans="1:10" customFormat="1" ht="15" hidden="1" customHeight="1" x14ac:dyDescent="0.25">
      <c r="A852" s="37">
        <v>45046</v>
      </c>
      <c r="B852" s="25" t="s">
        <v>3914</v>
      </c>
      <c r="C852" s="26" t="s">
        <v>2924</v>
      </c>
      <c r="D852" s="26" t="s">
        <v>2925</v>
      </c>
      <c r="E852" s="27">
        <v>1817</v>
      </c>
      <c r="F852" s="30">
        <v>62000</v>
      </c>
      <c r="G852" s="27">
        <v>13020</v>
      </c>
      <c r="H852" s="27">
        <v>76837</v>
      </c>
      <c r="I852" s="28" t="s">
        <v>19</v>
      </c>
      <c r="J852" s="43"/>
    </row>
    <row r="853" spans="1:10" customFormat="1" ht="15" hidden="1" customHeight="1" x14ac:dyDescent="0.25">
      <c r="A853" s="37">
        <v>45046</v>
      </c>
      <c r="B853" s="25" t="s">
        <v>3915</v>
      </c>
      <c r="C853" s="26" t="s">
        <v>2924</v>
      </c>
      <c r="D853" s="26" t="s">
        <v>2925</v>
      </c>
      <c r="E853" s="27">
        <v>3634</v>
      </c>
      <c r="F853" s="30">
        <v>124000</v>
      </c>
      <c r="G853" s="27">
        <v>26040</v>
      </c>
      <c r="H853" s="27">
        <v>153674</v>
      </c>
      <c r="I853" s="28" t="s">
        <v>19</v>
      </c>
      <c r="J853" s="43"/>
    </row>
    <row r="854" spans="1:10" customFormat="1" ht="15" hidden="1" customHeight="1" x14ac:dyDescent="0.25">
      <c r="A854" s="37">
        <v>45046</v>
      </c>
      <c r="B854" s="25" t="s">
        <v>3916</v>
      </c>
      <c r="C854" s="26" t="s">
        <v>2851</v>
      </c>
      <c r="D854" s="26" t="s">
        <v>2852</v>
      </c>
      <c r="E854" s="27">
        <v>925</v>
      </c>
      <c r="F854" s="30">
        <v>63000</v>
      </c>
      <c r="G854" s="27">
        <v>13230</v>
      </c>
      <c r="H854" s="27">
        <v>77155</v>
      </c>
      <c r="I854" s="28" t="s">
        <v>19</v>
      </c>
      <c r="J854" s="43"/>
    </row>
    <row r="855" spans="1:10" customFormat="1" ht="15" hidden="1" customHeight="1" x14ac:dyDescent="0.25">
      <c r="A855" s="37">
        <v>45046</v>
      </c>
      <c r="B855" s="25" t="s">
        <v>3917</v>
      </c>
      <c r="C855" s="26" t="s">
        <v>3346</v>
      </c>
      <c r="D855" s="26" t="s">
        <v>3347</v>
      </c>
      <c r="E855" s="27">
        <v>20438.419999999998</v>
      </c>
      <c r="F855" s="30">
        <v>232000</v>
      </c>
      <c r="G855" s="27">
        <v>48720</v>
      </c>
      <c r="H855" s="27">
        <v>301158.42</v>
      </c>
      <c r="I855" s="28" t="s">
        <v>19</v>
      </c>
      <c r="J855" s="43"/>
    </row>
    <row r="856" spans="1:10" customFormat="1" ht="15" hidden="1" customHeight="1" x14ac:dyDescent="0.25">
      <c r="A856" s="37">
        <v>45046</v>
      </c>
      <c r="B856" s="25" t="s">
        <v>3918</v>
      </c>
      <c r="C856" s="26" t="s">
        <v>3235</v>
      </c>
      <c r="D856" s="26" t="s">
        <v>3236</v>
      </c>
      <c r="E856" s="27">
        <v>32800</v>
      </c>
      <c r="F856" s="30">
        <v>256500</v>
      </c>
      <c r="G856" s="27">
        <v>53865</v>
      </c>
      <c r="H856" s="27">
        <v>343165</v>
      </c>
      <c r="I856" s="28" t="s">
        <v>19</v>
      </c>
      <c r="J856" s="43"/>
    </row>
    <row r="857" spans="1:10" customFormat="1" ht="15" hidden="1" customHeight="1" x14ac:dyDescent="0.25">
      <c r="A857" s="37">
        <v>45046</v>
      </c>
      <c r="B857" s="25" t="s">
        <v>3919</v>
      </c>
      <c r="C857" s="26" t="s">
        <v>3235</v>
      </c>
      <c r="D857" s="26" t="s">
        <v>3236</v>
      </c>
      <c r="E857" s="27">
        <v>22000</v>
      </c>
      <c r="F857" s="30">
        <v>164000</v>
      </c>
      <c r="G857" s="27">
        <v>34440</v>
      </c>
      <c r="H857" s="27">
        <v>220440</v>
      </c>
      <c r="I857" s="28" t="s">
        <v>19</v>
      </c>
      <c r="J857" s="43"/>
    </row>
    <row r="858" spans="1:10" customFormat="1" ht="15" hidden="1" customHeight="1" x14ac:dyDescent="0.25">
      <c r="A858" s="37">
        <v>45046</v>
      </c>
      <c r="B858" s="25" t="s">
        <v>3920</v>
      </c>
      <c r="C858" s="26" t="s">
        <v>2867</v>
      </c>
      <c r="D858" s="26" t="s">
        <v>2868</v>
      </c>
      <c r="E858" s="27">
        <v>8900</v>
      </c>
      <c r="F858" s="30">
        <v>93000</v>
      </c>
      <c r="G858" s="27">
        <v>19530</v>
      </c>
      <c r="H858" s="27">
        <v>121430</v>
      </c>
      <c r="I858" s="28" t="s">
        <v>19</v>
      </c>
      <c r="J858" s="43"/>
    </row>
    <row r="859" spans="1:10" customFormat="1" ht="15" hidden="1" customHeight="1" x14ac:dyDescent="0.25">
      <c r="A859" s="37">
        <v>45046</v>
      </c>
      <c r="B859" s="25" t="s">
        <v>3921</v>
      </c>
      <c r="C859" s="26" t="s">
        <v>2909</v>
      </c>
      <c r="D859" s="26" t="s">
        <v>2910</v>
      </c>
      <c r="E859" s="27">
        <v>6330</v>
      </c>
      <c r="F859" s="30">
        <v>95000</v>
      </c>
      <c r="G859" s="27">
        <v>19950</v>
      </c>
      <c r="H859" s="27">
        <v>121280</v>
      </c>
      <c r="I859" s="28" t="s">
        <v>19</v>
      </c>
      <c r="J859" s="43"/>
    </row>
    <row r="860" spans="1:10" customFormat="1" ht="15" hidden="1" customHeight="1" x14ac:dyDescent="0.25">
      <c r="A860" s="37">
        <v>45046</v>
      </c>
      <c r="B860" s="25" t="s">
        <v>3922</v>
      </c>
      <c r="C860" s="26" t="s">
        <v>3007</v>
      </c>
      <c r="D860" s="26" t="s">
        <v>3008</v>
      </c>
      <c r="E860" s="27">
        <v>4300</v>
      </c>
      <c r="F860" s="30">
        <v>60000</v>
      </c>
      <c r="G860" s="27">
        <v>12600</v>
      </c>
      <c r="H860" s="27">
        <v>76900</v>
      </c>
      <c r="I860" s="28" t="s">
        <v>19</v>
      </c>
      <c r="J860" s="43"/>
    </row>
    <row r="861" spans="1:10" customFormat="1" ht="15" hidden="1" customHeight="1" x14ac:dyDescent="0.25">
      <c r="A861" s="37">
        <v>45046</v>
      </c>
      <c r="B861" s="25" t="s">
        <v>3923</v>
      </c>
      <c r="C861" s="26" t="s">
        <v>3014</v>
      </c>
      <c r="D861" s="26" t="s">
        <v>3015</v>
      </c>
      <c r="E861" s="27">
        <v>8600</v>
      </c>
      <c r="F861" s="30">
        <v>120000</v>
      </c>
      <c r="G861" s="27">
        <v>25200</v>
      </c>
      <c r="H861" s="27">
        <v>153800</v>
      </c>
      <c r="I861" s="28" t="s">
        <v>19</v>
      </c>
      <c r="J861" s="43"/>
    </row>
    <row r="862" spans="1:10" customFormat="1" ht="15" hidden="1" customHeight="1" x14ac:dyDescent="0.25">
      <c r="A862" s="37">
        <v>45046</v>
      </c>
      <c r="B862" s="25" t="s">
        <v>3924</v>
      </c>
      <c r="C862" s="26" t="s">
        <v>2954</v>
      </c>
      <c r="D862" s="26" t="s">
        <v>2955</v>
      </c>
      <c r="E862" s="27">
        <v>4300</v>
      </c>
      <c r="F862" s="30">
        <v>60000</v>
      </c>
      <c r="G862" s="27">
        <v>12600</v>
      </c>
      <c r="H862" s="27">
        <v>76900</v>
      </c>
      <c r="I862" s="28" t="s">
        <v>19</v>
      </c>
      <c r="J862" s="43"/>
    </row>
    <row r="863" spans="1:10" customFormat="1" ht="15" hidden="1" customHeight="1" x14ac:dyDescent="0.25">
      <c r="A863" s="37">
        <v>45046</v>
      </c>
      <c r="B863" s="25" t="s">
        <v>3925</v>
      </c>
      <c r="C863" s="26" t="s">
        <v>3235</v>
      </c>
      <c r="D863" s="26" t="s">
        <v>3236</v>
      </c>
      <c r="E863" s="27">
        <v>8600</v>
      </c>
      <c r="F863" s="30">
        <v>120000</v>
      </c>
      <c r="G863" s="27">
        <v>25200</v>
      </c>
      <c r="H863" s="27">
        <v>153800</v>
      </c>
      <c r="I863" s="28" t="s">
        <v>19</v>
      </c>
      <c r="J863" s="43"/>
    </row>
    <row r="864" spans="1:10" customFormat="1" ht="15" hidden="1" customHeight="1" x14ac:dyDescent="0.25">
      <c r="A864" s="37">
        <v>45046</v>
      </c>
      <c r="B864" s="25" t="s">
        <v>3926</v>
      </c>
      <c r="C864" s="26" t="s">
        <v>2948</v>
      </c>
      <c r="D864" s="26" t="s">
        <v>2949</v>
      </c>
      <c r="E864" s="27">
        <v>8900</v>
      </c>
      <c r="F864" s="30">
        <v>91500</v>
      </c>
      <c r="G864" s="27">
        <v>19215</v>
      </c>
      <c r="H864" s="27">
        <v>119615</v>
      </c>
      <c r="I864" s="28" t="s">
        <v>19</v>
      </c>
      <c r="J864" s="43"/>
    </row>
    <row r="865" spans="1:10" customFormat="1" ht="15" hidden="1" customHeight="1" x14ac:dyDescent="0.25">
      <c r="A865" s="37">
        <v>45046</v>
      </c>
      <c r="B865" s="25" t="s">
        <v>3927</v>
      </c>
      <c r="C865" s="26" t="s">
        <v>2921</v>
      </c>
      <c r="D865" s="26" t="s">
        <v>2922</v>
      </c>
      <c r="E865" s="27">
        <v>6860</v>
      </c>
      <c r="F865" s="30">
        <v>146400</v>
      </c>
      <c r="G865" s="27">
        <v>30744</v>
      </c>
      <c r="H865" s="27">
        <v>184004</v>
      </c>
      <c r="I865" s="28" t="s">
        <v>19</v>
      </c>
      <c r="J865" s="43"/>
    </row>
    <row r="866" spans="1:10" customFormat="1" ht="15" hidden="1" customHeight="1" x14ac:dyDescent="0.25">
      <c r="A866" s="37">
        <v>45046</v>
      </c>
      <c r="B866" s="25" t="s">
        <v>3928</v>
      </c>
      <c r="C866" s="26" t="s">
        <v>2964</v>
      </c>
      <c r="D866" s="26" t="s">
        <v>2965</v>
      </c>
      <c r="E866" s="27">
        <v>1437.14</v>
      </c>
      <c r="F866" s="30">
        <v>62000</v>
      </c>
      <c r="G866" s="27">
        <v>13020</v>
      </c>
      <c r="H866" s="27">
        <v>76457.14</v>
      </c>
      <c r="I866" s="28" t="s">
        <v>19</v>
      </c>
      <c r="J866" s="43"/>
    </row>
    <row r="867" spans="1:10" customFormat="1" ht="15" hidden="1" customHeight="1" x14ac:dyDescent="0.25">
      <c r="A867" s="37">
        <v>45046</v>
      </c>
      <c r="B867" s="25" t="s">
        <v>3929</v>
      </c>
      <c r="C867" s="26" t="s">
        <v>3235</v>
      </c>
      <c r="D867" s="26" t="s">
        <v>3236</v>
      </c>
      <c r="E867" s="27">
        <v>22000</v>
      </c>
      <c r="F867" s="30">
        <v>164000</v>
      </c>
      <c r="G867" s="27">
        <v>34440</v>
      </c>
      <c r="H867" s="27">
        <v>220440</v>
      </c>
      <c r="I867" s="28" t="s">
        <v>19</v>
      </c>
      <c r="J867" s="43"/>
    </row>
    <row r="868" spans="1:10" customFormat="1" ht="15" hidden="1" customHeight="1" x14ac:dyDescent="0.25">
      <c r="A868" s="37">
        <v>45046</v>
      </c>
      <c r="B868" s="25" t="s">
        <v>3930</v>
      </c>
      <c r="C868" s="26" t="s">
        <v>2954</v>
      </c>
      <c r="D868" s="26" t="s">
        <v>2955</v>
      </c>
      <c r="E868" s="27">
        <v>10100</v>
      </c>
      <c r="F868" s="30">
        <v>123000</v>
      </c>
      <c r="G868" s="27">
        <v>25830</v>
      </c>
      <c r="H868" s="27">
        <v>158930</v>
      </c>
      <c r="I868" s="28" t="s">
        <v>19</v>
      </c>
      <c r="J868" s="43"/>
    </row>
    <row r="869" spans="1:10" customFormat="1" ht="15" hidden="1" customHeight="1" x14ac:dyDescent="0.25">
      <c r="A869" s="37">
        <v>45046</v>
      </c>
      <c r="B869" s="25" t="s">
        <v>3931</v>
      </c>
      <c r="C869" s="26" t="s">
        <v>2924</v>
      </c>
      <c r="D869" s="26" t="s">
        <v>2925</v>
      </c>
      <c r="E869" s="27">
        <v>12434</v>
      </c>
      <c r="F869" s="30">
        <v>215700</v>
      </c>
      <c r="G869" s="27">
        <v>45297</v>
      </c>
      <c r="H869" s="27">
        <v>273431</v>
      </c>
      <c r="I869" s="28" t="s">
        <v>19</v>
      </c>
      <c r="J869" s="43"/>
    </row>
    <row r="870" spans="1:10" customFormat="1" ht="15" hidden="1" customHeight="1" x14ac:dyDescent="0.25">
      <c r="A870" s="37">
        <v>45046</v>
      </c>
      <c r="B870" s="25" t="s">
        <v>3932</v>
      </c>
      <c r="C870" s="26" t="s">
        <v>3933</v>
      </c>
      <c r="D870" s="26" t="s">
        <v>3934</v>
      </c>
      <c r="E870" s="27">
        <v>6800</v>
      </c>
      <c r="F870" s="30">
        <v>164000</v>
      </c>
      <c r="G870" s="27">
        <v>34440</v>
      </c>
      <c r="H870" s="27">
        <v>205240</v>
      </c>
      <c r="I870" s="28" t="s">
        <v>19</v>
      </c>
      <c r="J870" s="43"/>
    </row>
    <row r="871" spans="1:10" customFormat="1" ht="15" hidden="1" customHeight="1" x14ac:dyDescent="0.25">
      <c r="A871" s="37">
        <v>45046</v>
      </c>
      <c r="B871" s="25" t="s">
        <v>3935</v>
      </c>
      <c r="C871" s="26" t="s">
        <v>3007</v>
      </c>
      <c r="D871" s="26" t="s">
        <v>3008</v>
      </c>
      <c r="E871" s="27">
        <v>8200</v>
      </c>
      <c r="F871" s="30">
        <v>54000</v>
      </c>
      <c r="G871" s="27">
        <v>11340</v>
      </c>
      <c r="H871" s="27">
        <v>73540</v>
      </c>
      <c r="I871" s="28" t="s">
        <v>19</v>
      </c>
      <c r="J871" s="43"/>
    </row>
    <row r="872" spans="1:10" customFormat="1" ht="15" hidden="1" customHeight="1" x14ac:dyDescent="0.25">
      <c r="A872" s="37">
        <v>45046</v>
      </c>
      <c r="B872" s="25" t="s">
        <v>3936</v>
      </c>
      <c r="C872" s="26" t="s">
        <v>3007</v>
      </c>
      <c r="D872" s="26" t="s">
        <v>3008</v>
      </c>
      <c r="E872" s="27">
        <v>8200</v>
      </c>
      <c r="F872" s="30">
        <v>54000</v>
      </c>
      <c r="G872" s="27">
        <v>11340</v>
      </c>
      <c r="H872" s="27">
        <v>73540</v>
      </c>
      <c r="I872" s="28" t="s">
        <v>19</v>
      </c>
      <c r="J872" s="43"/>
    </row>
    <row r="873" spans="1:10" customFormat="1" ht="15" hidden="1" customHeight="1" x14ac:dyDescent="0.25">
      <c r="A873" s="37">
        <v>45046</v>
      </c>
      <c r="B873" s="25" t="s">
        <v>3937</v>
      </c>
      <c r="C873" s="26" t="s">
        <v>3007</v>
      </c>
      <c r="D873" s="26" t="s">
        <v>3008</v>
      </c>
      <c r="E873" s="27">
        <v>16400</v>
      </c>
      <c r="F873" s="30">
        <v>108000</v>
      </c>
      <c r="G873" s="27">
        <v>22680</v>
      </c>
      <c r="H873" s="27">
        <v>147080</v>
      </c>
      <c r="I873" s="28" t="s">
        <v>19</v>
      </c>
      <c r="J873" s="43"/>
    </row>
    <row r="874" spans="1:10" customFormat="1" ht="15" hidden="1" customHeight="1" x14ac:dyDescent="0.25">
      <c r="A874" s="37">
        <v>45046</v>
      </c>
      <c r="B874" s="25" t="s">
        <v>3938</v>
      </c>
      <c r="C874" s="26" t="s">
        <v>2945</v>
      </c>
      <c r="D874" s="26" t="s">
        <v>2946</v>
      </c>
      <c r="E874" s="27">
        <v>1397</v>
      </c>
      <c r="F874" s="30">
        <v>62000</v>
      </c>
      <c r="G874" s="27">
        <v>13020</v>
      </c>
      <c r="H874" s="27">
        <v>76417</v>
      </c>
      <c r="I874" s="28" t="s">
        <v>19</v>
      </c>
      <c r="J874" s="43"/>
    </row>
    <row r="875" spans="1:10" customFormat="1" ht="15" hidden="1" customHeight="1" x14ac:dyDescent="0.25">
      <c r="A875" s="37">
        <v>45046</v>
      </c>
      <c r="B875" s="25" t="s">
        <v>3939</v>
      </c>
      <c r="C875" s="26" t="s">
        <v>2851</v>
      </c>
      <c r="D875" s="26" t="s">
        <v>2852</v>
      </c>
      <c r="E875" s="27">
        <v>7660</v>
      </c>
      <c r="F875" s="30">
        <v>190000</v>
      </c>
      <c r="G875" s="27">
        <v>39900</v>
      </c>
      <c r="H875" s="27">
        <v>237560</v>
      </c>
      <c r="I875" s="28" t="s">
        <v>19</v>
      </c>
      <c r="J875" s="43"/>
    </row>
    <row r="876" spans="1:10" customFormat="1" ht="15" hidden="1" customHeight="1" x14ac:dyDescent="0.25">
      <c r="A876" s="37">
        <v>45046</v>
      </c>
      <c r="B876" s="25" t="s">
        <v>3940</v>
      </c>
      <c r="C876" s="26" t="s">
        <v>2924</v>
      </c>
      <c r="D876" s="26" t="s">
        <v>2925</v>
      </c>
      <c r="E876" s="27">
        <v>0</v>
      </c>
      <c r="F876" s="30">
        <v>21000</v>
      </c>
      <c r="G876" s="27">
        <v>4410</v>
      </c>
      <c r="H876" s="27">
        <v>25410</v>
      </c>
      <c r="I876" s="28" t="s">
        <v>19</v>
      </c>
      <c r="J876" s="43"/>
    </row>
    <row r="877" spans="1:10" customFormat="1" ht="15" hidden="1" customHeight="1" x14ac:dyDescent="0.25">
      <c r="A877" s="37">
        <v>45046</v>
      </c>
      <c r="B877" s="25" t="s">
        <v>3941</v>
      </c>
      <c r="C877" s="26" t="s">
        <v>3176</v>
      </c>
      <c r="D877" s="26" t="s">
        <v>3177</v>
      </c>
      <c r="E877" s="27">
        <v>0</v>
      </c>
      <c r="F877" s="30">
        <v>18000</v>
      </c>
      <c r="G877" s="27">
        <v>3780</v>
      </c>
      <c r="H877" s="27">
        <v>21780</v>
      </c>
      <c r="I877" s="28" t="s">
        <v>19</v>
      </c>
      <c r="J877" s="43"/>
    </row>
    <row r="878" spans="1:10" customFormat="1" ht="15" hidden="1" customHeight="1" x14ac:dyDescent="0.25">
      <c r="A878" s="37">
        <v>45046</v>
      </c>
      <c r="B878" s="25" t="s">
        <v>3942</v>
      </c>
      <c r="C878" s="26" t="s">
        <v>2856</v>
      </c>
      <c r="D878" s="26" t="s">
        <v>2857</v>
      </c>
      <c r="E878" s="27">
        <v>0</v>
      </c>
      <c r="F878" s="30">
        <v>18000</v>
      </c>
      <c r="G878" s="27">
        <v>3780</v>
      </c>
      <c r="H878" s="27">
        <v>21780</v>
      </c>
      <c r="I878" s="28" t="s">
        <v>19</v>
      </c>
      <c r="J878" s="43"/>
    </row>
    <row r="879" spans="1:10" customFormat="1" ht="15" hidden="1" customHeight="1" x14ac:dyDescent="0.25">
      <c r="A879" s="37">
        <v>45046</v>
      </c>
      <c r="B879" s="25" t="s">
        <v>3943</v>
      </c>
      <c r="C879" s="26" t="s">
        <v>2851</v>
      </c>
      <c r="D879" s="26" t="s">
        <v>2852</v>
      </c>
      <c r="E879" s="27">
        <v>3174</v>
      </c>
      <c r="F879" s="30">
        <v>164000</v>
      </c>
      <c r="G879" s="27">
        <v>34440</v>
      </c>
      <c r="H879" s="27">
        <v>201614</v>
      </c>
      <c r="I879" s="28" t="s">
        <v>19</v>
      </c>
      <c r="J879" s="43"/>
    </row>
    <row r="880" spans="1:10" customFormat="1" ht="15" hidden="1" customHeight="1" x14ac:dyDescent="0.25">
      <c r="A880" s="37">
        <v>45046</v>
      </c>
      <c r="B880" s="25" t="s">
        <v>3944</v>
      </c>
      <c r="C880" s="26" t="s">
        <v>2851</v>
      </c>
      <c r="D880" s="26" t="s">
        <v>2852</v>
      </c>
      <c r="E880" s="27">
        <v>1817</v>
      </c>
      <c r="F880" s="30">
        <v>82000</v>
      </c>
      <c r="G880" s="27">
        <v>17220</v>
      </c>
      <c r="H880" s="27">
        <v>101037</v>
      </c>
      <c r="I880" s="28" t="s">
        <v>19</v>
      </c>
      <c r="J880" s="43"/>
    </row>
    <row r="881" spans="1:10" customFormat="1" ht="15" hidden="1" customHeight="1" x14ac:dyDescent="0.25">
      <c r="A881" s="37">
        <v>45046</v>
      </c>
      <c r="B881" s="25" t="s">
        <v>3945</v>
      </c>
      <c r="C881" s="26" t="s">
        <v>2856</v>
      </c>
      <c r="D881" s="26" t="s">
        <v>2857</v>
      </c>
      <c r="E881" s="27">
        <v>0</v>
      </c>
      <c r="F881" s="30">
        <v>18000</v>
      </c>
      <c r="G881" s="27">
        <v>3780</v>
      </c>
      <c r="H881" s="27">
        <v>21780</v>
      </c>
      <c r="I881" s="28" t="s">
        <v>19</v>
      </c>
      <c r="J881" s="43"/>
    </row>
    <row r="882" spans="1:10" customFormat="1" ht="15" hidden="1" customHeight="1" x14ac:dyDescent="0.25">
      <c r="A882" s="37">
        <v>45046</v>
      </c>
      <c r="B882" s="25" t="s">
        <v>3946</v>
      </c>
      <c r="C882" s="26" t="s">
        <v>3606</v>
      </c>
      <c r="D882" s="26" t="s">
        <v>3607</v>
      </c>
      <c r="E882" s="27">
        <v>0</v>
      </c>
      <c r="F882" s="30">
        <v>18000</v>
      </c>
      <c r="G882" s="27">
        <v>3780</v>
      </c>
      <c r="H882" s="27">
        <v>21780</v>
      </c>
      <c r="I882" s="28" t="s">
        <v>19</v>
      </c>
      <c r="J882" s="43"/>
    </row>
    <row r="883" spans="1:10" customFormat="1" ht="15" hidden="1" customHeight="1" x14ac:dyDescent="0.25">
      <c r="A883" s="37">
        <v>45046</v>
      </c>
      <c r="B883" s="25" t="s">
        <v>3947</v>
      </c>
      <c r="C883" s="26" t="s">
        <v>3948</v>
      </c>
      <c r="D883" s="26" t="s">
        <v>3949</v>
      </c>
      <c r="E883" s="27">
        <v>2603.8000000000002</v>
      </c>
      <c r="F883" s="30">
        <v>52000</v>
      </c>
      <c r="G883" s="27">
        <v>10920</v>
      </c>
      <c r="H883" s="27">
        <v>65523.8</v>
      </c>
      <c r="I883" s="28" t="s">
        <v>19</v>
      </c>
      <c r="J883" s="43"/>
    </row>
    <row r="884" spans="1:10" customFormat="1" ht="15" hidden="1" customHeight="1" x14ac:dyDescent="0.25">
      <c r="A884" s="37">
        <v>45046</v>
      </c>
      <c r="B884" s="25" t="s">
        <v>3950</v>
      </c>
      <c r="C884" s="26" t="s">
        <v>3235</v>
      </c>
      <c r="D884" s="26" t="s">
        <v>3236</v>
      </c>
      <c r="E884" s="27">
        <v>22000</v>
      </c>
      <c r="F884" s="30">
        <v>164000</v>
      </c>
      <c r="G884" s="27">
        <v>34440</v>
      </c>
      <c r="H884" s="27">
        <v>220440</v>
      </c>
      <c r="I884" s="28" t="s">
        <v>19</v>
      </c>
      <c r="J884" s="43"/>
    </row>
    <row r="885" spans="1:10" customFormat="1" ht="15" hidden="1" customHeight="1" x14ac:dyDescent="0.25">
      <c r="A885" s="37">
        <v>45046</v>
      </c>
      <c r="B885" s="25" t="s">
        <v>3951</v>
      </c>
      <c r="C885" s="26" t="s">
        <v>3241</v>
      </c>
      <c r="D885" s="26" t="s">
        <v>3242</v>
      </c>
      <c r="E885" s="27">
        <v>12870.64</v>
      </c>
      <c r="F885" s="30">
        <v>270000</v>
      </c>
      <c r="G885" s="27">
        <v>56700</v>
      </c>
      <c r="H885" s="27">
        <v>339570.64</v>
      </c>
      <c r="I885" s="28" t="s">
        <v>19</v>
      </c>
      <c r="J885" s="43"/>
    </row>
    <row r="886" spans="1:10" customFormat="1" ht="15" hidden="1" customHeight="1" x14ac:dyDescent="0.25">
      <c r="A886" s="37">
        <v>45046</v>
      </c>
      <c r="B886" s="25" t="s">
        <v>3952</v>
      </c>
      <c r="C886" s="26" t="s">
        <v>2867</v>
      </c>
      <c r="D886" s="26" t="s">
        <v>2868</v>
      </c>
      <c r="E886" s="27">
        <v>10926</v>
      </c>
      <c r="F886" s="30">
        <v>228200</v>
      </c>
      <c r="G886" s="27">
        <v>47922</v>
      </c>
      <c r="H886" s="27">
        <v>287048</v>
      </c>
      <c r="I886" s="28" t="s">
        <v>19</v>
      </c>
      <c r="J886" s="43"/>
    </row>
    <row r="887" spans="1:10" customFormat="1" ht="15" hidden="1" customHeight="1" x14ac:dyDescent="0.25">
      <c r="A887" s="37">
        <v>45046</v>
      </c>
      <c r="B887" s="25" t="s">
        <v>3953</v>
      </c>
      <c r="C887" s="26" t="s">
        <v>3235</v>
      </c>
      <c r="D887" s="26" t="s">
        <v>3236</v>
      </c>
      <c r="E887" s="27">
        <v>31740</v>
      </c>
      <c r="F887" s="30">
        <v>276000</v>
      </c>
      <c r="G887" s="27">
        <v>57960</v>
      </c>
      <c r="H887" s="27">
        <v>365700</v>
      </c>
      <c r="I887" s="28" t="s">
        <v>19</v>
      </c>
      <c r="J887" s="43"/>
    </row>
    <row r="888" spans="1:10" customFormat="1" ht="15" hidden="1" customHeight="1" x14ac:dyDescent="0.25">
      <c r="A888" s="37">
        <v>45046</v>
      </c>
      <c r="B888" s="25" t="s">
        <v>3954</v>
      </c>
      <c r="C888" s="26" t="s">
        <v>3235</v>
      </c>
      <c r="D888" s="26" t="s">
        <v>3236</v>
      </c>
      <c r="E888" s="27">
        <v>11040</v>
      </c>
      <c r="F888" s="30">
        <v>108000</v>
      </c>
      <c r="G888" s="27">
        <v>22680</v>
      </c>
      <c r="H888" s="27">
        <v>141720</v>
      </c>
      <c r="I888" s="28" t="s">
        <v>19</v>
      </c>
      <c r="J888" s="43"/>
    </row>
    <row r="889" spans="1:10" customFormat="1" ht="15" hidden="1" customHeight="1" x14ac:dyDescent="0.25">
      <c r="A889" s="37">
        <v>45046</v>
      </c>
      <c r="B889" s="25" t="s">
        <v>3955</v>
      </c>
      <c r="C889" s="26" t="s">
        <v>3029</v>
      </c>
      <c r="D889" s="26" t="s">
        <v>3030</v>
      </c>
      <c r="E889" s="27">
        <v>5520</v>
      </c>
      <c r="F889" s="30">
        <v>54000</v>
      </c>
      <c r="G889" s="27">
        <v>11340</v>
      </c>
      <c r="H889" s="27">
        <v>70860</v>
      </c>
      <c r="I889" s="28" t="s">
        <v>19</v>
      </c>
      <c r="J889" s="43"/>
    </row>
    <row r="890" spans="1:10" customFormat="1" ht="15" hidden="1" customHeight="1" x14ac:dyDescent="0.25">
      <c r="A890" s="37">
        <v>45046</v>
      </c>
      <c r="B890" s="25" t="s">
        <v>3956</v>
      </c>
      <c r="C890" s="26" t="s">
        <v>2886</v>
      </c>
      <c r="D890" s="26" t="s">
        <v>2887</v>
      </c>
      <c r="E890" s="27">
        <v>22080</v>
      </c>
      <c r="F890" s="30">
        <v>216000</v>
      </c>
      <c r="G890" s="27">
        <v>45360</v>
      </c>
      <c r="H890" s="27">
        <v>283440</v>
      </c>
      <c r="I890" s="28" t="s">
        <v>19</v>
      </c>
      <c r="J890" s="43"/>
    </row>
    <row r="891" spans="1:10" customFormat="1" ht="15" hidden="1" customHeight="1" x14ac:dyDescent="0.25">
      <c r="A891" s="37">
        <v>45046</v>
      </c>
      <c r="B891" s="25" t="s">
        <v>3957</v>
      </c>
      <c r="C891" s="26" t="s">
        <v>2921</v>
      </c>
      <c r="D891" s="26" t="s">
        <v>2922</v>
      </c>
      <c r="E891" s="27">
        <v>0</v>
      </c>
      <c r="F891" s="30">
        <v>23000</v>
      </c>
      <c r="G891" s="27">
        <v>4830</v>
      </c>
      <c r="H891" s="27">
        <v>27830</v>
      </c>
      <c r="I891" s="28" t="s">
        <v>19</v>
      </c>
      <c r="J891" s="43"/>
    </row>
    <row r="892" spans="1:10" customFormat="1" ht="15" hidden="1" customHeight="1" x14ac:dyDescent="0.25">
      <c r="A892" s="37">
        <v>45046</v>
      </c>
      <c r="B892" s="25" t="s">
        <v>3958</v>
      </c>
      <c r="C892" s="26" t="s">
        <v>3235</v>
      </c>
      <c r="D892" s="26" t="s">
        <v>3236</v>
      </c>
      <c r="E892" s="27">
        <v>0</v>
      </c>
      <c r="F892" s="30">
        <v>60000</v>
      </c>
      <c r="G892" s="27">
        <v>12600</v>
      </c>
      <c r="H892" s="27">
        <v>72600</v>
      </c>
      <c r="I892" s="28" t="s">
        <v>19</v>
      </c>
      <c r="J892" s="43"/>
    </row>
    <row r="893" spans="1:10" customFormat="1" ht="15" hidden="1" customHeight="1" x14ac:dyDescent="0.25">
      <c r="A893" s="37">
        <v>45046</v>
      </c>
      <c r="B893" s="25" t="s">
        <v>3959</v>
      </c>
      <c r="C893" s="26" t="s">
        <v>3147</v>
      </c>
      <c r="D893" s="26" t="s">
        <v>3148</v>
      </c>
      <c r="E893" s="27">
        <v>0</v>
      </c>
      <c r="F893" s="30">
        <v>104545</v>
      </c>
      <c r="G893" s="27">
        <v>21954.45</v>
      </c>
      <c r="H893" s="27">
        <v>126499.45</v>
      </c>
      <c r="I893" s="28" t="s">
        <v>103</v>
      </c>
      <c r="J893" s="43"/>
    </row>
    <row r="894" spans="1:10" customFormat="1" ht="15" hidden="1" customHeight="1" x14ac:dyDescent="0.25">
      <c r="A894" s="37">
        <v>45046</v>
      </c>
      <c r="B894" s="25" t="s">
        <v>3960</v>
      </c>
      <c r="C894" s="26" t="s">
        <v>3346</v>
      </c>
      <c r="D894" s="26" t="s">
        <v>3347</v>
      </c>
      <c r="E894" s="27">
        <v>0</v>
      </c>
      <c r="F894" s="30">
        <v>1076155.8</v>
      </c>
      <c r="G894" s="27">
        <v>225992.72</v>
      </c>
      <c r="H894" s="27">
        <v>1302148.52</v>
      </c>
      <c r="I894" s="28" t="s">
        <v>103</v>
      </c>
      <c r="J894" s="43"/>
    </row>
    <row r="895" spans="1:10" customFormat="1" ht="15" hidden="1" customHeight="1" x14ac:dyDescent="0.25">
      <c r="A895" s="37">
        <v>45046</v>
      </c>
      <c r="B895" s="25" t="s">
        <v>3961</v>
      </c>
      <c r="C895" s="26" t="s">
        <v>3140</v>
      </c>
      <c r="D895" s="26" t="s">
        <v>3141</v>
      </c>
      <c r="E895" s="27">
        <v>0</v>
      </c>
      <c r="F895" s="30">
        <v>52400</v>
      </c>
      <c r="G895" s="27">
        <v>11004</v>
      </c>
      <c r="H895" s="27">
        <v>63404</v>
      </c>
      <c r="I895" s="28" t="s">
        <v>103</v>
      </c>
      <c r="J895" s="43"/>
    </row>
    <row r="896" spans="1:10" customFormat="1" ht="15" hidden="1" customHeight="1" x14ac:dyDescent="0.25">
      <c r="A896" s="37">
        <v>45046</v>
      </c>
      <c r="B896" s="25" t="s">
        <v>3962</v>
      </c>
      <c r="C896" s="26" t="s">
        <v>3450</v>
      </c>
      <c r="D896" s="26" t="s">
        <v>3451</v>
      </c>
      <c r="E896" s="27">
        <v>0</v>
      </c>
      <c r="F896" s="30">
        <v>322903</v>
      </c>
      <c r="G896" s="27">
        <v>67809.63</v>
      </c>
      <c r="H896" s="27">
        <v>390712.63</v>
      </c>
      <c r="I896" s="28" t="s">
        <v>103</v>
      </c>
      <c r="J896" s="43"/>
    </row>
    <row r="897" spans="1:10" customFormat="1" ht="15" hidden="1" customHeight="1" x14ac:dyDescent="0.25">
      <c r="A897" s="37">
        <v>45046</v>
      </c>
      <c r="B897" s="25" t="s">
        <v>3963</v>
      </c>
      <c r="C897" s="26" t="s">
        <v>3176</v>
      </c>
      <c r="D897" s="26" t="s">
        <v>3177</v>
      </c>
      <c r="E897" s="27">
        <v>0</v>
      </c>
      <c r="F897" s="30">
        <v>16240</v>
      </c>
      <c r="G897" s="27">
        <v>3410.4</v>
      </c>
      <c r="H897" s="27">
        <v>19650.400000000001</v>
      </c>
      <c r="I897" s="28" t="s">
        <v>19</v>
      </c>
      <c r="J897" s="43"/>
    </row>
    <row r="898" spans="1:10" customFormat="1" ht="15" hidden="1" customHeight="1" x14ac:dyDescent="0.25">
      <c r="A898" s="37">
        <v>45046</v>
      </c>
      <c r="B898" s="25" t="s">
        <v>3964</v>
      </c>
      <c r="C898" s="26" t="s">
        <v>1140</v>
      </c>
      <c r="D898" s="26" t="s">
        <v>1141</v>
      </c>
      <c r="E898" s="27">
        <v>0</v>
      </c>
      <c r="F898" s="30">
        <v>1358589</v>
      </c>
      <c r="G898" s="27">
        <v>285303.69</v>
      </c>
      <c r="H898" s="27">
        <v>1643892.69</v>
      </c>
      <c r="I898" s="28" t="s">
        <v>103</v>
      </c>
      <c r="J898" s="43"/>
    </row>
    <row r="899" spans="1:10" customFormat="1" ht="15" hidden="1" customHeight="1" x14ac:dyDescent="0.25">
      <c r="A899" s="37">
        <v>45046</v>
      </c>
      <c r="B899" s="25" t="s">
        <v>3965</v>
      </c>
      <c r="C899" s="26" t="s">
        <v>3966</v>
      </c>
      <c r="D899" s="26" t="s">
        <v>3967</v>
      </c>
      <c r="E899" s="27">
        <v>0</v>
      </c>
      <c r="F899" s="30">
        <v>65270</v>
      </c>
      <c r="G899" s="27">
        <v>13706.7</v>
      </c>
      <c r="H899" s="27">
        <v>78976.7</v>
      </c>
      <c r="I899" s="28" t="s">
        <v>103</v>
      </c>
      <c r="J899" s="43"/>
    </row>
    <row r="900" spans="1:10" customFormat="1" ht="15" hidden="1" customHeight="1" x14ac:dyDescent="0.25">
      <c r="A900" s="37">
        <v>45046</v>
      </c>
      <c r="B900" s="25" t="s">
        <v>3968</v>
      </c>
      <c r="C900" s="26" t="s">
        <v>3033</v>
      </c>
      <c r="D900" s="26" t="s">
        <v>3034</v>
      </c>
      <c r="E900" s="27">
        <v>0</v>
      </c>
      <c r="F900" s="30">
        <v>188538</v>
      </c>
      <c r="G900" s="27">
        <v>39592.980000000003</v>
      </c>
      <c r="H900" s="27">
        <v>228130.98</v>
      </c>
      <c r="I900" s="28" t="s">
        <v>19</v>
      </c>
      <c r="J900" s="43"/>
    </row>
    <row r="901" spans="1:10" customFormat="1" ht="15" hidden="1" customHeight="1" x14ac:dyDescent="0.25">
      <c r="A901" s="37">
        <v>45046</v>
      </c>
      <c r="B901" s="25" t="s">
        <v>3969</v>
      </c>
      <c r="C901" s="26" t="s">
        <v>3041</v>
      </c>
      <c r="D901" s="26" t="s">
        <v>3042</v>
      </c>
      <c r="E901" s="27">
        <v>0</v>
      </c>
      <c r="F901" s="30">
        <v>207253</v>
      </c>
      <c r="G901" s="27">
        <v>43523.13</v>
      </c>
      <c r="H901" s="27">
        <v>250776.13</v>
      </c>
      <c r="I901" s="28" t="s">
        <v>103</v>
      </c>
      <c r="J901" s="43"/>
    </row>
    <row r="902" spans="1:10" customFormat="1" ht="15" hidden="1" customHeight="1" x14ac:dyDescent="0.25">
      <c r="A902" s="37">
        <v>45046</v>
      </c>
      <c r="B902" s="25" t="s">
        <v>3970</v>
      </c>
      <c r="C902" s="26" t="s">
        <v>3971</v>
      </c>
      <c r="D902" s="26" t="s">
        <v>3972</v>
      </c>
      <c r="E902" s="27">
        <v>-9.3132257461547902E-12</v>
      </c>
      <c r="F902" s="30">
        <v>55706</v>
      </c>
      <c r="G902" s="27">
        <v>11698.26</v>
      </c>
      <c r="H902" s="27">
        <v>67404.259999999995</v>
      </c>
      <c r="I902" s="28" t="s">
        <v>103</v>
      </c>
      <c r="J902" s="43"/>
    </row>
    <row r="903" spans="1:10" customFormat="1" ht="15" hidden="1" customHeight="1" x14ac:dyDescent="0.25">
      <c r="A903" s="37">
        <v>45046</v>
      </c>
      <c r="B903" s="25" t="s">
        <v>3973</v>
      </c>
      <c r="C903" s="26" t="s">
        <v>2892</v>
      </c>
      <c r="D903" s="26" t="s">
        <v>2893</v>
      </c>
      <c r="E903" s="27">
        <v>0</v>
      </c>
      <c r="F903" s="30">
        <v>188000</v>
      </c>
      <c r="G903" s="27">
        <v>39480</v>
      </c>
      <c r="H903" s="27">
        <v>227480</v>
      </c>
      <c r="I903" s="28" t="s">
        <v>103</v>
      </c>
      <c r="J903" s="43"/>
    </row>
    <row r="904" spans="1:10" customFormat="1" ht="15" hidden="1" customHeight="1" x14ac:dyDescent="0.25">
      <c r="A904" s="37">
        <v>45046</v>
      </c>
      <c r="B904" s="25" t="s">
        <v>3974</v>
      </c>
      <c r="C904" s="26" t="s">
        <v>3722</v>
      </c>
      <c r="D904" s="26" t="s">
        <v>3723</v>
      </c>
      <c r="E904" s="27">
        <v>0</v>
      </c>
      <c r="F904" s="30">
        <v>173734</v>
      </c>
      <c r="G904" s="27">
        <v>36484.14</v>
      </c>
      <c r="H904" s="27">
        <v>315471.2</v>
      </c>
      <c r="I904" s="28" t="s">
        <v>103</v>
      </c>
      <c r="J904" s="43"/>
    </row>
    <row r="905" spans="1:10" customFormat="1" ht="15" hidden="1" customHeight="1" x14ac:dyDescent="0.25">
      <c r="A905" s="37">
        <v>45046</v>
      </c>
      <c r="B905" s="25" t="s">
        <v>3975</v>
      </c>
      <c r="C905" s="26" t="s">
        <v>3268</v>
      </c>
      <c r="D905" s="26" t="s">
        <v>3269</v>
      </c>
      <c r="E905" s="27">
        <v>0</v>
      </c>
      <c r="F905" s="30">
        <v>43680</v>
      </c>
      <c r="G905" s="27">
        <v>9172.7999999999993</v>
      </c>
      <c r="H905" s="27">
        <v>52852.800000000003</v>
      </c>
      <c r="I905" s="28" t="s">
        <v>103</v>
      </c>
      <c r="J905" s="43"/>
    </row>
    <row r="906" spans="1:10" customFormat="1" ht="15" hidden="1" customHeight="1" x14ac:dyDescent="0.25">
      <c r="A906" s="37">
        <v>45046</v>
      </c>
      <c r="B906" s="25" t="s">
        <v>3976</v>
      </c>
      <c r="C906" s="26" t="s">
        <v>2856</v>
      </c>
      <c r="D906" s="26" t="s">
        <v>2857</v>
      </c>
      <c r="E906" s="27">
        <v>-5.9604644775390595E-10</v>
      </c>
      <c r="F906" s="30">
        <v>4051785</v>
      </c>
      <c r="G906" s="27">
        <v>850874.85</v>
      </c>
      <c r="H906" s="50">
        <v>4902659.8499999996</v>
      </c>
      <c r="I906" s="51" t="s">
        <v>103</v>
      </c>
      <c r="J906" s="43"/>
    </row>
    <row r="907" spans="1:10" customFormat="1" ht="15" hidden="1" customHeight="1" x14ac:dyDescent="0.25">
      <c r="A907" s="57">
        <v>45046</v>
      </c>
      <c r="B907" s="138" t="s">
        <v>3977</v>
      </c>
      <c r="C907" s="139" t="s">
        <v>3187</v>
      </c>
      <c r="D907" s="139" t="s">
        <v>3188</v>
      </c>
      <c r="E907" s="140">
        <v>0</v>
      </c>
      <c r="F907" s="141">
        <v>102107</v>
      </c>
      <c r="G907" s="140">
        <v>21442.47</v>
      </c>
      <c r="H907" s="140">
        <v>123549.47</v>
      </c>
      <c r="I907" s="59" t="s">
        <v>103</v>
      </c>
      <c r="J907" s="43"/>
    </row>
    <row r="908" spans="1:10" ht="15" hidden="1" customHeight="1" x14ac:dyDescent="0.25">
      <c r="A908" s="127">
        <v>45046</v>
      </c>
      <c r="B908" s="128" t="s">
        <v>3978</v>
      </c>
      <c r="C908" s="128" t="s">
        <v>2895</v>
      </c>
      <c r="D908" s="128" t="s">
        <v>2896</v>
      </c>
      <c r="E908" s="129">
        <v>0</v>
      </c>
      <c r="F908" s="130">
        <v>309340</v>
      </c>
      <c r="G908" s="129">
        <v>64961.4</v>
      </c>
      <c r="H908" s="129">
        <v>374301.4</v>
      </c>
      <c r="I908" s="121" t="s">
        <v>103</v>
      </c>
      <c r="J908" s="43"/>
    </row>
    <row r="909" spans="1:10" customFormat="1" ht="15" hidden="1" customHeight="1" x14ac:dyDescent="0.25">
      <c r="A909" s="126">
        <v>45046</v>
      </c>
      <c r="B909" s="155" t="s">
        <v>3979</v>
      </c>
      <c r="C909" s="155" t="s">
        <v>3132</v>
      </c>
      <c r="D909" s="155" t="s">
        <v>3133</v>
      </c>
      <c r="E909" s="156">
        <v>0</v>
      </c>
      <c r="F909" s="157">
        <v>298360</v>
      </c>
      <c r="G909" s="156">
        <v>62655.6</v>
      </c>
      <c r="H909" s="156">
        <v>361015.6</v>
      </c>
      <c r="I909" s="55" t="s">
        <v>103</v>
      </c>
      <c r="J909" s="43"/>
    </row>
    <row r="910" spans="1:10" customFormat="1" ht="15" hidden="1" customHeight="1" x14ac:dyDescent="0.25">
      <c r="A910" s="37">
        <v>45046</v>
      </c>
      <c r="B910" s="25" t="s">
        <v>3980</v>
      </c>
      <c r="C910" s="26" t="s">
        <v>3876</v>
      </c>
      <c r="D910" s="26" t="s">
        <v>3877</v>
      </c>
      <c r="E910" s="27">
        <v>0</v>
      </c>
      <c r="F910" s="30">
        <v>282021</v>
      </c>
      <c r="G910" s="27">
        <v>59224.41</v>
      </c>
      <c r="H910" s="27">
        <v>341245.41</v>
      </c>
      <c r="I910" s="28" t="s">
        <v>103</v>
      </c>
      <c r="J910" s="43"/>
    </row>
    <row r="911" spans="1:10" customFormat="1" ht="15" hidden="1" customHeight="1" x14ac:dyDescent="0.25">
      <c r="A911" s="52">
        <v>45033</v>
      </c>
      <c r="B911" s="53" t="s">
        <v>3981</v>
      </c>
      <c r="C911" s="35" t="s">
        <v>3982</v>
      </c>
      <c r="D911" s="35" t="s">
        <v>3347</v>
      </c>
      <c r="E911" s="54">
        <v>0</v>
      </c>
      <c r="F911" s="108">
        <v>-284006.31</v>
      </c>
      <c r="G911" s="54">
        <v>0</v>
      </c>
      <c r="H911" s="98">
        <v>-1636417.31</v>
      </c>
      <c r="I911" s="55" t="s">
        <v>19</v>
      </c>
      <c r="J911" s="43"/>
    </row>
    <row r="912" spans="1:10" customFormat="1" ht="15" hidden="1" customHeight="1" x14ac:dyDescent="0.25">
      <c r="A912" s="52">
        <v>45033</v>
      </c>
      <c r="B912" s="53" t="s">
        <v>3981</v>
      </c>
      <c r="C912" s="35" t="s">
        <v>3982</v>
      </c>
      <c r="D912" s="35" t="s">
        <v>3347</v>
      </c>
      <c r="E912" s="54">
        <v>0</v>
      </c>
      <c r="F912" s="108">
        <v>-122688.3</v>
      </c>
      <c r="G912" s="54">
        <v>0</v>
      </c>
      <c r="H912" s="98">
        <v>-706918.3</v>
      </c>
      <c r="I912" s="55" t="s">
        <v>19</v>
      </c>
      <c r="J912" s="43"/>
    </row>
    <row r="913" spans="1:10" customFormat="1" ht="15" hidden="1" customHeight="1" x14ac:dyDescent="0.25">
      <c r="A913" s="99">
        <v>45036</v>
      </c>
      <c r="B913" s="100" t="s">
        <v>3981</v>
      </c>
      <c r="C913" s="101" t="s">
        <v>3982</v>
      </c>
      <c r="D913" s="101" t="s">
        <v>3347</v>
      </c>
      <c r="E913" s="102">
        <v>0</v>
      </c>
      <c r="F913" s="109">
        <v>-276362.51</v>
      </c>
      <c r="G913" s="102">
        <v>0</v>
      </c>
      <c r="H913" s="103">
        <v>-1592374.45</v>
      </c>
      <c r="I913" s="55" t="s">
        <v>19</v>
      </c>
      <c r="J913" s="43"/>
    </row>
    <row r="914" spans="1:10" customFormat="1" ht="15" hidden="1" customHeight="1" x14ac:dyDescent="0.25">
      <c r="A914" s="37">
        <v>44957</v>
      </c>
      <c r="B914" s="36" t="s">
        <v>3981</v>
      </c>
      <c r="C914" s="28" t="s">
        <v>2930</v>
      </c>
      <c r="D914" s="28" t="s">
        <v>2931</v>
      </c>
      <c r="E914" s="38">
        <v>0</v>
      </c>
      <c r="F914" s="30">
        <v>412512</v>
      </c>
      <c r="G914" s="38">
        <v>0</v>
      </c>
      <c r="H914" s="56"/>
      <c r="I914" s="28" t="s">
        <v>103</v>
      </c>
      <c r="J914" s="43"/>
    </row>
    <row r="915" spans="1:10" customFormat="1" ht="15" hidden="1" customHeight="1" x14ac:dyDescent="0.25">
      <c r="A915" s="37">
        <v>44985</v>
      </c>
      <c r="B915" s="36" t="s">
        <v>3981</v>
      </c>
      <c r="C915" s="28" t="s">
        <v>2930</v>
      </c>
      <c r="D915" s="28" t="s">
        <v>2931</v>
      </c>
      <c r="E915" s="38">
        <v>0</v>
      </c>
      <c r="F915" s="67">
        <v>0</v>
      </c>
      <c r="G915" s="38">
        <v>0</v>
      </c>
      <c r="H915" s="56">
        <v>91135.99</v>
      </c>
      <c r="I915" s="28" t="s">
        <v>103</v>
      </c>
      <c r="J915" s="43"/>
    </row>
    <row r="916" spans="1:10" customFormat="1" ht="15" hidden="1" customHeight="1" x14ac:dyDescent="0.25">
      <c r="A916" s="37">
        <v>45016</v>
      </c>
      <c r="B916" s="36" t="s">
        <v>3981</v>
      </c>
      <c r="C916" s="28" t="s">
        <v>2930</v>
      </c>
      <c r="D916" s="28" t="s">
        <v>2931</v>
      </c>
      <c r="E916" s="38">
        <v>0</v>
      </c>
      <c r="F916" s="110">
        <v>103110.15</v>
      </c>
      <c r="G916" s="38">
        <v>0</v>
      </c>
      <c r="H916" s="56">
        <v>0</v>
      </c>
      <c r="I916" s="28" t="s">
        <v>103</v>
      </c>
      <c r="J916" s="43"/>
    </row>
    <row r="917" spans="1:10" customFormat="1" ht="15" hidden="1" customHeight="1" x14ac:dyDescent="0.25">
      <c r="A917" s="57">
        <v>45046</v>
      </c>
      <c r="B917" s="58" t="s">
        <v>3981</v>
      </c>
      <c r="C917" s="59" t="s">
        <v>2930</v>
      </c>
      <c r="D917" s="59" t="s">
        <v>2931</v>
      </c>
      <c r="E917" s="60">
        <v>0</v>
      </c>
      <c r="F917" s="111">
        <v>111985.5</v>
      </c>
      <c r="G917" s="60">
        <v>19435.5</v>
      </c>
      <c r="H917" s="56">
        <v>0</v>
      </c>
      <c r="I917" s="62" t="s">
        <v>103</v>
      </c>
      <c r="J917" s="43"/>
    </row>
    <row r="918" spans="1:10" customFormat="1" ht="15" hidden="1" customHeight="1" x14ac:dyDescent="0.25">
      <c r="A918" s="24">
        <v>45057</v>
      </c>
      <c r="B918" s="63" t="s">
        <v>3983</v>
      </c>
      <c r="C918" s="26" t="s">
        <v>3235</v>
      </c>
      <c r="D918" s="26" t="s">
        <v>3236</v>
      </c>
      <c r="E918" s="27">
        <v>44000</v>
      </c>
      <c r="F918" s="30">
        <v>440880</v>
      </c>
      <c r="G918" s="27">
        <v>68880</v>
      </c>
      <c r="H918" s="56">
        <v>0</v>
      </c>
      <c r="I918" s="28" t="s">
        <v>19</v>
      </c>
      <c r="J918" s="43"/>
    </row>
    <row r="919" spans="1:10" customFormat="1" ht="15" hidden="1" customHeight="1" x14ac:dyDescent="0.25">
      <c r="A919" s="24">
        <v>45057</v>
      </c>
      <c r="B919" s="63" t="s">
        <v>3984</v>
      </c>
      <c r="C919" s="26" t="s">
        <v>2912</v>
      </c>
      <c r="D919" s="26" t="s">
        <v>2913</v>
      </c>
      <c r="E919" s="27">
        <v>10900</v>
      </c>
      <c r="F919" s="30">
        <v>188044</v>
      </c>
      <c r="G919" s="27">
        <v>30744</v>
      </c>
      <c r="H919" s="56">
        <v>0</v>
      </c>
      <c r="I919" s="35" t="s">
        <v>19</v>
      </c>
      <c r="J919" s="43"/>
    </row>
    <row r="920" spans="1:10" customFormat="1" ht="15" hidden="1" customHeight="1" x14ac:dyDescent="0.25">
      <c r="A920" s="24">
        <v>45057</v>
      </c>
      <c r="B920" s="63" t="s">
        <v>3985</v>
      </c>
      <c r="C920" s="26" t="s">
        <v>2954</v>
      </c>
      <c r="D920" s="26" t="s">
        <v>2955</v>
      </c>
      <c r="E920" s="27">
        <v>11900</v>
      </c>
      <c r="F920" s="30">
        <v>241800</v>
      </c>
      <c r="G920" s="27">
        <v>39900</v>
      </c>
      <c r="H920" s="56">
        <v>0</v>
      </c>
      <c r="I920" s="35" t="s">
        <v>19</v>
      </c>
      <c r="J920" s="43"/>
    </row>
    <row r="921" spans="1:10" customFormat="1" ht="15" hidden="1" customHeight="1" x14ac:dyDescent="0.25">
      <c r="A921" s="24">
        <v>45057</v>
      </c>
      <c r="B921" s="63" t="s">
        <v>3986</v>
      </c>
      <c r="C921" s="26" t="s">
        <v>3373</v>
      </c>
      <c r="D921" s="26" t="s">
        <v>3374</v>
      </c>
      <c r="E921" s="27">
        <v>9300</v>
      </c>
      <c r="F921" s="30">
        <v>142158</v>
      </c>
      <c r="G921" s="27">
        <v>23058</v>
      </c>
      <c r="H921" s="56">
        <v>0</v>
      </c>
      <c r="I921" s="35" t="s">
        <v>19</v>
      </c>
      <c r="J921" s="43"/>
    </row>
    <row r="922" spans="1:10" customFormat="1" ht="15" hidden="1" customHeight="1" x14ac:dyDescent="0.25">
      <c r="A922" s="24">
        <v>45057</v>
      </c>
      <c r="B922" s="63" t="s">
        <v>3987</v>
      </c>
      <c r="C922" s="26" t="s">
        <v>3235</v>
      </c>
      <c r="D922" s="26" t="s">
        <v>3236</v>
      </c>
      <c r="E922" s="27">
        <v>18400</v>
      </c>
      <c r="F922" s="30">
        <v>181750</v>
      </c>
      <c r="G922" s="27">
        <v>28350</v>
      </c>
      <c r="H922" s="56">
        <v>0</v>
      </c>
      <c r="I922" s="35" t="s">
        <v>19</v>
      </c>
      <c r="J922" s="43"/>
    </row>
    <row r="923" spans="1:10" customFormat="1" ht="15" hidden="1" customHeight="1" x14ac:dyDescent="0.25">
      <c r="A923" s="24">
        <v>45057</v>
      </c>
      <c r="B923" s="63" t="s">
        <v>3988</v>
      </c>
      <c r="C923" s="26" t="s">
        <v>3235</v>
      </c>
      <c r="D923" s="26" t="s">
        <v>3236</v>
      </c>
      <c r="E923" s="27">
        <v>8200</v>
      </c>
      <c r="F923" s="30">
        <v>89875</v>
      </c>
      <c r="G923" s="27">
        <v>14175</v>
      </c>
      <c r="H923" s="56">
        <v>0</v>
      </c>
      <c r="I923" s="35" t="s">
        <v>19</v>
      </c>
      <c r="J923" s="43"/>
    </row>
    <row r="924" spans="1:10" customFormat="1" ht="15" hidden="1" customHeight="1" x14ac:dyDescent="0.25">
      <c r="A924" s="24">
        <v>45057</v>
      </c>
      <c r="B924" s="63" t="s">
        <v>3989</v>
      </c>
      <c r="C924" s="26" t="s">
        <v>2867</v>
      </c>
      <c r="D924" s="26" t="s">
        <v>2868</v>
      </c>
      <c r="E924" s="27">
        <v>10400</v>
      </c>
      <c r="F924" s="30">
        <v>191900</v>
      </c>
      <c r="G924" s="27">
        <v>31500</v>
      </c>
      <c r="H924" s="56">
        <v>0</v>
      </c>
      <c r="I924" s="28" t="s">
        <v>19</v>
      </c>
      <c r="J924" s="43"/>
    </row>
    <row r="925" spans="1:10" customFormat="1" ht="15" hidden="1" customHeight="1" x14ac:dyDescent="0.25">
      <c r="A925" s="24">
        <v>45057</v>
      </c>
      <c r="B925" s="63" t="s">
        <v>3990</v>
      </c>
      <c r="C925" s="26" t="s">
        <v>2909</v>
      </c>
      <c r="D925" s="26" t="s">
        <v>2910</v>
      </c>
      <c r="E925" s="27">
        <v>9385.2199999999993</v>
      </c>
      <c r="F925" s="30">
        <v>158215.22</v>
      </c>
      <c r="G925" s="27">
        <v>25830</v>
      </c>
      <c r="H925" s="56">
        <v>0</v>
      </c>
      <c r="I925" s="28" t="s">
        <v>19</v>
      </c>
      <c r="J925" s="43"/>
    </row>
    <row r="926" spans="1:10" customFormat="1" ht="15" hidden="1" customHeight="1" x14ac:dyDescent="0.25">
      <c r="A926" s="24">
        <v>45057</v>
      </c>
      <c r="B926" s="63" t="s">
        <v>3991</v>
      </c>
      <c r="C926" s="26" t="s">
        <v>1140</v>
      </c>
      <c r="D926" s="26" t="s">
        <v>1141</v>
      </c>
      <c r="E926" s="27">
        <v>12056.96</v>
      </c>
      <c r="F926" s="30">
        <v>199606.96</v>
      </c>
      <c r="G926" s="27">
        <v>32550</v>
      </c>
      <c r="H926" s="56">
        <v>0</v>
      </c>
      <c r="I926" s="28" t="s">
        <v>19</v>
      </c>
      <c r="J926" s="43"/>
    </row>
    <row r="927" spans="1:10" customFormat="1" ht="15" hidden="1" customHeight="1" x14ac:dyDescent="0.25">
      <c r="A927" s="24">
        <v>45057</v>
      </c>
      <c r="B927" s="63" t="s">
        <v>3992</v>
      </c>
      <c r="C927" s="26" t="s">
        <v>3147</v>
      </c>
      <c r="D927" s="26" t="s">
        <v>3148</v>
      </c>
      <c r="E927" s="27">
        <v>0</v>
      </c>
      <c r="F927" s="30">
        <v>47770.8</v>
      </c>
      <c r="G927" s="27">
        <v>8290.7999999999993</v>
      </c>
      <c r="H927" s="56">
        <v>0</v>
      </c>
      <c r="I927" s="28" t="s">
        <v>19</v>
      </c>
      <c r="J927" s="43"/>
    </row>
    <row r="928" spans="1:10" customFormat="1" ht="15" hidden="1" customHeight="1" x14ac:dyDescent="0.25">
      <c r="A928" s="24">
        <v>45058</v>
      </c>
      <c r="B928" s="63" t="s">
        <v>3993</v>
      </c>
      <c r="C928" s="26" t="s">
        <v>2921</v>
      </c>
      <c r="D928" s="26" t="s">
        <v>2922</v>
      </c>
      <c r="E928" s="27">
        <v>0</v>
      </c>
      <c r="F928" s="30">
        <v>25047</v>
      </c>
      <c r="G928" s="27">
        <v>4347</v>
      </c>
      <c r="H928" s="56">
        <v>0</v>
      </c>
      <c r="I928" s="28" t="s">
        <v>19</v>
      </c>
      <c r="J928" s="43"/>
    </row>
    <row r="929" spans="1:10" customFormat="1" ht="15" hidden="1" customHeight="1" x14ac:dyDescent="0.25">
      <c r="A929" s="24">
        <v>45058</v>
      </c>
      <c r="B929" s="63" t="s">
        <v>3994</v>
      </c>
      <c r="C929" s="26" t="s">
        <v>2924</v>
      </c>
      <c r="D929" s="26" t="s">
        <v>2925</v>
      </c>
      <c r="E929" s="27">
        <v>0</v>
      </c>
      <c r="F929" s="30">
        <v>26620</v>
      </c>
      <c r="G929" s="27">
        <v>4620</v>
      </c>
      <c r="H929" s="56">
        <v>0</v>
      </c>
      <c r="I929" s="28" t="s">
        <v>19</v>
      </c>
      <c r="J929" s="43"/>
    </row>
    <row r="930" spans="1:10" customFormat="1" ht="15" hidden="1" customHeight="1" x14ac:dyDescent="0.25">
      <c r="A930" s="24">
        <v>45058</v>
      </c>
      <c r="B930" s="63" t="s">
        <v>3995</v>
      </c>
      <c r="C930" s="26" t="s">
        <v>2856</v>
      </c>
      <c r="D930" s="26" t="s">
        <v>2857</v>
      </c>
      <c r="E930" s="27">
        <v>0</v>
      </c>
      <c r="F930" s="30">
        <v>20570</v>
      </c>
      <c r="G930" s="27">
        <v>3570</v>
      </c>
      <c r="H930" s="56">
        <v>0</v>
      </c>
      <c r="I930" s="28" t="s">
        <v>19</v>
      </c>
      <c r="J930" s="43"/>
    </row>
    <row r="931" spans="1:10" customFormat="1" ht="15" hidden="1" customHeight="1" x14ac:dyDescent="0.25">
      <c r="A931" s="24">
        <v>45058</v>
      </c>
      <c r="B931" s="63" t="s">
        <v>3996</v>
      </c>
      <c r="C931" s="26" t="s">
        <v>2921</v>
      </c>
      <c r="D931" s="26" t="s">
        <v>2922</v>
      </c>
      <c r="E931" s="27">
        <v>0</v>
      </c>
      <c r="F931" s="30">
        <v>27830</v>
      </c>
      <c r="G931" s="27">
        <v>4830</v>
      </c>
      <c r="H931" s="56">
        <v>0</v>
      </c>
      <c r="I931" s="28" t="s">
        <v>19</v>
      </c>
      <c r="J931" s="43"/>
    </row>
    <row r="932" spans="1:10" customFormat="1" ht="15" hidden="1" customHeight="1" x14ac:dyDescent="0.25">
      <c r="A932" s="24">
        <v>45058</v>
      </c>
      <c r="B932" s="63" t="s">
        <v>3997</v>
      </c>
      <c r="C932" s="26" t="s">
        <v>2924</v>
      </c>
      <c r="D932" s="26" t="s">
        <v>2925</v>
      </c>
      <c r="E932" s="27">
        <v>3640</v>
      </c>
      <c r="F932" s="30">
        <v>153680</v>
      </c>
      <c r="G932" s="27">
        <v>26040</v>
      </c>
      <c r="H932" s="56">
        <v>0</v>
      </c>
      <c r="I932" s="28" t="s">
        <v>19</v>
      </c>
      <c r="J932" s="43"/>
    </row>
    <row r="933" spans="1:10" customFormat="1" ht="15" hidden="1" customHeight="1" x14ac:dyDescent="0.25">
      <c r="A933" s="24">
        <v>45058</v>
      </c>
      <c r="B933" s="63" t="s">
        <v>3998</v>
      </c>
      <c r="C933" s="26" t="s">
        <v>3176</v>
      </c>
      <c r="D933" s="26" t="s">
        <v>3177</v>
      </c>
      <c r="E933" s="27">
        <v>0</v>
      </c>
      <c r="F933" s="30">
        <v>21780</v>
      </c>
      <c r="G933" s="27">
        <v>3780</v>
      </c>
      <c r="H933" s="56">
        <v>0</v>
      </c>
      <c r="I933" s="28" t="s">
        <v>19</v>
      </c>
      <c r="J933" s="43"/>
    </row>
    <row r="934" spans="1:10" customFormat="1" ht="15" hidden="1" customHeight="1" x14ac:dyDescent="0.25">
      <c r="A934" s="24">
        <v>45058</v>
      </c>
      <c r="B934" s="63" t="s">
        <v>3999</v>
      </c>
      <c r="C934" s="26" t="s">
        <v>2856</v>
      </c>
      <c r="D934" s="26" t="s">
        <v>2857</v>
      </c>
      <c r="E934" s="27">
        <v>0</v>
      </c>
      <c r="F934" s="30">
        <v>21780</v>
      </c>
      <c r="G934" s="27">
        <v>3780</v>
      </c>
      <c r="H934" s="56">
        <v>0</v>
      </c>
      <c r="I934" s="28" t="s">
        <v>19</v>
      </c>
      <c r="J934" s="43"/>
    </row>
    <row r="935" spans="1:10" customFormat="1" ht="15" hidden="1" customHeight="1" x14ac:dyDescent="0.25">
      <c r="A935" s="24">
        <v>45058</v>
      </c>
      <c r="B935" s="63" t="s">
        <v>4000</v>
      </c>
      <c r="C935" s="26" t="s">
        <v>2921</v>
      </c>
      <c r="D935" s="26" t="s">
        <v>2922</v>
      </c>
      <c r="E935" s="27">
        <v>0</v>
      </c>
      <c r="F935" s="30">
        <v>27830</v>
      </c>
      <c r="G935" s="27">
        <v>4830</v>
      </c>
      <c r="H935" s="56">
        <v>0</v>
      </c>
      <c r="I935" s="28" t="s">
        <v>19</v>
      </c>
      <c r="J935" s="43"/>
    </row>
    <row r="936" spans="1:10" customFormat="1" ht="15" hidden="1" customHeight="1" x14ac:dyDescent="0.25">
      <c r="A936" s="24">
        <v>45061</v>
      </c>
      <c r="B936" s="63" t="s">
        <v>4001</v>
      </c>
      <c r="C936" s="26" t="s">
        <v>3014</v>
      </c>
      <c r="D936" s="26" t="s">
        <v>3015</v>
      </c>
      <c r="E936" s="27">
        <v>18867.22</v>
      </c>
      <c r="F936" s="30">
        <v>262682.21999999997</v>
      </c>
      <c r="G936" s="27">
        <v>42315</v>
      </c>
      <c r="H936" s="56">
        <v>0</v>
      </c>
      <c r="I936" s="28" t="s">
        <v>19</v>
      </c>
      <c r="J936" s="43"/>
    </row>
    <row r="937" spans="1:10" customFormat="1" ht="15" hidden="1" customHeight="1" x14ac:dyDescent="0.25">
      <c r="A937" s="24">
        <v>45061</v>
      </c>
      <c r="B937" s="63" t="s">
        <v>4002</v>
      </c>
      <c r="C937" s="26" t="s">
        <v>3033</v>
      </c>
      <c r="D937" s="26" t="s">
        <v>3034</v>
      </c>
      <c r="E937" s="27">
        <v>11500</v>
      </c>
      <c r="F937" s="30">
        <v>144358</v>
      </c>
      <c r="G937" s="27">
        <v>23058</v>
      </c>
      <c r="H937" s="56">
        <v>0</v>
      </c>
      <c r="I937" s="28" t="s">
        <v>19</v>
      </c>
      <c r="J937" s="43"/>
    </row>
    <row r="938" spans="1:10" customFormat="1" ht="15" hidden="1" customHeight="1" x14ac:dyDescent="0.25">
      <c r="A938" s="24">
        <v>45061</v>
      </c>
      <c r="B938" s="63" t="s">
        <v>4003</v>
      </c>
      <c r="C938" s="26" t="s">
        <v>3235</v>
      </c>
      <c r="D938" s="26" t="s">
        <v>3236</v>
      </c>
      <c r="E938" s="27">
        <v>14880</v>
      </c>
      <c r="F938" s="30">
        <v>145560</v>
      </c>
      <c r="G938" s="27">
        <v>22680</v>
      </c>
      <c r="H938" s="56">
        <v>0</v>
      </c>
      <c r="I938" s="28" t="s">
        <v>19</v>
      </c>
      <c r="J938" s="43"/>
    </row>
    <row r="939" spans="1:10" customFormat="1" ht="15" hidden="1" customHeight="1" x14ac:dyDescent="0.25">
      <c r="A939" s="24">
        <v>45061</v>
      </c>
      <c r="B939" s="63" t="s">
        <v>4004</v>
      </c>
      <c r="C939" s="26" t="s">
        <v>3235</v>
      </c>
      <c r="D939" s="26" t="s">
        <v>3236</v>
      </c>
      <c r="E939" s="27">
        <v>31280</v>
      </c>
      <c r="F939" s="30">
        <v>325310</v>
      </c>
      <c r="G939" s="27">
        <v>51030</v>
      </c>
      <c r="H939" s="56">
        <v>0</v>
      </c>
      <c r="I939" s="28" t="s">
        <v>19</v>
      </c>
      <c r="J939" s="43"/>
    </row>
    <row r="940" spans="1:10" customFormat="1" ht="15" hidden="1" customHeight="1" x14ac:dyDescent="0.25">
      <c r="A940" s="24">
        <v>45061</v>
      </c>
      <c r="B940" s="63" t="s">
        <v>4005</v>
      </c>
      <c r="C940" s="26" t="s">
        <v>2867</v>
      </c>
      <c r="D940" s="26" t="s">
        <v>2868</v>
      </c>
      <c r="E940" s="27">
        <v>9920</v>
      </c>
      <c r="F940" s="30">
        <v>205940</v>
      </c>
      <c r="G940" s="27">
        <v>34020</v>
      </c>
      <c r="H940" s="56">
        <v>0</v>
      </c>
      <c r="I940" s="28" t="s">
        <v>19</v>
      </c>
      <c r="J940" s="43"/>
    </row>
    <row r="941" spans="1:10" customFormat="1" ht="15" hidden="1" customHeight="1" x14ac:dyDescent="0.25">
      <c r="A941" s="24">
        <v>45061</v>
      </c>
      <c r="B941" s="63" t="s">
        <v>4006</v>
      </c>
      <c r="C941" s="26" t="s">
        <v>3235</v>
      </c>
      <c r="D941" s="26" t="s">
        <v>3236</v>
      </c>
      <c r="E941" s="27">
        <v>22320</v>
      </c>
      <c r="F941" s="30">
        <v>218340</v>
      </c>
      <c r="G941" s="27">
        <v>34020</v>
      </c>
      <c r="H941" s="56">
        <v>0</v>
      </c>
      <c r="I941" s="28" t="s">
        <v>19</v>
      </c>
      <c r="J941" s="43"/>
    </row>
    <row r="942" spans="1:10" customFormat="1" ht="15" hidden="1" customHeight="1" x14ac:dyDescent="0.25">
      <c r="A942" s="24">
        <v>45061</v>
      </c>
      <c r="B942" s="63" t="s">
        <v>4007</v>
      </c>
      <c r="C942" s="26" t="s">
        <v>2924</v>
      </c>
      <c r="D942" s="26" t="s">
        <v>2925</v>
      </c>
      <c r="E942" s="27">
        <v>3640</v>
      </c>
      <c r="F942" s="30">
        <v>153680</v>
      </c>
      <c r="G942" s="27">
        <v>26040</v>
      </c>
      <c r="H942" s="56">
        <v>0</v>
      </c>
      <c r="I942" s="28" t="s">
        <v>19</v>
      </c>
      <c r="J942" s="43"/>
    </row>
    <row r="943" spans="1:10" customFormat="1" ht="15" hidden="1" customHeight="1" x14ac:dyDescent="0.25">
      <c r="A943" s="24">
        <v>45061</v>
      </c>
      <c r="B943" s="63" t="s">
        <v>4008</v>
      </c>
      <c r="C943" s="26" t="s">
        <v>3235</v>
      </c>
      <c r="D943" s="26" t="s">
        <v>3236</v>
      </c>
      <c r="E943" s="27">
        <v>30000</v>
      </c>
      <c r="F943" s="30">
        <v>259900</v>
      </c>
      <c r="G943" s="27">
        <v>39900</v>
      </c>
      <c r="H943" s="56">
        <v>0</v>
      </c>
      <c r="I943" s="28" t="s">
        <v>19</v>
      </c>
      <c r="J943" s="43"/>
    </row>
    <row r="944" spans="1:10" customFormat="1" ht="15" hidden="1" customHeight="1" x14ac:dyDescent="0.25">
      <c r="A944" s="24">
        <v>45061</v>
      </c>
      <c r="B944" s="63" t="s">
        <v>4009</v>
      </c>
      <c r="C944" s="26" t="s">
        <v>2851</v>
      </c>
      <c r="D944" s="26" t="s">
        <v>2852</v>
      </c>
      <c r="E944" s="27">
        <v>2280</v>
      </c>
      <c r="F944" s="30">
        <v>101500</v>
      </c>
      <c r="G944" s="27">
        <v>17220</v>
      </c>
      <c r="H944" s="56">
        <v>0</v>
      </c>
      <c r="I944" s="28" t="s">
        <v>19</v>
      </c>
      <c r="J944" s="43"/>
    </row>
    <row r="945" spans="1:10" customFormat="1" ht="15" hidden="1" customHeight="1" x14ac:dyDescent="0.25">
      <c r="A945" s="24">
        <v>45061</v>
      </c>
      <c r="B945" s="63" t="s">
        <v>4010</v>
      </c>
      <c r="C945" s="26" t="s">
        <v>2867</v>
      </c>
      <c r="D945" s="26" t="s">
        <v>2868</v>
      </c>
      <c r="E945" s="27">
        <v>9920</v>
      </c>
      <c r="F945" s="30">
        <v>173270</v>
      </c>
      <c r="G945" s="27">
        <v>28350</v>
      </c>
      <c r="H945" s="56">
        <v>0</v>
      </c>
      <c r="I945" s="28" t="s">
        <v>19</v>
      </c>
      <c r="J945" s="43"/>
    </row>
    <row r="946" spans="1:10" customFormat="1" ht="15" hidden="1" customHeight="1" x14ac:dyDescent="0.25">
      <c r="A946" s="24">
        <v>45061</v>
      </c>
      <c r="B946" s="63" t="s">
        <v>4011</v>
      </c>
      <c r="C946" s="26" t="s">
        <v>3007</v>
      </c>
      <c r="D946" s="26" t="s">
        <v>3008</v>
      </c>
      <c r="E946" s="27">
        <v>4261.4299999999903</v>
      </c>
      <c r="F946" s="30">
        <v>67181.429999999993</v>
      </c>
      <c r="G946" s="27">
        <v>10920</v>
      </c>
      <c r="H946" s="56">
        <v>0</v>
      </c>
      <c r="I946" s="28" t="s">
        <v>19</v>
      </c>
      <c r="J946" s="43"/>
    </row>
    <row r="947" spans="1:10" customFormat="1" ht="15" hidden="1" customHeight="1" x14ac:dyDescent="0.25">
      <c r="A947" s="24">
        <v>45061</v>
      </c>
      <c r="B947" s="63" t="s">
        <v>4012</v>
      </c>
      <c r="C947" s="26" t="s">
        <v>3007</v>
      </c>
      <c r="D947" s="26" t="s">
        <v>3008</v>
      </c>
      <c r="E947" s="27">
        <v>11500</v>
      </c>
      <c r="F947" s="30">
        <v>100072</v>
      </c>
      <c r="G947" s="27">
        <v>15372</v>
      </c>
      <c r="H947" s="56">
        <v>0</v>
      </c>
      <c r="I947" s="28" t="s">
        <v>19</v>
      </c>
      <c r="J947" s="43"/>
    </row>
    <row r="948" spans="1:10" customFormat="1" ht="15" hidden="1" customHeight="1" x14ac:dyDescent="0.25">
      <c r="A948" s="24">
        <v>45061</v>
      </c>
      <c r="B948" s="63" t="s">
        <v>4013</v>
      </c>
      <c r="C948" s="26" t="s">
        <v>3450</v>
      </c>
      <c r="D948" s="26" t="s">
        <v>3451</v>
      </c>
      <c r="E948" s="27">
        <v>21921.42</v>
      </c>
      <c r="F948" s="30">
        <v>209471.42</v>
      </c>
      <c r="G948" s="27">
        <v>32550</v>
      </c>
      <c r="H948" s="56">
        <v>0</v>
      </c>
      <c r="I948" s="28" t="s">
        <v>19</v>
      </c>
      <c r="J948" s="43"/>
    </row>
    <row r="949" spans="1:10" customFormat="1" ht="15" hidden="1" customHeight="1" x14ac:dyDescent="0.25">
      <c r="A949" s="24">
        <v>45061</v>
      </c>
      <c r="B949" s="63" t="s">
        <v>4014</v>
      </c>
      <c r="C949" s="26" t="s">
        <v>4015</v>
      </c>
      <c r="D949" s="26" t="s">
        <v>4016</v>
      </c>
      <c r="E949" s="27">
        <v>4848.9299999999903</v>
      </c>
      <c r="F949" s="30">
        <v>70188.929999999993</v>
      </c>
      <c r="G949" s="27">
        <v>11340</v>
      </c>
      <c r="H949" s="56">
        <v>0</v>
      </c>
      <c r="I949" s="28" t="s">
        <v>19</v>
      </c>
      <c r="J949" s="43"/>
    </row>
    <row r="950" spans="1:10" customFormat="1" ht="15" hidden="1" customHeight="1" x14ac:dyDescent="0.25">
      <c r="A950" s="24">
        <v>45061</v>
      </c>
      <c r="B950" s="63" t="s">
        <v>4017</v>
      </c>
      <c r="C950" s="26" t="s">
        <v>4018</v>
      </c>
      <c r="D950" s="26" t="s">
        <v>4019</v>
      </c>
      <c r="E950" s="27">
        <v>14847.64</v>
      </c>
      <c r="F950" s="30">
        <v>800137.64</v>
      </c>
      <c r="G950" s="27">
        <v>136290</v>
      </c>
      <c r="H950" s="56">
        <v>0</v>
      </c>
      <c r="I950" s="28" t="s">
        <v>19</v>
      </c>
      <c r="J950" s="43"/>
    </row>
    <row r="951" spans="1:10" customFormat="1" ht="15" hidden="1" customHeight="1" x14ac:dyDescent="0.25">
      <c r="A951" s="24">
        <v>45061</v>
      </c>
      <c r="B951" s="63" t="s">
        <v>4020</v>
      </c>
      <c r="C951" s="26" t="s">
        <v>3257</v>
      </c>
      <c r="D951" s="26" t="s">
        <v>3258</v>
      </c>
      <c r="E951" s="27">
        <v>4848.9299999999903</v>
      </c>
      <c r="F951" s="30">
        <v>70188.929999999993</v>
      </c>
      <c r="G951" s="27">
        <v>11340</v>
      </c>
      <c r="H951" s="56">
        <v>0</v>
      </c>
      <c r="I951" s="28" t="s">
        <v>19</v>
      </c>
      <c r="J951" s="43"/>
    </row>
    <row r="952" spans="1:10" customFormat="1" ht="15" hidden="1" customHeight="1" x14ac:dyDescent="0.25">
      <c r="A952" s="24">
        <v>45061</v>
      </c>
      <c r="B952" s="63" t="s">
        <v>4021</v>
      </c>
      <c r="C952" s="26" t="s">
        <v>3235</v>
      </c>
      <c r="D952" s="26" t="s">
        <v>3236</v>
      </c>
      <c r="E952" s="27">
        <v>7693.48</v>
      </c>
      <c r="F952" s="30">
        <v>106913.48</v>
      </c>
      <c r="G952" s="27">
        <v>17220</v>
      </c>
      <c r="H952" s="56">
        <v>0</v>
      </c>
      <c r="I952" s="28" t="s">
        <v>19</v>
      </c>
      <c r="J952" s="43"/>
    </row>
    <row r="953" spans="1:10" customFormat="1" ht="15" hidden="1" customHeight="1" x14ac:dyDescent="0.25">
      <c r="A953" s="24">
        <v>45061</v>
      </c>
      <c r="B953" s="63" t="s">
        <v>4022</v>
      </c>
      <c r="C953" s="26" t="s">
        <v>2909</v>
      </c>
      <c r="D953" s="26" t="s">
        <v>2910</v>
      </c>
      <c r="E953" s="27">
        <v>8569.5400000000009</v>
      </c>
      <c r="F953" s="30">
        <v>107789.54</v>
      </c>
      <c r="G953" s="27">
        <v>17220</v>
      </c>
      <c r="H953" s="56">
        <v>0</v>
      </c>
      <c r="I953" s="28" t="s">
        <v>19</v>
      </c>
      <c r="J953" s="43"/>
    </row>
    <row r="954" spans="1:10" customFormat="1" ht="15" hidden="1" customHeight="1" x14ac:dyDescent="0.25">
      <c r="A954" s="24">
        <v>45062</v>
      </c>
      <c r="B954" s="63" t="s">
        <v>4023</v>
      </c>
      <c r="C954" s="26" t="s">
        <v>3176</v>
      </c>
      <c r="D954" s="26" t="s">
        <v>3177</v>
      </c>
      <c r="E954" s="27">
        <v>25840</v>
      </c>
      <c r="F954" s="30">
        <v>287200</v>
      </c>
      <c r="G954" s="27">
        <v>45360</v>
      </c>
      <c r="H954" s="56">
        <v>0</v>
      </c>
      <c r="I954" s="28" t="s">
        <v>19</v>
      </c>
      <c r="J954" s="43"/>
    </row>
    <row r="955" spans="1:10" customFormat="1" ht="15" hidden="1" customHeight="1" x14ac:dyDescent="0.25">
      <c r="A955" s="24">
        <v>45062</v>
      </c>
      <c r="B955" s="63" t="s">
        <v>4024</v>
      </c>
      <c r="C955" s="26" t="s">
        <v>2867</v>
      </c>
      <c r="D955" s="26" t="s">
        <v>2868</v>
      </c>
      <c r="E955" s="27">
        <v>5000</v>
      </c>
      <c r="F955" s="30">
        <v>222800</v>
      </c>
      <c r="G955" s="27">
        <v>37800</v>
      </c>
      <c r="H955" s="56">
        <v>0</v>
      </c>
      <c r="I955" s="28" t="s">
        <v>19</v>
      </c>
      <c r="J955" s="43"/>
    </row>
    <row r="956" spans="1:10" customFormat="1" ht="15" hidden="1" customHeight="1" x14ac:dyDescent="0.25">
      <c r="A956" s="24">
        <v>45062</v>
      </c>
      <c r="B956" s="63" t="s">
        <v>4025</v>
      </c>
      <c r="C956" s="26" t="s">
        <v>3235</v>
      </c>
      <c r="D956" s="26" t="s">
        <v>3236</v>
      </c>
      <c r="E956" s="27">
        <v>45000</v>
      </c>
      <c r="F956" s="30">
        <v>389850</v>
      </c>
      <c r="G956" s="27">
        <v>59850</v>
      </c>
      <c r="H956" s="56">
        <v>0</v>
      </c>
      <c r="I956" s="28" t="s">
        <v>19</v>
      </c>
      <c r="J956" s="43"/>
    </row>
    <row r="957" spans="1:10" customFormat="1" ht="15" hidden="1" customHeight="1" x14ac:dyDescent="0.25">
      <c r="A957" s="24">
        <v>45062</v>
      </c>
      <c r="B957" s="63" t="s">
        <v>4026</v>
      </c>
      <c r="C957" s="26" t="s">
        <v>3014</v>
      </c>
      <c r="D957" s="26" t="s">
        <v>3015</v>
      </c>
      <c r="E957" s="27">
        <v>3720</v>
      </c>
      <c r="F957" s="30">
        <v>221520</v>
      </c>
      <c r="G957" s="27">
        <v>37800</v>
      </c>
      <c r="H957" s="56">
        <v>0</v>
      </c>
      <c r="I957" s="28" t="s">
        <v>19</v>
      </c>
      <c r="J957" s="43"/>
    </row>
    <row r="958" spans="1:10" customFormat="1" ht="15" hidden="1" customHeight="1" x14ac:dyDescent="0.25">
      <c r="A958" s="24">
        <v>45062</v>
      </c>
      <c r="B958" s="63" t="s">
        <v>4027</v>
      </c>
      <c r="C958" s="26" t="s">
        <v>2886</v>
      </c>
      <c r="D958" s="26" t="s">
        <v>2887</v>
      </c>
      <c r="E958" s="27">
        <v>42482.63</v>
      </c>
      <c r="F958" s="30">
        <v>475420.63</v>
      </c>
      <c r="G958" s="27">
        <v>75138</v>
      </c>
      <c r="H958" s="56">
        <v>0</v>
      </c>
      <c r="I958" s="28" t="s">
        <v>19</v>
      </c>
      <c r="J958" s="43"/>
    </row>
    <row r="959" spans="1:10" customFormat="1" ht="15" hidden="1" customHeight="1" x14ac:dyDescent="0.25">
      <c r="A959" s="24">
        <v>45062</v>
      </c>
      <c r="B959" s="63" t="s">
        <v>4028</v>
      </c>
      <c r="C959" s="26" t="s">
        <v>3007</v>
      </c>
      <c r="D959" s="26" t="s">
        <v>3008</v>
      </c>
      <c r="E959" s="27">
        <v>11500</v>
      </c>
      <c r="F959" s="30">
        <v>144358</v>
      </c>
      <c r="G959" s="27">
        <v>23058</v>
      </c>
      <c r="H959" s="56">
        <v>0</v>
      </c>
      <c r="I959" s="28" t="s">
        <v>19</v>
      </c>
      <c r="J959" s="43"/>
    </row>
    <row r="960" spans="1:10" customFormat="1" ht="15" hidden="1" customHeight="1" x14ac:dyDescent="0.25">
      <c r="A960" s="24">
        <v>45062</v>
      </c>
      <c r="B960" s="63" t="s">
        <v>4029</v>
      </c>
      <c r="C960" s="26" t="s">
        <v>3235</v>
      </c>
      <c r="D960" s="26" t="s">
        <v>3236</v>
      </c>
      <c r="E960" s="27">
        <v>7693.48</v>
      </c>
      <c r="F960" s="30">
        <v>106913.48</v>
      </c>
      <c r="G960" s="27">
        <v>17220</v>
      </c>
      <c r="H960" s="56">
        <v>0</v>
      </c>
      <c r="I960" s="28" t="s">
        <v>19</v>
      </c>
      <c r="J960" s="43"/>
    </row>
    <row r="961" spans="1:10" customFormat="1" ht="15" hidden="1" customHeight="1" x14ac:dyDescent="0.25">
      <c r="A961" s="24">
        <v>45062</v>
      </c>
      <c r="B961" s="63" t="s">
        <v>4030</v>
      </c>
      <c r="C961" s="26" t="s">
        <v>3235</v>
      </c>
      <c r="D961" s="26" t="s">
        <v>3236</v>
      </c>
      <c r="E961" s="27">
        <v>3380</v>
      </c>
      <c r="F961" s="30">
        <v>102600</v>
      </c>
      <c r="G961" s="27">
        <v>17220</v>
      </c>
      <c r="H961" s="56">
        <v>0</v>
      </c>
      <c r="I961" s="28" t="s">
        <v>19</v>
      </c>
      <c r="J961" s="43"/>
    </row>
    <row r="962" spans="1:10" customFormat="1" ht="15" hidden="1" customHeight="1" x14ac:dyDescent="0.25">
      <c r="A962" s="24">
        <v>45062</v>
      </c>
      <c r="B962" s="63" t="s">
        <v>4031</v>
      </c>
      <c r="C962" s="26" t="s">
        <v>3014</v>
      </c>
      <c r="D962" s="26" t="s">
        <v>3015</v>
      </c>
      <c r="E962" s="27">
        <v>9200</v>
      </c>
      <c r="F962" s="30">
        <v>74540</v>
      </c>
      <c r="G962" s="27">
        <v>11340</v>
      </c>
      <c r="H962" s="56">
        <v>0</v>
      </c>
      <c r="I962" s="28" t="s">
        <v>19</v>
      </c>
      <c r="J962" s="43"/>
    </row>
    <row r="963" spans="1:10" customFormat="1" ht="15" hidden="1" customHeight="1" x14ac:dyDescent="0.25">
      <c r="A963" s="24">
        <v>45062</v>
      </c>
      <c r="B963" s="63" t="s">
        <v>4032</v>
      </c>
      <c r="C963" s="26" t="s">
        <v>2903</v>
      </c>
      <c r="D963" s="26" t="s">
        <v>2904</v>
      </c>
      <c r="E963" s="27">
        <v>9200</v>
      </c>
      <c r="F963" s="30">
        <v>74540</v>
      </c>
      <c r="G963" s="27">
        <v>11340</v>
      </c>
      <c r="H963" s="56">
        <v>0</v>
      </c>
      <c r="I963" s="28" t="s">
        <v>19</v>
      </c>
      <c r="J963" s="43"/>
    </row>
    <row r="964" spans="1:10" customFormat="1" ht="15" hidden="1" customHeight="1" x14ac:dyDescent="0.25">
      <c r="A964" s="24">
        <v>45062</v>
      </c>
      <c r="B964" s="64" t="s">
        <v>4033</v>
      </c>
      <c r="C964" s="26" t="s">
        <v>2892</v>
      </c>
      <c r="D964" s="26" t="s">
        <v>2893</v>
      </c>
      <c r="E964" s="27">
        <v>3605.72</v>
      </c>
      <c r="F964" s="30">
        <v>66525.72</v>
      </c>
      <c r="G964" s="27">
        <v>10920</v>
      </c>
      <c r="H964" s="56">
        <v>0</v>
      </c>
      <c r="I964" s="28" t="s">
        <v>19</v>
      </c>
      <c r="J964" s="43"/>
    </row>
    <row r="965" spans="1:10" customFormat="1" ht="15" hidden="1" customHeight="1" x14ac:dyDescent="0.25">
      <c r="A965" s="24">
        <v>45062</v>
      </c>
      <c r="B965" s="63" t="s">
        <v>4034</v>
      </c>
      <c r="C965" s="26" t="s">
        <v>2909</v>
      </c>
      <c r="D965" s="26" t="s">
        <v>2910</v>
      </c>
      <c r="E965" s="27">
        <v>8327.85</v>
      </c>
      <c r="F965" s="30">
        <v>107547.85</v>
      </c>
      <c r="G965" s="27">
        <v>17220</v>
      </c>
      <c r="H965" s="56">
        <v>0</v>
      </c>
      <c r="I965" s="28" t="s">
        <v>19</v>
      </c>
      <c r="J965" s="43"/>
    </row>
    <row r="966" spans="1:10" customFormat="1" ht="15" hidden="1" customHeight="1" x14ac:dyDescent="0.25">
      <c r="A966" s="24">
        <v>45062</v>
      </c>
      <c r="B966" s="63" t="s">
        <v>4035</v>
      </c>
      <c r="C966" s="26" t="s">
        <v>3200</v>
      </c>
      <c r="D966" s="26" t="s">
        <v>3201</v>
      </c>
      <c r="E966" s="27">
        <v>4200</v>
      </c>
      <c r="F966" s="30">
        <v>67120</v>
      </c>
      <c r="G966" s="27">
        <v>10920</v>
      </c>
      <c r="H966" s="56">
        <v>0</v>
      </c>
      <c r="I966" s="28" t="s">
        <v>19</v>
      </c>
      <c r="J966" s="43"/>
    </row>
    <row r="967" spans="1:10" customFormat="1" ht="15" hidden="1" customHeight="1" x14ac:dyDescent="0.25">
      <c r="A967" s="24">
        <v>45062</v>
      </c>
      <c r="B967" s="63" t="s">
        <v>4036</v>
      </c>
      <c r="C967" s="26" t="s">
        <v>3235</v>
      </c>
      <c r="D967" s="26" t="s">
        <v>3236</v>
      </c>
      <c r="E967" s="27">
        <v>52693.48</v>
      </c>
      <c r="F967" s="30">
        <v>496763.48</v>
      </c>
      <c r="G967" s="27">
        <v>77070</v>
      </c>
      <c r="H967" s="56">
        <v>0</v>
      </c>
      <c r="I967" s="28" t="s">
        <v>19</v>
      </c>
      <c r="J967" s="43"/>
    </row>
    <row r="968" spans="1:10" customFormat="1" ht="15" hidden="1" customHeight="1" x14ac:dyDescent="0.25">
      <c r="A968" s="24">
        <v>45062</v>
      </c>
      <c r="B968" s="63" t="s">
        <v>4037</v>
      </c>
      <c r="C968" s="26" t="s">
        <v>2851</v>
      </c>
      <c r="D968" s="26" t="s">
        <v>2852</v>
      </c>
      <c r="E968" s="27">
        <v>7725.05</v>
      </c>
      <c r="F968" s="30">
        <v>106945.05</v>
      </c>
      <c r="G968" s="27">
        <v>17220</v>
      </c>
      <c r="H968" s="56">
        <v>0</v>
      </c>
      <c r="I968" s="28" t="s">
        <v>19</v>
      </c>
      <c r="J968" s="43"/>
    </row>
    <row r="969" spans="1:10" customFormat="1" ht="15" hidden="1" customHeight="1" x14ac:dyDescent="0.25">
      <c r="A969" s="24">
        <v>45062</v>
      </c>
      <c r="B969" s="63" t="s">
        <v>4038</v>
      </c>
      <c r="C969" s="26" t="s">
        <v>2851</v>
      </c>
      <c r="D969" s="26" t="s">
        <v>2852</v>
      </c>
      <c r="E969" s="27">
        <v>7725.05</v>
      </c>
      <c r="F969" s="30">
        <v>106945.05</v>
      </c>
      <c r="G969" s="27">
        <v>17220</v>
      </c>
      <c r="H969" s="56">
        <v>0</v>
      </c>
      <c r="I969" s="28" t="s">
        <v>19</v>
      </c>
      <c r="J969" s="43"/>
    </row>
    <row r="970" spans="1:10" customFormat="1" ht="15" hidden="1" customHeight="1" x14ac:dyDescent="0.25">
      <c r="A970" s="24">
        <v>45062</v>
      </c>
      <c r="B970" s="63" t="s">
        <v>4039</v>
      </c>
      <c r="C970" s="26" t="s">
        <v>3235</v>
      </c>
      <c r="D970" s="26" t="s">
        <v>3236</v>
      </c>
      <c r="E970" s="27">
        <v>32400</v>
      </c>
      <c r="F970" s="30">
        <v>288194</v>
      </c>
      <c r="G970" s="27">
        <v>44394</v>
      </c>
      <c r="H970" s="56">
        <v>0</v>
      </c>
      <c r="I970" s="28" t="s">
        <v>19</v>
      </c>
      <c r="J970" s="43"/>
    </row>
    <row r="971" spans="1:10" customFormat="1" ht="15" hidden="1" customHeight="1" x14ac:dyDescent="0.25">
      <c r="A971" s="24">
        <v>45062</v>
      </c>
      <c r="B971" s="63" t="s">
        <v>4040</v>
      </c>
      <c r="C971" s="26" t="s">
        <v>2924</v>
      </c>
      <c r="D971" s="26" t="s">
        <v>2925</v>
      </c>
      <c r="E971" s="27">
        <v>3640</v>
      </c>
      <c r="F971" s="30">
        <v>153680</v>
      </c>
      <c r="G971" s="27">
        <v>26040</v>
      </c>
      <c r="H971" s="56">
        <v>0</v>
      </c>
      <c r="I971" s="28" t="s">
        <v>19</v>
      </c>
      <c r="J971" s="43"/>
    </row>
    <row r="972" spans="1:10" customFormat="1" ht="15" hidden="1" customHeight="1" x14ac:dyDescent="0.25">
      <c r="A972" s="24">
        <v>45062</v>
      </c>
      <c r="B972" s="63" t="s">
        <v>4041</v>
      </c>
      <c r="C972" s="26" t="s">
        <v>2867</v>
      </c>
      <c r="D972" s="26" t="s">
        <v>2868</v>
      </c>
      <c r="E972" s="27">
        <v>11500</v>
      </c>
      <c r="F972" s="30">
        <v>144358</v>
      </c>
      <c r="G972" s="27">
        <v>23058</v>
      </c>
      <c r="H972" s="56">
        <v>0</v>
      </c>
      <c r="I972" s="28" t="s">
        <v>19</v>
      </c>
      <c r="J972" s="43"/>
    </row>
    <row r="973" spans="1:10" customFormat="1" ht="15" hidden="1" customHeight="1" x14ac:dyDescent="0.25">
      <c r="A973" s="24">
        <v>45063</v>
      </c>
      <c r="B973" s="63" t="s">
        <v>4042</v>
      </c>
      <c r="C973" s="26" t="s">
        <v>2987</v>
      </c>
      <c r="D973" s="26" t="s">
        <v>2988</v>
      </c>
      <c r="E973" s="27">
        <v>6080</v>
      </c>
      <c r="F973" s="30">
        <v>114980</v>
      </c>
      <c r="G973" s="27">
        <v>18900</v>
      </c>
      <c r="H973" s="56">
        <v>0</v>
      </c>
      <c r="I973" s="28" t="s">
        <v>19</v>
      </c>
      <c r="J973" s="43"/>
    </row>
    <row r="974" spans="1:10" customFormat="1" ht="15" hidden="1" customHeight="1" x14ac:dyDescent="0.25">
      <c r="A974" s="24">
        <v>45063</v>
      </c>
      <c r="B974" s="63" t="s">
        <v>4043</v>
      </c>
      <c r="C974" s="26" t="s">
        <v>3007</v>
      </c>
      <c r="D974" s="26" t="s">
        <v>3008</v>
      </c>
      <c r="E974" s="27">
        <v>12160</v>
      </c>
      <c r="F974" s="30">
        <v>157360</v>
      </c>
      <c r="G974" s="27">
        <v>25200</v>
      </c>
      <c r="H974" s="56">
        <v>0</v>
      </c>
      <c r="I974" s="28" t="s">
        <v>19</v>
      </c>
      <c r="J974" s="43"/>
    </row>
    <row r="975" spans="1:10" customFormat="1" ht="15" hidden="1" customHeight="1" x14ac:dyDescent="0.25">
      <c r="A975" s="24">
        <v>45063</v>
      </c>
      <c r="B975" s="63" t="s">
        <v>4044</v>
      </c>
      <c r="C975" s="26" t="s">
        <v>3007</v>
      </c>
      <c r="D975" s="26" t="s">
        <v>3008</v>
      </c>
      <c r="E975" s="27">
        <v>6870.05</v>
      </c>
      <c r="F975" s="30">
        <v>72210.05</v>
      </c>
      <c r="G975" s="27">
        <v>11340</v>
      </c>
      <c r="H975" s="56">
        <v>0</v>
      </c>
      <c r="I975" s="28" t="s">
        <v>19</v>
      </c>
      <c r="J975" s="43"/>
    </row>
    <row r="976" spans="1:10" customFormat="1" ht="15" hidden="1" customHeight="1" x14ac:dyDescent="0.25">
      <c r="A976" s="24">
        <v>45063</v>
      </c>
      <c r="B976" s="63" t="s">
        <v>4045</v>
      </c>
      <c r="C976" s="26" t="s">
        <v>3007</v>
      </c>
      <c r="D976" s="26" t="s">
        <v>3008</v>
      </c>
      <c r="E976" s="27">
        <v>9200</v>
      </c>
      <c r="F976" s="30">
        <v>74540</v>
      </c>
      <c r="G976" s="27">
        <v>11340</v>
      </c>
      <c r="H976" s="56">
        <v>0</v>
      </c>
      <c r="I976" s="28" t="s">
        <v>19</v>
      </c>
      <c r="J976" s="43"/>
    </row>
    <row r="977" spans="1:10" customFormat="1" ht="15" hidden="1" customHeight="1" x14ac:dyDescent="0.25">
      <c r="A977" s="24">
        <v>45063</v>
      </c>
      <c r="B977" s="63" t="s">
        <v>4046</v>
      </c>
      <c r="C977" s="26" t="s">
        <v>3007</v>
      </c>
      <c r="D977" s="26" t="s">
        <v>3008</v>
      </c>
      <c r="E977" s="27">
        <v>9200</v>
      </c>
      <c r="F977" s="30">
        <v>74540</v>
      </c>
      <c r="G977" s="27">
        <v>11340</v>
      </c>
      <c r="H977" s="56">
        <v>0</v>
      </c>
      <c r="I977" s="28" t="s">
        <v>19</v>
      </c>
      <c r="J977" s="43"/>
    </row>
    <row r="978" spans="1:10" customFormat="1" ht="15" hidden="1" customHeight="1" x14ac:dyDescent="0.25">
      <c r="A978" s="24">
        <v>45063</v>
      </c>
      <c r="B978" s="63" t="s">
        <v>4047</v>
      </c>
      <c r="C978" s="26" t="s">
        <v>3014</v>
      </c>
      <c r="D978" s="26" t="s">
        <v>3015</v>
      </c>
      <c r="E978" s="27">
        <v>18400</v>
      </c>
      <c r="F978" s="30">
        <v>149080</v>
      </c>
      <c r="G978" s="27">
        <v>22680</v>
      </c>
      <c r="H978" s="56">
        <v>0</v>
      </c>
      <c r="I978" s="28" t="s">
        <v>19</v>
      </c>
      <c r="J978" s="43"/>
    </row>
    <row r="979" spans="1:10" customFormat="1" ht="15" hidden="1" customHeight="1" x14ac:dyDescent="0.25">
      <c r="A979" s="24">
        <v>45063</v>
      </c>
      <c r="B979" s="63" t="s">
        <v>4048</v>
      </c>
      <c r="C979" s="26" t="s">
        <v>3235</v>
      </c>
      <c r="D979" s="26" t="s">
        <v>3236</v>
      </c>
      <c r="E979" s="27">
        <v>19360</v>
      </c>
      <c r="F979" s="30">
        <v>309760</v>
      </c>
      <c r="G979" s="27">
        <v>50400</v>
      </c>
      <c r="H979" s="56">
        <v>0</v>
      </c>
      <c r="I979" s="28" t="s">
        <v>19</v>
      </c>
      <c r="J979" s="43"/>
    </row>
    <row r="980" spans="1:10" customFormat="1" ht="15" hidden="1" customHeight="1" x14ac:dyDescent="0.25">
      <c r="A980" s="24">
        <v>45063</v>
      </c>
      <c r="B980" s="63" t="s">
        <v>4049</v>
      </c>
      <c r="C980" s="26" t="s">
        <v>3562</v>
      </c>
      <c r="D980" s="26" t="s">
        <v>3563</v>
      </c>
      <c r="E980" s="27">
        <v>14520</v>
      </c>
      <c r="F980" s="30">
        <v>341220</v>
      </c>
      <c r="G980" s="27">
        <v>56700</v>
      </c>
      <c r="H980" s="56">
        <v>0</v>
      </c>
      <c r="I980" s="28" t="s">
        <v>19</v>
      </c>
      <c r="J980" s="43"/>
    </row>
    <row r="981" spans="1:10" customFormat="1" ht="15" hidden="1" customHeight="1" x14ac:dyDescent="0.25">
      <c r="A981" s="24">
        <v>45063</v>
      </c>
      <c r="B981" s="63" t="s">
        <v>4050</v>
      </c>
      <c r="C981" s="26" t="s">
        <v>3235</v>
      </c>
      <c r="D981" s="26" t="s">
        <v>3236</v>
      </c>
      <c r="E981" s="27">
        <v>18400</v>
      </c>
      <c r="F981" s="30">
        <v>149080</v>
      </c>
      <c r="G981" s="27">
        <v>22680</v>
      </c>
      <c r="H981" s="56">
        <v>0</v>
      </c>
      <c r="I981" s="28" t="s">
        <v>19</v>
      </c>
      <c r="J981" s="43"/>
    </row>
    <row r="982" spans="1:10" customFormat="1" ht="15" hidden="1" customHeight="1" x14ac:dyDescent="0.25">
      <c r="A982" s="24">
        <v>45063</v>
      </c>
      <c r="B982" s="63" t="s">
        <v>4051</v>
      </c>
      <c r="C982" s="26" t="s">
        <v>3235</v>
      </c>
      <c r="D982" s="26" t="s">
        <v>3236</v>
      </c>
      <c r="E982" s="27">
        <v>30386.959999999999</v>
      </c>
      <c r="F982" s="30">
        <v>343776.96</v>
      </c>
      <c r="G982" s="27">
        <v>54390</v>
      </c>
      <c r="H982" s="56">
        <v>0</v>
      </c>
      <c r="I982" s="28" t="s">
        <v>19</v>
      </c>
      <c r="J982" s="43"/>
    </row>
    <row r="983" spans="1:10" customFormat="1" ht="15" hidden="1" customHeight="1" x14ac:dyDescent="0.25">
      <c r="A983" s="24">
        <v>45063</v>
      </c>
      <c r="B983" s="36" t="s">
        <v>4052</v>
      </c>
      <c r="C983" s="26" t="s">
        <v>3268</v>
      </c>
      <c r="D983" s="26" t="s">
        <v>3269</v>
      </c>
      <c r="E983" s="27">
        <v>5493.11</v>
      </c>
      <c r="F983" s="30">
        <v>118023.11</v>
      </c>
      <c r="G983" s="27">
        <v>19530</v>
      </c>
      <c r="H983" s="56">
        <v>0</v>
      </c>
      <c r="I983" s="28" t="s">
        <v>19</v>
      </c>
      <c r="J983" s="43"/>
    </row>
    <row r="984" spans="1:10" customFormat="1" ht="15" hidden="1" customHeight="1" x14ac:dyDescent="0.25">
      <c r="A984" s="24">
        <v>45063</v>
      </c>
      <c r="B984" s="36" t="s">
        <v>4053</v>
      </c>
      <c r="C984" s="26" t="s">
        <v>2851</v>
      </c>
      <c r="D984" s="26" t="s">
        <v>2852</v>
      </c>
      <c r="E984" s="27">
        <v>13895</v>
      </c>
      <c r="F984" s="30">
        <v>364795</v>
      </c>
      <c r="G984" s="27">
        <v>60900</v>
      </c>
      <c r="H984" s="56">
        <v>0</v>
      </c>
      <c r="I984" s="28" t="s">
        <v>19</v>
      </c>
      <c r="J984" s="43"/>
    </row>
    <row r="985" spans="1:10" customFormat="1" ht="15" hidden="1" customHeight="1" x14ac:dyDescent="0.25">
      <c r="A985" s="24">
        <v>45063</v>
      </c>
      <c r="B985" s="36" t="s">
        <v>4054</v>
      </c>
      <c r="C985" s="26" t="s">
        <v>2851</v>
      </c>
      <c r="D985" s="26" t="s">
        <v>2852</v>
      </c>
      <c r="E985" s="27">
        <v>7200</v>
      </c>
      <c r="F985" s="30">
        <v>159660</v>
      </c>
      <c r="G985" s="27">
        <v>26460</v>
      </c>
      <c r="H985" s="56">
        <v>0</v>
      </c>
      <c r="I985" s="28" t="s">
        <v>19</v>
      </c>
      <c r="J985" s="43"/>
    </row>
    <row r="986" spans="1:10" customFormat="1" ht="15" hidden="1" customHeight="1" x14ac:dyDescent="0.25">
      <c r="A986" s="24">
        <v>45063</v>
      </c>
      <c r="B986" s="36" t="s">
        <v>4055</v>
      </c>
      <c r="C986" s="26" t="s">
        <v>2867</v>
      </c>
      <c r="D986" s="26" t="s">
        <v>2868</v>
      </c>
      <c r="E986" s="27">
        <v>10000</v>
      </c>
      <c r="F986" s="30">
        <v>191500</v>
      </c>
      <c r="G986" s="27">
        <v>31500</v>
      </c>
      <c r="H986" s="56">
        <v>0</v>
      </c>
      <c r="I986" s="28" t="s">
        <v>19</v>
      </c>
      <c r="J986" s="43"/>
    </row>
    <row r="987" spans="1:10" customFormat="1" ht="15" hidden="1" customHeight="1" x14ac:dyDescent="0.25">
      <c r="A987" s="24">
        <v>45063</v>
      </c>
      <c r="B987" s="36" t="s">
        <v>4056</v>
      </c>
      <c r="C987" s="26" t="s">
        <v>2867</v>
      </c>
      <c r="D987" s="26" t="s">
        <v>2868</v>
      </c>
      <c r="E987" s="27">
        <v>11500</v>
      </c>
      <c r="F987" s="30">
        <v>144358</v>
      </c>
      <c r="G987" s="27">
        <v>23058</v>
      </c>
      <c r="H987" s="56">
        <v>0</v>
      </c>
      <c r="I987" s="28" t="s">
        <v>19</v>
      </c>
      <c r="J987" s="43"/>
    </row>
    <row r="988" spans="1:10" customFormat="1" ht="15" hidden="1" customHeight="1" x14ac:dyDescent="0.25">
      <c r="A988" s="24">
        <v>45063</v>
      </c>
      <c r="B988" s="36" t="s">
        <v>4057</v>
      </c>
      <c r="C988" s="26" t="s">
        <v>2867</v>
      </c>
      <c r="D988" s="26" t="s">
        <v>2868</v>
      </c>
      <c r="E988" s="27">
        <v>10000</v>
      </c>
      <c r="F988" s="30">
        <v>191500</v>
      </c>
      <c r="G988" s="27">
        <v>31500</v>
      </c>
      <c r="H988" s="56">
        <v>0</v>
      </c>
      <c r="I988" s="28" t="s">
        <v>19</v>
      </c>
      <c r="J988" s="43"/>
    </row>
    <row r="989" spans="1:10" customFormat="1" ht="15" hidden="1" customHeight="1" x14ac:dyDescent="0.25">
      <c r="A989" s="24">
        <v>45063</v>
      </c>
      <c r="B989" s="36" t="s">
        <v>4058</v>
      </c>
      <c r="C989" s="26" t="s">
        <v>4059</v>
      </c>
      <c r="D989" s="26" t="s">
        <v>4060</v>
      </c>
      <c r="E989" s="27">
        <v>5880</v>
      </c>
      <c r="F989" s="30">
        <v>99534</v>
      </c>
      <c r="G989" s="27">
        <v>16254</v>
      </c>
      <c r="H989" s="56">
        <v>0</v>
      </c>
      <c r="I989" s="28" t="s">
        <v>19</v>
      </c>
      <c r="J989" s="43"/>
    </row>
    <row r="990" spans="1:10" customFormat="1" ht="15" hidden="1" customHeight="1" x14ac:dyDescent="0.25">
      <c r="A990" s="24">
        <v>45063</v>
      </c>
      <c r="B990" s="36" t="s">
        <v>4061</v>
      </c>
      <c r="C990" s="26" t="s">
        <v>4059</v>
      </c>
      <c r="D990" s="26" t="s">
        <v>4060</v>
      </c>
      <c r="E990" s="27">
        <v>5880</v>
      </c>
      <c r="F990" s="30">
        <v>99534</v>
      </c>
      <c r="G990" s="27">
        <v>16254</v>
      </c>
      <c r="H990" s="56">
        <v>0</v>
      </c>
      <c r="I990" s="28" t="s">
        <v>19</v>
      </c>
      <c r="J990" s="43"/>
    </row>
    <row r="991" spans="1:10" customFormat="1" ht="15" hidden="1" customHeight="1" x14ac:dyDescent="0.25">
      <c r="A991" s="24">
        <v>45063</v>
      </c>
      <c r="B991" s="36" t="s">
        <v>4062</v>
      </c>
      <c r="C991" s="26" t="s">
        <v>4063</v>
      </c>
      <c r="D991" s="26" t="s">
        <v>4064</v>
      </c>
      <c r="E991" s="27">
        <v>4640</v>
      </c>
      <c r="F991" s="30">
        <v>113540</v>
      </c>
      <c r="G991" s="27">
        <v>18900</v>
      </c>
      <c r="H991" s="56">
        <v>0</v>
      </c>
      <c r="I991" s="28" t="s">
        <v>19</v>
      </c>
      <c r="J991" s="43"/>
    </row>
    <row r="992" spans="1:10" customFormat="1" ht="15" hidden="1" customHeight="1" x14ac:dyDescent="0.25">
      <c r="A992" s="24">
        <v>45063</v>
      </c>
      <c r="B992" s="36" t="s">
        <v>4065</v>
      </c>
      <c r="C992" s="26" t="s">
        <v>3627</v>
      </c>
      <c r="D992" s="26" t="s">
        <v>3628</v>
      </c>
      <c r="E992" s="27">
        <v>4640</v>
      </c>
      <c r="F992" s="30">
        <v>77240</v>
      </c>
      <c r="G992" s="27">
        <v>12600</v>
      </c>
      <c r="H992" s="56">
        <v>0</v>
      </c>
      <c r="I992" s="28" t="s">
        <v>19</v>
      </c>
      <c r="J992" s="43"/>
    </row>
    <row r="993" spans="1:10" customFormat="1" ht="15" hidden="1" customHeight="1" x14ac:dyDescent="0.25">
      <c r="A993" s="24">
        <v>45063</v>
      </c>
      <c r="B993" s="36" t="s">
        <v>4066</v>
      </c>
      <c r="C993" s="26" t="s">
        <v>2909</v>
      </c>
      <c r="D993" s="26" t="s">
        <v>2910</v>
      </c>
      <c r="E993" s="27">
        <v>7900</v>
      </c>
      <c r="F993" s="30">
        <v>107120</v>
      </c>
      <c r="G993" s="27">
        <v>17220</v>
      </c>
      <c r="H993" s="56">
        <v>0</v>
      </c>
      <c r="I993" s="28" t="s">
        <v>19</v>
      </c>
      <c r="J993" s="43"/>
    </row>
    <row r="994" spans="1:10" customFormat="1" ht="15" hidden="1" customHeight="1" x14ac:dyDescent="0.25">
      <c r="A994" s="24">
        <v>45063</v>
      </c>
      <c r="B994" s="36" t="s">
        <v>4067</v>
      </c>
      <c r="C994" s="26" t="s">
        <v>3450</v>
      </c>
      <c r="D994" s="26" t="s">
        <v>3451</v>
      </c>
      <c r="E994" s="27">
        <v>11760</v>
      </c>
      <c r="F994" s="30">
        <v>199068</v>
      </c>
      <c r="G994" s="27">
        <v>32508</v>
      </c>
      <c r="H994" s="56">
        <v>0</v>
      </c>
      <c r="I994" s="28" t="s">
        <v>19</v>
      </c>
      <c r="J994" s="43"/>
    </row>
    <row r="995" spans="1:10" customFormat="1" ht="15" hidden="1" customHeight="1" x14ac:dyDescent="0.25">
      <c r="A995" s="24">
        <v>45063</v>
      </c>
      <c r="B995" s="36" t="s">
        <v>4068</v>
      </c>
      <c r="C995" s="26" t="s">
        <v>3235</v>
      </c>
      <c r="D995" s="26" t="s">
        <v>3236</v>
      </c>
      <c r="E995" s="27">
        <v>54600</v>
      </c>
      <c r="F995" s="30">
        <v>613620</v>
      </c>
      <c r="G995" s="27">
        <v>97020</v>
      </c>
      <c r="H995" s="56">
        <v>0</v>
      </c>
      <c r="I995" s="28" t="s">
        <v>19</v>
      </c>
      <c r="J995" s="43"/>
    </row>
    <row r="996" spans="1:10" customFormat="1" ht="15" hidden="1" customHeight="1" x14ac:dyDescent="0.25">
      <c r="A996" s="24">
        <v>45063</v>
      </c>
      <c r="B996" s="36" t="s">
        <v>4069</v>
      </c>
      <c r="C996" s="26" t="s">
        <v>2909</v>
      </c>
      <c r="D996" s="26" t="s">
        <v>2910</v>
      </c>
      <c r="E996" s="27">
        <v>3860</v>
      </c>
      <c r="F996" s="30">
        <v>175680</v>
      </c>
      <c r="G996" s="27">
        <v>29820</v>
      </c>
      <c r="H996" s="56">
        <v>0</v>
      </c>
      <c r="I996" s="28" t="s">
        <v>19</v>
      </c>
      <c r="J996" s="43"/>
    </row>
    <row r="997" spans="1:10" customFormat="1" ht="15" hidden="1" customHeight="1" x14ac:dyDescent="0.25">
      <c r="A997" s="24">
        <v>45063</v>
      </c>
      <c r="B997" s="36" t="s">
        <v>4070</v>
      </c>
      <c r="C997" s="26" t="s">
        <v>2921</v>
      </c>
      <c r="D997" s="26" t="s">
        <v>2922</v>
      </c>
      <c r="E997" s="27">
        <v>9280</v>
      </c>
      <c r="F997" s="30">
        <v>186424</v>
      </c>
      <c r="G997" s="27">
        <v>30744</v>
      </c>
      <c r="H997" s="56">
        <v>0</v>
      </c>
      <c r="I997" s="28" t="s">
        <v>19</v>
      </c>
      <c r="J997" s="43"/>
    </row>
    <row r="998" spans="1:10" customFormat="1" ht="15" hidden="1" customHeight="1" x14ac:dyDescent="0.25">
      <c r="A998" s="24">
        <v>45064</v>
      </c>
      <c r="B998" s="36" t="s">
        <v>4071</v>
      </c>
      <c r="C998" s="26" t="s">
        <v>3539</v>
      </c>
      <c r="D998" s="26" t="s">
        <v>3540</v>
      </c>
      <c r="E998" s="27">
        <v>0</v>
      </c>
      <c r="F998" s="30">
        <v>499730</v>
      </c>
      <c r="G998" s="27">
        <v>86730</v>
      </c>
      <c r="H998" s="56">
        <v>0</v>
      </c>
      <c r="I998" s="28" t="s">
        <v>19</v>
      </c>
      <c r="J998" s="43"/>
    </row>
    <row r="999" spans="1:10" customFormat="1" ht="15" hidden="1" customHeight="1" x14ac:dyDescent="0.25">
      <c r="A999" s="24">
        <v>45064</v>
      </c>
      <c r="B999" s="36" t="s">
        <v>4072</v>
      </c>
      <c r="C999" s="26" t="s">
        <v>3067</v>
      </c>
      <c r="D999" s="26" t="s">
        <v>3068</v>
      </c>
      <c r="E999" s="27">
        <v>6870.05</v>
      </c>
      <c r="F999" s="30">
        <v>72210.05</v>
      </c>
      <c r="G999" s="27">
        <v>11340</v>
      </c>
      <c r="H999" s="56">
        <v>0</v>
      </c>
      <c r="I999" s="28" t="s">
        <v>19</v>
      </c>
      <c r="J999" s="43"/>
    </row>
    <row r="1000" spans="1:10" customFormat="1" ht="15" hidden="1" customHeight="1" x14ac:dyDescent="0.25">
      <c r="A1000" s="24">
        <v>45064</v>
      </c>
      <c r="B1000" s="36" t="s">
        <v>4073</v>
      </c>
      <c r="C1000" s="26" t="s">
        <v>2997</v>
      </c>
      <c r="D1000" s="26" t="s">
        <v>2998</v>
      </c>
      <c r="E1000" s="27">
        <v>23600</v>
      </c>
      <c r="F1000" s="30">
        <v>466460</v>
      </c>
      <c r="G1000" s="27">
        <v>76860</v>
      </c>
      <c r="H1000" s="56">
        <v>0</v>
      </c>
      <c r="I1000" s="28" t="s">
        <v>19</v>
      </c>
      <c r="J1000" s="43"/>
    </row>
    <row r="1001" spans="1:10" customFormat="1" ht="15" hidden="1" customHeight="1" x14ac:dyDescent="0.25">
      <c r="A1001" s="24">
        <v>45064</v>
      </c>
      <c r="B1001" s="36" t="s">
        <v>4074</v>
      </c>
      <c r="C1001" s="26" t="s">
        <v>2921</v>
      </c>
      <c r="D1001" s="26" t="s">
        <v>2922</v>
      </c>
      <c r="E1001" s="27">
        <v>9142.5</v>
      </c>
      <c r="F1001" s="30">
        <v>364882.5</v>
      </c>
      <c r="G1001" s="27">
        <v>61740</v>
      </c>
      <c r="H1001" s="56">
        <v>0</v>
      </c>
      <c r="I1001" s="28" t="s">
        <v>19</v>
      </c>
      <c r="J1001" s="43"/>
    </row>
    <row r="1002" spans="1:10" customFormat="1" ht="15" hidden="1" customHeight="1" x14ac:dyDescent="0.25">
      <c r="A1002" s="24">
        <v>45064</v>
      </c>
      <c r="B1002" s="36" t="s">
        <v>4075</v>
      </c>
      <c r="C1002" s="26" t="s">
        <v>2921</v>
      </c>
      <c r="D1002" s="26" t="s">
        <v>2922</v>
      </c>
      <c r="E1002" s="27">
        <v>14585.98</v>
      </c>
      <c r="F1002" s="30">
        <v>402995.98</v>
      </c>
      <c r="G1002" s="27">
        <v>67410</v>
      </c>
      <c r="H1002" s="56">
        <v>0</v>
      </c>
      <c r="I1002" s="28" t="s">
        <v>19</v>
      </c>
      <c r="J1002" s="43"/>
    </row>
    <row r="1003" spans="1:10" customFormat="1" ht="15" hidden="1" customHeight="1" x14ac:dyDescent="0.25">
      <c r="A1003" s="24">
        <v>45064</v>
      </c>
      <c r="B1003" s="36" t="s">
        <v>4076</v>
      </c>
      <c r="C1003" s="26" t="s">
        <v>2892</v>
      </c>
      <c r="D1003" s="26" t="s">
        <v>2893</v>
      </c>
      <c r="E1003" s="27">
        <v>0</v>
      </c>
      <c r="F1003" s="30">
        <v>62920</v>
      </c>
      <c r="G1003" s="27">
        <v>10920</v>
      </c>
      <c r="H1003" s="56">
        <v>0</v>
      </c>
      <c r="I1003" s="28" t="s">
        <v>19</v>
      </c>
      <c r="J1003" s="43"/>
    </row>
    <row r="1004" spans="1:10" customFormat="1" ht="15" hidden="1" customHeight="1" x14ac:dyDescent="0.25">
      <c r="A1004" s="24">
        <v>45064</v>
      </c>
      <c r="B1004" s="36" t="s">
        <v>4077</v>
      </c>
      <c r="C1004" s="26" t="s">
        <v>2892</v>
      </c>
      <c r="D1004" s="26" t="s">
        <v>2893</v>
      </c>
      <c r="E1004" s="27">
        <v>0</v>
      </c>
      <c r="F1004" s="30">
        <v>62920</v>
      </c>
      <c r="G1004" s="27">
        <v>10920</v>
      </c>
      <c r="H1004" s="56">
        <v>0</v>
      </c>
      <c r="I1004" s="28" t="s">
        <v>19</v>
      </c>
      <c r="J1004" s="43"/>
    </row>
    <row r="1005" spans="1:10" customFormat="1" ht="15" hidden="1" customHeight="1" x14ac:dyDescent="0.25">
      <c r="A1005" s="24">
        <v>45064</v>
      </c>
      <c r="B1005" s="36" t="s">
        <v>4078</v>
      </c>
      <c r="C1005" s="26" t="s">
        <v>2876</v>
      </c>
      <c r="D1005" s="26" t="s">
        <v>2877</v>
      </c>
      <c r="E1005" s="27">
        <v>5879.53999999999</v>
      </c>
      <c r="F1005" s="30">
        <v>80899.539999999994</v>
      </c>
      <c r="G1005" s="27">
        <v>13020</v>
      </c>
      <c r="H1005" s="56">
        <v>0</v>
      </c>
      <c r="I1005" s="28" t="s">
        <v>19</v>
      </c>
      <c r="J1005" s="43"/>
    </row>
    <row r="1006" spans="1:10" customFormat="1" ht="15" hidden="1" customHeight="1" x14ac:dyDescent="0.25">
      <c r="A1006" s="24">
        <v>45064</v>
      </c>
      <c r="B1006" s="36" t="s">
        <v>4079</v>
      </c>
      <c r="C1006" s="26" t="s">
        <v>4080</v>
      </c>
      <c r="D1006" s="26" t="s">
        <v>4081</v>
      </c>
      <c r="E1006" s="27">
        <v>4240</v>
      </c>
      <c r="F1006" s="30">
        <v>92812</v>
      </c>
      <c r="G1006" s="27">
        <v>15372</v>
      </c>
      <c r="H1006" s="56">
        <v>0</v>
      </c>
      <c r="I1006" s="28" t="s">
        <v>19</v>
      </c>
      <c r="J1006" s="43"/>
    </row>
    <row r="1007" spans="1:10" customFormat="1" ht="15" hidden="1" customHeight="1" x14ac:dyDescent="0.25">
      <c r="A1007" s="24">
        <v>45065</v>
      </c>
      <c r="B1007" s="36" t="s">
        <v>4082</v>
      </c>
      <c r="C1007" s="26" t="s">
        <v>3014</v>
      </c>
      <c r="D1007" s="26" t="s">
        <v>3015</v>
      </c>
      <c r="E1007" s="27">
        <v>11500</v>
      </c>
      <c r="F1007" s="30">
        <v>160330</v>
      </c>
      <c r="G1007" s="27">
        <v>25830</v>
      </c>
      <c r="H1007" s="56">
        <v>0</v>
      </c>
      <c r="I1007" s="28" t="s">
        <v>19</v>
      </c>
      <c r="J1007" s="43"/>
    </row>
    <row r="1008" spans="1:10" customFormat="1" ht="15" hidden="1" customHeight="1" x14ac:dyDescent="0.25">
      <c r="A1008" s="24">
        <v>45065</v>
      </c>
      <c r="B1008" s="36" t="s">
        <v>4083</v>
      </c>
      <c r="C1008" s="26" t="s">
        <v>2876</v>
      </c>
      <c r="D1008" s="26" t="s">
        <v>2877</v>
      </c>
      <c r="E1008" s="27">
        <v>5879.54</v>
      </c>
      <c r="F1008" s="30">
        <v>105099.54</v>
      </c>
      <c r="G1008" s="27">
        <v>17220</v>
      </c>
      <c r="H1008" s="56">
        <v>0</v>
      </c>
      <c r="I1008" s="28" t="s">
        <v>19</v>
      </c>
      <c r="J1008" s="43"/>
    </row>
    <row r="1009" spans="1:10" customFormat="1" ht="15" hidden="1" customHeight="1" x14ac:dyDescent="0.25">
      <c r="A1009" s="24">
        <v>45065</v>
      </c>
      <c r="B1009" s="36" t="s">
        <v>4084</v>
      </c>
      <c r="C1009" s="26" t="s">
        <v>2876</v>
      </c>
      <c r="D1009" s="26" t="s">
        <v>2877</v>
      </c>
      <c r="E1009" s="27">
        <v>5879.54</v>
      </c>
      <c r="F1009" s="30">
        <v>105099.54</v>
      </c>
      <c r="G1009" s="27">
        <v>17220</v>
      </c>
      <c r="H1009" s="56">
        <v>0</v>
      </c>
      <c r="I1009" s="28" t="s">
        <v>19</v>
      </c>
      <c r="J1009" s="43"/>
    </row>
    <row r="1010" spans="1:10" customFormat="1" ht="15" hidden="1" customHeight="1" x14ac:dyDescent="0.25">
      <c r="A1010" s="24">
        <v>45065</v>
      </c>
      <c r="B1010" s="36" t="s">
        <v>4085</v>
      </c>
      <c r="C1010" s="26" t="s">
        <v>3876</v>
      </c>
      <c r="D1010" s="26" t="s">
        <v>3877</v>
      </c>
      <c r="E1010" s="27">
        <v>5237.6899999999996</v>
      </c>
      <c r="F1010" s="30">
        <v>155277.69</v>
      </c>
      <c r="G1010" s="27">
        <v>26040</v>
      </c>
      <c r="H1010" s="56">
        <v>0</v>
      </c>
      <c r="I1010" s="28" t="s">
        <v>19</v>
      </c>
      <c r="J1010" s="43"/>
    </row>
    <row r="1011" spans="1:10" customFormat="1" ht="15" hidden="1" customHeight="1" x14ac:dyDescent="0.25">
      <c r="A1011" s="24">
        <v>45065</v>
      </c>
      <c r="B1011" s="36" t="s">
        <v>4086</v>
      </c>
      <c r="C1011" s="26" t="s">
        <v>2921</v>
      </c>
      <c r="D1011" s="26" t="s">
        <v>2922</v>
      </c>
      <c r="E1011" s="27">
        <v>9680</v>
      </c>
      <c r="F1011" s="30">
        <v>154880</v>
      </c>
      <c r="G1011" s="27">
        <v>25200</v>
      </c>
      <c r="H1011" s="56">
        <v>0</v>
      </c>
      <c r="I1011" s="28" t="s">
        <v>19</v>
      </c>
      <c r="J1011" s="43"/>
    </row>
    <row r="1012" spans="1:10" customFormat="1" ht="15" hidden="1" customHeight="1" x14ac:dyDescent="0.25">
      <c r="A1012" s="24">
        <v>45065</v>
      </c>
      <c r="B1012" s="36" t="s">
        <v>4087</v>
      </c>
      <c r="C1012" s="26" t="s">
        <v>3007</v>
      </c>
      <c r="D1012" s="26" t="s">
        <v>3008</v>
      </c>
      <c r="E1012" s="27">
        <v>4840</v>
      </c>
      <c r="F1012" s="30">
        <v>77440</v>
      </c>
      <c r="G1012" s="27">
        <v>12600</v>
      </c>
      <c r="H1012" s="56">
        <v>0</v>
      </c>
      <c r="I1012" s="28" t="s">
        <v>19</v>
      </c>
      <c r="J1012" s="43"/>
    </row>
    <row r="1013" spans="1:10" customFormat="1" ht="15" hidden="1" customHeight="1" x14ac:dyDescent="0.25">
      <c r="A1013" s="24">
        <v>45065</v>
      </c>
      <c r="B1013" s="36" t="s">
        <v>4088</v>
      </c>
      <c r="C1013" s="26" t="s">
        <v>2870</v>
      </c>
      <c r="D1013" s="26" t="s">
        <v>2871</v>
      </c>
      <c r="E1013" s="27">
        <v>4840</v>
      </c>
      <c r="F1013" s="30">
        <v>77440</v>
      </c>
      <c r="G1013" s="27">
        <v>12600</v>
      </c>
      <c r="H1013" s="56">
        <v>0</v>
      </c>
      <c r="I1013" s="28" t="s">
        <v>19</v>
      </c>
      <c r="J1013" s="43"/>
    </row>
    <row r="1014" spans="1:10" customFormat="1" ht="15" hidden="1" customHeight="1" x14ac:dyDescent="0.25">
      <c r="A1014" s="24">
        <v>45065</v>
      </c>
      <c r="B1014" s="36" t="s">
        <v>4089</v>
      </c>
      <c r="C1014" s="26" t="s">
        <v>4090</v>
      </c>
      <c r="D1014" s="26" t="s">
        <v>4091</v>
      </c>
      <c r="E1014" s="27">
        <v>7440</v>
      </c>
      <c r="F1014" s="30">
        <v>72780</v>
      </c>
      <c r="G1014" s="27">
        <v>11340</v>
      </c>
      <c r="H1014" s="56">
        <v>0</v>
      </c>
      <c r="I1014" s="28" t="s">
        <v>19</v>
      </c>
      <c r="J1014" s="43"/>
    </row>
    <row r="1015" spans="1:10" customFormat="1" ht="15" hidden="1" customHeight="1" x14ac:dyDescent="0.25">
      <c r="A1015" s="24">
        <v>45065</v>
      </c>
      <c r="B1015" s="36" t="s">
        <v>4092</v>
      </c>
      <c r="C1015" s="26" t="s">
        <v>3011</v>
      </c>
      <c r="D1015" s="26" t="s">
        <v>3012</v>
      </c>
      <c r="E1015" s="27">
        <v>9680</v>
      </c>
      <c r="F1015" s="30">
        <v>227480</v>
      </c>
      <c r="G1015" s="27">
        <v>37800</v>
      </c>
      <c r="H1015" s="56">
        <v>0</v>
      </c>
      <c r="I1015" s="28" t="s">
        <v>19</v>
      </c>
      <c r="J1015" s="43"/>
    </row>
    <row r="1016" spans="1:10" customFormat="1" ht="15" hidden="1" customHeight="1" x14ac:dyDescent="0.25">
      <c r="A1016" s="24">
        <v>45065</v>
      </c>
      <c r="B1016" s="36" t="s">
        <v>4093</v>
      </c>
      <c r="C1016" s="26" t="s">
        <v>3235</v>
      </c>
      <c r="D1016" s="26" t="s">
        <v>3236</v>
      </c>
      <c r="E1016" s="27">
        <v>24200</v>
      </c>
      <c r="F1016" s="30">
        <v>387200</v>
      </c>
      <c r="G1016" s="27">
        <v>63000</v>
      </c>
      <c r="H1016" s="56">
        <v>0</v>
      </c>
      <c r="I1016" s="28" t="s">
        <v>19</v>
      </c>
      <c r="J1016" s="43"/>
    </row>
    <row r="1017" spans="1:10" customFormat="1" ht="15" hidden="1" customHeight="1" x14ac:dyDescent="0.25">
      <c r="A1017" s="24">
        <v>45065</v>
      </c>
      <c r="B1017" s="36" t="s">
        <v>4094</v>
      </c>
      <c r="C1017" s="26" t="s">
        <v>2921</v>
      </c>
      <c r="D1017" s="26" t="s">
        <v>2922</v>
      </c>
      <c r="E1017" s="27">
        <v>9221.14</v>
      </c>
      <c r="F1017" s="30">
        <v>720701.14</v>
      </c>
      <c r="G1017" s="27">
        <v>123480</v>
      </c>
      <c r="H1017" s="56">
        <v>0</v>
      </c>
      <c r="I1017" s="28" t="s">
        <v>19</v>
      </c>
      <c r="J1017" s="43"/>
    </row>
    <row r="1018" spans="1:10" customFormat="1" ht="15" hidden="1" customHeight="1" x14ac:dyDescent="0.25">
      <c r="A1018" s="24">
        <v>45068</v>
      </c>
      <c r="B1018" s="36" t="s">
        <v>4095</v>
      </c>
      <c r="C1018" s="26" t="s">
        <v>2921</v>
      </c>
      <c r="D1018" s="26" t="s">
        <v>2922</v>
      </c>
      <c r="E1018" s="27">
        <v>18240</v>
      </c>
      <c r="F1018" s="30">
        <v>283956</v>
      </c>
      <c r="G1018" s="27">
        <v>46116</v>
      </c>
      <c r="H1018" s="56">
        <v>0</v>
      </c>
      <c r="I1018" s="28" t="s">
        <v>19</v>
      </c>
      <c r="J1018" s="43"/>
    </row>
    <row r="1019" spans="1:10" customFormat="1" ht="15" hidden="1" customHeight="1" x14ac:dyDescent="0.25">
      <c r="A1019" s="24">
        <v>45068</v>
      </c>
      <c r="B1019" s="36" t="s">
        <v>4096</v>
      </c>
      <c r="C1019" s="26" t="s">
        <v>3268</v>
      </c>
      <c r="D1019" s="26" t="s">
        <v>3269</v>
      </c>
      <c r="E1019" s="27">
        <v>5000</v>
      </c>
      <c r="F1019" s="30">
        <v>113900</v>
      </c>
      <c r="G1019" s="27">
        <v>18900</v>
      </c>
      <c r="H1019" s="56">
        <v>0</v>
      </c>
      <c r="I1019" s="28" t="s">
        <v>19</v>
      </c>
      <c r="J1019" s="43"/>
    </row>
    <row r="1020" spans="1:10" customFormat="1" ht="15" hidden="1" customHeight="1" x14ac:dyDescent="0.25">
      <c r="A1020" s="24">
        <v>45068</v>
      </c>
      <c r="B1020" s="36" t="s">
        <v>4097</v>
      </c>
      <c r="C1020" s="26" t="s">
        <v>2851</v>
      </c>
      <c r="D1020" s="26" t="s">
        <v>2852</v>
      </c>
      <c r="E1020" s="27">
        <v>3945</v>
      </c>
      <c r="F1020" s="30">
        <v>103165</v>
      </c>
      <c r="G1020" s="27">
        <v>17220</v>
      </c>
      <c r="H1020" s="56">
        <v>0</v>
      </c>
      <c r="I1020" s="28" t="s">
        <v>19</v>
      </c>
      <c r="J1020" s="43"/>
    </row>
    <row r="1021" spans="1:10" customFormat="1" ht="15" hidden="1" customHeight="1" x14ac:dyDescent="0.25">
      <c r="A1021" s="24">
        <v>45068</v>
      </c>
      <c r="B1021" s="36" t="s">
        <v>4098</v>
      </c>
      <c r="C1021" s="26" t="s">
        <v>4099</v>
      </c>
      <c r="D1021" s="26" t="s">
        <v>4100</v>
      </c>
      <c r="E1021" s="27">
        <v>1988.57</v>
      </c>
      <c r="F1021" s="30">
        <v>64908.57</v>
      </c>
      <c r="G1021" s="27">
        <v>10920</v>
      </c>
      <c r="H1021" s="56">
        <v>0</v>
      </c>
      <c r="I1021" s="28" t="s">
        <v>19</v>
      </c>
      <c r="J1021" s="43"/>
    </row>
    <row r="1022" spans="1:10" customFormat="1" ht="15" hidden="1" customHeight="1" x14ac:dyDescent="0.25">
      <c r="A1022" s="24">
        <v>45068</v>
      </c>
      <c r="B1022" s="36" t="s">
        <v>4101</v>
      </c>
      <c r="C1022" s="26" t="s">
        <v>2851</v>
      </c>
      <c r="D1022" s="26" t="s">
        <v>2852</v>
      </c>
      <c r="E1022" s="27">
        <v>3945</v>
      </c>
      <c r="F1022" s="30">
        <v>103165</v>
      </c>
      <c r="G1022" s="27">
        <v>17220</v>
      </c>
      <c r="H1022" s="56">
        <v>0</v>
      </c>
      <c r="I1022" s="28" t="s">
        <v>19</v>
      </c>
      <c r="J1022" s="43"/>
    </row>
    <row r="1023" spans="1:10" customFormat="1" ht="15" hidden="1" customHeight="1" x14ac:dyDescent="0.25">
      <c r="A1023" s="24">
        <v>45068</v>
      </c>
      <c r="B1023" s="36" t="s">
        <v>4102</v>
      </c>
      <c r="C1023" s="26" t="s">
        <v>2921</v>
      </c>
      <c r="D1023" s="26" t="s">
        <v>2922</v>
      </c>
      <c r="E1023" s="27">
        <v>11500</v>
      </c>
      <c r="F1023" s="30">
        <v>100072</v>
      </c>
      <c r="G1023" s="27">
        <v>15372</v>
      </c>
      <c r="H1023" s="56">
        <v>0</v>
      </c>
      <c r="I1023" s="28" t="s">
        <v>19</v>
      </c>
      <c r="J1023" s="43"/>
    </row>
    <row r="1024" spans="1:10" customFormat="1" ht="15" hidden="1" customHeight="1" x14ac:dyDescent="0.25">
      <c r="A1024" s="24">
        <v>45068</v>
      </c>
      <c r="B1024" s="36" t="s">
        <v>4103</v>
      </c>
      <c r="C1024" s="26" t="s">
        <v>3241</v>
      </c>
      <c r="D1024" s="26" t="s">
        <v>3242</v>
      </c>
      <c r="E1024" s="27">
        <v>9200</v>
      </c>
      <c r="F1024" s="30">
        <v>136250</v>
      </c>
      <c r="G1024" s="27">
        <v>22050</v>
      </c>
      <c r="H1024" s="56">
        <v>0</v>
      </c>
      <c r="I1024" s="28" t="s">
        <v>19</v>
      </c>
      <c r="J1024" s="43"/>
    </row>
    <row r="1025" spans="1:10" customFormat="1" ht="15" hidden="1" customHeight="1" x14ac:dyDescent="0.25">
      <c r="A1025" s="24">
        <v>45068</v>
      </c>
      <c r="B1025" s="36" t="s">
        <v>4104</v>
      </c>
      <c r="C1025" s="26" t="s">
        <v>3241</v>
      </c>
      <c r="D1025" s="26" t="s">
        <v>3242</v>
      </c>
      <c r="E1025" s="27">
        <v>9800</v>
      </c>
      <c r="F1025" s="30">
        <v>155000</v>
      </c>
      <c r="G1025" s="27">
        <v>25200</v>
      </c>
      <c r="H1025" s="56">
        <v>0</v>
      </c>
      <c r="I1025" s="28" t="s">
        <v>19</v>
      </c>
      <c r="J1025" s="43"/>
    </row>
    <row r="1026" spans="1:10" customFormat="1" ht="15" hidden="1" customHeight="1" x14ac:dyDescent="0.25">
      <c r="A1026" s="24">
        <v>45068</v>
      </c>
      <c r="B1026" s="36" t="s">
        <v>4105</v>
      </c>
      <c r="C1026" s="26" t="s">
        <v>3033</v>
      </c>
      <c r="D1026" s="26" t="s">
        <v>3034</v>
      </c>
      <c r="E1026" s="27">
        <v>9800</v>
      </c>
      <c r="F1026" s="30">
        <v>155000</v>
      </c>
      <c r="G1026" s="27">
        <v>25200</v>
      </c>
      <c r="H1026" s="56">
        <v>0</v>
      </c>
      <c r="I1026" s="28" t="s">
        <v>19</v>
      </c>
      <c r="J1026" s="43"/>
    </row>
    <row r="1027" spans="1:10" customFormat="1" ht="15" hidden="1" customHeight="1" x14ac:dyDescent="0.25">
      <c r="A1027" s="24">
        <v>45068</v>
      </c>
      <c r="B1027" s="36" t="s">
        <v>4106</v>
      </c>
      <c r="C1027" s="26" t="s">
        <v>3235</v>
      </c>
      <c r="D1027" s="26" t="s">
        <v>3236</v>
      </c>
      <c r="E1027" s="27">
        <v>42500</v>
      </c>
      <c r="F1027" s="30">
        <v>550700</v>
      </c>
      <c r="G1027" s="27">
        <v>88200</v>
      </c>
      <c r="H1027" s="56">
        <v>0</v>
      </c>
      <c r="I1027" s="28" t="s">
        <v>19</v>
      </c>
      <c r="J1027" s="43"/>
    </row>
    <row r="1028" spans="1:10" customFormat="1" ht="15" hidden="1" customHeight="1" x14ac:dyDescent="0.25">
      <c r="A1028" s="24">
        <v>45068</v>
      </c>
      <c r="B1028" s="36" t="s">
        <v>4107</v>
      </c>
      <c r="C1028" s="26" t="s">
        <v>3007</v>
      </c>
      <c r="D1028" s="26" t="s">
        <v>3008</v>
      </c>
      <c r="E1028" s="27">
        <v>6870.05</v>
      </c>
      <c r="F1028" s="30">
        <v>72210.05</v>
      </c>
      <c r="G1028" s="27">
        <v>11340</v>
      </c>
      <c r="H1028" s="56">
        <v>0</v>
      </c>
      <c r="I1028" s="28" t="s">
        <v>19</v>
      </c>
      <c r="J1028" s="43"/>
    </row>
    <row r="1029" spans="1:10" customFormat="1" ht="15" hidden="1" customHeight="1" x14ac:dyDescent="0.25">
      <c r="A1029" s="24">
        <v>45068</v>
      </c>
      <c r="B1029" s="36" t="s">
        <v>4108</v>
      </c>
      <c r="C1029" s="26" t="s">
        <v>4109</v>
      </c>
      <c r="D1029" s="26" t="s">
        <v>4110</v>
      </c>
      <c r="E1029" s="27">
        <v>2178.5700000000002</v>
      </c>
      <c r="F1029" s="30">
        <v>52998.57</v>
      </c>
      <c r="G1029" s="27">
        <v>8820</v>
      </c>
      <c r="H1029" s="56">
        <v>0</v>
      </c>
      <c r="I1029" s="28" t="s">
        <v>19</v>
      </c>
      <c r="J1029" s="43"/>
    </row>
    <row r="1030" spans="1:10" customFormat="1" ht="15" hidden="1" customHeight="1" x14ac:dyDescent="0.25">
      <c r="A1030" s="24">
        <v>45068</v>
      </c>
      <c r="B1030" s="36" t="s">
        <v>4111</v>
      </c>
      <c r="C1030" s="26" t="s">
        <v>2886</v>
      </c>
      <c r="D1030" s="26" t="s">
        <v>2887</v>
      </c>
      <c r="E1030" s="27">
        <v>27003.27</v>
      </c>
      <c r="F1030" s="30">
        <v>364593.27</v>
      </c>
      <c r="G1030" s="27">
        <v>58590</v>
      </c>
      <c r="H1030" s="56">
        <v>0</v>
      </c>
      <c r="I1030" s="28" t="s">
        <v>19</v>
      </c>
      <c r="J1030" s="43"/>
    </row>
    <row r="1031" spans="1:10" customFormat="1" ht="15" hidden="1" customHeight="1" x14ac:dyDescent="0.25">
      <c r="A1031" s="24">
        <v>45068</v>
      </c>
      <c r="B1031" s="36" t="s">
        <v>4112</v>
      </c>
      <c r="C1031" s="26" t="s">
        <v>2924</v>
      </c>
      <c r="D1031" s="26" t="s">
        <v>2925</v>
      </c>
      <c r="E1031" s="27">
        <v>0</v>
      </c>
      <c r="F1031" s="30">
        <v>26620</v>
      </c>
      <c r="G1031" s="27">
        <v>4620</v>
      </c>
      <c r="H1031" s="56">
        <v>0</v>
      </c>
      <c r="I1031" s="28" t="s">
        <v>19</v>
      </c>
      <c r="J1031" s="43"/>
    </row>
    <row r="1032" spans="1:10" customFormat="1" ht="15" hidden="1" customHeight="1" x14ac:dyDescent="0.25">
      <c r="A1032" s="24">
        <v>45068</v>
      </c>
      <c r="B1032" s="36" t="s">
        <v>4113</v>
      </c>
      <c r="C1032" s="26" t="s">
        <v>2856</v>
      </c>
      <c r="D1032" s="26" t="s">
        <v>2857</v>
      </c>
      <c r="E1032" s="27">
        <v>0</v>
      </c>
      <c r="F1032" s="30">
        <v>21780</v>
      </c>
      <c r="G1032" s="27">
        <v>3780</v>
      </c>
      <c r="H1032" s="56">
        <v>0</v>
      </c>
      <c r="I1032" s="28" t="s">
        <v>19</v>
      </c>
      <c r="J1032" s="43"/>
    </row>
    <row r="1033" spans="1:10" customFormat="1" ht="15" hidden="1" customHeight="1" x14ac:dyDescent="0.25">
      <c r="A1033" s="24">
        <v>45068</v>
      </c>
      <c r="B1033" s="36" t="s">
        <v>4114</v>
      </c>
      <c r="C1033" s="26" t="s">
        <v>3150</v>
      </c>
      <c r="D1033" s="26" t="s">
        <v>3151</v>
      </c>
      <c r="E1033" s="27">
        <v>50023.64</v>
      </c>
      <c r="F1033" s="30">
        <v>462633.64</v>
      </c>
      <c r="G1033" s="27">
        <v>71610</v>
      </c>
      <c r="H1033" s="56">
        <v>0</v>
      </c>
      <c r="I1033" s="28" t="s">
        <v>19</v>
      </c>
      <c r="J1033" s="43"/>
    </row>
    <row r="1034" spans="1:10" customFormat="1" ht="15" hidden="1" customHeight="1" x14ac:dyDescent="0.25">
      <c r="A1034" s="24">
        <v>45068</v>
      </c>
      <c r="B1034" s="36" t="s">
        <v>4115</v>
      </c>
      <c r="C1034" s="26" t="s">
        <v>3150</v>
      </c>
      <c r="D1034" s="26" t="s">
        <v>3151</v>
      </c>
      <c r="E1034" s="27">
        <v>32960</v>
      </c>
      <c r="F1034" s="30">
        <v>891576</v>
      </c>
      <c r="G1034" s="27">
        <v>149016</v>
      </c>
      <c r="H1034" s="56">
        <v>0</v>
      </c>
      <c r="I1034" s="28" t="s">
        <v>19</v>
      </c>
      <c r="J1034" s="43"/>
    </row>
    <row r="1035" spans="1:10" customFormat="1" ht="15" hidden="1" customHeight="1" x14ac:dyDescent="0.25">
      <c r="A1035" s="24">
        <v>45068</v>
      </c>
      <c r="B1035" s="36" t="s">
        <v>4116</v>
      </c>
      <c r="C1035" s="26" t="s">
        <v>2851</v>
      </c>
      <c r="D1035" s="26" t="s">
        <v>2852</v>
      </c>
      <c r="E1035" s="27">
        <v>3945</v>
      </c>
      <c r="F1035" s="30">
        <v>103165</v>
      </c>
      <c r="G1035" s="27">
        <v>17220</v>
      </c>
      <c r="H1035" s="56">
        <v>0</v>
      </c>
      <c r="I1035" s="28" t="s">
        <v>19</v>
      </c>
      <c r="J1035" s="43"/>
    </row>
    <row r="1036" spans="1:10" customFormat="1" ht="15" hidden="1" customHeight="1" x14ac:dyDescent="0.25">
      <c r="A1036" s="24">
        <v>45069</v>
      </c>
      <c r="B1036" s="36" t="s">
        <v>4117</v>
      </c>
      <c r="C1036" s="26" t="s">
        <v>2851</v>
      </c>
      <c r="D1036" s="26" t="s">
        <v>2852</v>
      </c>
      <c r="E1036" s="27">
        <v>8935</v>
      </c>
      <c r="F1036" s="30">
        <v>306595</v>
      </c>
      <c r="G1036" s="27">
        <v>51660</v>
      </c>
      <c r="H1036" s="56">
        <v>0</v>
      </c>
      <c r="I1036" s="28" t="s">
        <v>19</v>
      </c>
      <c r="J1036" s="43"/>
    </row>
    <row r="1037" spans="1:10" customFormat="1" ht="15" hidden="1" customHeight="1" x14ac:dyDescent="0.25">
      <c r="A1037" s="24">
        <v>45069</v>
      </c>
      <c r="B1037" s="36" t="s">
        <v>4118</v>
      </c>
      <c r="C1037" s="26" t="s">
        <v>2909</v>
      </c>
      <c r="D1037" s="26" t="s">
        <v>2910</v>
      </c>
      <c r="E1037" s="27">
        <v>7920</v>
      </c>
      <c r="F1037" s="30">
        <v>179740</v>
      </c>
      <c r="G1037" s="27">
        <v>29820</v>
      </c>
      <c r="H1037" s="56">
        <v>0</v>
      </c>
      <c r="I1037" s="28" t="s">
        <v>19</v>
      </c>
      <c r="J1037" s="43"/>
    </row>
    <row r="1038" spans="1:10" customFormat="1" ht="15" hidden="1" customHeight="1" x14ac:dyDescent="0.25">
      <c r="A1038" s="24">
        <v>45069</v>
      </c>
      <c r="B1038" s="36" t="s">
        <v>4119</v>
      </c>
      <c r="C1038" s="26" t="s">
        <v>2867</v>
      </c>
      <c r="D1038" s="26" t="s">
        <v>2868</v>
      </c>
      <c r="E1038" s="27">
        <v>4960</v>
      </c>
      <c r="F1038" s="30">
        <v>295360</v>
      </c>
      <c r="G1038" s="27">
        <v>50400</v>
      </c>
      <c r="H1038" s="56">
        <v>0</v>
      </c>
      <c r="I1038" s="28" t="s">
        <v>19</v>
      </c>
      <c r="J1038" s="43"/>
    </row>
    <row r="1039" spans="1:10" customFormat="1" ht="15" hidden="1" customHeight="1" x14ac:dyDescent="0.25">
      <c r="A1039" s="24">
        <v>45069</v>
      </c>
      <c r="B1039" s="36" t="s">
        <v>4120</v>
      </c>
      <c r="C1039" s="26" t="s">
        <v>4121</v>
      </c>
      <c r="D1039" s="26" t="s">
        <v>4122</v>
      </c>
      <c r="E1039" s="27">
        <v>6080</v>
      </c>
      <c r="F1039" s="30">
        <v>78680</v>
      </c>
      <c r="G1039" s="27">
        <v>12600</v>
      </c>
      <c r="H1039" s="56">
        <v>0</v>
      </c>
      <c r="I1039" s="28" t="s">
        <v>19</v>
      </c>
      <c r="J1039" s="43"/>
    </row>
    <row r="1040" spans="1:10" customFormat="1" ht="15" hidden="1" customHeight="1" x14ac:dyDescent="0.25">
      <c r="A1040" s="24">
        <v>45069</v>
      </c>
      <c r="B1040" s="36" t="s">
        <v>4123</v>
      </c>
      <c r="C1040" s="26" t="s">
        <v>3627</v>
      </c>
      <c r="D1040" s="26" t="s">
        <v>3628</v>
      </c>
      <c r="E1040" s="27">
        <v>9200</v>
      </c>
      <c r="F1040" s="30">
        <v>81800</v>
      </c>
      <c r="G1040" s="27">
        <v>12600</v>
      </c>
      <c r="H1040" s="56">
        <v>0</v>
      </c>
      <c r="I1040" s="28" t="s">
        <v>19</v>
      </c>
      <c r="J1040" s="43"/>
    </row>
    <row r="1041" spans="1:10" customFormat="1" ht="15" hidden="1" customHeight="1" x14ac:dyDescent="0.25">
      <c r="A1041" s="24">
        <v>45069</v>
      </c>
      <c r="B1041" s="36" t="s">
        <v>4124</v>
      </c>
      <c r="C1041" s="26" t="s">
        <v>3176</v>
      </c>
      <c r="D1041" s="26" t="s">
        <v>3177</v>
      </c>
      <c r="E1041" s="27">
        <v>27600</v>
      </c>
      <c r="F1041" s="30">
        <v>245400</v>
      </c>
      <c r="G1041" s="27">
        <v>37800</v>
      </c>
      <c r="H1041" s="56">
        <v>0</v>
      </c>
      <c r="I1041" s="28" t="s">
        <v>19</v>
      </c>
      <c r="J1041" s="43"/>
    </row>
    <row r="1042" spans="1:10" customFormat="1" ht="15" hidden="1" customHeight="1" x14ac:dyDescent="0.25">
      <c r="A1042" s="24">
        <v>45069</v>
      </c>
      <c r="B1042" s="36" t="s">
        <v>4125</v>
      </c>
      <c r="C1042" s="26" t="s">
        <v>4015</v>
      </c>
      <c r="D1042" s="26" t="s">
        <v>4016</v>
      </c>
      <c r="E1042" s="27">
        <v>9200</v>
      </c>
      <c r="F1042" s="30">
        <v>81800</v>
      </c>
      <c r="G1042" s="27">
        <v>12600</v>
      </c>
      <c r="H1042" s="56">
        <v>0</v>
      </c>
      <c r="I1042" s="28" t="s">
        <v>19</v>
      </c>
      <c r="J1042" s="43"/>
    </row>
    <row r="1043" spans="1:10" customFormat="1" ht="15" hidden="1" customHeight="1" x14ac:dyDescent="0.25">
      <c r="A1043" s="24">
        <v>45069</v>
      </c>
      <c r="B1043" s="36" t="s">
        <v>4126</v>
      </c>
      <c r="C1043" s="26" t="s">
        <v>3150</v>
      </c>
      <c r="D1043" s="26" t="s">
        <v>3151</v>
      </c>
      <c r="E1043" s="27">
        <v>46000</v>
      </c>
      <c r="F1043" s="30">
        <v>409000</v>
      </c>
      <c r="G1043" s="27">
        <v>63000</v>
      </c>
      <c r="H1043" s="56">
        <v>0</v>
      </c>
      <c r="I1043" s="28" t="s">
        <v>19</v>
      </c>
      <c r="J1043" s="43"/>
    </row>
    <row r="1044" spans="1:10" customFormat="1" ht="15" hidden="1" customHeight="1" x14ac:dyDescent="0.25">
      <c r="A1044" s="24">
        <v>45069</v>
      </c>
      <c r="B1044" s="36" t="s">
        <v>4127</v>
      </c>
      <c r="C1044" s="26" t="s">
        <v>3079</v>
      </c>
      <c r="D1044" s="26" t="s">
        <v>3080</v>
      </c>
      <c r="E1044" s="27">
        <v>1800</v>
      </c>
      <c r="F1044" s="30">
        <v>55645</v>
      </c>
      <c r="G1044" s="27">
        <v>9345</v>
      </c>
      <c r="H1044" s="56">
        <v>0</v>
      </c>
      <c r="I1044" s="28" t="s">
        <v>19</v>
      </c>
      <c r="J1044" s="43"/>
    </row>
    <row r="1045" spans="1:10" customFormat="1" ht="15" hidden="1" customHeight="1" x14ac:dyDescent="0.25">
      <c r="A1045" s="24">
        <v>45070</v>
      </c>
      <c r="B1045" s="36" t="s">
        <v>4128</v>
      </c>
      <c r="C1045" s="26" t="s">
        <v>2867</v>
      </c>
      <c r="D1045" s="26" t="s">
        <v>2868</v>
      </c>
      <c r="E1045" s="27">
        <v>10000</v>
      </c>
      <c r="F1045" s="30">
        <v>155200</v>
      </c>
      <c r="G1045" s="27">
        <v>25200</v>
      </c>
      <c r="H1045" s="56">
        <v>0</v>
      </c>
      <c r="I1045" s="28" t="s">
        <v>19</v>
      </c>
      <c r="J1045" s="43"/>
    </row>
    <row r="1046" spans="1:10" customFormat="1" ht="15" hidden="1" customHeight="1" x14ac:dyDescent="0.25">
      <c r="A1046" s="24">
        <v>45070</v>
      </c>
      <c r="B1046" s="36" t="s">
        <v>4129</v>
      </c>
      <c r="C1046" s="26" t="s">
        <v>2856</v>
      </c>
      <c r="D1046" s="26" t="s">
        <v>2857</v>
      </c>
      <c r="E1046" s="27">
        <v>14048.93</v>
      </c>
      <c r="F1046" s="30">
        <v>144728.93</v>
      </c>
      <c r="G1046" s="27">
        <v>22680</v>
      </c>
      <c r="H1046" s="56">
        <v>0</v>
      </c>
      <c r="I1046" s="28" t="s">
        <v>19</v>
      </c>
      <c r="J1046" s="43"/>
    </row>
    <row r="1047" spans="1:10" customFormat="1" ht="15" hidden="1" customHeight="1" x14ac:dyDescent="0.25">
      <c r="A1047" s="24">
        <v>45070</v>
      </c>
      <c r="B1047" s="36" t="s">
        <v>4130</v>
      </c>
      <c r="C1047" s="26" t="s">
        <v>3007</v>
      </c>
      <c r="D1047" s="26" t="s">
        <v>3008</v>
      </c>
      <c r="E1047" s="27">
        <v>23000</v>
      </c>
      <c r="F1047" s="30">
        <v>200144</v>
      </c>
      <c r="G1047" s="27">
        <v>30744</v>
      </c>
      <c r="H1047" s="56">
        <v>0</v>
      </c>
      <c r="I1047" s="28" t="s">
        <v>19</v>
      </c>
      <c r="J1047" s="43"/>
    </row>
    <row r="1048" spans="1:10" customFormat="1" ht="15" hidden="1" customHeight="1" x14ac:dyDescent="0.25">
      <c r="A1048" s="24">
        <v>45070</v>
      </c>
      <c r="B1048" s="36" t="s">
        <v>4131</v>
      </c>
      <c r="C1048" s="26" t="s">
        <v>3235</v>
      </c>
      <c r="D1048" s="26" t="s">
        <v>3236</v>
      </c>
      <c r="E1048" s="27">
        <v>60000</v>
      </c>
      <c r="F1048" s="30">
        <v>577275</v>
      </c>
      <c r="G1048" s="27">
        <v>89775</v>
      </c>
      <c r="H1048" s="56">
        <v>0</v>
      </c>
      <c r="I1048" s="28" t="s">
        <v>19</v>
      </c>
      <c r="J1048" s="43"/>
    </row>
    <row r="1049" spans="1:10" customFormat="1" ht="15" hidden="1" customHeight="1" x14ac:dyDescent="0.25">
      <c r="A1049" s="24">
        <v>45070</v>
      </c>
      <c r="B1049" s="36" t="s">
        <v>4132</v>
      </c>
      <c r="C1049" s="26" t="s">
        <v>2909</v>
      </c>
      <c r="D1049" s="26" t="s">
        <v>2910</v>
      </c>
      <c r="E1049" s="27">
        <v>8500</v>
      </c>
      <c r="F1049" s="30">
        <v>157330</v>
      </c>
      <c r="G1049" s="27">
        <v>25830</v>
      </c>
      <c r="H1049" s="56">
        <v>0</v>
      </c>
      <c r="I1049" s="28" t="s">
        <v>19</v>
      </c>
      <c r="J1049" s="43"/>
    </row>
    <row r="1050" spans="1:10" customFormat="1" ht="15" hidden="1" customHeight="1" x14ac:dyDescent="0.25">
      <c r="A1050" s="24">
        <v>45070</v>
      </c>
      <c r="B1050" s="36" t="s">
        <v>4133</v>
      </c>
      <c r="C1050" s="26" t="s">
        <v>2969</v>
      </c>
      <c r="D1050" s="26" t="s">
        <v>2970</v>
      </c>
      <c r="E1050" s="27">
        <v>9500</v>
      </c>
      <c r="F1050" s="30">
        <v>98072</v>
      </c>
      <c r="G1050" s="27">
        <v>15372</v>
      </c>
      <c r="H1050" s="56">
        <v>0</v>
      </c>
      <c r="I1050" s="28" t="s">
        <v>19</v>
      </c>
      <c r="J1050" s="43"/>
    </row>
    <row r="1051" spans="1:10" customFormat="1" ht="15" hidden="1" customHeight="1" x14ac:dyDescent="0.25">
      <c r="A1051" s="24">
        <v>45070</v>
      </c>
      <c r="B1051" s="36" t="s">
        <v>4134</v>
      </c>
      <c r="C1051" s="26" t="s">
        <v>2972</v>
      </c>
      <c r="D1051" s="26" t="s">
        <v>2973</v>
      </c>
      <c r="E1051" s="27">
        <v>11329.41</v>
      </c>
      <c r="F1051" s="30">
        <v>123859.41</v>
      </c>
      <c r="G1051" s="27">
        <v>19530</v>
      </c>
      <c r="H1051" s="56">
        <v>0</v>
      </c>
      <c r="I1051" s="28" t="s">
        <v>19</v>
      </c>
      <c r="J1051" s="43"/>
    </row>
    <row r="1052" spans="1:10" customFormat="1" ht="15" hidden="1" customHeight="1" x14ac:dyDescent="0.25">
      <c r="A1052" s="24">
        <v>45070</v>
      </c>
      <c r="B1052" s="36" t="s">
        <v>4135</v>
      </c>
      <c r="C1052" s="26" t="s">
        <v>2972</v>
      </c>
      <c r="D1052" s="26" t="s">
        <v>2973</v>
      </c>
      <c r="E1052" s="27">
        <v>12729.41</v>
      </c>
      <c r="F1052" s="30">
        <v>162769.41</v>
      </c>
      <c r="G1052" s="27">
        <v>26040</v>
      </c>
      <c r="H1052" s="56">
        <v>0</v>
      </c>
      <c r="I1052" s="28" t="s">
        <v>19</v>
      </c>
      <c r="J1052" s="43"/>
    </row>
    <row r="1053" spans="1:10" customFormat="1" ht="15" hidden="1" customHeight="1" x14ac:dyDescent="0.25">
      <c r="A1053" s="24">
        <v>45070</v>
      </c>
      <c r="B1053" s="36" t="s">
        <v>4136</v>
      </c>
      <c r="C1053" s="26" t="s">
        <v>2972</v>
      </c>
      <c r="D1053" s="26" t="s">
        <v>2973</v>
      </c>
      <c r="E1053" s="27">
        <v>11329.41</v>
      </c>
      <c r="F1053" s="30">
        <v>123859.41</v>
      </c>
      <c r="G1053" s="27">
        <v>19530</v>
      </c>
      <c r="H1053" s="56">
        <v>0</v>
      </c>
      <c r="I1053" s="28" t="s">
        <v>19</v>
      </c>
      <c r="J1053" s="43"/>
    </row>
    <row r="1054" spans="1:10" customFormat="1" ht="15" hidden="1" customHeight="1" x14ac:dyDescent="0.25">
      <c r="A1054" s="24">
        <v>45070</v>
      </c>
      <c r="B1054" s="36" t="s">
        <v>4137</v>
      </c>
      <c r="C1054" s="26" t="s">
        <v>2892</v>
      </c>
      <c r="D1054" s="26" t="s">
        <v>2893</v>
      </c>
      <c r="E1054" s="27">
        <v>2905.72</v>
      </c>
      <c r="F1054" s="30">
        <v>65825.72</v>
      </c>
      <c r="G1054" s="27">
        <v>10920</v>
      </c>
      <c r="H1054" s="56">
        <v>0</v>
      </c>
      <c r="I1054" s="28" t="s">
        <v>19</v>
      </c>
      <c r="J1054" s="43"/>
    </row>
    <row r="1055" spans="1:10" customFormat="1" ht="15" hidden="1" customHeight="1" x14ac:dyDescent="0.25">
      <c r="A1055" s="24">
        <v>45075</v>
      </c>
      <c r="B1055" s="36" t="s">
        <v>4138</v>
      </c>
      <c r="C1055" s="26" t="s">
        <v>3235</v>
      </c>
      <c r="D1055" s="26" t="s">
        <v>3236</v>
      </c>
      <c r="E1055" s="27">
        <v>32400</v>
      </c>
      <c r="F1055" s="30">
        <v>288194</v>
      </c>
      <c r="G1055" s="27">
        <v>44394</v>
      </c>
      <c r="H1055" s="56">
        <v>0</v>
      </c>
      <c r="I1055" s="28" t="s">
        <v>19</v>
      </c>
      <c r="J1055" s="43"/>
    </row>
    <row r="1056" spans="1:10" customFormat="1" ht="15" hidden="1" customHeight="1" x14ac:dyDescent="0.25">
      <c r="A1056" s="24">
        <v>45075</v>
      </c>
      <c r="B1056" s="36" t="s">
        <v>4139</v>
      </c>
      <c r="C1056" s="26" t="s">
        <v>3241</v>
      </c>
      <c r="D1056" s="26" t="s">
        <v>3242</v>
      </c>
      <c r="E1056" s="27">
        <v>9800</v>
      </c>
      <c r="F1056" s="30">
        <v>155000</v>
      </c>
      <c r="G1056" s="27">
        <v>25200</v>
      </c>
      <c r="H1056" s="56">
        <v>0</v>
      </c>
      <c r="I1056" s="28" t="s">
        <v>19</v>
      </c>
      <c r="J1056" s="43"/>
    </row>
    <row r="1057" spans="1:10" customFormat="1" ht="15" hidden="1" customHeight="1" x14ac:dyDescent="0.25">
      <c r="A1057" s="24">
        <v>45075</v>
      </c>
      <c r="B1057" s="36" t="s">
        <v>4140</v>
      </c>
      <c r="C1057" s="26" t="s">
        <v>2856</v>
      </c>
      <c r="D1057" s="26" t="s">
        <v>2857</v>
      </c>
      <c r="E1057" s="27">
        <v>9800</v>
      </c>
      <c r="F1057" s="30">
        <v>153548</v>
      </c>
      <c r="G1057" s="27">
        <v>24948</v>
      </c>
      <c r="H1057" s="56">
        <v>0</v>
      </c>
      <c r="I1057" s="28" t="s">
        <v>19</v>
      </c>
      <c r="J1057" s="43"/>
    </row>
    <row r="1058" spans="1:10" customFormat="1" ht="15" hidden="1" customHeight="1" x14ac:dyDescent="0.25">
      <c r="A1058" s="24">
        <v>45075</v>
      </c>
      <c r="B1058" s="36" t="s">
        <v>4141</v>
      </c>
      <c r="C1058" s="26" t="s">
        <v>3235</v>
      </c>
      <c r="D1058" s="26" t="s">
        <v>3236</v>
      </c>
      <c r="E1058" s="27">
        <v>30000</v>
      </c>
      <c r="F1058" s="30">
        <v>259900</v>
      </c>
      <c r="G1058" s="27">
        <v>39900</v>
      </c>
      <c r="H1058" s="56">
        <v>0</v>
      </c>
      <c r="I1058" s="28" t="s">
        <v>19</v>
      </c>
      <c r="J1058" s="43"/>
    </row>
    <row r="1059" spans="1:10" customFormat="1" ht="15" hidden="1" customHeight="1" x14ac:dyDescent="0.25">
      <c r="A1059" s="24">
        <v>45075</v>
      </c>
      <c r="B1059" s="36" t="s">
        <v>4142</v>
      </c>
      <c r="C1059" s="26" t="s">
        <v>2909</v>
      </c>
      <c r="D1059" s="26" t="s">
        <v>2910</v>
      </c>
      <c r="E1059" s="27">
        <v>8500</v>
      </c>
      <c r="F1059" s="30">
        <v>157330</v>
      </c>
      <c r="G1059" s="27">
        <v>25830</v>
      </c>
      <c r="H1059" s="56">
        <v>0</v>
      </c>
      <c r="I1059" s="28" t="s">
        <v>19</v>
      </c>
      <c r="J1059" s="43"/>
    </row>
    <row r="1060" spans="1:10" customFormat="1" ht="15" hidden="1" customHeight="1" x14ac:dyDescent="0.25">
      <c r="A1060" s="24">
        <v>45075</v>
      </c>
      <c r="B1060" s="36" t="s">
        <v>4143</v>
      </c>
      <c r="C1060" s="26" t="s">
        <v>4144</v>
      </c>
      <c r="D1060" s="26" t="s">
        <v>4145</v>
      </c>
      <c r="E1060" s="27">
        <v>990</v>
      </c>
      <c r="F1060" s="30">
        <v>40920</v>
      </c>
      <c r="G1060" s="27">
        <v>6930</v>
      </c>
      <c r="H1060" s="56">
        <v>0</v>
      </c>
      <c r="I1060" s="28" t="s">
        <v>19</v>
      </c>
      <c r="J1060" s="43"/>
    </row>
    <row r="1061" spans="1:10" customFormat="1" ht="15" hidden="1" customHeight="1" x14ac:dyDescent="0.25">
      <c r="A1061" s="24">
        <v>45075</v>
      </c>
      <c r="B1061" s="36" t="s">
        <v>4146</v>
      </c>
      <c r="C1061" s="26" t="s">
        <v>2957</v>
      </c>
      <c r="D1061" s="26" t="s">
        <v>2958</v>
      </c>
      <c r="E1061" s="27">
        <v>0</v>
      </c>
      <c r="F1061" s="30">
        <v>25410</v>
      </c>
      <c r="G1061" s="27">
        <v>4410</v>
      </c>
      <c r="H1061" s="56">
        <v>0</v>
      </c>
      <c r="I1061" s="28" t="s">
        <v>19</v>
      </c>
      <c r="J1061" s="43"/>
    </row>
    <row r="1062" spans="1:10" customFormat="1" ht="15" hidden="1" customHeight="1" x14ac:dyDescent="0.25">
      <c r="A1062" s="24">
        <v>45076</v>
      </c>
      <c r="B1062" s="36" t="s">
        <v>4147</v>
      </c>
      <c r="C1062" s="26" t="s">
        <v>1140</v>
      </c>
      <c r="D1062" s="26" t="s">
        <v>1141</v>
      </c>
      <c r="E1062" s="27">
        <v>0</v>
      </c>
      <c r="F1062" s="30">
        <v>39930</v>
      </c>
      <c r="G1062" s="27">
        <v>6930</v>
      </c>
      <c r="H1062" s="56">
        <v>0</v>
      </c>
      <c r="I1062" s="28" t="s">
        <v>19</v>
      </c>
      <c r="J1062" s="43"/>
    </row>
    <row r="1063" spans="1:10" customFormat="1" ht="15" hidden="1" customHeight="1" x14ac:dyDescent="0.25">
      <c r="A1063" s="24">
        <v>45076</v>
      </c>
      <c r="B1063" s="36" t="s">
        <v>4148</v>
      </c>
      <c r="C1063" s="26" t="s">
        <v>3036</v>
      </c>
      <c r="D1063" s="26" t="s">
        <v>3037</v>
      </c>
      <c r="E1063" s="27">
        <v>19300</v>
      </c>
      <c r="F1063" s="30">
        <v>267350</v>
      </c>
      <c r="G1063" s="27">
        <v>43050</v>
      </c>
      <c r="H1063" s="56">
        <v>0</v>
      </c>
      <c r="I1063" s="28" t="s">
        <v>19</v>
      </c>
      <c r="J1063" s="43"/>
    </row>
    <row r="1064" spans="1:10" customFormat="1" ht="15" hidden="1" customHeight="1" x14ac:dyDescent="0.25">
      <c r="A1064" s="24">
        <v>45076</v>
      </c>
      <c r="B1064" s="36" t="s">
        <v>4149</v>
      </c>
      <c r="C1064" s="26" t="s">
        <v>3450</v>
      </c>
      <c r="D1064" s="26" t="s">
        <v>3451</v>
      </c>
      <c r="E1064" s="27">
        <v>4250</v>
      </c>
      <c r="F1064" s="30">
        <v>152293.5</v>
      </c>
      <c r="G1064" s="27">
        <v>25693.5</v>
      </c>
      <c r="H1064" s="56">
        <v>0</v>
      </c>
      <c r="I1064" s="28" t="s">
        <v>19</v>
      </c>
      <c r="J1064" s="43"/>
    </row>
    <row r="1065" spans="1:10" customFormat="1" ht="15" hidden="1" customHeight="1" x14ac:dyDescent="0.25">
      <c r="A1065" s="24">
        <v>45076</v>
      </c>
      <c r="B1065" s="36" t="s">
        <v>4150</v>
      </c>
      <c r="C1065" s="26" t="s">
        <v>2945</v>
      </c>
      <c r="D1065" s="26" t="s">
        <v>2946</v>
      </c>
      <c r="E1065" s="27">
        <v>9200</v>
      </c>
      <c r="F1065" s="30">
        <v>107210</v>
      </c>
      <c r="G1065" s="27">
        <v>17010</v>
      </c>
      <c r="H1065" s="56">
        <v>0</v>
      </c>
      <c r="I1065" s="28" t="s">
        <v>19</v>
      </c>
      <c r="J1065" s="43"/>
    </row>
    <row r="1066" spans="1:10" customFormat="1" ht="15" hidden="1" customHeight="1" x14ac:dyDescent="0.25">
      <c r="A1066" s="24">
        <v>45076</v>
      </c>
      <c r="B1066" s="36" t="s">
        <v>4151</v>
      </c>
      <c r="C1066" s="26" t="s">
        <v>2851</v>
      </c>
      <c r="D1066" s="26" t="s">
        <v>2852</v>
      </c>
      <c r="E1066" s="27">
        <v>0</v>
      </c>
      <c r="F1066" s="30">
        <v>30250</v>
      </c>
      <c r="G1066" s="27">
        <v>5250</v>
      </c>
      <c r="H1066" s="56">
        <v>0</v>
      </c>
      <c r="I1066" s="28" t="s">
        <v>19</v>
      </c>
      <c r="J1066" s="43"/>
    </row>
    <row r="1067" spans="1:10" customFormat="1" ht="15" hidden="1" customHeight="1" x14ac:dyDescent="0.25">
      <c r="A1067" s="24">
        <v>45076</v>
      </c>
      <c r="B1067" s="36" t="s">
        <v>4152</v>
      </c>
      <c r="C1067" s="26" t="s">
        <v>2921</v>
      </c>
      <c r="D1067" s="26" t="s">
        <v>2922</v>
      </c>
      <c r="E1067" s="27">
        <v>9200</v>
      </c>
      <c r="F1067" s="30">
        <v>74540</v>
      </c>
      <c r="G1067" s="27">
        <v>11340</v>
      </c>
      <c r="H1067" s="56">
        <v>0</v>
      </c>
      <c r="I1067" s="28" t="s">
        <v>19</v>
      </c>
      <c r="J1067" s="43"/>
    </row>
    <row r="1068" spans="1:10" customFormat="1" ht="15" hidden="1" customHeight="1" x14ac:dyDescent="0.25">
      <c r="A1068" s="24">
        <v>45076</v>
      </c>
      <c r="B1068" s="36" t="s">
        <v>4153</v>
      </c>
      <c r="C1068" s="26" t="s">
        <v>3007</v>
      </c>
      <c r="D1068" s="26" t="s">
        <v>3008</v>
      </c>
      <c r="E1068" s="27">
        <v>13740.1</v>
      </c>
      <c r="F1068" s="30">
        <v>144420.1</v>
      </c>
      <c r="G1068" s="27">
        <v>22680</v>
      </c>
      <c r="H1068" s="56">
        <v>0</v>
      </c>
      <c r="I1068" s="28" t="s">
        <v>19</v>
      </c>
      <c r="J1068" s="43"/>
    </row>
    <row r="1069" spans="1:10" customFormat="1" ht="15" hidden="1" customHeight="1" x14ac:dyDescent="0.25">
      <c r="A1069" s="24">
        <v>45076</v>
      </c>
      <c r="B1069" s="36" t="s">
        <v>4154</v>
      </c>
      <c r="C1069" s="26" t="s">
        <v>2960</v>
      </c>
      <c r="D1069" s="26" t="s">
        <v>2961</v>
      </c>
      <c r="E1069" s="27">
        <v>6870.05</v>
      </c>
      <c r="F1069" s="30">
        <v>104880.05</v>
      </c>
      <c r="G1069" s="27">
        <v>17010</v>
      </c>
      <c r="H1069" s="56">
        <v>0</v>
      </c>
      <c r="I1069" s="28" t="s">
        <v>19</v>
      </c>
      <c r="J1069" s="43"/>
    </row>
    <row r="1070" spans="1:10" customFormat="1" ht="15" hidden="1" customHeight="1" x14ac:dyDescent="0.25">
      <c r="A1070" s="24">
        <v>45076</v>
      </c>
      <c r="B1070" s="36" t="s">
        <v>4155</v>
      </c>
      <c r="C1070" s="26" t="s">
        <v>2917</v>
      </c>
      <c r="D1070" s="26" t="s">
        <v>2918</v>
      </c>
      <c r="E1070" s="27">
        <v>2400</v>
      </c>
      <c r="F1070" s="30">
        <v>88068</v>
      </c>
      <c r="G1070" s="27">
        <v>14868</v>
      </c>
      <c r="H1070" s="56">
        <v>0</v>
      </c>
      <c r="I1070" s="28" t="s">
        <v>19</v>
      </c>
      <c r="J1070" s="43"/>
    </row>
    <row r="1071" spans="1:10" customFormat="1" ht="15" hidden="1" customHeight="1" x14ac:dyDescent="0.25">
      <c r="A1071" s="24">
        <v>45077</v>
      </c>
      <c r="B1071" s="36" t="s">
        <v>4156</v>
      </c>
      <c r="C1071" s="26" t="s">
        <v>3346</v>
      </c>
      <c r="D1071" s="26" t="s">
        <v>3347</v>
      </c>
      <c r="E1071" s="27">
        <v>0</v>
      </c>
      <c r="F1071" s="30">
        <v>392040</v>
      </c>
      <c r="G1071" s="27">
        <v>68040</v>
      </c>
      <c r="H1071" s="56">
        <v>0</v>
      </c>
      <c r="I1071" s="28" t="s">
        <v>19</v>
      </c>
      <c r="J1071" s="43"/>
    </row>
    <row r="1072" spans="1:10" customFormat="1" ht="15" hidden="1" customHeight="1" x14ac:dyDescent="0.25">
      <c r="A1072" s="24">
        <v>45077</v>
      </c>
      <c r="B1072" s="36" t="s">
        <v>4157</v>
      </c>
      <c r="C1072" s="26" t="s">
        <v>3562</v>
      </c>
      <c r="D1072" s="26" t="s">
        <v>3563</v>
      </c>
      <c r="E1072" s="27">
        <v>12160</v>
      </c>
      <c r="F1072" s="30">
        <v>508260</v>
      </c>
      <c r="G1072" s="27">
        <v>86100</v>
      </c>
      <c r="H1072" s="56">
        <v>0</v>
      </c>
      <c r="I1072" s="28" t="s">
        <v>19</v>
      </c>
      <c r="J1072" s="43"/>
    </row>
    <row r="1073" spans="1:10" customFormat="1" ht="15" hidden="1" customHeight="1" x14ac:dyDescent="0.25">
      <c r="A1073" s="24">
        <v>45077</v>
      </c>
      <c r="B1073" s="36" t="s">
        <v>4158</v>
      </c>
      <c r="C1073" s="26" t="s">
        <v>4159</v>
      </c>
      <c r="D1073" s="26" t="s">
        <v>4160</v>
      </c>
      <c r="E1073" s="27">
        <v>0</v>
      </c>
      <c r="F1073" s="30">
        <v>36300</v>
      </c>
      <c r="G1073" s="27">
        <v>6300</v>
      </c>
      <c r="H1073" s="56">
        <v>0</v>
      </c>
      <c r="I1073" s="28" t="s">
        <v>19</v>
      </c>
      <c r="J1073" s="43"/>
    </row>
    <row r="1074" spans="1:10" customFormat="1" ht="15" hidden="1" customHeight="1" x14ac:dyDescent="0.25">
      <c r="A1074" s="24">
        <v>45077</v>
      </c>
      <c r="B1074" s="36" t="s">
        <v>4161</v>
      </c>
      <c r="C1074" s="26" t="s">
        <v>4162</v>
      </c>
      <c r="D1074" s="26" t="s">
        <v>4163</v>
      </c>
      <c r="E1074" s="27">
        <v>5000</v>
      </c>
      <c r="F1074" s="30">
        <v>203440</v>
      </c>
      <c r="G1074" s="27">
        <v>34440</v>
      </c>
      <c r="H1074" s="56">
        <v>0</v>
      </c>
      <c r="I1074" s="28" t="s">
        <v>19</v>
      </c>
      <c r="J1074" s="43"/>
    </row>
    <row r="1075" spans="1:10" customFormat="1" ht="15" hidden="1" customHeight="1" x14ac:dyDescent="0.25">
      <c r="A1075" s="24">
        <v>45077</v>
      </c>
      <c r="B1075" s="36" t="s">
        <v>4164</v>
      </c>
      <c r="C1075" s="26" t="s">
        <v>2851</v>
      </c>
      <c r="D1075" s="26" t="s">
        <v>2852</v>
      </c>
      <c r="E1075" s="27">
        <v>7890</v>
      </c>
      <c r="F1075" s="30">
        <v>404770</v>
      </c>
      <c r="G1075" s="27">
        <v>68880</v>
      </c>
      <c r="H1075" s="56">
        <v>0</v>
      </c>
      <c r="I1075" s="28" t="s">
        <v>19</v>
      </c>
      <c r="J1075" s="43"/>
    </row>
    <row r="1076" spans="1:10" customFormat="1" ht="15" hidden="1" customHeight="1" x14ac:dyDescent="0.25">
      <c r="A1076" s="24">
        <v>45077</v>
      </c>
      <c r="B1076" s="36" t="s">
        <v>4165</v>
      </c>
      <c r="C1076" s="26" t="s">
        <v>2912</v>
      </c>
      <c r="D1076" s="26" t="s">
        <v>2913</v>
      </c>
      <c r="E1076" s="27">
        <v>6720</v>
      </c>
      <c r="F1076" s="30">
        <v>119250</v>
      </c>
      <c r="G1076" s="27">
        <v>19530</v>
      </c>
      <c r="H1076" s="56">
        <v>0</v>
      </c>
      <c r="I1076" s="28" t="s">
        <v>19</v>
      </c>
      <c r="J1076" s="43"/>
    </row>
    <row r="1077" spans="1:10" customFormat="1" ht="15" hidden="1" customHeight="1" x14ac:dyDescent="0.25">
      <c r="A1077" s="24">
        <v>45077</v>
      </c>
      <c r="B1077" s="36" t="s">
        <v>4166</v>
      </c>
      <c r="C1077" s="26" t="s">
        <v>2867</v>
      </c>
      <c r="D1077" s="26" t="s">
        <v>2868</v>
      </c>
      <c r="E1077" s="27">
        <v>7920</v>
      </c>
      <c r="F1077" s="30">
        <v>120450</v>
      </c>
      <c r="G1077" s="27">
        <v>19530</v>
      </c>
      <c r="H1077" s="56">
        <v>0</v>
      </c>
      <c r="I1077" s="28" t="s">
        <v>19</v>
      </c>
      <c r="J1077" s="43"/>
    </row>
    <row r="1078" spans="1:10" customFormat="1" ht="15" hidden="1" customHeight="1" x14ac:dyDescent="0.25">
      <c r="A1078" s="24">
        <v>45077</v>
      </c>
      <c r="B1078" s="36" t="s">
        <v>4167</v>
      </c>
      <c r="C1078" s="26" t="s">
        <v>4168</v>
      </c>
      <c r="D1078" s="26" t="s">
        <v>4169</v>
      </c>
      <c r="E1078" s="27">
        <v>7920</v>
      </c>
      <c r="F1078" s="30">
        <v>105930</v>
      </c>
      <c r="G1078" s="27">
        <v>17010</v>
      </c>
      <c r="H1078" s="56">
        <v>0</v>
      </c>
      <c r="I1078" s="28" t="s">
        <v>19</v>
      </c>
      <c r="J1078" s="43"/>
    </row>
    <row r="1079" spans="1:10" customFormat="1" ht="15" hidden="1" customHeight="1" x14ac:dyDescent="0.25">
      <c r="A1079" s="24">
        <v>45077</v>
      </c>
      <c r="B1079" s="36" t="s">
        <v>4170</v>
      </c>
      <c r="C1079" s="26" t="s">
        <v>2921</v>
      </c>
      <c r="D1079" s="26" t="s">
        <v>2922</v>
      </c>
      <c r="E1079" s="27">
        <v>0</v>
      </c>
      <c r="F1079" s="30">
        <v>22990</v>
      </c>
      <c r="G1079" s="27">
        <v>3990</v>
      </c>
      <c r="H1079" s="56">
        <v>0</v>
      </c>
      <c r="I1079" s="28" t="s">
        <v>19</v>
      </c>
      <c r="J1079" s="43"/>
    </row>
    <row r="1080" spans="1:10" customFormat="1" ht="15" hidden="1" customHeight="1" x14ac:dyDescent="0.25">
      <c r="A1080" s="24">
        <v>45077</v>
      </c>
      <c r="B1080" s="36" t="s">
        <v>4171</v>
      </c>
      <c r="C1080" s="26" t="s">
        <v>4172</v>
      </c>
      <c r="D1080" s="26" t="s">
        <v>4173</v>
      </c>
      <c r="E1080" s="27">
        <v>3414.16</v>
      </c>
      <c r="F1080" s="30">
        <v>134094.16</v>
      </c>
      <c r="G1080" s="27">
        <v>22680</v>
      </c>
      <c r="H1080" s="56">
        <v>0</v>
      </c>
      <c r="I1080" s="28" t="s">
        <v>19</v>
      </c>
      <c r="J1080" s="43"/>
    </row>
    <row r="1081" spans="1:10" customFormat="1" ht="15" hidden="1" customHeight="1" x14ac:dyDescent="0.25">
      <c r="A1081" s="24">
        <v>45077</v>
      </c>
      <c r="B1081" s="36" t="s">
        <v>4174</v>
      </c>
      <c r="C1081" s="26" t="s">
        <v>2867</v>
      </c>
      <c r="D1081" s="26" t="s">
        <v>2868</v>
      </c>
      <c r="E1081" s="27">
        <v>19885.32</v>
      </c>
      <c r="F1081" s="30">
        <v>215905.32</v>
      </c>
      <c r="G1081" s="27">
        <v>34020</v>
      </c>
      <c r="H1081" s="56">
        <v>0</v>
      </c>
      <c r="I1081" s="28" t="s">
        <v>19</v>
      </c>
      <c r="J1081" s="43"/>
    </row>
    <row r="1082" spans="1:10" customFormat="1" ht="15" hidden="1" customHeight="1" x14ac:dyDescent="0.25">
      <c r="A1082" s="24">
        <v>45077</v>
      </c>
      <c r="B1082" s="36" t="s">
        <v>4175</v>
      </c>
      <c r="C1082" s="26" t="s">
        <v>3007</v>
      </c>
      <c r="D1082" s="26" t="s">
        <v>3008</v>
      </c>
      <c r="E1082" s="27">
        <v>8803.86</v>
      </c>
      <c r="F1082" s="30">
        <v>74143.86</v>
      </c>
      <c r="G1082" s="27">
        <v>11340</v>
      </c>
      <c r="H1082" s="56">
        <v>0</v>
      </c>
      <c r="I1082" s="28" t="s">
        <v>19</v>
      </c>
      <c r="J1082" s="43"/>
    </row>
    <row r="1083" spans="1:10" customFormat="1" ht="15" hidden="1" customHeight="1" x14ac:dyDescent="0.25">
      <c r="A1083" s="24">
        <v>45077</v>
      </c>
      <c r="B1083" s="36" t="s">
        <v>4176</v>
      </c>
      <c r="C1083" s="26" t="s">
        <v>2856</v>
      </c>
      <c r="D1083" s="26" t="s">
        <v>2857</v>
      </c>
      <c r="E1083" s="27">
        <v>8803.86</v>
      </c>
      <c r="F1083" s="30">
        <v>106813.86</v>
      </c>
      <c r="G1083" s="27">
        <v>17010</v>
      </c>
      <c r="H1083" s="56">
        <v>0</v>
      </c>
      <c r="I1083" s="28" t="s">
        <v>19</v>
      </c>
      <c r="J1083" s="43"/>
    </row>
    <row r="1084" spans="1:10" customFormat="1" ht="15" hidden="1" customHeight="1" x14ac:dyDescent="0.25">
      <c r="A1084" s="24">
        <v>45077</v>
      </c>
      <c r="B1084" s="36" t="s">
        <v>4177</v>
      </c>
      <c r="C1084" s="26" t="s">
        <v>2856</v>
      </c>
      <c r="D1084" s="26" t="s">
        <v>2857</v>
      </c>
      <c r="E1084" s="27">
        <v>8803.86</v>
      </c>
      <c r="F1084" s="30">
        <v>106813.86</v>
      </c>
      <c r="G1084" s="27">
        <v>17010</v>
      </c>
      <c r="H1084" s="56">
        <v>0</v>
      </c>
      <c r="I1084" s="28" t="s">
        <v>19</v>
      </c>
      <c r="J1084" s="43"/>
    </row>
    <row r="1085" spans="1:10" customFormat="1" ht="15" hidden="1" customHeight="1" x14ac:dyDescent="0.25">
      <c r="A1085" s="24">
        <v>45077</v>
      </c>
      <c r="B1085" s="36" t="s">
        <v>4178</v>
      </c>
      <c r="C1085" s="26" t="s">
        <v>2856</v>
      </c>
      <c r="D1085" s="26" t="s">
        <v>2857</v>
      </c>
      <c r="E1085" s="27">
        <v>8803.86</v>
      </c>
      <c r="F1085" s="30">
        <v>106813.86</v>
      </c>
      <c r="G1085" s="27">
        <v>17010</v>
      </c>
      <c r="H1085" s="56">
        <v>0</v>
      </c>
      <c r="I1085" s="28" t="s">
        <v>19</v>
      </c>
      <c r="J1085" s="43"/>
    </row>
    <row r="1086" spans="1:10" customFormat="1" ht="15" hidden="1" customHeight="1" x14ac:dyDescent="0.25">
      <c r="A1086" s="24">
        <v>45077</v>
      </c>
      <c r="B1086" s="36" t="s">
        <v>4179</v>
      </c>
      <c r="C1086" s="26" t="s">
        <v>2856</v>
      </c>
      <c r="D1086" s="26" t="s">
        <v>2857</v>
      </c>
      <c r="E1086" s="27">
        <v>8803.86</v>
      </c>
      <c r="F1086" s="30">
        <v>106813.86</v>
      </c>
      <c r="G1086" s="27">
        <v>17010</v>
      </c>
      <c r="H1086" s="56">
        <v>0</v>
      </c>
      <c r="I1086" s="28" t="s">
        <v>19</v>
      </c>
      <c r="J1086" s="43"/>
    </row>
    <row r="1087" spans="1:10" customFormat="1" ht="15" hidden="1" customHeight="1" x14ac:dyDescent="0.25">
      <c r="A1087" s="24">
        <v>45077</v>
      </c>
      <c r="B1087" s="36" t="s">
        <v>4180</v>
      </c>
      <c r="C1087" s="26" t="s">
        <v>4181</v>
      </c>
      <c r="D1087" s="26" t="s">
        <v>4182</v>
      </c>
      <c r="E1087" s="27">
        <v>30632</v>
      </c>
      <c r="F1087" s="30">
        <v>390002</v>
      </c>
      <c r="G1087" s="27">
        <v>62370</v>
      </c>
      <c r="H1087" s="56">
        <v>0</v>
      </c>
      <c r="I1087" s="28" t="s">
        <v>19</v>
      </c>
      <c r="J1087" s="43"/>
    </row>
    <row r="1088" spans="1:10" customFormat="1" ht="15" hidden="1" customHeight="1" x14ac:dyDescent="0.25">
      <c r="A1088" s="24">
        <v>45077</v>
      </c>
      <c r="B1088" s="36" t="s">
        <v>4183</v>
      </c>
      <c r="C1088" s="26" t="s">
        <v>3238</v>
      </c>
      <c r="D1088" s="26" t="s">
        <v>3239</v>
      </c>
      <c r="E1088" s="27">
        <v>2500</v>
      </c>
      <c r="F1088" s="30">
        <v>200940</v>
      </c>
      <c r="G1088" s="27">
        <v>34440</v>
      </c>
      <c r="H1088" s="56">
        <v>0</v>
      </c>
      <c r="I1088" s="28" t="s">
        <v>19</v>
      </c>
      <c r="J1088" s="43"/>
    </row>
    <row r="1089" spans="1:10" customFormat="1" ht="15" hidden="1" customHeight="1" x14ac:dyDescent="0.25">
      <c r="A1089" s="24">
        <v>45077</v>
      </c>
      <c r="B1089" s="36" t="s">
        <v>4184</v>
      </c>
      <c r="C1089" s="26" t="s">
        <v>2960</v>
      </c>
      <c r="D1089" s="26" t="s">
        <v>2961</v>
      </c>
      <c r="E1089" s="27">
        <v>14500</v>
      </c>
      <c r="F1089" s="30">
        <v>212940</v>
      </c>
      <c r="G1089" s="27">
        <v>34440</v>
      </c>
      <c r="H1089" s="56">
        <v>0</v>
      </c>
      <c r="I1089" s="28" t="s">
        <v>19</v>
      </c>
      <c r="J1089" s="43"/>
    </row>
    <row r="1090" spans="1:10" customFormat="1" ht="15" hidden="1" customHeight="1" x14ac:dyDescent="0.25">
      <c r="A1090" s="24">
        <v>45077</v>
      </c>
      <c r="B1090" s="36" t="s">
        <v>4185</v>
      </c>
      <c r="C1090" s="26" t="s">
        <v>2960</v>
      </c>
      <c r="D1090" s="26" t="s">
        <v>2961</v>
      </c>
      <c r="E1090" s="27">
        <v>14500</v>
      </c>
      <c r="F1090" s="30">
        <v>212940</v>
      </c>
      <c r="G1090" s="27">
        <v>34440</v>
      </c>
      <c r="H1090" s="56">
        <v>0</v>
      </c>
      <c r="I1090" s="28" t="s">
        <v>19</v>
      </c>
      <c r="J1090" s="43"/>
    </row>
    <row r="1091" spans="1:10" customFormat="1" ht="15" hidden="1" customHeight="1" x14ac:dyDescent="0.25">
      <c r="A1091" s="24">
        <v>45077</v>
      </c>
      <c r="B1091" s="36" t="s">
        <v>4186</v>
      </c>
      <c r="C1091" s="26" t="s">
        <v>4015</v>
      </c>
      <c r="D1091" s="26" t="s">
        <v>4016</v>
      </c>
      <c r="E1091" s="27">
        <v>8803.86</v>
      </c>
      <c r="F1091" s="30">
        <v>74143.86</v>
      </c>
      <c r="G1091" s="27">
        <v>11340</v>
      </c>
      <c r="H1091" s="56">
        <v>0</v>
      </c>
      <c r="I1091" s="28" t="s">
        <v>19</v>
      </c>
      <c r="J1091" s="43"/>
    </row>
    <row r="1092" spans="1:10" customFormat="1" ht="15" hidden="1" customHeight="1" x14ac:dyDescent="0.25">
      <c r="A1092" s="24">
        <v>45077</v>
      </c>
      <c r="B1092" s="36" t="s">
        <v>4187</v>
      </c>
      <c r="C1092" s="26" t="s">
        <v>2954</v>
      </c>
      <c r="D1092" s="26" t="s">
        <v>2955</v>
      </c>
      <c r="E1092" s="27">
        <v>4840</v>
      </c>
      <c r="F1092" s="30">
        <v>77440</v>
      </c>
      <c r="G1092" s="27">
        <v>12600</v>
      </c>
      <c r="H1092" s="56">
        <v>0</v>
      </c>
      <c r="I1092" s="28" t="s">
        <v>19</v>
      </c>
      <c r="J1092" s="43"/>
    </row>
    <row r="1093" spans="1:10" customFormat="1" ht="15" hidden="1" customHeight="1" x14ac:dyDescent="0.25">
      <c r="A1093" s="24">
        <v>45077</v>
      </c>
      <c r="B1093" s="36" t="s">
        <v>4188</v>
      </c>
      <c r="C1093" s="26" t="s">
        <v>3539</v>
      </c>
      <c r="D1093" s="26" t="s">
        <v>3540</v>
      </c>
      <c r="E1093" s="27">
        <v>6340</v>
      </c>
      <c r="F1093" s="30">
        <v>105560</v>
      </c>
      <c r="G1093" s="27">
        <v>17220</v>
      </c>
      <c r="H1093" s="56">
        <v>0</v>
      </c>
      <c r="I1093" s="28" t="s">
        <v>19</v>
      </c>
      <c r="J1093" s="43"/>
    </row>
    <row r="1094" spans="1:10" customFormat="1" ht="15" hidden="1" customHeight="1" x14ac:dyDescent="0.25">
      <c r="A1094" s="24">
        <v>45077</v>
      </c>
      <c r="B1094" s="36" t="s">
        <v>4189</v>
      </c>
      <c r="C1094" s="26" t="s">
        <v>2921</v>
      </c>
      <c r="D1094" s="26" t="s">
        <v>2922</v>
      </c>
      <c r="E1094" s="27">
        <v>9680</v>
      </c>
      <c r="F1094" s="30">
        <v>231110</v>
      </c>
      <c r="G1094" s="27">
        <v>38430</v>
      </c>
      <c r="H1094" s="56">
        <v>0</v>
      </c>
      <c r="I1094" s="28" t="s">
        <v>19</v>
      </c>
      <c r="J1094" s="43"/>
    </row>
    <row r="1095" spans="1:10" customFormat="1" ht="15" hidden="1" customHeight="1" x14ac:dyDescent="0.25">
      <c r="A1095" s="24">
        <v>45077</v>
      </c>
      <c r="B1095" s="36" t="s">
        <v>4190</v>
      </c>
      <c r="C1095" s="26" t="s">
        <v>4191</v>
      </c>
      <c r="D1095" s="26" t="s">
        <v>4192</v>
      </c>
      <c r="E1095" s="27">
        <v>0</v>
      </c>
      <c r="F1095" s="30">
        <v>88572</v>
      </c>
      <c r="G1095" s="27">
        <v>15372</v>
      </c>
      <c r="H1095" s="56">
        <v>0</v>
      </c>
      <c r="I1095" s="28" t="s">
        <v>19</v>
      </c>
      <c r="J1095" s="43"/>
    </row>
    <row r="1096" spans="1:10" customFormat="1" ht="15" hidden="1" customHeight="1" x14ac:dyDescent="0.25">
      <c r="A1096" s="24">
        <v>45077</v>
      </c>
      <c r="B1096" s="36" t="s">
        <v>4193</v>
      </c>
      <c r="C1096" s="26" t="s">
        <v>2867</v>
      </c>
      <c r="D1096" s="26" t="s">
        <v>2868</v>
      </c>
      <c r="E1096" s="27">
        <v>5000</v>
      </c>
      <c r="F1096" s="30">
        <v>203440</v>
      </c>
      <c r="G1096" s="27">
        <v>34440</v>
      </c>
      <c r="H1096" s="56">
        <v>0</v>
      </c>
      <c r="I1096" s="28" t="s">
        <v>19</v>
      </c>
      <c r="J1096" s="43"/>
    </row>
    <row r="1097" spans="1:10" customFormat="1" ht="15" hidden="1" customHeight="1" x14ac:dyDescent="0.25">
      <c r="A1097" s="24">
        <v>45077</v>
      </c>
      <c r="B1097" s="36" t="s">
        <v>4194</v>
      </c>
      <c r="C1097" s="26" t="s">
        <v>2867</v>
      </c>
      <c r="D1097" s="26" t="s">
        <v>2868</v>
      </c>
      <c r="E1097" s="27">
        <v>10000</v>
      </c>
      <c r="F1097" s="30">
        <v>409300</v>
      </c>
      <c r="G1097" s="27">
        <v>69300</v>
      </c>
      <c r="H1097" s="56">
        <v>0</v>
      </c>
      <c r="I1097" s="28" t="s">
        <v>19</v>
      </c>
      <c r="J1097" s="43"/>
    </row>
    <row r="1098" spans="1:10" customFormat="1" ht="15" hidden="1" customHeight="1" x14ac:dyDescent="0.25">
      <c r="A1098" s="24">
        <v>45077</v>
      </c>
      <c r="B1098" s="36" t="s">
        <v>4195</v>
      </c>
      <c r="C1098" s="26" t="s">
        <v>2867</v>
      </c>
      <c r="D1098" s="26" t="s">
        <v>2868</v>
      </c>
      <c r="E1098" s="27">
        <v>10000</v>
      </c>
      <c r="F1098" s="30">
        <v>445600</v>
      </c>
      <c r="G1098" s="27">
        <v>75600</v>
      </c>
      <c r="H1098" s="56">
        <v>0</v>
      </c>
      <c r="I1098" s="28" t="s">
        <v>19</v>
      </c>
      <c r="J1098" s="43"/>
    </row>
    <row r="1099" spans="1:10" customFormat="1" ht="15" hidden="1" customHeight="1" x14ac:dyDescent="0.25">
      <c r="A1099" s="24">
        <v>45077</v>
      </c>
      <c r="B1099" s="36" t="s">
        <v>4196</v>
      </c>
      <c r="C1099" s="26" t="s">
        <v>2867</v>
      </c>
      <c r="D1099" s="26" t="s">
        <v>2868</v>
      </c>
      <c r="E1099" s="27">
        <v>10000</v>
      </c>
      <c r="F1099" s="30">
        <v>227800</v>
      </c>
      <c r="G1099" s="27">
        <v>37800</v>
      </c>
      <c r="H1099" s="56">
        <v>0</v>
      </c>
      <c r="I1099" s="28" t="s">
        <v>19</v>
      </c>
      <c r="J1099" s="43"/>
    </row>
    <row r="1100" spans="1:10" customFormat="1" ht="15" hidden="1" customHeight="1" x14ac:dyDescent="0.25">
      <c r="A1100" s="24">
        <v>45077</v>
      </c>
      <c r="B1100" s="36" t="s">
        <v>4197</v>
      </c>
      <c r="C1100" s="26" t="s">
        <v>2906</v>
      </c>
      <c r="D1100" s="26" t="s">
        <v>2907</v>
      </c>
      <c r="E1100" s="27">
        <v>4840</v>
      </c>
      <c r="F1100" s="30">
        <v>77440</v>
      </c>
      <c r="G1100" s="27">
        <v>12600</v>
      </c>
      <c r="H1100" s="56">
        <v>0</v>
      </c>
      <c r="I1100" s="28" t="s">
        <v>19</v>
      </c>
      <c r="J1100" s="43"/>
    </row>
    <row r="1101" spans="1:10" customFormat="1" ht="15" hidden="1" customHeight="1" x14ac:dyDescent="0.25">
      <c r="A1101" s="24">
        <v>45077</v>
      </c>
      <c r="B1101" s="36" t="s">
        <v>4198</v>
      </c>
      <c r="C1101" s="26" t="s">
        <v>2957</v>
      </c>
      <c r="D1101" s="26" t="s">
        <v>2958</v>
      </c>
      <c r="E1101" s="27">
        <v>13400</v>
      </c>
      <c r="F1101" s="30">
        <v>190544</v>
      </c>
      <c r="G1101" s="27">
        <v>30744</v>
      </c>
      <c r="H1101" s="56">
        <v>0</v>
      </c>
      <c r="I1101" s="28" t="s">
        <v>19</v>
      </c>
      <c r="J1101" s="43"/>
    </row>
    <row r="1102" spans="1:10" customFormat="1" ht="15" hidden="1" customHeight="1" x14ac:dyDescent="0.25">
      <c r="A1102" s="65">
        <v>45077</v>
      </c>
      <c r="B1102" s="41" t="s">
        <v>4199</v>
      </c>
      <c r="C1102" s="47" t="s">
        <v>3272</v>
      </c>
      <c r="D1102" s="47" t="s">
        <v>3273</v>
      </c>
      <c r="E1102" s="48">
        <v>14400</v>
      </c>
      <c r="F1102" s="107">
        <v>191544</v>
      </c>
      <c r="G1102" s="48">
        <v>30744</v>
      </c>
      <c r="H1102" s="66">
        <v>0</v>
      </c>
      <c r="I1102" s="41" t="s">
        <v>19</v>
      </c>
      <c r="J1102" s="49"/>
    </row>
    <row r="1103" spans="1:10" customFormat="1" ht="15" hidden="1" customHeight="1" x14ac:dyDescent="0.25">
      <c r="A1103" s="24">
        <v>45077</v>
      </c>
      <c r="B1103" s="36" t="s">
        <v>4200</v>
      </c>
      <c r="C1103" s="26" t="s">
        <v>3150</v>
      </c>
      <c r="D1103" s="26" t="s">
        <v>3151</v>
      </c>
      <c r="E1103" s="27">
        <v>63171.06</v>
      </c>
      <c r="F1103" s="30">
        <v>789413.06</v>
      </c>
      <c r="G1103" s="27">
        <v>126042</v>
      </c>
      <c r="H1103" s="56">
        <v>0</v>
      </c>
      <c r="I1103" s="28" t="s">
        <v>19</v>
      </c>
      <c r="J1103" s="43"/>
    </row>
    <row r="1104" spans="1:10" customFormat="1" ht="15" hidden="1" customHeight="1" x14ac:dyDescent="0.25">
      <c r="A1104" s="24">
        <v>45077</v>
      </c>
      <c r="B1104" s="36" t="s">
        <v>4201</v>
      </c>
      <c r="C1104" s="26" t="s">
        <v>2851</v>
      </c>
      <c r="D1104" s="26" t="s">
        <v>2852</v>
      </c>
      <c r="E1104" s="27">
        <v>4700</v>
      </c>
      <c r="F1104" s="30">
        <v>103920</v>
      </c>
      <c r="G1104" s="27">
        <v>17220</v>
      </c>
      <c r="H1104" s="56">
        <v>0</v>
      </c>
      <c r="I1104" s="28" t="s">
        <v>19</v>
      </c>
      <c r="J1104" s="43"/>
    </row>
    <row r="1105" spans="1:10" customFormat="1" ht="15" hidden="1" customHeight="1" x14ac:dyDescent="0.25">
      <c r="A1105" s="24">
        <v>45077</v>
      </c>
      <c r="B1105" s="36" t="s">
        <v>4202</v>
      </c>
      <c r="C1105" s="26" t="s">
        <v>3007</v>
      </c>
      <c r="D1105" s="26" t="s">
        <v>3008</v>
      </c>
      <c r="E1105" s="27">
        <v>4840</v>
      </c>
      <c r="F1105" s="30">
        <v>93412</v>
      </c>
      <c r="G1105" s="27">
        <v>15372</v>
      </c>
      <c r="H1105" s="56">
        <v>0</v>
      </c>
      <c r="I1105" s="28" t="s">
        <v>19</v>
      </c>
      <c r="J1105" s="43"/>
    </row>
    <row r="1106" spans="1:10" customFormat="1" ht="15" hidden="1" customHeight="1" x14ac:dyDescent="0.25">
      <c r="A1106" s="24">
        <v>45077</v>
      </c>
      <c r="B1106" s="36" t="s">
        <v>4203</v>
      </c>
      <c r="C1106" s="26" t="s">
        <v>3150</v>
      </c>
      <c r="D1106" s="26" t="s">
        <v>3151</v>
      </c>
      <c r="E1106" s="27">
        <v>12160</v>
      </c>
      <c r="F1106" s="30">
        <v>255007</v>
      </c>
      <c r="G1106" s="27">
        <v>42147</v>
      </c>
      <c r="H1106" s="56">
        <v>0</v>
      </c>
      <c r="I1106" s="28" t="s">
        <v>19</v>
      </c>
      <c r="J1106" s="43"/>
    </row>
    <row r="1107" spans="1:10" customFormat="1" ht="15" hidden="1" customHeight="1" x14ac:dyDescent="0.25">
      <c r="A1107" s="24">
        <v>45077</v>
      </c>
      <c r="B1107" s="36" t="s">
        <v>4204</v>
      </c>
      <c r="C1107" s="26" t="s">
        <v>3150</v>
      </c>
      <c r="D1107" s="26" t="s">
        <v>3151</v>
      </c>
      <c r="E1107" s="27">
        <v>24320</v>
      </c>
      <c r="F1107" s="30">
        <v>378608</v>
      </c>
      <c r="G1107" s="27">
        <v>61488</v>
      </c>
      <c r="H1107" s="56">
        <v>0</v>
      </c>
      <c r="I1107" s="28" t="s">
        <v>19</v>
      </c>
      <c r="J1107" s="43"/>
    </row>
    <row r="1108" spans="1:10" customFormat="1" ht="15" hidden="1" customHeight="1" x14ac:dyDescent="0.25">
      <c r="A1108" s="24">
        <v>45077</v>
      </c>
      <c r="B1108" s="36" t="s">
        <v>4205</v>
      </c>
      <c r="C1108" s="26" t="s">
        <v>3150</v>
      </c>
      <c r="D1108" s="26" t="s">
        <v>3151</v>
      </c>
      <c r="E1108" s="27">
        <v>18900</v>
      </c>
      <c r="F1108" s="30">
        <v>438891</v>
      </c>
      <c r="G1108" s="27">
        <v>72891</v>
      </c>
      <c r="H1108" s="56">
        <v>0</v>
      </c>
      <c r="I1108" s="28" t="s">
        <v>19</v>
      </c>
      <c r="J1108" s="43"/>
    </row>
    <row r="1109" spans="1:10" customFormat="1" ht="15" hidden="1" customHeight="1" x14ac:dyDescent="0.25">
      <c r="A1109" s="24">
        <v>45077</v>
      </c>
      <c r="B1109" s="36" t="s">
        <v>4206</v>
      </c>
      <c r="C1109" s="26" t="s">
        <v>2851</v>
      </c>
      <c r="D1109" s="26" t="s">
        <v>2852</v>
      </c>
      <c r="E1109" s="27">
        <v>3620</v>
      </c>
      <c r="F1109" s="30">
        <v>303700</v>
      </c>
      <c r="G1109" s="27">
        <v>52080</v>
      </c>
      <c r="H1109" s="56">
        <v>0</v>
      </c>
      <c r="I1109" s="28" t="s">
        <v>19</v>
      </c>
      <c r="J1109" s="43"/>
    </row>
    <row r="1110" spans="1:10" customFormat="1" ht="15" hidden="1" customHeight="1" x14ac:dyDescent="0.25">
      <c r="A1110" s="24">
        <v>45077</v>
      </c>
      <c r="B1110" s="36" t="s">
        <v>4207</v>
      </c>
      <c r="C1110" s="26" t="s">
        <v>2972</v>
      </c>
      <c r="D1110" s="26" t="s">
        <v>2973</v>
      </c>
      <c r="E1110" s="27">
        <v>7060.05</v>
      </c>
      <c r="F1110" s="30">
        <v>82080.05</v>
      </c>
      <c r="G1110" s="27">
        <v>13020</v>
      </c>
      <c r="H1110" s="56">
        <v>0</v>
      </c>
      <c r="I1110" s="28" t="s">
        <v>19</v>
      </c>
      <c r="J1110" s="43"/>
    </row>
    <row r="1111" spans="1:10" customFormat="1" ht="15" hidden="1" customHeight="1" x14ac:dyDescent="0.25">
      <c r="A1111" s="24">
        <v>45077</v>
      </c>
      <c r="B1111" s="36" t="s">
        <v>4208</v>
      </c>
      <c r="C1111" s="26" t="s">
        <v>4121</v>
      </c>
      <c r="D1111" s="26" t="s">
        <v>4122</v>
      </c>
      <c r="E1111" s="27">
        <v>6080</v>
      </c>
      <c r="F1111" s="30">
        <v>78680</v>
      </c>
      <c r="G1111" s="27">
        <v>12600</v>
      </c>
      <c r="H1111" s="56">
        <v>0</v>
      </c>
      <c r="I1111" s="28" t="s">
        <v>19</v>
      </c>
      <c r="J1111" s="43"/>
    </row>
    <row r="1112" spans="1:10" customFormat="1" ht="15" hidden="1" customHeight="1" x14ac:dyDescent="0.25">
      <c r="A1112" s="24">
        <v>45077</v>
      </c>
      <c r="B1112" s="36" t="s">
        <v>4209</v>
      </c>
      <c r="C1112" s="26" t="s">
        <v>3007</v>
      </c>
      <c r="D1112" s="26" t="s">
        <v>3008</v>
      </c>
      <c r="E1112" s="27">
        <v>6080</v>
      </c>
      <c r="F1112" s="30">
        <v>78680</v>
      </c>
      <c r="G1112" s="27">
        <v>12600</v>
      </c>
      <c r="H1112" s="56">
        <v>0</v>
      </c>
      <c r="I1112" s="28" t="s">
        <v>19</v>
      </c>
      <c r="J1112" s="43"/>
    </row>
    <row r="1113" spans="1:10" customFormat="1" ht="15" hidden="1" customHeight="1" x14ac:dyDescent="0.25">
      <c r="A1113" s="24">
        <v>45077</v>
      </c>
      <c r="B1113" s="36" t="s">
        <v>4210</v>
      </c>
      <c r="C1113" s="26" t="s">
        <v>2856</v>
      </c>
      <c r="D1113" s="26" t="s">
        <v>2857</v>
      </c>
      <c r="E1113" s="27">
        <v>12160</v>
      </c>
      <c r="F1113" s="30">
        <v>157360</v>
      </c>
      <c r="G1113" s="27">
        <v>25200</v>
      </c>
      <c r="H1113" s="56">
        <v>0</v>
      </c>
      <c r="I1113" s="28" t="s">
        <v>19</v>
      </c>
      <c r="J1113" s="43"/>
    </row>
    <row r="1114" spans="1:10" customFormat="1" ht="15" hidden="1" customHeight="1" x14ac:dyDescent="0.25">
      <c r="A1114" s="24">
        <v>45077</v>
      </c>
      <c r="B1114" s="36" t="s">
        <v>4211</v>
      </c>
      <c r="C1114" s="26" t="s">
        <v>2924</v>
      </c>
      <c r="D1114" s="26" t="s">
        <v>2925</v>
      </c>
      <c r="E1114" s="27">
        <v>10735.41</v>
      </c>
      <c r="F1114" s="30">
        <v>123265.41</v>
      </c>
      <c r="G1114" s="27">
        <v>19530</v>
      </c>
      <c r="H1114" s="56">
        <v>0</v>
      </c>
      <c r="I1114" s="28" t="s">
        <v>19</v>
      </c>
      <c r="J1114" s="43"/>
    </row>
    <row r="1115" spans="1:10" customFormat="1" ht="15" hidden="1" customHeight="1" x14ac:dyDescent="0.25">
      <c r="A1115" s="24">
        <v>45077</v>
      </c>
      <c r="B1115" s="36" t="s">
        <v>4212</v>
      </c>
      <c r="C1115" s="26" t="s">
        <v>2945</v>
      </c>
      <c r="D1115" s="26" t="s">
        <v>2946</v>
      </c>
      <c r="E1115" s="27">
        <v>8803.86</v>
      </c>
      <c r="F1115" s="30">
        <v>106813.86</v>
      </c>
      <c r="G1115" s="27">
        <v>17010</v>
      </c>
      <c r="H1115" s="56">
        <v>0</v>
      </c>
      <c r="I1115" s="28" t="s">
        <v>19</v>
      </c>
      <c r="J1115" s="43"/>
    </row>
    <row r="1116" spans="1:10" customFormat="1" ht="15" hidden="1" customHeight="1" x14ac:dyDescent="0.25">
      <c r="A1116" s="24">
        <v>45077</v>
      </c>
      <c r="B1116" s="36" t="s">
        <v>4213</v>
      </c>
      <c r="C1116" s="26" t="s">
        <v>2909</v>
      </c>
      <c r="D1116" s="26" t="s">
        <v>2910</v>
      </c>
      <c r="E1116" s="27">
        <v>14386.96</v>
      </c>
      <c r="F1116" s="30">
        <v>249126.96</v>
      </c>
      <c r="G1116" s="27">
        <v>40740</v>
      </c>
      <c r="H1116" s="56">
        <v>0</v>
      </c>
      <c r="I1116" s="28" t="s">
        <v>19</v>
      </c>
      <c r="J1116" s="43"/>
    </row>
    <row r="1117" spans="1:10" customFormat="1" ht="15" hidden="1" customHeight="1" x14ac:dyDescent="0.25">
      <c r="A1117" s="24">
        <v>45077</v>
      </c>
      <c r="B1117" s="36" t="s">
        <v>4214</v>
      </c>
      <c r="C1117" s="26" t="s">
        <v>2856</v>
      </c>
      <c r="D1117" s="26" t="s">
        <v>2857</v>
      </c>
      <c r="E1117" s="27">
        <v>0</v>
      </c>
      <c r="F1117" s="30">
        <v>27225</v>
      </c>
      <c r="G1117" s="27">
        <v>4725</v>
      </c>
      <c r="H1117" s="56">
        <v>0</v>
      </c>
      <c r="I1117" s="28" t="s">
        <v>19</v>
      </c>
      <c r="J1117" s="43"/>
    </row>
    <row r="1118" spans="1:10" customFormat="1" ht="15" hidden="1" customHeight="1" x14ac:dyDescent="0.25">
      <c r="A1118" s="24">
        <v>45077</v>
      </c>
      <c r="B1118" s="36" t="s">
        <v>4215</v>
      </c>
      <c r="C1118" s="26" t="s">
        <v>4216</v>
      </c>
      <c r="D1118" s="26" t="s">
        <v>4217</v>
      </c>
      <c r="E1118" s="27">
        <v>3635.72</v>
      </c>
      <c r="F1118" s="30">
        <v>43565.72</v>
      </c>
      <c r="G1118" s="27">
        <v>6930</v>
      </c>
      <c r="H1118" s="56">
        <v>0</v>
      </c>
      <c r="I1118" s="28" t="s">
        <v>19</v>
      </c>
      <c r="J1118" s="43"/>
    </row>
    <row r="1119" spans="1:10" customFormat="1" ht="15" hidden="1" customHeight="1" x14ac:dyDescent="0.25">
      <c r="A1119" s="24">
        <v>45077</v>
      </c>
      <c r="B1119" s="36" t="s">
        <v>4218</v>
      </c>
      <c r="C1119" s="26" t="s">
        <v>2851</v>
      </c>
      <c r="D1119" s="26" t="s">
        <v>2852</v>
      </c>
      <c r="E1119" s="27">
        <v>3680</v>
      </c>
      <c r="F1119" s="30">
        <v>279560</v>
      </c>
      <c r="G1119" s="27">
        <v>47880</v>
      </c>
      <c r="H1119" s="56">
        <v>0</v>
      </c>
      <c r="I1119" s="28" t="s">
        <v>19</v>
      </c>
      <c r="J1119" s="43"/>
    </row>
    <row r="1120" spans="1:10" customFormat="1" ht="15" hidden="1" customHeight="1" x14ac:dyDescent="0.25">
      <c r="A1120" s="24">
        <v>45077</v>
      </c>
      <c r="B1120" s="36" t="s">
        <v>4219</v>
      </c>
      <c r="C1120" s="26" t="s">
        <v>3559</v>
      </c>
      <c r="D1120" s="26" t="s">
        <v>3560</v>
      </c>
      <c r="E1120" s="27">
        <v>18400</v>
      </c>
      <c r="F1120" s="30">
        <v>214420</v>
      </c>
      <c r="G1120" s="27">
        <v>34020</v>
      </c>
      <c r="H1120" s="56">
        <v>0</v>
      </c>
      <c r="I1120" s="28" t="s">
        <v>19</v>
      </c>
      <c r="J1120" s="43"/>
    </row>
    <row r="1121" spans="1:10" customFormat="1" ht="15" hidden="1" customHeight="1" x14ac:dyDescent="0.25">
      <c r="A1121" s="24">
        <v>45077</v>
      </c>
      <c r="B1121" s="36" t="s">
        <v>4220</v>
      </c>
      <c r="C1121" s="26" t="s">
        <v>2957</v>
      </c>
      <c r="D1121" s="26" t="s">
        <v>2958</v>
      </c>
      <c r="E1121" s="27">
        <v>9200</v>
      </c>
      <c r="F1121" s="30">
        <v>74540</v>
      </c>
      <c r="G1121" s="27">
        <v>11340</v>
      </c>
      <c r="H1121" s="56">
        <v>0</v>
      </c>
      <c r="I1121" s="28" t="s">
        <v>19</v>
      </c>
      <c r="J1121" s="43"/>
    </row>
    <row r="1122" spans="1:10" customFormat="1" ht="15" hidden="1" customHeight="1" x14ac:dyDescent="0.25">
      <c r="A1122" s="24">
        <v>45077</v>
      </c>
      <c r="B1122" s="36" t="s">
        <v>4221</v>
      </c>
      <c r="C1122" s="26" t="s">
        <v>2856</v>
      </c>
      <c r="D1122" s="26" t="s">
        <v>2857</v>
      </c>
      <c r="E1122" s="27">
        <v>9200</v>
      </c>
      <c r="F1122" s="30">
        <v>107210</v>
      </c>
      <c r="G1122" s="27">
        <v>17010</v>
      </c>
      <c r="H1122" s="56">
        <v>0</v>
      </c>
      <c r="I1122" s="28" t="s">
        <v>19</v>
      </c>
      <c r="J1122" s="43"/>
    </row>
    <row r="1123" spans="1:10" customFormat="1" ht="15" hidden="1" customHeight="1" x14ac:dyDescent="0.25">
      <c r="A1123" s="24">
        <v>45077</v>
      </c>
      <c r="B1123" s="36" t="s">
        <v>4222</v>
      </c>
      <c r="C1123" s="26" t="s">
        <v>2856</v>
      </c>
      <c r="D1123" s="26" t="s">
        <v>2857</v>
      </c>
      <c r="E1123" s="27">
        <v>18400</v>
      </c>
      <c r="F1123" s="30">
        <v>214420</v>
      </c>
      <c r="G1123" s="27">
        <v>34020</v>
      </c>
      <c r="H1123" s="56">
        <v>0</v>
      </c>
      <c r="I1123" s="28" t="s">
        <v>19</v>
      </c>
      <c r="J1123" s="43"/>
    </row>
    <row r="1124" spans="1:10" customFormat="1" ht="15" hidden="1" customHeight="1" x14ac:dyDescent="0.25">
      <c r="A1124" s="24">
        <v>45077</v>
      </c>
      <c r="B1124" s="36" t="s">
        <v>4223</v>
      </c>
      <c r="C1124" s="26" t="s">
        <v>3235</v>
      </c>
      <c r="D1124" s="26" t="s">
        <v>3236</v>
      </c>
      <c r="E1124" s="27">
        <v>3720</v>
      </c>
      <c r="F1124" s="30">
        <v>102940</v>
      </c>
      <c r="G1124" s="27">
        <v>17220</v>
      </c>
      <c r="H1124" s="56">
        <v>0</v>
      </c>
      <c r="I1124" s="28" t="s">
        <v>19</v>
      </c>
      <c r="J1124" s="43"/>
    </row>
    <row r="1125" spans="1:10" customFormat="1" ht="15" hidden="1" customHeight="1" x14ac:dyDescent="0.25">
      <c r="A1125" s="24">
        <v>45077</v>
      </c>
      <c r="B1125" s="36" t="s">
        <v>4224</v>
      </c>
      <c r="C1125" s="26" t="s">
        <v>3067</v>
      </c>
      <c r="D1125" s="26" t="s">
        <v>3068</v>
      </c>
      <c r="E1125" s="27">
        <v>7293.4799999999796</v>
      </c>
      <c r="F1125" s="30">
        <v>156123.47999999998</v>
      </c>
      <c r="G1125" s="27">
        <v>25830</v>
      </c>
      <c r="H1125" s="56">
        <v>0</v>
      </c>
      <c r="I1125" s="28" t="s">
        <v>19</v>
      </c>
      <c r="J1125" s="43"/>
    </row>
    <row r="1126" spans="1:10" customFormat="1" ht="15" hidden="1" customHeight="1" x14ac:dyDescent="0.25">
      <c r="A1126" s="24">
        <v>45077</v>
      </c>
      <c r="B1126" s="36" t="s">
        <v>4225</v>
      </c>
      <c r="C1126" s="26" t="s">
        <v>3067</v>
      </c>
      <c r="D1126" s="26" t="s">
        <v>3068</v>
      </c>
      <c r="E1126" s="27">
        <v>9193.48</v>
      </c>
      <c r="F1126" s="30">
        <v>207633.48</v>
      </c>
      <c r="G1126" s="27">
        <v>34440</v>
      </c>
      <c r="H1126" s="56">
        <v>0</v>
      </c>
      <c r="I1126" s="28" t="s">
        <v>19</v>
      </c>
      <c r="J1126" s="43"/>
    </row>
    <row r="1127" spans="1:10" customFormat="1" ht="15" hidden="1" customHeight="1" x14ac:dyDescent="0.25">
      <c r="A1127" s="24">
        <v>45077</v>
      </c>
      <c r="B1127" s="36" t="s">
        <v>4226</v>
      </c>
      <c r="C1127" s="26" t="s">
        <v>3014</v>
      </c>
      <c r="D1127" s="26" t="s">
        <v>3015</v>
      </c>
      <c r="E1127" s="27">
        <v>12160</v>
      </c>
      <c r="F1127" s="30">
        <v>157360</v>
      </c>
      <c r="G1127" s="27">
        <v>25200</v>
      </c>
      <c r="H1127" s="56">
        <v>0</v>
      </c>
      <c r="I1127" s="28" t="s">
        <v>19</v>
      </c>
      <c r="J1127" s="43"/>
    </row>
    <row r="1128" spans="1:10" customFormat="1" ht="15" hidden="1" customHeight="1" x14ac:dyDescent="0.25">
      <c r="A1128" s="24">
        <v>45077</v>
      </c>
      <c r="B1128" s="36" t="s">
        <v>4227</v>
      </c>
      <c r="C1128" s="26" t="s">
        <v>3083</v>
      </c>
      <c r="D1128" s="26" t="s">
        <v>3084</v>
      </c>
      <c r="E1128" s="27">
        <v>24320</v>
      </c>
      <c r="F1128" s="30">
        <v>314720</v>
      </c>
      <c r="G1128" s="27">
        <v>50400</v>
      </c>
      <c r="H1128" s="56">
        <v>0</v>
      </c>
      <c r="I1128" s="28" t="s">
        <v>19</v>
      </c>
      <c r="J1128" s="43"/>
    </row>
    <row r="1129" spans="1:10" customFormat="1" ht="15" hidden="1" customHeight="1" x14ac:dyDescent="0.25">
      <c r="A1129" s="24">
        <v>45077</v>
      </c>
      <c r="B1129" s="36" t="s">
        <v>4228</v>
      </c>
      <c r="C1129" s="26" t="s">
        <v>3083</v>
      </c>
      <c r="D1129" s="26" t="s">
        <v>3084</v>
      </c>
      <c r="E1129" s="27">
        <v>18270</v>
      </c>
      <c r="F1129" s="30">
        <v>236070</v>
      </c>
      <c r="G1129" s="27">
        <v>37800</v>
      </c>
      <c r="H1129" s="56">
        <v>0</v>
      </c>
      <c r="I1129" s="28" t="s">
        <v>19</v>
      </c>
      <c r="J1129" s="43"/>
    </row>
    <row r="1130" spans="1:10" customFormat="1" ht="15" hidden="1" customHeight="1" x14ac:dyDescent="0.25">
      <c r="A1130" s="24">
        <v>45077</v>
      </c>
      <c r="B1130" s="36" t="s">
        <v>4229</v>
      </c>
      <c r="C1130" s="26" t="s">
        <v>3007</v>
      </c>
      <c r="D1130" s="26" t="s">
        <v>3008</v>
      </c>
      <c r="E1130" s="27">
        <v>6080</v>
      </c>
      <c r="F1130" s="30">
        <v>78680</v>
      </c>
      <c r="G1130" s="27">
        <v>12600</v>
      </c>
      <c r="H1130" s="56">
        <v>0</v>
      </c>
      <c r="I1130" s="28" t="s">
        <v>19</v>
      </c>
      <c r="J1130" s="43"/>
    </row>
    <row r="1131" spans="1:10" customFormat="1" ht="15" hidden="1" customHeight="1" x14ac:dyDescent="0.25">
      <c r="A1131" s="24">
        <v>45077</v>
      </c>
      <c r="B1131" s="36" t="s">
        <v>4230</v>
      </c>
      <c r="C1131" s="26" t="s">
        <v>4144</v>
      </c>
      <c r="D1131" s="26" t="s">
        <v>4145</v>
      </c>
      <c r="E1131" s="27">
        <v>8803.86</v>
      </c>
      <c r="F1131" s="30">
        <v>74143.86</v>
      </c>
      <c r="G1131" s="27">
        <v>11340</v>
      </c>
      <c r="H1131" s="56">
        <v>0</v>
      </c>
      <c r="I1131" s="28" t="s">
        <v>19</v>
      </c>
      <c r="J1131" s="43"/>
    </row>
    <row r="1132" spans="1:10" customFormat="1" ht="15" hidden="1" customHeight="1" x14ac:dyDescent="0.25">
      <c r="A1132" s="24">
        <v>45077</v>
      </c>
      <c r="B1132" s="36" t="s">
        <v>4231</v>
      </c>
      <c r="C1132" s="26" t="s">
        <v>2903</v>
      </c>
      <c r="D1132" s="26" t="s">
        <v>2904</v>
      </c>
      <c r="E1132" s="27">
        <v>6080</v>
      </c>
      <c r="F1132" s="30">
        <v>78680</v>
      </c>
      <c r="G1132" s="27">
        <v>12600</v>
      </c>
      <c r="H1132" s="56">
        <v>0</v>
      </c>
      <c r="I1132" s="28" t="s">
        <v>19</v>
      </c>
      <c r="J1132" s="43"/>
    </row>
    <row r="1133" spans="1:10" customFormat="1" ht="15" hidden="1" customHeight="1" x14ac:dyDescent="0.25">
      <c r="A1133" s="24">
        <v>45077</v>
      </c>
      <c r="B1133" s="36" t="s">
        <v>4232</v>
      </c>
      <c r="C1133" s="26" t="s">
        <v>2903</v>
      </c>
      <c r="D1133" s="26" t="s">
        <v>2904</v>
      </c>
      <c r="E1133" s="27">
        <v>6080</v>
      </c>
      <c r="F1133" s="30">
        <v>78680</v>
      </c>
      <c r="G1133" s="27">
        <v>12600</v>
      </c>
      <c r="H1133" s="56">
        <v>0</v>
      </c>
      <c r="I1133" s="28" t="s">
        <v>19</v>
      </c>
      <c r="J1133" s="43"/>
    </row>
    <row r="1134" spans="1:10" customFormat="1" ht="15" hidden="1" customHeight="1" x14ac:dyDescent="0.25">
      <c r="A1134" s="24">
        <v>45077</v>
      </c>
      <c r="B1134" s="36" t="s">
        <v>4233</v>
      </c>
      <c r="C1134" s="26" t="s">
        <v>3007</v>
      </c>
      <c r="D1134" s="26" t="s">
        <v>3008</v>
      </c>
      <c r="E1134" s="27">
        <v>6080</v>
      </c>
      <c r="F1134" s="30">
        <v>78680</v>
      </c>
      <c r="G1134" s="27">
        <v>12600</v>
      </c>
      <c r="H1134" s="56">
        <v>0</v>
      </c>
      <c r="I1134" s="28" t="s">
        <v>19</v>
      </c>
      <c r="J1134" s="43"/>
    </row>
    <row r="1135" spans="1:10" customFormat="1" ht="15" hidden="1" customHeight="1" x14ac:dyDescent="0.25">
      <c r="A1135" s="24">
        <v>45077</v>
      </c>
      <c r="B1135" s="36" t="s">
        <v>4234</v>
      </c>
      <c r="C1135" s="26" t="s">
        <v>3007</v>
      </c>
      <c r="D1135" s="26" t="s">
        <v>3008</v>
      </c>
      <c r="E1135" s="27">
        <v>6080</v>
      </c>
      <c r="F1135" s="30">
        <v>78680</v>
      </c>
      <c r="G1135" s="27">
        <v>12600</v>
      </c>
      <c r="H1135" s="56">
        <v>0</v>
      </c>
      <c r="I1135" s="28" t="s">
        <v>19</v>
      </c>
      <c r="J1135" s="43"/>
    </row>
    <row r="1136" spans="1:10" customFormat="1" ht="15" hidden="1" customHeight="1" x14ac:dyDescent="0.25">
      <c r="A1136" s="24">
        <v>45077</v>
      </c>
      <c r="B1136" s="36" t="s">
        <v>4235</v>
      </c>
      <c r="C1136" s="26" t="s">
        <v>3007</v>
      </c>
      <c r="D1136" s="26" t="s">
        <v>3008</v>
      </c>
      <c r="E1136" s="27">
        <v>18400</v>
      </c>
      <c r="F1136" s="30">
        <v>149080</v>
      </c>
      <c r="G1136" s="27">
        <v>22680</v>
      </c>
      <c r="H1136" s="56">
        <v>0</v>
      </c>
      <c r="I1136" s="28" t="s">
        <v>19</v>
      </c>
      <c r="J1136" s="43"/>
    </row>
    <row r="1137" spans="1:10" customFormat="1" ht="15" hidden="1" customHeight="1" x14ac:dyDescent="0.25">
      <c r="A1137" s="24">
        <v>45077</v>
      </c>
      <c r="B1137" s="36" t="s">
        <v>4236</v>
      </c>
      <c r="C1137" s="26" t="s">
        <v>2870</v>
      </c>
      <c r="D1137" s="26" t="s">
        <v>2871</v>
      </c>
      <c r="E1137" s="27">
        <v>9200</v>
      </c>
      <c r="F1137" s="30">
        <v>74540</v>
      </c>
      <c r="G1137" s="27">
        <v>11340</v>
      </c>
      <c r="H1137" s="56">
        <v>0</v>
      </c>
      <c r="I1137" s="28" t="s">
        <v>19</v>
      </c>
      <c r="J1137" s="43"/>
    </row>
    <row r="1138" spans="1:10" customFormat="1" ht="15" hidden="1" customHeight="1" x14ac:dyDescent="0.25">
      <c r="A1138" s="24">
        <v>45077</v>
      </c>
      <c r="B1138" s="36" t="s">
        <v>4237</v>
      </c>
      <c r="C1138" s="26" t="s">
        <v>4059</v>
      </c>
      <c r="D1138" s="26" t="s">
        <v>4060</v>
      </c>
      <c r="E1138" s="27">
        <v>9200</v>
      </c>
      <c r="F1138" s="30">
        <v>74540</v>
      </c>
      <c r="G1138" s="27">
        <v>11340</v>
      </c>
      <c r="H1138" s="56">
        <v>0</v>
      </c>
      <c r="I1138" s="28" t="s">
        <v>19</v>
      </c>
      <c r="J1138" s="43"/>
    </row>
    <row r="1139" spans="1:10" customFormat="1" ht="15" hidden="1" customHeight="1" x14ac:dyDescent="0.25">
      <c r="A1139" s="65">
        <v>45077</v>
      </c>
      <c r="B1139" s="41" t="s">
        <v>4238</v>
      </c>
      <c r="C1139" s="47" t="s">
        <v>3272</v>
      </c>
      <c r="D1139" s="47" t="s">
        <v>3273</v>
      </c>
      <c r="E1139" s="48">
        <v>23000</v>
      </c>
      <c r="F1139" s="107">
        <v>288716</v>
      </c>
      <c r="G1139" s="48">
        <v>46116</v>
      </c>
      <c r="H1139" s="66">
        <v>0</v>
      </c>
      <c r="I1139" s="41" t="s">
        <v>19</v>
      </c>
      <c r="J1139" s="49"/>
    </row>
    <row r="1140" spans="1:10" customFormat="1" ht="15" hidden="1" customHeight="1" x14ac:dyDescent="0.25">
      <c r="A1140" s="24">
        <v>45077</v>
      </c>
      <c r="B1140" s="36" t="s">
        <v>4239</v>
      </c>
      <c r="C1140" s="26" t="s">
        <v>4240</v>
      </c>
      <c r="D1140" s="26" t="s">
        <v>4241</v>
      </c>
      <c r="E1140" s="27">
        <v>1705.56</v>
      </c>
      <c r="F1140" s="30">
        <v>52525.56</v>
      </c>
      <c r="G1140" s="27">
        <v>8820</v>
      </c>
      <c r="H1140" s="56">
        <v>0</v>
      </c>
      <c r="I1140" s="28" t="s">
        <v>19</v>
      </c>
      <c r="J1140" s="43"/>
    </row>
    <row r="1141" spans="1:10" customFormat="1" ht="15" hidden="1" customHeight="1" x14ac:dyDescent="0.25">
      <c r="A1141" s="24">
        <v>45077</v>
      </c>
      <c r="B1141" s="36" t="s">
        <v>4242</v>
      </c>
      <c r="C1141" s="26" t="s">
        <v>4243</v>
      </c>
      <c r="D1141" s="26" t="s">
        <v>4244</v>
      </c>
      <c r="E1141" s="27">
        <v>13586.96</v>
      </c>
      <c r="F1141" s="30">
        <v>261636.96</v>
      </c>
      <c r="G1141" s="27">
        <v>43050</v>
      </c>
      <c r="H1141" s="56">
        <v>0</v>
      </c>
      <c r="I1141" s="28" t="s">
        <v>19</v>
      </c>
      <c r="J1141" s="43"/>
    </row>
    <row r="1142" spans="1:10" customFormat="1" ht="15" hidden="1" customHeight="1" x14ac:dyDescent="0.25">
      <c r="A1142" s="24">
        <v>45077</v>
      </c>
      <c r="B1142" s="36" t="s">
        <v>4245</v>
      </c>
      <c r="C1142" s="26" t="s">
        <v>2909</v>
      </c>
      <c r="D1142" s="26" t="s">
        <v>2910</v>
      </c>
      <c r="E1142" s="27">
        <v>14386.96</v>
      </c>
      <c r="F1142" s="30">
        <v>163216.95999999999</v>
      </c>
      <c r="G1142" s="27">
        <v>25830</v>
      </c>
      <c r="H1142" s="56">
        <v>0</v>
      </c>
      <c r="I1142" s="28" t="s">
        <v>19</v>
      </c>
      <c r="J1142" s="43"/>
    </row>
    <row r="1143" spans="1:10" customFormat="1" ht="15" hidden="1" customHeight="1" x14ac:dyDescent="0.25">
      <c r="A1143" s="24">
        <v>45077</v>
      </c>
      <c r="B1143" s="36" t="s">
        <v>4246</v>
      </c>
      <c r="C1143" s="26" t="s">
        <v>1140</v>
      </c>
      <c r="D1143" s="26" t="s">
        <v>1141</v>
      </c>
      <c r="E1143" s="27">
        <v>13586.96</v>
      </c>
      <c r="F1143" s="30">
        <v>261636.96</v>
      </c>
      <c r="G1143" s="27">
        <v>43050</v>
      </c>
      <c r="H1143" s="56">
        <v>0</v>
      </c>
      <c r="I1143" s="28" t="s">
        <v>19</v>
      </c>
      <c r="J1143" s="43"/>
    </row>
    <row r="1144" spans="1:10" customFormat="1" ht="15" hidden="1" customHeight="1" x14ac:dyDescent="0.25">
      <c r="A1144" s="24">
        <v>45077</v>
      </c>
      <c r="B1144" s="36" t="s">
        <v>4247</v>
      </c>
      <c r="C1144" s="26" t="s">
        <v>2921</v>
      </c>
      <c r="D1144" s="26" t="s">
        <v>2922</v>
      </c>
      <c r="E1144" s="27">
        <v>7920</v>
      </c>
      <c r="F1144" s="30">
        <v>73260</v>
      </c>
      <c r="G1144" s="27">
        <v>11340</v>
      </c>
      <c r="H1144" s="56">
        <v>0</v>
      </c>
      <c r="I1144" s="28" t="s">
        <v>19</v>
      </c>
      <c r="J1144" s="43"/>
    </row>
    <row r="1145" spans="1:10" customFormat="1" ht="15" hidden="1" customHeight="1" x14ac:dyDescent="0.25">
      <c r="A1145" s="24">
        <v>45077</v>
      </c>
      <c r="B1145" s="36" t="s">
        <v>4248</v>
      </c>
      <c r="C1145" s="26" t="s">
        <v>3257</v>
      </c>
      <c r="D1145" s="26" t="s">
        <v>3258</v>
      </c>
      <c r="E1145" s="27">
        <v>7440</v>
      </c>
      <c r="F1145" s="30">
        <v>72780</v>
      </c>
      <c r="G1145" s="27">
        <v>11340</v>
      </c>
      <c r="H1145" s="56">
        <v>0</v>
      </c>
      <c r="I1145" s="28" t="s">
        <v>19</v>
      </c>
      <c r="J1145" s="43"/>
    </row>
    <row r="1146" spans="1:10" customFormat="1" ht="15" hidden="1" customHeight="1" x14ac:dyDescent="0.25">
      <c r="A1146" s="24">
        <v>45077</v>
      </c>
      <c r="B1146" s="36" t="s">
        <v>4249</v>
      </c>
      <c r="C1146" s="26" t="s">
        <v>2851</v>
      </c>
      <c r="D1146" s="26" t="s">
        <v>2852</v>
      </c>
      <c r="E1146" s="27">
        <v>7440</v>
      </c>
      <c r="F1146" s="30">
        <v>72780</v>
      </c>
      <c r="G1146" s="27">
        <v>11340</v>
      </c>
      <c r="H1146" s="56">
        <v>0</v>
      </c>
      <c r="I1146" s="28" t="s">
        <v>19</v>
      </c>
      <c r="J1146" s="43"/>
    </row>
    <row r="1147" spans="1:10" customFormat="1" ht="15" hidden="1" customHeight="1" x14ac:dyDescent="0.25">
      <c r="A1147" s="24">
        <v>45077</v>
      </c>
      <c r="B1147" s="36" t="s">
        <v>4250</v>
      </c>
      <c r="C1147" s="26" t="s">
        <v>3235</v>
      </c>
      <c r="D1147" s="26" t="s">
        <v>3236</v>
      </c>
      <c r="E1147" s="27">
        <v>71800.44</v>
      </c>
      <c r="F1147" s="30">
        <v>882984.44</v>
      </c>
      <c r="G1147" s="27">
        <v>140784</v>
      </c>
      <c r="H1147" s="56">
        <v>0</v>
      </c>
      <c r="I1147" s="28" t="s">
        <v>19</v>
      </c>
      <c r="J1147" s="43"/>
    </row>
    <row r="1148" spans="1:10" customFormat="1" ht="15" hidden="1" customHeight="1" x14ac:dyDescent="0.25">
      <c r="A1148" s="24">
        <v>45077</v>
      </c>
      <c r="B1148" s="36" t="s">
        <v>4251</v>
      </c>
      <c r="C1148" s="26" t="s">
        <v>4090</v>
      </c>
      <c r="D1148" s="26" t="s">
        <v>4091</v>
      </c>
      <c r="E1148" s="27">
        <v>5440</v>
      </c>
      <c r="F1148" s="30">
        <v>94012</v>
      </c>
      <c r="G1148" s="27">
        <v>15372</v>
      </c>
      <c r="H1148" s="56">
        <v>0</v>
      </c>
      <c r="I1148" s="28" t="s">
        <v>19</v>
      </c>
      <c r="J1148" s="43"/>
    </row>
    <row r="1149" spans="1:10" customFormat="1" ht="15" hidden="1" customHeight="1" x14ac:dyDescent="0.25">
      <c r="A1149" s="24">
        <v>45077</v>
      </c>
      <c r="B1149" s="36" t="s">
        <v>4252</v>
      </c>
      <c r="C1149" s="26" t="s">
        <v>2909</v>
      </c>
      <c r="D1149" s="26" t="s">
        <v>2910</v>
      </c>
      <c r="E1149" s="27">
        <v>8280</v>
      </c>
      <c r="F1149" s="30">
        <v>180705</v>
      </c>
      <c r="G1149" s="27">
        <v>29925</v>
      </c>
      <c r="H1149" s="56">
        <v>0</v>
      </c>
      <c r="I1149" s="28" t="s">
        <v>19</v>
      </c>
      <c r="J1149" s="43"/>
    </row>
    <row r="1150" spans="1:10" customFormat="1" ht="15" hidden="1" customHeight="1" x14ac:dyDescent="0.25">
      <c r="A1150" s="24">
        <v>45077</v>
      </c>
      <c r="B1150" s="36" t="s">
        <v>4253</v>
      </c>
      <c r="C1150" s="26" t="s">
        <v>2883</v>
      </c>
      <c r="D1150" s="26" t="s">
        <v>2884</v>
      </c>
      <c r="E1150" s="27">
        <v>10000</v>
      </c>
      <c r="F1150" s="30">
        <v>249580</v>
      </c>
      <c r="G1150" s="27">
        <v>41580</v>
      </c>
      <c r="H1150" s="56">
        <v>0</v>
      </c>
      <c r="I1150" s="28" t="s">
        <v>19</v>
      </c>
      <c r="J1150" s="43"/>
    </row>
    <row r="1151" spans="1:10" customFormat="1" ht="15" hidden="1" customHeight="1" x14ac:dyDescent="0.25">
      <c r="A1151" s="24">
        <v>45077</v>
      </c>
      <c r="B1151" s="36" t="s">
        <v>4254</v>
      </c>
      <c r="C1151" s="26" t="s">
        <v>3067</v>
      </c>
      <c r="D1151" s="26" t="s">
        <v>3068</v>
      </c>
      <c r="E1151" s="27">
        <v>9200</v>
      </c>
      <c r="F1151" s="30">
        <v>181625</v>
      </c>
      <c r="G1151" s="27">
        <v>29925</v>
      </c>
      <c r="H1151" s="56">
        <v>0</v>
      </c>
      <c r="I1151" s="28" t="s">
        <v>19</v>
      </c>
      <c r="J1151" s="43"/>
    </row>
    <row r="1152" spans="1:10" customFormat="1" ht="15" hidden="1" customHeight="1" x14ac:dyDescent="0.25">
      <c r="A1152" s="24">
        <v>45077</v>
      </c>
      <c r="B1152" s="36" t="s">
        <v>4255</v>
      </c>
      <c r="C1152" s="26" t="s">
        <v>3235</v>
      </c>
      <c r="D1152" s="26" t="s">
        <v>3236</v>
      </c>
      <c r="E1152" s="27">
        <v>22440</v>
      </c>
      <c r="F1152" s="30">
        <v>680680</v>
      </c>
      <c r="G1152" s="27">
        <v>114240</v>
      </c>
      <c r="H1152" s="56">
        <v>0</v>
      </c>
      <c r="I1152" s="28" t="s">
        <v>19</v>
      </c>
      <c r="J1152" s="43"/>
    </row>
    <row r="1153" spans="1:10" customFormat="1" ht="15" hidden="1" customHeight="1" x14ac:dyDescent="0.25">
      <c r="A1153" s="24">
        <v>45077</v>
      </c>
      <c r="B1153" s="36" t="s">
        <v>4256</v>
      </c>
      <c r="C1153" s="26" t="s">
        <v>3096</v>
      </c>
      <c r="D1153" s="26" t="s">
        <v>3097</v>
      </c>
      <c r="E1153" s="27">
        <v>0</v>
      </c>
      <c r="F1153" s="30">
        <v>39930</v>
      </c>
      <c r="G1153" s="27">
        <v>6930</v>
      </c>
      <c r="H1153" s="56">
        <v>0</v>
      </c>
      <c r="I1153" s="28" t="s">
        <v>19</v>
      </c>
      <c r="J1153" s="43"/>
    </row>
    <row r="1154" spans="1:10" customFormat="1" ht="15" hidden="1" customHeight="1" x14ac:dyDescent="0.25">
      <c r="A1154" s="137">
        <v>45077</v>
      </c>
      <c r="B1154" s="59" t="s">
        <v>4257</v>
      </c>
      <c r="C1154" s="139" t="s">
        <v>3132</v>
      </c>
      <c r="D1154" s="139" t="s">
        <v>3133</v>
      </c>
      <c r="E1154" s="140">
        <v>0</v>
      </c>
      <c r="F1154" s="141">
        <v>443586</v>
      </c>
      <c r="G1154" s="140">
        <v>76986</v>
      </c>
      <c r="H1154" s="61">
        <v>0</v>
      </c>
      <c r="I1154" s="59" t="s">
        <v>103</v>
      </c>
      <c r="J1154" s="43"/>
    </row>
    <row r="1155" spans="1:10" ht="15" hidden="1" customHeight="1" x14ac:dyDescent="0.25">
      <c r="A1155" s="172">
        <v>45077</v>
      </c>
      <c r="B1155" s="121" t="s">
        <v>4258</v>
      </c>
      <c r="C1155" s="128" t="s">
        <v>2895</v>
      </c>
      <c r="D1155" s="128" t="s">
        <v>2896</v>
      </c>
      <c r="E1155" s="129">
        <v>0</v>
      </c>
      <c r="F1155" s="130">
        <v>447216</v>
      </c>
      <c r="G1155" s="129">
        <v>77616</v>
      </c>
      <c r="H1155" s="173">
        <v>0</v>
      </c>
      <c r="I1155" s="121" t="s">
        <v>103</v>
      </c>
      <c r="J1155" s="43"/>
    </row>
    <row r="1156" spans="1:10" customFormat="1" ht="15" hidden="1" customHeight="1" x14ac:dyDescent="0.25">
      <c r="A1156" s="153">
        <v>45077</v>
      </c>
      <c r="B1156" s="158" t="s">
        <v>4259</v>
      </c>
      <c r="C1156" s="155" t="s">
        <v>3876</v>
      </c>
      <c r="D1156" s="155" t="s">
        <v>3877</v>
      </c>
      <c r="E1156" s="156">
        <v>-3.7252902984619103E-11</v>
      </c>
      <c r="F1156" s="157">
        <v>341622.44999999995</v>
      </c>
      <c r="G1156" s="156">
        <v>59289.85</v>
      </c>
      <c r="H1156" s="161">
        <v>0</v>
      </c>
      <c r="I1156" s="55" t="s">
        <v>103</v>
      </c>
      <c r="J1156" s="43"/>
    </row>
    <row r="1157" spans="1:10" customFormat="1" ht="15" hidden="1" customHeight="1" x14ac:dyDescent="0.25">
      <c r="A1157" s="24">
        <v>45077</v>
      </c>
      <c r="B1157" s="36" t="s">
        <v>4260</v>
      </c>
      <c r="C1157" s="26" t="s">
        <v>2856</v>
      </c>
      <c r="D1157" s="26" t="s">
        <v>2857</v>
      </c>
      <c r="E1157" s="27">
        <v>0</v>
      </c>
      <c r="F1157" s="30">
        <v>4410212.17</v>
      </c>
      <c r="G1157" s="27">
        <v>765408.72</v>
      </c>
      <c r="H1157" s="56">
        <v>0</v>
      </c>
      <c r="I1157" s="28" t="s">
        <v>103</v>
      </c>
      <c r="J1157" s="43"/>
    </row>
    <row r="1158" spans="1:10" customFormat="1" ht="15" hidden="1" customHeight="1" x14ac:dyDescent="0.25">
      <c r="A1158" s="24">
        <v>45077</v>
      </c>
      <c r="B1158" s="36" t="s">
        <v>4261</v>
      </c>
      <c r="C1158" s="26" t="s">
        <v>3268</v>
      </c>
      <c r="D1158" s="26" t="s">
        <v>3269</v>
      </c>
      <c r="E1158" s="27">
        <v>0</v>
      </c>
      <c r="F1158" s="30">
        <v>228045.07</v>
      </c>
      <c r="G1158" s="27">
        <v>39578.07</v>
      </c>
      <c r="H1158" s="56">
        <v>0</v>
      </c>
      <c r="I1158" s="28" t="s">
        <v>103</v>
      </c>
      <c r="J1158" s="43"/>
    </row>
    <row r="1159" spans="1:10" customFormat="1" ht="15" hidden="1" customHeight="1" x14ac:dyDescent="0.25">
      <c r="A1159" s="24">
        <v>45077</v>
      </c>
      <c r="B1159" s="25" t="s">
        <v>4262</v>
      </c>
      <c r="C1159" s="26" t="s">
        <v>3722</v>
      </c>
      <c r="D1159" s="26" t="s">
        <v>3723</v>
      </c>
      <c r="E1159" s="27">
        <v>0</v>
      </c>
      <c r="F1159" s="30">
        <v>239918.8</v>
      </c>
      <c r="G1159" s="27">
        <v>41638.800000000003</v>
      </c>
      <c r="H1159" s="56">
        <v>0</v>
      </c>
      <c r="I1159" s="28" t="s">
        <v>103</v>
      </c>
      <c r="J1159" s="43"/>
    </row>
    <row r="1160" spans="1:10" customFormat="1" ht="15" hidden="1" customHeight="1" x14ac:dyDescent="0.25">
      <c r="A1160" s="24">
        <v>45077</v>
      </c>
      <c r="B1160" s="25" t="s">
        <v>4263</v>
      </c>
      <c r="C1160" s="26" t="s">
        <v>2892</v>
      </c>
      <c r="D1160" s="26" t="s">
        <v>2893</v>
      </c>
      <c r="E1160" s="27">
        <v>0</v>
      </c>
      <c r="F1160" s="30">
        <v>223898.4</v>
      </c>
      <c r="G1160" s="27">
        <v>38858.400000000001</v>
      </c>
      <c r="H1160" s="56">
        <v>0</v>
      </c>
      <c r="I1160" s="28" t="s">
        <v>19</v>
      </c>
      <c r="J1160" s="43"/>
    </row>
    <row r="1161" spans="1:10" customFormat="1" ht="15" hidden="1" customHeight="1" x14ac:dyDescent="0.25">
      <c r="A1161" s="24">
        <v>45077</v>
      </c>
      <c r="B1161" s="25" t="s">
        <v>4264</v>
      </c>
      <c r="C1161" s="26" t="s">
        <v>3971</v>
      </c>
      <c r="D1161" s="26" t="s">
        <v>3972</v>
      </c>
      <c r="E1161" s="27">
        <v>-9.3132257461547902E-12</v>
      </c>
      <c r="F1161" s="30">
        <v>67404.259999999995</v>
      </c>
      <c r="G1161" s="27">
        <v>11698.26</v>
      </c>
      <c r="H1161" s="56">
        <v>0</v>
      </c>
      <c r="I1161" s="28" t="s">
        <v>103</v>
      </c>
      <c r="J1161" s="43"/>
    </row>
    <row r="1162" spans="1:10" customFormat="1" ht="15" hidden="1" customHeight="1" x14ac:dyDescent="0.25">
      <c r="A1162" s="24">
        <v>45077</v>
      </c>
      <c r="B1162" s="25" t="s">
        <v>4265</v>
      </c>
      <c r="C1162" s="26" t="s">
        <v>3966</v>
      </c>
      <c r="D1162" s="26" t="s">
        <v>3967</v>
      </c>
      <c r="E1162" s="27">
        <v>0</v>
      </c>
      <c r="F1162" s="30">
        <v>67056.13</v>
      </c>
      <c r="G1162" s="27">
        <v>11637.84</v>
      </c>
      <c r="H1162" s="56">
        <v>0</v>
      </c>
      <c r="I1162" s="28" t="s">
        <v>103</v>
      </c>
      <c r="J1162" s="43"/>
    </row>
    <row r="1163" spans="1:10" customFormat="1" ht="15" hidden="1" customHeight="1" x14ac:dyDescent="0.25">
      <c r="A1163" s="24">
        <v>45077</v>
      </c>
      <c r="B1163" s="25" t="s">
        <v>4266</v>
      </c>
      <c r="C1163" s="26" t="s">
        <v>1140</v>
      </c>
      <c r="D1163" s="26" t="s">
        <v>1141</v>
      </c>
      <c r="E1163" s="27">
        <v>0</v>
      </c>
      <c r="F1163" s="30">
        <v>988447.79</v>
      </c>
      <c r="G1163" s="27">
        <v>171548.79</v>
      </c>
      <c r="H1163" s="56">
        <v>0</v>
      </c>
      <c r="I1163" s="28" t="s">
        <v>103</v>
      </c>
      <c r="J1163" s="43"/>
    </row>
    <row r="1164" spans="1:10" customFormat="1" ht="15" hidden="1" customHeight="1" x14ac:dyDescent="0.25">
      <c r="A1164" s="24">
        <v>45077</v>
      </c>
      <c r="B1164" s="25" t="s">
        <v>4267</v>
      </c>
      <c r="C1164" s="26" t="s">
        <v>3176</v>
      </c>
      <c r="D1164" s="26" t="s">
        <v>3177</v>
      </c>
      <c r="E1164" s="27">
        <v>0</v>
      </c>
      <c r="F1164" s="30">
        <v>50183.54</v>
      </c>
      <c r="G1164" s="27">
        <v>8709.5400000000009</v>
      </c>
      <c r="H1164" s="56">
        <v>0</v>
      </c>
      <c r="I1164" s="28" t="s">
        <v>103</v>
      </c>
      <c r="J1164" s="43"/>
    </row>
    <row r="1165" spans="1:10" customFormat="1" ht="15" hidden="1" customHeight="1" x14ac:dyDescent="0.25">
      <c r="A1165" s="24">
        <v>45077</v>
      </c>
      <c r="B1165" s="25" t="s">
        <v>4268</v>
      </c>
      <c r="C1165" s="26" t="s">
        <v>3346</v>
      </c>
      <c r="D1165" s="26" t="s">
        <v>3347</v>
      </c>
      <c r="E1165" s="27">
        <v>0</v>
      </c>
      <c r="F1165" s="30">
        <v>2586738</v>
      </c>
      <c r="G1165" s="27">
        <v>448938</v>
      </c>
      <c r="H1165" s="56">
        <v>0</v>
      </c>
      <c r="I1165" s="28" t="s">
        <v>103</v>
      </c>
      <c r="J1165" s="43"/>
    </row>
    <row r="1166" spans="1:10" customFormat="1" ht="15" hidden="1" customHeight="1" x14ac:dyDescent="0.25">
      <c r="A1166" s="24">
        <v>45077</v>
      </c>
      <c r="B1166" s="25" t="s">
        <v>4269</v>
      </c>
      <c r="C1166" s="26" t="s">
        <v>3140</v>
      </c>
      <c r="D1166" s="26" t="s">
        <v>3141</v>
      </c>
      <c r="E1166" s="27">
        <v>0</v>
      </c>
      <c r="F1166" s="30">
        <v>63016.800000000003</v>
      </c>
      <c r="G1166" s="27">
        <v>10936.8</v>
      </c>
      <c r="H1166" s="56">
        <v>0</v>
      </c>
      <c r="I1166" s="28" t="s">
        <v>103</v>
      </c>
      <c r="J1166" s="43"/>
    </row>
    <row r="1167" spans="1:10" customFormat="1" ht="15" hidden="1" customHeight="1" x14ac:dyDescent="0.25">
      <c r="A1167" s="24">
        <v>45063</v>
      </c>
      <c r="B1167" s="25" t="s">
        <v>4270</v>
      </c>
      <c r="C1167" s="26" t="s">
        <v>2851</v>
      </c>
      <c r="D1167" s="26" t="s">
        <v>2852</v>
      </c>
      <c r="E1167" s="27">
        <v>0</v>
      </c>
      <c r="F1167" s="30">
        <v>738000</v>
      </c>
      <c r="G1167" s="27">
        <v>37600</v>
      </c>
      <c r="H1167" s="56">
        <v>0</v>
      </c>
      <c r="I1167" s="28" t="s">
        <v>19</v>
      </c>
      <c r="J1167" s="43"/>
    </row>
    <row r="1168" spans="1:10" customFormat="1" ht="15" hidden="1" customHeight="1" x14ac:dyDescent="0.25">
      <c r="A1168" s="24">
        <v>45057</v>
      </c>
      <c r="B1168" s="25" t="s">
        <v>4271</v>
      </c>
      <c r="C1168" s="26" t="s">
        <v>3147</v>
      </c>
      <c r="D1168" s="26" t="s">
        <v>3148</v>
      </c>
      <c r="E1168" s="27">
        <v>0</v>
      </c>
      <c r="F1168" s="30">
        <v>-104545</v>
      </c>
      <c r="G1168" s="27">
        <v>0</v>
      </c>
      <c r="H1168" s="56">
        <v>0</v>
      </c>
      <c r="I1168" s="28" t="s">
        <v>19</v>
      </c>
      <c r="J1168" s="43"/>
    </row>
    <row r="1169" spans="1:10" customFormat="1" ht="15" hidden="1" customHeight="1" x14ac:dyDescent="0.25">
      <c r="A1169" s="37">
        <v>45077</v>
      </c>
      <c r="B1169" s="25" t="s">
        <v>3981</v>
      </c>
      <c r="C1169" s="28" t="s">
        <v>2930</v>
      </c>
      <c r="D1169" s="28" t="s">
        <v>2931</v>
      </c>
      <c r="E1169" s="38">
        <v>0</v>
      </c>
      <c r="F1169" s="67">
        <v>95965.1</v>
      </c>
      <c r="G1169" s="38">
        <v>0</v>
      </c>
      <c r="H1169" s="56">
        <v>0</v>
      </c>
      <c r="I1169" s="28" t="s">
        <v>103</v>
      </c>
      <c r="J1169" s="43"/>
    </row>
    <row r="1170" spans="1:10" customFormat="1" ht="15" hidden="1" customHeight="1" x14ac:dyDescent="0.25">
      <c r="A1170" s="37">
        <v>44957</v>
      </c>
      <c r="B1170" s="25" t="s">
        <v>3981</v>
      </c>
      <c r="C1170" s="28" t="s">
        <v>4272</v>
      </c>
      <c r="D1170" s="28" t="s">
        <v>4273</v>
      </c>
      <c r="E1170" s="38">
        <v>0</v>
      </c>
      <c r="F1170" s="67">
        <v>392331.49</v>
      </c>
      <c r="G1170" s="38">
        <v>0</v>
      </c>
      <c r="H1170" s="56">
        <v>0</v>
      </c>
      <c r="I1170" s="28" t="s">
        <v>103</v>
      </c>
      <c r="J1170" s="43"/>
    </row>
    <row r="1171" spans="1:10" customFormat="1" ht="15" hidden="1" customHeight="1" x14ac:dyDescent="0.25">
      <c r="A1171" s="37">
        <v>44985</v>
      </c>
      <c r="B1171" s="25" t="s">
        <v>3981</v>
      </c>
      <c r="C1171" s="28" t="s">
        <v>4272</v>
      </c>
      <c r="D1171" s="28" t="s">
        <v>4273</v>
      </c>
      <c r="E1171" s="38">
        <v>0</v>
      </c>
      <c r="F1171" s="67">
        <v>391395.07</v>
      </c>
      <c r="G1171" s="38">
        <v>0</v>
      </c>
      <c r="H1171" s="56">
        <v>0</v>
      </c>
      <c r="I1171" s="28" t="s">
        <v>103</v>
      </c>
      <c r="J1171" s="43"/>
    </row>
    <row r="1172" spans="1:10" customFormat="1" ht="15" hidden="1" customHeight="1" x14ac:dyDescent="0.25">
      <c r="A1172" s="37">
        <v>45016</v>
      </c>
      <c r="B1172" s="25" t="s">
        <v>3981</v>
      </c>
      <c r="C1172" s="28" t="s">
        <v>4272</v>
      </c>
      <c r="D1172" s="28" t="s">
        <v>4273</v>
      </c>
      <c r="E1172" s="38">
        <v>0</v>
      </c>
      <c r="F1172" s="67">
        <v>374271.15</v>
      </c>
      <c r="G1172" s="38">
        <v>0</v>
      </c>
      <c r="H1172" s="56">
        <v>0</v>
      </c>
      <c r="I1172" s="28" t="s">
        <v>103</v>
      </c>
      <c r="J1172" s="43"/>
    </row>
    <row r="1173" spans="1:10" customFormat="1" ht="15" hidden="1" customHeight="1" x14ac:dyDescent="0.25">
      <c r="A1173" s="37">
        <v>45046</v>
      </c>
      <c r="B1173" s="25" t="s">
        <v>3981</v>
      </c>
      <c r="C1173" s="28" t="s">
        <v>4272</v>
      </c>
      <c r="D1173" s="28" t="s">
        <v>4273</v>
      </c>
      <c r="E1173" s="38">
        <v>0</v>
      </c>
      <c r="F1173" s="67">
        <v>390413</v>
      </c>
      <c r="G1173" s="38">
        <v>81986</v>
      </c>
      <c r="H1173" s="38">
        <v>472399.73</v>
      </c>
      <c r="I1173" s="28" t="s">
        <v>103</v>
      </c>
      <c r="J1173" s="43"/>
    </row>
    <row r="1174" spans="1:10" customFormat="1" ht="15" hidden="1" customHeight="1" x14ac:dyDescent="0.25">
      <c r="A1174" s="37">
        <v>45077</v>
      </c>
      <c r="B1174" s="25" t="s">
        <v>3981</v>
      </c>
      <c r="C1174" s="28" t="s">
        <v>4272</v>
      </c>
      <c r="D1174" s="28" t="s">
        <v>4273</v>
      </c>
      <c r="E1174" s="38">
        <v>0</v>
      </c>
      <c r="F1174" s="67">
        <v>95965.1</v>
      </c>
      <c r="G1174" s="38">
        <v>0</v>
      </c>
      <c r="H1174" s="38">
        <v>483941.92</v>
      </c>
      <c r="I1174" s="28" t="s">
        <v>103</v>
      </c>
      <c r="J1174" s="43"/>
    </row>
    <row r="1175" spans="1:10" customFormat="1" ht="15" hidden="1" customHeight="1" x14ac:dyDescent="0.25">
      <c r="A1175" s="37">
        <v>45046</v>
      </c>
      <c r="B1175" s="26" t="s">
        <v>3684</v>
      </c>
      <c r="C1175" s="28" t="s">
        <v>3160</v>
      </c>
      <c r="D1175" s="26" t="s">
        <v>3161</v>
      </c>
      <c r="E1175" s="38">
        <v>356991.49</v>
      </c>
      <c r="F1175" s="67">
        <v>483941.92</v>
      </c>
      <c r="G1175" s="38">
        <v>944055</v>
      </c>
      <c r="H1175" s="38">
        <v>5796546.4900000002</v>
      </c>
      <c r="I1175" s="28" t="s">
        <v>19</v>
      </c>
      <c r="J1175" s="43"/>
    </row>
    <row r="1176" spans="1:10" customFormat="1" ht="15" hidden="1" customHeight="1" x14ac:dyDescent="0.25">
      <c r="A1176" s="37">
        <v>45077</v>
      </c>
      <c r="B1176" s="26" t="s">
        <v>3684</v>
      </c>
      <c r="C1176" s="28" t="s">
        <v>3160</v>
      </c>
      <c r="D1176" s="26" t="s">
        <v>3161</v>
      </c>
      <c r="E1176" s="38">
        <v>191114.89</v>
      </c>
      <c r="F1176" s="67">
        <v>3105000</v>
      </c>
      <c r="G1176" s="38">
        <v>652650</v>
      </c>
      <c r="H1176" s="38">
        <v>3948564.89</v>
      </c>
      <c r="I1176" s="28" t="s">
        <v>19</v>
      </c>
      <c r="J1176" s="43"/>
    </row>
    <row r="1177" spans="1:10" customFormat="1" ht="15" hidden="1" customHeight="1" x14ac:dyDescent="0.25">
      <c r="A1177" s="37">
        <v>45090</v>
      </c>
      <c r="B1177" s="25" t="s">
        <v>4274</v>
      </c>
      <c r="C1177" s="68" t="s">
        <v>2851</v>
      </c>
      <c r="D1177" s="68" t="s">
        <v>2852</v>
      </c>
      <c r="E1177" s="48">
        <v>18400</v>
      </c>
      <c r="F1177" s="107">
        <v>162000</v>
      </c>
      <c r="G1177" s="48">
        <v>34020</v>
      </c>
      <c r="H1177" s="48">
        <v>214420</v>
      </c>
      <c r="I1177" s="28" t="s">
        <v>19</v>
      </c>
      <c r="J1177" s="43"/>
    </row>
    <row r="1178" spans="1:10" customFormat="1" ht="15" hidden="1" customHeight="1" x14ac:dyDescent="0.25">
      <c r="A1178" s="37">
        <v>45090</v>
      </c>
      <c r="B1178" s="25" t="s">
        <v>4275</v>
      </c>
      <c r="C1178" s="68" t="s">
        <v>2851</v>
      </c>
      <c r="D1178" s="68" t="s">
        <v>2852</v>
      </c>
      <c r="E1178" s="48">
        <v>6870.05</v>
      </c>
      <c r="F1178" s="107">
        <v>81000</v>
      </c>
      <c r="G1178" s="48">
        <v>17010</v>
      </c>
      <c r="H1178" s="48">
        <v>104880.05</v>
      </c>
      <c r="I1178" s="28" t="s">
        <v>19</v>
      </c>
      <c r="J1178" s="43"/>
    </row>
    <row r="1179" spans="1:10" customFormat="1" ht="15" hidden="1" customHeight="1" x14ac:dyDescent="0.25">
      <c r="A1179" s="37">
        <v>45090</v>
      </c>
      <c r="B1179" s="25" t="s">
        <v>4276</v>
      </c>
      <c r="C1179" s="68" t="s">
        <v>3096</v>
      </c>
      <c r="D1179" s="68" t="s">
        <v>3097</v>
      </c>
      <c r="E1179" s="48">
        <v>23760</v>
      </c>
      <c r="F1179" s="107">
        <v>243000</v>
      </c>
      <c r="G1179" s="48">
        <v>51030</v>
      </c>
      <c r="H1179" s="48">
        <v>317790</v>
      </c>
      <c r="I1179" s="28" t="s">
        <v>19</v>
      </c>
      <c r="J1179" s="43"/>
    </row>
    <row r="1180" spans="1:10" customFormat="1" ht="15" hidden="1" customHeight="1" x14ac:dyDescent="0.25">
      <c r="A1180" s="37">
        <v>45090</v>
      </c>
      <c r="B1180" s="25" t="s">
        <v>4277</v>
      </c>
      <c r="C1180" s="68" t="s">
        <v>3014</v>
      </c>
      <c r="D1180" s="68" t="s">
        <v>3015</v>
      </c>
      <c r="E1180" s="48">
        <v>18848.72</v>
      </c>
      <c r="F1180" s="107">
        <v>171800</v>
      </c>
      <c r="G1180" s="48">
        <v>36078</v>
      </c>
      <c r="H1180" s="48">
        <v>226726.72</v>
      </c>
      <c r="I1180" s="28" t="s">
        <v>19</v>
      </c>
      <c r="J1180" s="43"/>
    </row>
    <row r="1181" spans="1:10" customFormat="1" ht="15" hidden="1" customHeight="1" x14ac:dyDescent="0.25">
      <c r="A1181" s="37">
        <v>45090</v>
      </c>
      <c r="B1181" s="25" t="s">
        <v>4278</v>
      </c>
      <c r="C1181" s="68" t="s">
        <v>4172</v>
      </c>
      <c r="D1181" s="68" t="s">
        <v>4173</v>
      </c>
      <c r="E1181" s="48">
        <v>9200</v>
      </c>
      <c r="F1181" s="107">
        <v>108000</v>
      </c>
      <c r="G1181" s="48">
        <v>22680</v>
      </c>
      <c r="H1181" s="48">
        <v>139880</v>
      </c>
      <c r="I1181" s="28" t="s">
        <v>19</v>
      </c>
      <c r="J1181" s="43"/>
    </row>
    <row r="1182" spans="1:10" customFormat="1" ht="15" hidden="1" customHeight="1" x14ac:dyDescent="0.25">
      <c r="A1182" s="37">
        <v>45090</v>
      </c>
      <c r="B1182" s="25" t="s">
        <v>4279</v>
      </c>
      <c r="C1182" s="68" t="s">
        <v>4172</v>
      </c>
      <c r="D1182" s="68" t="s">
        <v>4173</v>
      </c>
      <c r="E1182" s="48">
        <v>8803.86</v>
      </c>
      <c r="F1182" s="107">
        <v>81000</v>
      </c>
      <c r="G1182" s="48">
        <v>17010</v>
      </c>
      <c r="H1182" s="48">
        <v>106813.86</v>
      </c>
      <c r="I1182" s="28" t="s">
        <v>19</v>
      </c>
      <c r="J1182" s="43"/>
    </row>
    <row r="1183" spans="1:10" customFormat="1" ht="15" hidden="1" customHeight="1" x14ac:dyDescent="0.25">
      <c r="A1183" s="37">
        <v>45090</v>
      </c>
      <c r="B1183" s="25" t="s">
        <v>4280</v>
      </c>
      <c r="C1183" s="68" t="s">
        <v>2851</v>
      </c>
      <c r="D1183" s="68" t="s">
        <v>2852</v>
      </c>
      <c r="E1183" s="48">
        <v>3640</v>
      </c>
      <c r="F1183" s="107">
        <v>248000</v>
      </c>
      <c r="G1183" s="48">
        <v>52080</v>
      </c>
      <c r="H1183" s="48">
        <v>303720</v>
      </c>
      <c r="I1183" s="28" t="s">
        <v>19</v>
      </c>
      <c r="J1183" s="43"/>
    </row>
    <row r="1184" spans="1:10" customFormat="1" ht="15" hidden="1" customHeight="1" x14ac:dyDescent="0.25">
      <c r="A1184" s="37">
        <v>45090</v>
      </c>
      <c r="B1184" s="25" t="s">
        <v>4281</v>
      </c>
      <c r="C1184" s="68" t="s">
        <v>2851</v>
      </c>
      <c r="D1184" s="68" t="s">
        <v>2852</v>
      </c>
      <c r="E1184" s="48">
        <v>1600</v>
      </c>
      <c r="F1184" s="107">
        <v>52000</v>
      </c>
      <c r="G1184" s="48">
        <v>10920</v>
      </c>
      <c r="H1184" s="48">
        <v>64520</v>
      </c>
      <c r="I1184" s="28" t="s">
        <v>19</v>
      </c>
      <c r="J1184" s="43"/>
    </row>
    <row r="1185" spans="1:10" customFormat="1" ht="15" hidden="1" customHeight="1" x14ac:dyDescent="0.25">
      <c r="A1185" s="37">
        <v>45090</v>
      </c>
      <c r="B1185" s="25" t="s">
        <v>4282</v>
      </c>
      <c r="C1185" s="68" t="s">
        <v>4283</v>
      </c>
      <c r="D1185" s="68" t="s">
        <v>4284</v>
      </c>
      <c r="E1185" s="48">
        <v>4719.03999999999</v>
      </c>
      <c r="F1185" s="107">
        <v>63000</v>
      </c>
      <c r="G1185" s="48">
        <v>13230</v>
      </c>
      <c r="H1185" s="48">
        <v>80949.039999999994</v>
      </c>
      <c r="I1185" s="28" t="s">
        <v>19</v>
      </c>
      <c r="J1185" s="43"/>
    </row>
    <row r="1186" spans="1:10" customFormat="1" ht="15" hidden="1" customHeight="1" x14ac:dyDescent="0.25">
      <c r="A1186" s="37">
        <v>45090</v>
      </c>
      <c r="B1186" s="25" t="s">
        <v>4285</v>
      </c>
      <c r="C1186" s="68" t="s">
        <v>2892</v>
      </c>
      <c r="D1186" s="68" t="s">
        <v>2893</v>
      </c>
      <c r="E1186" s="48">
        <v>3605.72</v>
      </c>
      <c r="F1186" s="107">
        <v>42000</v>
      </c>
      <c r="G1186" s="48">
        <v>8820</v>
      </c>
      <c r="H1186" s="48">
        <v>54425.72</v>
      </c>
      <c r="I1186" s="28" t="s">
        <v>19</v>
      </c>
      <c r="J1186" s="43"/>
    </row>
    <row r="1187" spans="1:10" customFormat="1" ht="15" hidden="1" customHeight="1" x14ac:dyDescent="0.25">
      <c r="A1187" s="37">
        <v>45090</v>
      </c>
      <c r="B1187" s="25" t="s">
        <v>4286</v>
      </c>
      <c r="C1187" s="68" t="s">
        <v>2856</v>
      </c>
      <c r="D1187" s="68" t="s">
        <v>2857</v>
      </c>
      <c r="E1187" s="48">
        <v>4774.3500000000004</v>
      </c>
      <c r="F1187" s="107">
        <v>54000</v>
      </c>
      <c r="G1187" s="48">
        <v>11340</v>
      </c>
      <c r="H1187" s="48">
        <v>70114.350000000006</v>
      </c>
      <c r="I1187" s="28" t="s">
        <v>19</v>
      </c>
      <c r="J1187" s="43"/>
    </row>
    <row r="1188" spans="1:10" customFormat="1" ht="15" hidden="1" customHeight="1" x14ac:dyDescent="0.25">
      <c r="A1188" s="37">
        <v>45090</v>
      </c>
      <c r="B1188" s="25" t="s">
        <v>4287</v>
      </c>
      <c r="C1188" s="68" t="s">
        <v>2892</v>
      </c>
      <c r="D1188" s="68" t="s">
        <v>2893</v>
      </c>
      <c r="E1188" s="48">
        <v>3605.72</v>
      </c>
      <c r="F1188" s="107">
        <v>42000</v>
      </c>
      <c r="G1188" s="48">
        <v>8820</v>
      </c>
      <c r="H1188" s="48">
        <v>54425.72</v>
      </c>
      <c r="I1188" s="28" t="s">
        <v>19</v>
      </c>
      <c r="J1188" s="43"/>
    </row>
    <row r="1189" spans="1:10" customFormat="1" ht="15" hidden="1" customHeight="1" x14ac:dyDescent="0.25">
      <c r="A1189" s="37">
        <v>45091</v>
      </c>
      <c r="B1189" s="25" t="s">
        <v>4288</v>
      </c>
      <c r="C1189" s="68" t="s">
        <v>2960</v>
      </c>
      <c r="D1189" s="68" t="s">
        <v>2961</v>
      </c>
      <c r="E1189" s="48">
        <v>27120</v>
      </c>
      <c r="F1189" s="107">
        <v>861000</v>
      </c>
      <c r="G1189" s="48">
        <v>180810</v>
      </c>
      <c r="H1189" s="48">
        <v>1068930</v>
      </c>
      <c r="I1189" s="28" t="s">
        <v>19</v>
      </c>
      <c r="J1189" s="43"/>
    </row>
    <row r="1190" spans="1:10" customFormat="1" ht="15" hidden="1" customHeight="1" x14ac:dyDescent="0.25">
      <c r="A1190" s="37">
        <v>45091</v>
      </c>
      <c r="B1190" s="25" t="s">
        <v>4289</v>
      </c>
      <c r="C1190" s="68" t="s">
        <v>3235</v>
      </c>
      <c r="D1190" s="68" t="s">
        <v>3236</v>
      </c>
      <c r="E1190" s="48">
        <v>9200</v>
      </c>
      <c r="F1190" s="107">
        <v>54000</v>
      </c>
      <c r="G1190" s="48">
        <v>11340</v>
      </c>
      <c r="H1190" s="48">
        <v>74540</v>
      </c>
      <c r="I1190" s="28" t="s">
        <v>19</v>
      </c>
      <c r="J1190" s="43"/>
    </row>
    <row r="1191" spans="1:10" customFormat="1" ht="15" hidden="1" customHeight="1" x14ac:dyDescent="0.25">
      <c r="A1191" s="37">
        <v>45091</v>
      </c>
      <c r="B1191" s="25" t="s">
        <v>4290</v>
      </c>
      <c r="C1191" s="68" t="s">
        <v>2954</v>
      </c>
      <c r="D1191" s="68" t="s">
        <v>2955</v>
      </c>
      <c r="E1191" s="48">
        <v>9200</v>
      </c>
      <c r="F1191" s="107">
        <v>54000</v>
      </c>
      <c r="G1191" s="48">
        <v>11340</v>
      </c>
      <c r="H1191" s="48">
        <v>74540</v>
      </c>
      <c r="I1191" s="28" t="s">
        <v>19</v>
      </c>
      <c r="J1191" s="43"/>
    </row>
    <row r="1192" spans="1:10" customFormat="1" ht="15" hidden="1" customHeight="1" x14ac:dyDescent="0.25">
      <c r="A1192" s="37">
        <v>45091</v>
      </c>
      <c r="B1192" s="25" t="s">
        <v>4291</v>
      </c>
      <c r="C1192" s="68" t="s">
        <v>2927</v>
      </c>
      <c r="D1192" s="68" t="s">
        <v>2928</v>
      </c>
      <c r="E1192" s="48">
        <v>11500</v>
      </c>
      <c r="F1192" s="107">
        <v>95000</v>
      </c>
      <c r="G1192" s="48">
        <v>19950</v>
      </c>
      <c r="H1192" s="48">
        <v>126450</v>
      </c>
      <c r="I1192" s="28" t="s">
        <v>19</v>
      </c>
      <c r="J1192" s="43"/>
    </row>
    <row r="1193" spans="1:10" customFormat="1" ht="15" hidden="1" customHeight="1" x14ac:dyDescent="0.25">
      <c r="A1193" s="37">
        <v>45091</v>
      </c>
      <c r="B1193" s="25" t="s">
        <v>4292</v>
      </c>
      <c r="C1193" s="68" t="s">
        <v>4293</v>
      </c>
      <c r="D1193" s="68" t="s">
        <v>4294</v>
      </c>
      <c r="E1193" s="48">
        <v>9200</v>
      </c>
      <c r="F1193" s="107">
        <v>54000</v>
      </c>
      <c r="G1193" s="48">
        <v>11340</v>
      </c>
      <c r="H1193" s="48">
        <v>74540</v>
      </c>
      <c r="I1193" s="28" t="s">
        <v>19</v>
      </c>
      <c r="J1193" s="43"/>
    </row>
    <row r="1194" spans="1:10" customFormat="1" ht="15" hidden="1" customHeight="1" x14ac:dyDescent="0.25">
      <c r="A1194" s="37">
        <v>45091</v>
      </c>
      <c r="B1194" s="25" t="s">
        <v>4295</v>
      </c>
      <c r="C1194" s="68" t="s">
        <v>2954</v>
      </c>
      <c r="D1194" s="68" t="s">
        <v>2955</v>
      </c>
      <c r="E1194" s="48">
        <v>14500</v>
      </c>
      <c r="F1194" s="107">
        <v>95000</v>
      </c>
      <c r="G1194" s="48">
        <v>19950</v>
      </c>
      <c r="H1194" s="48">
        <v>129450</v>
      </c>
      <c r="I1194" s="28" t="s">
        <v>19</v>
      </c>
      <c r="J1194" s="43"/>
    </row>
    <row r="1195" spans="1:10" customFormat="1" ht="15" hidden="1" customHeight="1" x14ac:dyDescent="0.25">
      <c r="A1195" s="37">
        <v>45091</v>
      </c>
      <c r="B1195" s="25" t="s">
        <v>4296</v>
      </c>
      <c r="C1195" s="68" t="s">
        <v>3067</v>
      </c>
      <c r="D1195" s="68" t="s">
        <v>3068</v>
      </c>
      <c r="E1195" s="48">
        <v>16000</v>
      </c>
      <c r="F1195" s="107">
        <v>95000</v>
      </c>
      <c r="G1195" s="48">
        <v>19950</v>
      </c>
      <c r="H1195" s="48">
        <v>130950</v>
      </c>
      <c r="I1195" s="28" t="s">
        <v>19</v>
      </c>
      <c r="J1195" s="43"/>
    </row>
    <row r="1196" spans="1:10" customFormat="1" ht="15" hidden="1" customHeight="1" x14ac:dyDescent="0.25">
      <c r="A1196" s="37">
        <v>45091</v>
      </c>
      <c r="B1196" s="25" t="s">
        <v>4297</v>
      </c>
      <c r="C1196" s="68" t="s">
        <v>3235</v>
      </c>
      <c r="D1196" s="68" t="s">
        <v>3236</v>
      </c>
      <c r="E1196" s="48">
        <v>16000</v>
      </c>
      <c r="F1196" s="107">
        <v>95000</v>
      </c>
      <c r="G1196" s="48">
        <v>19950</v>
      </c>
      <c r="H1196" s="48">
        <v>130950</v>
      </c>
      <c r="I1196" s="28" t="s">
        <v>19</v>
      </c>
      <c r="J1196" s="43"/>
    </row>
    <row r="1197" spans="1:10" customFormat="1" ht="15" hidden="1" customHeight="1" x14ac:dyDescent="0.25">
      <c r="A1197" s="37">
        <v>45091</v>
      </c>
      <c r="B1197" s="25" t="s">
        <v>4298</v>
      </c>
      <c r="C1197" s="68" t="s">
        <v>2856</v>
      </c>
      <c r="D1197" s="68" t="s">
        <v>2857</v>
      </c>
      <c r="E1197" s="48">
        <v>8803.86</v>
      </c>
      <c r="F1197" s="107">
        <v>81000</v>
      </c>
      <c r="G1197" s="48">
        <v>17010</v>
      </c>
      <c r="H1197" s="48">
        <v>106813.86</v>
      </c>
      <c r="I1197" s="28" t="s">
        <v>19</v>
      </c>
      <c r="J1197" s="43"/>
    </row>
    <row r="1198" spans="1:10" customFormat="1" ht="15" hidden="1" customHeight="1" x14ac:dyDescent="0.25">
      <c r="A1198" s="37">
        <v>45091</v>
      </c>
      <c r="B1198" s="25" t="s">
        <v>4299</v>
      </c>
      <c r="C1198" s="68" t="s">
        <v>2972</v>
      </c>
      <c r="D1198" s="68" t="s">
        <v>2973</v>
      </c>
      <c r="E1198" s="48">
        <v>9200</v>
      </c>
      <c r="F1198" s="107">
        <v>81000</v>
      </c>
      <c r="G1198" s="48">
        <v>17010</v>
      </c>
      <c r="H1198" s="48">
        <v>107210</v>
      </c>
      <c r="I1198" s="28" t="s">
        <v>19</v>
      </c>
      <c r="J1198" s="43"/>
    </row>
    <row r="1199" spans="1:10" customFormat="1" ht="15" hidden="1" customHeight="1" x14ac:dyDescent="0.25">
      <c r="A1199" s="37">
        <v>45091</v>
      </c>
      <c r="B1199" s="25" t="s">
        <v>4300</v>
      </c>
      <c r="C1199" s="68" t="s">
        <v>2927</v>
      </c>
      <c r="D1199" s="68" t="s">
        <v>2928</v>
      </c>
      <c r="E1199" s="48">
        <v>8803.86</v>
      </c>
      <c r="F1199" s="107">
        <v>81000</v>
      </c>
      <c r="G1199" s="48">
        <v>17010</v>
      </c>
      <c r="H1199" s="48">
        <v>106813.86</v>
      </c>
      <c r="I1199" s="28" t="s">
        <v>19</v>
      </c>
      <c r="J1199" s="43"/>
    </row>
    <row r="1200" spans="1:10" customFormat="1" ht="15" hidden="1" customHeight="1" x14ac:dyDescent="0.25">
      <c r="A1200" s="37">
        <v>45091</v>
      </c>
      <c r="B1200" s="25" t="s">
        <v>4301</v>
      </c>
      <c r="C1200" s="68" t="s">
        <v>2927</v>
      </c>
      <c r="D1200" s="68" t="s">
        <v>2928</v>
      </c>
      <c r="E1200" s="48">
        <v>15000</v>
      </c>
      <c r="F1200" s="107">
        <v>120000</v>
      </c>
      <c r="G1200" s="48">
        <v>25200</v>
      </c>
      <c r="H1200" s="48">
        <v>160200</v>
      </c>
      <c r="I1200" s="28" t="s">
        <v>19</v>
      </c>
      <c r="J1200" s="43"/>
    </row>
    <row r="1201" spans="1:10" customFormat="1" ht="15" hidden="1" customHeight="1" x14ac:dyDescent="0.25">
      <c r="A1201" s="37">
        <v>45092</v>
      </c>
      <c r="B1201" s="25" t="s">
        <v>4302</v>
      </c>
      <c r="C1201" s="68" t="s">
        <v>2903</v>
      </c>
      <c r="D1201" s="68" t="s">
        <v>2904</v>
      </c>
      <c r="E1201" s="48">
        <v>9200</v>
      </c>
      <c r="F1201" s="107">
        <v>54000</v>
      </c>
      <c r="G1201" s="48">
        <v>11340</v>
      </c>
      <c r="H1201" s="48">
        <v>74540</v>
      </c>
      <c r="I1201" s="28" t="s">
        <v>19</v>
      </c>
      <c r="J1201" s="43"/>
    </row>
    <row r="1202" spans="1:10" customFormat="1" ht="15" hidden="1" customHeight="1" x14ac:dyDescent="0.25">
      <c r="A1202" s="37">
        <v>45092</v>
      </c>
      <c r="B1202" s="25" t="s">
        <v>4303</v>
      </c>
      <c r="C1202" s="68" t="s">
        <v>2903</v>
      </c>
      <c r="D1202" s="68" t="s">
        <v>2904</v>
      </c>
      <c r="E1202" s="48">
        <v>9200</v>
      </c>
      <c r="F1202" s="107">
        <v>54000</v>
      </c>
      <c r="G1202" s="48">
        <v>11340</v>
      </c>
      <c r="H1202" s="48">
        <v>74540</v>
      </c>
      <c r="I1202" s="28" t="s">
        <v>19</v>
      </c>
      <c r="J1202" s="43"/>
    </row>
    <row r="1203" spans="1:10" customFormat="1" ht="15" hidden="1" customHeight="1" x14ac:dyDescent="0.25">
      <c r="A1203" s="37">
        <v>45092</v>
      </c>
      <c r="B1203" s="25" t="s">
        <v>4304</v>
      </c>
      <c r="C1203" s="68" t="s">
        <v>1140</v>
      </c>
      <c r="D1203" s="68" t="s">
        <v>1141</v>
      </c>
      <c r="E1203" s="48">
        <v>9680</v>
      </c>
      <c r="F1203" s="107">
        <v>120000</v>
      </c>
      <c r="G1203" s="48">
        <v>25200</v>
      </c>
      <c r="H1203" s="48">
        <v>154880</v>
      </c>
      <c r="I1203" s="28" t="s">
        <v>19</v>
      </c>
      <c r="J1203" s="43"/>
    </row>
    <row r="1204" spans="1:10" customFormat="1" ht="15" hidden="1" customHeight="1" x14ac:dyDescent="0.25">
      <c r="A1204" s="37">
        <v>45092</v>
      </c>
      <c r="B1204" s="25" t="s">
        <v>4305</v>
      </c>
      <c r="C1204" s="68" t="s">
        <v>3007</v>
      </c>
      <c r="D1204" s="68" t="s">
        <v>3008</v>
      </c>
      <c r="E1204" s="48">
        <v>4840</v>
      </c>
      <c r="F1204" s="107">
        <v>73200</v>
      </c>
      <c r="G1204" s="48">
        <v>15372</v>
      </c>
      <c r="H1204" s="48">
        <v>93412</v>
      </c>
      <c r="I1204" s="28" t="s">
        <v>19</v>
      </c>
      <c r="J1204" s="43"/>
    </row>
    <row r="1205" spans="1:10" customFormat="1" ht="15" hidden="1" customHeight="1" x14ac:dyDescent="0.25">
      <c r="A1205" s="37">
        <v>45092</v>
      </c>
      <c r="B1205" s="25" t="s">
        <v>4306</v>
      </c>
      <c r="C1205" s="68" t="s">
        <v>3007</v>
      </c>
      <c r="D1205" s="68" t="s">
        <v>3008</v>
      </c>
      <c r="E1205" s="48">
        <v>4840</v>
      </c>
      <c r="F1205" s="107">
        <v>73200</v>
      </c>
      <c r="G1205" s="48">
        <v>15372</v>
      </c>
      <c r="H1205" s="48">
        <v>93412</v>
      </c>
      <c r="I1205" s="28" t="s">
        <v>19</v>
      </c>
      <c r="J1205" s="43"/>
    </row>
    <row r="1206" spans="1:10" customFormat="1" ht="15" hidden="1" customHeight="1" x14ac:dyDescent="0.25">
      <c r="A1206" s="37">
        <v>45092</v>
      </c>
      <c r="B1206" s="25" t="s">
        <v>4307</v>
      </c>
      <c r="C1206" s="68" t="s">
        <v>2851</v>
      </c>
      <c r="D1206" s="68" t="s">
        <v>2852</v>
      </c>
      <c r="E1206" s="48">
        <v>10003.86</v>
      </c>
      <c r="F1206" s="107">
        <v>81000</v>
      </c>
      <c r="G1206" s="48">
        <v>17010</v>
      </c>
      <c r="H1206" s="48">
        <v>108013.86</v>
      </c>
      <c r="I1206" s="28" t="s">
        <v>19</v>
      </c>
      <c r="J1206" s="43"/>
    </row>
    <row r="1207" spans="1:10" customFormat="1" ht="15" hidden="1" customHeight="1" x14ac:dyDescent="0.25">
      <c r="A1207" s="37">
        <v>45092</v>
      </c>
      <c r="B1207" s="25" t="s">
        <v>4308</v>
      </c>
      <c r="C1207" s="68" t="s">
        <v>2851</v>
      </c>
      <c r="D1207" s="68" t="s">
        <v>2852</v>
      </c>
      <c r="E1207" s="48">
        <v>20008</v>
      </c>
      <c r="F1207" s="107">
        <v>162000</v>
      </c>
      <c r="G1207" s="48">
        <v>34020</v>
      </c>
      <c r="H1207" s="48">
        <v>216028</v>
      </c>
      <c r="I1207" s="28" t="s">
        <v>19</v>
      </c>
      <c r="J1207" s="43"/>
    </row>
    <row r="1208" spans="1:10" customFormat="1" ht="15" hidden="1" customHeight="1" x14ac:dyDescent="0.25">
      <c r="A1208" s="37">
        <v>45092</v>
      </c>
      <c r="B1208" s="25" t="s">
        <v>4309</v>
      </c>
      <c r="C1208" s="68" t="s">
        <v>2898</v>
      </c>
      <c r="D1208" s="68" t="s">
        <v>2899</v>
      </c>
      <c r="E1208" s="48">
        <v>0</v>
      </c>
      <c r="F1208" s="107">
        <v>493000</v>
      </c>
      <c r="G1208" s="48">
        <v>103530</v>
      </c>
      <c r="H1208" s="48">
        <v>596530</v>
      </c>
      <c r="I1208" s="28" t="s">
        <v>19</v>
      </c>
      <c r="J1208" s="43"/>
    </row>
    <row r="1209" spans="1:10" customFormat="1" ht="15" hidden="1" customHeight="1" x14ac:dyDescent="0.25">
      <c r="A1209" s="37">
        <v>45092</v>
      </c>
      <c r="B1209" s="25" t="s">
        <v>4310</v>
      </c>
      <c r="C1209" s="68" t="s">
        <v>2898</v>
      </c>
      <c r="D1209" s="68" t="s">
        <v>2899</v>
      </c>
      <c r="E1209" s="48">
        <v>0</v>
      </c>
      <c r="F1209" s="107">
        <v>493000</v>
      </c>
      <c r="G1209" s="48">
        <v>103530</v>
      </c>
      <c r="H1209" s="48">
        <v>596530</v>
      </c>
      <c r="I1209" s="28" t="s">
        <v>19</v>
      </c>
      <c r="J1209" s="43"/>
    </row>
    <row r="1210" spans="1:10" customFormat="1" ht="15" hidden="1" customHeight="1" x14ac:dyDescent="0.25">
      <c r="A1210" s="37">
        <v>45092</v>
      </c>
      <c r="B1210" s="25" t="s">
        <v>4311</v>
      </c>
      <c r="C1210" s="68" t="s">
        <v>4018</v>
      </c>
      <c r="D1210" s="68" t="s">
        <v>4019</v>
      </c>
      <c r="E1210" s="48">
        <v>19891.12</v>
      </c>
      <c r="F1210" s="107">
        <v>676000</v>
      </c>
      <c r="G1210" s="48">
        <v>141960</v>
      </c>
      <c r="H1210" s="48">
        <v>837851.12</v>
      </c>
      <c r="I1210" s="28" t="s">
        <v>19</v>
      </c>
      <c r="J1210" s="43"/>
    </row>
    <row r="1211" spans="1:10" customFormat="1" ht="15" hidden="1" customHeight="1" x14ac:dyDescent="0.25">
      <c r="A1211" s="37">
        <v>45092</v>
      </c>
      <c r="B1211" s="25" t="s">
        <v>4312</v>
      </c>
      <c r="C1211" s="68" t="s">
        <v>2906</v>
      </c>
      <c r="D1211" s="68" t="s">
        <v>2907</v>
      </c>
      <c r="E1211" s="48">
        <v>4080</v>
      </c>
      <c r="F1211" s="107">
        <v>60000</v>
      </c>
      <c r="G1211" s="48">
        <v>12600</v>
      </c>
      <c r="H1211" s="48">
        <v>76680</v>
      </c>
      <c r="I1211" s="28" t="s">
        <v>19</v>
      </c>
      <c r="J1211" s="43"/>
    </row>
    <row r="1212" spans="1:10" customFormat="1" ht="15" hidden="1" customHeight="1" x14ac:dyDescent="0.25">
      <c r="A1212" s="37">
        <v>45092</v>
      </c>
      <c r="B1212" s="25" t="s">
        <v>4313</v>
      </c>
      <c r="C1212" s="68" t="s">
        <v>3007</v>
      </c>
      <c r="D1212" s="68" t="s">
        <v>3008</v>
      </c>
      <c r="E1212" s="48">
        <v>4080</v>
      </c>
      <c r="F1212" s="107">
        <v>60000</v>
      </c>
      <c r="G1212" s="48">
        <v>12600</v>
      </c>
      <c r="H1212" s="48">
        <v>76680</v>
      </c>
      <c r="I1212" s="28" t="s">
        <v>19</v>
      </c>
      <c r="J1212" s="43"/>
    </row>
    <row r="1213" spans="1:10" customFormat="1" ht="15" hidden="1" customHeight="1" x14ac:dyDescent="0.25">
      <c r="A1213" s="37">
        <v>45092</v>
      </c>
      <c r="B1213" s="25" t="s">
        <v>4314</v>
      </c>
      <c r="C1213" s="68" t="s">
        <v>2957</v>
      </c>
      <c r="D1213" s="68" t="s">
        <v>2958</v>
      </c>
      <c r="E1213" s="48">
        <v>13656.64</v>
      </c>
      <c r="F1213" s="107">
        <v>248000</v>
      </c>
      <c r="G1213" s="48">
        <v>52080</v>
      </c>
      <c r="H1213" s="48">
        <v>313736.64</v>
      </c>
      <c r="I1213" s="28" t="s">
        <v>19</v>
      </c>
      <c r="J1213" s="43"/>
    </row>
    <row r="1214" spans="1:10" customFormat="1" ht="15" hidden="1" customHeight="1" x14ac:dyDescent="0.25">
      <c r="A1214" s="37">
        <v>45093</v>
      </c>
      <c r="B1214" s="25" t="s">
        <v>4315</v>
      </c>
      <c r="C1214" s="68" t="s">
        <v>2870</v>
      </c>
      <c r="D1214" s="68" t="s">
        <v>2871</v>
      </c>
      <c r="E1214" s="48">
        <v>11500</v>
      </c>
      <c r="F1214" s="107">
        <v>73200</v>
      </c>
      <c r="G1214" s="48">
        <v>15372</v>
      </c>
      <c r="H1214" s="48">
        <v>100072</v>
      </c>
      <c r="I1214" s="28" t="s">
        <v>19</v>
      </c>
      <c r="J1214" s="43"/>
    </row>
    <row r="1215" spans="1:10" customFormat="1" ht="15" hidden="1" customHeight="1" x14ac:dyDescent="0.25">
      <c r="A1215" s="37">
        <v>45093</v>
      </c>
      <c r="B1215" s="25" t="s">
        <v>4316</v>
      </c>
      <c r="C1215" s="68" t="s">
        <v>4059</v>
      </c>
      <c r="D1215" s="68" t="s">
        <v>4060</v>
      </c>
      <c r="E1215" s="48">
        <v>9200</v>
      </c>
      <c r="F1215" s="107">
        <v>60000</v>
      </c>
      <c r="G1215" s="48">
        <v>12600</v>
      </c>
      <c r="H1215" s="48">
        <v>81800</v>
      </c>
      <c r="I1215" s="28" t="s">
        <v>19</v>
      </c>
      <c r="J1215" s="43"/>
    </row>
    <row r="1216" spans="1:10" customFormat="1" ht="15" hidden="1" customHeight="1" x14ac:dyDescent="0.25">
      <c r="A1216" s="37">
        <v>45093</v>
      </c>
      <c r="B1216" s="25" t="s">
        <v>4317</v>
      </c>
      <c r="C1216" s="68" t="s">
        <v>3235</v>
      </c>
      <c r="D1216" s="68" t="s">
        <v>3236</v>
      </c>
      <c r="E1216" s="48">
        <v>9200</v>
      </c>
      <c r="F1216" s="107">
        <v>60000</v>
      </c>
      <c r="G1216" s="48">
        <v>12600</v>
      </c>
      <c r="H1216" s="48">
        <v>81800</v>
      </c>
      <c r="I1216" s="28" t="s">
        <v>19</v>
      </c>
      <c r="J1216" s="43"/>
    </row>
    <row r="1217" spans="1:10" customFormat="1" ht="15" hidden="1" customHeight="1" x14ac:dyDescent="0.25">
      <c r="A1217" s="37">
        <v>45093</v>
      </c>
      <c r="B1217" s="25" t="s">
        <v>4318</v>
      </c>
      <c r="C1217" s="68" t="s">
        <v>2856</v>
      </c>
      <c r="D1217" s="68" t="s">
        <v>2857</v>
      </c>
      <c r="E1217" s="48">
        <v>18400</v>
      </c>
      <c r="F1217" s="107">
        <v>120000</v>
      </c>
      <c r="G1217" s="48">
        <v>25200</v>
      </c>
      <c r="H1217" s="48">
        <v>163600</v>
      </c>
      <c r="I1217" s="28" t="s">
        <v>19</v>
      </c>
      <c r="J1217" s="43"/>
    </row>
    <row r="1218" spans="1:10" customFormat="1" ht="15" hidden="1" customHeight="1" x14ac:dyDescent="0.25">
      <c r="A1218" s="40">
        <v>45093</v>
      </c>
      <c r="B1218" s="47" t="s">
        <v>4319</v>
      </c>
      <c r="C1218" s="47" t="s">
        <v>3272</v>
      </c>
      <c r="D1218" s="47" t="s">
        <v>3273</v>
      </c>
      <c r="E1218" s="48">
        <v>12400</v>
      </c>
      <c r="F1218" s="107">
        <v>345000</v>
      </c>
      <c r="G1218" s="48">
        <v>72450</v>
      </c>
      <c r="H1218" s="48">
        <v>429850</v>
      </c>
      <c r="I1218" s="41" t="s">
        <v>19</v>
      </c>
      <c r="J1218" s="49"/>
    </row>
    <row r="1219" spans="1:10" customFormat="1" ht="15" hidden="1" customHeight="1" x14ac:dyDescent="0.25">
      <c r="A1219" s="37">
        <v>45093</v>
      </c>
      <c r="B1219" s="25" t="s">
        <v>4320</v>
      </c>
      <c r="C1219" s="68" t="s">
        <v>3067</v>
      </c>
      <c r="D1219" s="68" t="s">
        <v>3068</v>
      </c>
      <c r="E1219" s="48">
        <v>6700</v>
      </c>
      <c r="F1219" s="107">
        <v>82000</v>
      </c>
      <c r="G1219" s="48">
        <v>17220</v>
      </c>
      <c r="H1219" s="48">
        <v>105920</v>
      </c>
      <c r="I1219" s="28" t="s">
        <v>19</v>
      </c>
      <c r="J1219" s="43"/>
    </row>
    <row r="1220" spans="1:10" customFormat="1" ht="15" hidden="1" customHeight="1" x14ac:dyDescent="0.25">
      <c r="A1220" s="37">
        <v>45093</v>
      </c>
      <c r="B1220" s="25" t="s">
        <v>4321</v>
      </c>
      <c r="C1220" s="68" t="s">
        <v>2867</v>
      </c>
      <c r="D1220" s="68" t="s">
        <v>2868</v>
      </c>
      <c r="E1220" s="48">
        <v>27600</v>
      </c>
      <c r="F1220" s="107">
        <v>180000</v>
      </c>
      <c r="G1220" s="48">
        <v>37800</v>
      </c>
      <c r="H1220" s="48">
        <v>245400</v>
      </c>
      <c r="I1220" s="28" t="s">
        <v>19</v>
      </c>
      <c r="J1220" s="43"/>
    </row>
    <row r="1221" spans="1:10" customFormat="1" ht="15" hidden="1" customHeight="1" x14ac:dyDescent="0.25">
      <c r="A1221" s="37">
        <v>45093</v>
      </c>
      <c r="B1221" s="25" t="s">
        <v>4322</v>
      </c>
      <c r="C1221" s="68" t="s">
        <v>3235</v>
      </c>
      <c r="D1221" s="68" t="s">
        <v>3236</v>
      </c>
      <c r="E1221" s="48">
        <v>16000</v>
      </c>
      <c r="F1221" s="107">
        <v>82000</v>
      </c>
      <c r="G1221" s="48">
        <v>17220</v>
      </c>
      <c r="H1221" s="48">
        <v>115220</v>
      </c>
      <c r="I1221" s="28" t="s">
        <v>19</v>
      </c>
      <c r="J1221" s="43"/>
    </row>
    <row r="1222" spans="1:10" customFormat="1" ht="15" hidden="1" customHeight="1" x14ac:dyDescent="0.25">
      <c r="A1222" s="37">
        <v>45093</v>
      </c>
      <c r="B1222" s="25" t="s">
        <v>4323</v>
      </c>
      <c r="C1222" s="68" t="s">
        <v>3067</v>
      </c>
      <c r="D1222" s="68" t="s">
        <v>3068</v>
      </c>
      <c r="E1222" s="48">
        <v>9200</v>
      </c>
      <c r="F1222" s="107">
        <v>105000</v>
      </c>
      <c r="G1222" s="48">
        <v>22050</v>
      </c>
      <c r="H1222" s="48">
        <v>136250</v>
      </c>
      <c r="I1222" s="28" t="s">
        <v>19</v>
      </c>
      <c r="J1222" s="43"/>
    </row>
    <row r="1223" spans="1:10" customFormat="1" ht="15" hidden="1" customHeight="1" x14ac:dyDescent="0.25">
      <c r="A1223" s="37">
        <v>45093</v>
      </c>
      <c r="B1223" s="25" t="s">
        <v>4324</v>
      </c>
      <c r="C1223" s="68" t="s">
        <v>4144</v>
      </c>
      <c r="D1223" s="68" t="s">
        <v>4145</v>
      </c>
      <c r="E1223" s="48">
        <v>14500</v>
      </c>
      <c r="F1223" s="107">
        <v>95200</v>
      </c>
      <c r="G1223" s="48">
        <v>19992</v>
      </c>
      <c r="H1223" s="48">
        <v>129692</v>
      </c>
      <c r="I1223" s="28" t="s">
        <v>19</v>
      </c>
      <c r="J1223" s="43"/>
    </row>
    <row r="1224" spans="1:10" customFormat="1" ht="15" hidden="1" customHeight="1" x14ac:dyDescent="0.25">
      <c r="A1224" s="37">
        <v>45093</v>
      </c>
      <c r="B1224" s="25" t="s">
        <v>4325</v>
      </c>
      <c r="C1224" s="68" t="s">
        <v>2909</v>
      </c>
      <c r="D1224" s="68" t="s">
        <v>2910</v>
      </c>
      <c r="E1224" s="48">
        <v>9200</v>
      </c>
      <c r="F1224" s="107">
        <v>164000</v>
      </c>
      <c r="G1224" s="48">
        <v>34440</v>
      </c>
      <c r="H1224" s="48">
        <v>207640</v>
      </c>
      <c r="I1224" s="28" t="s">
        <v>19</v>
      </c>
      <c r="J1224" s="43"/>
    </row>
    <row r="1225" spans="1:10" customFormat="1" ht="15" hidden="1" customHeight="1" x14ac:dyDescent="0.25">
      <c r="A1225" s="37">
        <v>45093</v>
      </c>
      <c r="B1225" s="25" t="s">
        <v>4326</v>
      </c>
      <c r="C1225" s="68" t="s">
        <v>2867</v>
      </c>
      <c r="D1225" s="68" t="s">
        <v>2868</v>
      </c>
      <c r="E1225" s="48">
        <v>23000</v>
      </c>
      <c r="F1225" s="107">
        <v>371200</v>
      </c>
      <c r="G1225" s="48">
        <v>77952</v>
      </c>
      <c r="H1225" s="48">
        <v>472152</v>
      </c>
      <c r="I1225" s="28" t="s">
        <v>19</v>
      </c>
      <c r="J1225" s="43"/>
    </row>
    <row r="1226" spans="1:10" customFormat="1" ht="15" hidden="1" customHeight="1" x14ac:dyDescent="0.25">
      <c r="A1226" s="37">
        <v>45093</v>
      </c>
      <c r="B1226" s="25" t="s">
        <v>4327</v>
      </c>
      <c r="C1226" s="68" t="s">
        <v>2863</v>
      </c>
      <c r="D1226" s="68" t="s">
        <v>2864</v>
      </c>
      <c r="E1226" s="48">
        <v>7400</v>
      </c>
      <c r="F1226" s="107">
        <v>124000</v>
      </c>
      <c r="G1226" s="48">
        <v>26040</v>
      </c>
      <c r="H1226" s="48">
        <v>157440</v>
      </c>
      <c r="I1226" s="28" t="s">
        <v>19</v>
      </c>
      <c r="J1226" s="43"/>
    </row>
    <row r="1227" spans="1:10" customFormat="1" ht="15" hidden="1" customHeight="1" x14ac:dyDescent="0.25">
      <c r="A1227" s="37">
        <v>45093</v>
      </c>
      <c r="B1227" s="25" t="s">
        <v>4328</v>
      </c>
      <c r="C1227" s="68" t="s">
        <v>2909</v>
      </c>
      <c r="D1227" s="68" t="s">
        <v>2910</v>
      </c>
      <c r="E1227" s="48">
        <v>9200</v>
      </c>
      <c r="F1227" s="107">
        <v>164000</v>
      </c>
      <c r="G1227" s="48">
        <v>34440</v>
      </c>
      <c r="H1227" s="48">
        <v>207640</v>
      </c>
      <c r="I1227" s="28" t="s">
        <v>19</v>
      </c>
      <c r="J1227" s="43"/>
    </row>
    <row r="1228" spans="1:10" customFormat="1" ht="15" hidden="1" customHeight="1" x14ac:dyDescent="0.25">
      <c r="A1228" s="40">
        <v>45093</v>
      </c>
      <c r="B1228" s="47" t="s">
        <v>4329</v>
      </c>
      <c r="C1228" s="47" t="s">
        <v>3272</v>
      </c>
      <c r="D1228" s="47" t="s">
        <v>3273</v>
      </c>
      <c r="E1228" s="48">
        <v>36800</v>
      </c>
      <c r="F1228" s="107">
        <v>240000</v>
      </c>
      <c r="G1228" s="48">
        <v>50400</v>
      </c>
      <c r="H1228" s="48">
        <v>327200</v>
      </c>
      <c r="I1228" s="41" t="s">
        <v>19</v>
      </c>
      <c r="J1228" s="49"/>
    </row>
    <row r="1229" spans="1:10" customFormat="1" ht="15" hidden="1" customHeight="1" x14ac:dyDescent="0.25">
      <c r="A1229" s="37">
        <v>45093</v>
      </c>
      <c r="B1229" s="25" t="s">
        <v>4330</v>
      </c>
      <c r="C1229" s="68" t="s">
        <v>2909</v>
      </c>
      <c r="D1229" s="68" t="s">
        <v>2910</v>
      </c>
      <c r="E1229" s="48">
        <v>6700</v>
      </c>
      <c r="F1229" s="107">
        <v>82000</v>
      </c>
      <c r="G1229" s="48">
        <v>17220</v>
      </c>
      <c r="H1229" s="48">
        <v>105920</v>
      </c>
      <c r="I1229" s="28" t="s">
        <v>19</v>
      </c>
      <c r="J1229" s="43"/>
    </row>
    <row r="1230" spans="1:10" customFormat="1" ht="15" hidden="1" customHeight="1" x14ac:dyDescent="0.25">
      <c r="A1230" s="37">
        <v>45093</v>
      </c>
      <c r="B1230" s="25" t="s">
        <v>4331</v>
      </c>
      <c r="C1230" s="68" t="s">
        <v>2856</v>
      </c>
      <c r="D1230" s="68" t="s">
        <v>2857</v>
      </c>
      <c r="E1230" s="48">
        <v>9200</v>
      </c>
      <c r="F1230" s="107">
        <v>60000</v>
      </c>
      <c r="G1230" s="48">
        <v>12600</v>
      </c>
      <c r="H1230" s="48">
        <v>81800</v>
      </c>
      <c r="I1230" s="28" t="s">
        <v>19</v>
      </c>
      <c r="J1230" s="43"/>
    </row>
    <row r="1231" spans="1:10" customFormat="1" ht="15" hidden="1" customHeight="1" x14ac:dyDescent="0.25">
      <c r="A1231" s="37">
        <v>45093</v>
      </c>
      <c r="B1231" s="25" t="s">
        <v>4332</v>
      </c>
      <c r="C1231" s="68" t="s">
        <v>2856</v>
      </c>
      <c r="D1231" s="68" t="s">
        <v>2857</v>
      </c>
      <c r="E1231" s="48">
        <v>9200</v>
      </c>
      <c r="F1231" s="107">
        <v>60000</v>
      </c>
      <c r="G1231" s="48">
        <v>12600</v>
      </c>
      <c r="H1231" s="48">
        <v>81800</v>
      </c>
      <c r="I1231" s="28" t="s">
        <v>19</v>
      </c>
      <c r="J1231" s="43"/>
    </row>
    <row r="1232" spans="1:10" customFormat="1" ht="15" hidden="1" customHeight="1" x14ac:dyDescent="0.25">
      <c r="A1232" s="37">
        <v>45093</v>
      </c>
      <c r="B1232" s="25" t="s">
        <v>4333</v>
      </c>
      <c r="C1232" s="68" t="s">
        <v>3235</v>
      </c>
      <c r="D1232" s="68" t="s">
        <v>3236</v>
      </c>
      <c r="E1232" s="48">
        <v>71800.44</v>
      </c>
      <c r="F1232" s="107">
        <v>587000</v>
      </c>
      <c r="G1232" s="48">
        <v>123270</v>
      </c>
      <c r="H1232" s="48">
        <v>782070.44</v>
      </c>
      <c r="I1232" s="28" t="s">
        <v>19</v>
      </c>
      <c r="J1232" s="43"/>
    </row>
    <row r="1233" spans="1:10" customFormat="1" ht="15" hidden="1" customHeight="1" x14ac:dyDescent="0.25">
      <c r="A1233" s="37">
        <v>45093</v>
      </c>
      <c r="B1233" s="25" t="s">
        <v>4334</v>
      </c>
      <c r="C1233" s="68" t="s">
        <v>3559</v>
      </c>
      <c r="D1233" s="68" t="s">
        <v>3560</v>
      </c>
      <c r="E1233" s="48">
        <v>6080</v>
      </c>
      <c r="F1233" s="107">
        <v>90000</v>
      </c>
      <c r="G1233" s="48">
        <v>18900</v>
      </c>
      <c r="H1233" s="48">
        <v>114980</v>
      </c>
      <c r="I1233" s="28" t="s">
        <v>19</v>
      </c>
      <c r="J1233" s="43"/>
    </row>
    <row r="1234" spans="1:10" customFormat="1" ht="15" hidden="1" customHeight="1" x14ac:dyDescent="0.25">
      <c r="A1234" s="37">
        <v>45093</v>
      </c>
      <c r="B1234" s="25" t="s">
        <v>4335</v>
      </c>
      <c r="C1234" s="68" t="s">
        <v>2954</v>
      </c>
      <c r="D1234" s="68" t="s">
        <v>2955</v>
      </c>
      <c r="E1234" s="48">
        <v>11110.05</v>
      </c>
      <c r="F1234" s="107">
        <v>82000</v>
      </c>
      <c r="G1234" s="48">
        <v>17220</v>
      </c>
      <c r="H1234" s="48">
        <v>110330.05</v>
      </c>
      <c r="I1234" s="28" t="s">
        <v>19</v>
      </c>
      <c r="J1234" s="43"/>
    </row>
    <row r="1235" spans="1:10" customFormat="1" ht="15" hidden="1" customHeight="1" x14ac:dyDescent="0.25">
      <c r="A1235" s="37">
        <v>45093</v>
      </c>
      <c r="B1235" s="25" t="s">
        <v>4336</v>
      </c>
      <c r="C1235" s="68" t="s">
        <v>4337</v>
      </c>
      <c r="D1235" s="68" t="s">
        <v>4338</v>
      </c>
      <c r="E1235" s="48">
        <v>16226.96</v>
      </c>
      <c r="F1235" s="107">
        <v>123000</v>
      </c>
      <c r="G1235" s="48">
        <v>25830</v>
      </c>
      <c r="H1235" s="48">
        <v>165056.95999999999</v>
      </c>
      <c r="I1235" s="28" t="s">
        <v>19</v>
      </c>
      <c r="J1235" s="43"/>
    </row>
    <row r="1236" spans="1:10" customFormat="1" ht="15" hidden="1" customHeight="1" x14ac:dyDescent="0.25">
      <c r="A1236" s="37">
        <v>45093</v>
      </c>
      <c r="B1236" s="25" t="s">
        <v>4339</v>
      </c>
      <c r="C1236" s="68" t="s">
        <v>4337</v>
      </c>
      <c r="D1236" s="68" t="s">
        <v>4338</v>
      </c>
      <c r="E1236" s="48">
        <v>16226.96</v>
      </c>
      <c r="F1236" s="107">
        <v>123000</v>
      </c>
      <c r="G1236" s="48">
        <v>25830</v>
      </c>
      <c r="H1236" s="48">
        <v>165056.95999999999</v>
      </c>
      <c r="I1236" s="28" t="s">
        <v>19</v>
      </c>
      <c r="J1236" s="43"/>
    </row>
    <row r="1237" spans="1:10" customFormat="1" ht="15" hidden="1" customHeight="1" x14ac:dyDescent="0.25">
      <c r="A1237" s="37">
        <v>45093</v>
      </c>
      <c r="B1237" s="25" t="s">
        <v>4340</v>
      </c>
      <c r="C1237" s="68" t="s">
        <v>2903</v>
      </c>
      <c r="D1237" s="68" t="s">
        <v>2904</v>
      </c>
      <c r="E1237" s="48">
        <v>4840</v>
      </c>
      <c r="F1237" s="107">
        <v>60000</v>
      </c>
      <c r="G1237" s="48">
        <v>12600</v>
      </c>
      <c r="H1237" s="48">
        <v>77440</v>
      </c>
      <c r="I1237" s="28" t="s">
        <v>19</v>
      </c>
      <c r="J1237" s="43"/>
    </row>
    <row r="1238" spans="1:10" customFormat="1" ht="15" hidden="1" customHeight="1" x14ac:dyDescent="0.25">
      <c r="A1238" s="37">
        <v>45098</v>
      </c>
      <c r="B1238" s="25" t="s">
        <v>4341</v>
      </c>
      <c r="C1238" s="68" t="s">
        <v>2945</v>
      </c>
      <c r="D1238" s="68" t="s">
        <v>2946</v>
      </c>
      <c r="E1238" s="48">
        <v>0</v>
      </c>
      <c r="F1238" s="107">
        <v>29000</v>
      </c>
      <c r="G1238" s="48">
        <v>6090</v>
      </c>
      <c r="H1238" s="48">
        <v>35090</v>
      </c>
      <c r="I1238" s="28" t="s">
        <v>19</v>
      </c>
      <c r="J1238" s="43"/>
    </row>
    <row r="1239" spans="1:10" customFormat="1" ht="15" hidden="1" customHeight="1" x14ac:dyDescent="0.25">
      <c r="A1239" s="37">
        <v>45098</v>
      </c>
      <c r="B1239" s="25" t="s">
        <v>4342</v>
      </c>
      <c r="C1239" s="68" t="s">
        <v>2870</v>
      </c>
      <c r="D1239" s="68" t="s">
        <v>2871</v>
      </c>
      <c r="E1239" s="48">
        <v>11500</v>
      </c>
      <c r="F1239" s="107">
        <v>73200</v>
      </c>
      <c r="G1239" s="48">
        <v>15372</v>
      </c>
      <c r="H1239" s="48">
        <v>100072</v>
      </c>
      <c r="I1239" s="28" t="s">
        <v>19</v>
      </c>
      <c r="J1239" s="43"/>
    </row>
    <row r="1240" spans="1:10" customFormat="1" ht="15" hidden="1" customHeight="1" x14ac:dyDescent="0.25">
      <c r="A1240" s="37">
        <v>45098</v>
      </c>
      <c r="B1240" s="25" t="s">
        <v>4343</v>
      </c>
      <c r="C1240" s="68" t="s">
        <v>2903</v>
      </c>
      <c r="D1240" s="68" t="s">
        <v>2904</v>
      </c>
      <c r="E1240" s="48">
        <v>4840</v>
      </c>
      <c r="F1240" s="107">
        <v>60000</v>
      </c>
      <c r="G1240" s="48">
        <v>12600</v>
      </c>
      <c r="H1240" s="48">
        <v>77440</v>
      </c>
      <c r="I1240" s="28" t="s">
        <v>19</v>
      </c>
      <c r="J1240" s="43"/>
    </row>
    <row r="1241" spans="1:10" customFormat="1" ht="15" hidden="1" customHeight="1" x14ac:dyDescent="0.25">
      <c r="A1241" s="37">
        <v>45098</v>
      </c>
      <c r="B1241" s="25" t="s">
        <v>4344</v>
      </c>
      <c r="C1241" s="68" t="s">
        <v>2903</v>
      </c>
      <c r="D1241" s="68" t="s">
        <v>2904</v>
      </c>
      <c r="E1241" s="48">
        <v>9680</v>
      </c>
      <c r="F1241" s="107">
        <v>120000</v>
      </c>
      <c r="G1241" s="48">
        <v>25200</v>
      </c>
      <c r="H1241" s="48">
        <v>154880</v>
      </c>
      <c r="I1241" s="28" t="s">
        <v>19</v>
      </c>
      <c r="J1241" s="43"/>
    </row>
    <row r="1242" spans="1:10" customFormat="1" ht="15" hidden="1" customHeight="1" x14ac:dyDescent="0.25">
      <c r="A1242" s="37">
        <v>45098</v>
      </c>
      <c r="B1242" s="25" t="s">
        <v>4345</v>
      </c>
      <c r="C1242" s="68" t="s">
        <v>2903</v>
      </c>
      <c r="D1242" s="68" t="s">
        <v>2904</v>
      </c>
      <c r="E1242" s="48">
        <v>4840</v>
      </c>
      <c r="F1242" s="107">
        <v>60000</v>
      </c>
      <c r="G1242" s="48">
        <v>12600</v>
      </c>
      <c r="H1242" s="48">
        <v>77440</v>
      </c>
      <c r="I1242" s="28" t="s">
        <v>19</v>
      </c>
      <c r="J1242" s="43"/>
    </row>
    <row r="1243" spans="1:10" customFormat="1" ht="15" hidden="1" customHeight="1" x14ac:dyDescent="0.25">
      <c r="A1243" s="37">
        <v>45098</v>
      </c>
      <c r="B1243" s="25" t="s">
        <v>4346</v>
      </c>
      <c r="C1243" s="68" t="s">
        <v>2903</v>
      </c>
      <c r="D1243" s="68" t="s">
        <v>2904</v>
      </c>
      <c r="E1243" s="48">
        <v>14520</v>
      </c>
      <c r="F1243" s="107">
        <v>180000</v>
      </c>
      <c r="G1243" s="48">
        <v>37800</v>
      </c>
      <c r="H1243" s="48">
        <v>232320</v>
      </c>
      <c r="I1243" s="28" t="s">
        <v>19</v>
      </c>
      <c r="J1243" s="43"/>
    </row>
    <row r="1244" spans="1:10" customFormat="1" ht="15" hidden="1" customHeight="1" x14ac:dyDescent="0.25">
      <c r="A1244" s="37">
        <v>45098</v>
      </c>
      <c r="B1244" s="25" t="s">
        <v>4347</v>
      </c>
      <c r="C1244" s="68" t="s">
        <v>3235</v>
      </c>
      <c r="D1244" s="68" t="s">
        <v>3236</v>
      </c>
      <c r="E1244" s="48">
        <v>4840</v>
      </c>
      <c r="F1244" s="107">
        <v>90000</v>
      </c>
      <c r="G1244" s="48">
        <v>18900</v>
      </c>
      <c r="H1244" s="48">
        <v>113740</v>
      </c>
      <c r="I1244" s="28" t="s">
        <v>19</v>
      </c>
      <c r="J1244" s="43"/>
    </row>
    <row r="1245" spans="1:10" customFormat="1" ht="15" hidden="1" customHeight="1" x14ac:dyDescent="0.25">
      <c r="A1245" s="37">
        <v>45098</v>
      </c>
      <c r="B1245" s="25" t="s">
        <v>4348</v>
      </c>
      <c r="C1245" s="68" t="s">
        <v>3235</v>
      </c>
      <c r="D1245" s="68" t="s">
        <v>3236</v>
      </c>
      <c r="E1245" s="48">
        <v>24200</v>
      </c>
      <c r="F1245" s="107">
        <v>300000</v>
      </c>
      <c r="G1245" s="48">
        <v>63000</v>
      </c>
      <c r="H1245" s="48">
        <v>387200</v>
      </c>
      <c r="I1245" s="28" t="s">
        <v>19</v>
      </c>
      <c r="J1245" s="43"/>
    </row>
    <row r="1246" spans="1:10" customFormat="1" ht="15" hidden="1" customHeight="1" x14ac:dyDescent="0.25">
      <c r="A1246" s="37">
        <v>45098</v>
      </c>
      <c r="B1246" s="25" t="s">
        <v>4349</v>
      </c>
      <c r="C1246" s="68" t="s">
        <v>2945</v>
      </c>
      <c r="D1246" s="68" t="s">
        <v>2946</v>
      </c>
      <c r="E1246" s="48">
        <v>0</v>
      </c>
      <c r="F1246" s="107">
        <v>23000</v>
      </c>
      <c r="G1246" s="48">
        <v>4830</v>
      </c>
      <c r="H1246" s="48">
        <v>27830</v>
      </c>
      <c r="I1246" s="28" t="s">
        <v>19</v>
      </c>
      <c r="J1246" s="43"/>
    </row>
    <row r="1247" spans="1:10" customFormat="1" ht="15" hidden="1" customHeight="1" x14ac:dyDescent="0.25">
      <c r="A1247" s="37">
        <v>45098</v>
      </c>
      <c r="B1247" s="25" t="s">
        <v>4350</v>
      </c>
      <c r="C1247" s="68" t="s">
        <v>2924</v>
      </c>
      <c r="D1247" s="68" t="s">
        <v>2925</v>
      </c>
      <c r="E1247" s="48">
        <v>0</v>
      </c>
      <c r="F1247" s="107">
        <v>23000</v>
      </c>
      <c r="G1247" s="48">
        <v>4830</v>
      </c>
      <c r="H1247" s="48">
        <v>27830</v>
      </c>
      <c r="I1247" s="28" t="s">
        <v>19</v>
      </c>
      <c r="J1247" s="43"/>
    </row>
    <row r="1248" spans="1:10" customFormat="1" ht="15" hidden="1" customHeight="1" x14ac:dyDescent="0.25">
      <c r="A1248" s="37">
        <v>45098</v>
      </c>
      <c r="B1248" s="25" t="s">
        <v>4351</v>
      </c>
      <c r="C1248" s="68" t="s">
        <v>2856</v>
      </c>
      <c r="D1248" s="68" t="s">
        <v>2857</v>
      </c>
      <c r="E1248" s="48">
        <v>9200</v>
      </c>
      <c r="F1248" s="107">
        <v>60000</v>
      </c>
      <c r="G1248" s="48">
        <v>12600</v>
      </c>
      <c r="H1248" s="48">
        <v>81800</v>
      </c>
      <c r="I1248" s="28" t="s">
        <v>19</v>
      </c>
      <c r="J1248" s="43"/>
    </row>
    <row r="1249" spans="1:10" customFormat="1" ht="15" hidden="1" customHeight="1" x14ac:dyDescent="0.25">
      <c r="A1249" s="37">
        <v>45098</v>
      </c>
      <c r="B1249" s="25" t="s">
        <v>4352</v>
      </c>
      <c r="C1249" s="68" t="s">
        <v>2856</v>
      </c>
      <c r="D1249" s="68" t="s">
        <v>2857</v>
      </c>
      <c r="E1249" s="48">
        <v>9200</v>
      </c>
      <c r="F1249" s="107">
        <v>60000</v>
      </c>
      <c r="G1249" s="48">
        <v>12600</v>
      </c>
      <c r="H1249" s="48">
        <v>81800</v>
      </c>
      <c r="I1249" s="28" t="s">
        <v>19</v>
      </c>
      <c r="J1249" s="43"/>
    </row>
    <row r="1250" spans="1:10" customFormat="1" ht="15" hidden="1" customHeight="1" x14ac:dyDescent="0.25">
      <c r="A1250" s="37">
        <v>45098</v>
      </c>
      <c r="B1250" s="25" t="s">
        <v>4353</v>
      </c>
      <c r="C1250" s="68" t="s">
        <v>2856</v>
      </c>
      <c r="D1250" s="68" t="s">
        <v>2857</v>
      </c>
      <c r="E1250" s="48">
        <v>16951.93</v>
      </c>
      <c r="F1250" s="107">
        <v>135200</v>
      </c>
      <c r="G1250" s="48">
        <v>28392</v>
      </c>
      <c r="H1250" s="48">
        <v>180543.93</v>
      </c>
      <c r="I1250" s="28" t="s">
        <v>19</v>
      </c>
      <c r="J1250" s="43"/>
    </row>
    <row r="1251" spans="1:10" customFormat="1" ht="15" hidden="1" customHeight="1" x14ac:dyDescent="0.25">
      <c r="A1251" s="37">
        <v>45098</v>
      </c>
      <c r="B1251" s="25" t="s">
        <v>4354</v>
      </c>
      <c r="C1251" s="68" t="s">
        <v>3539</v>
      </c>
      <c r="D1251" s="68" t="s">
        <v>3540</v>
      </c>
      <c r="E1251" s="48">
        <v>0</v>
      </c>
      <c r="F1251" s="107">
        <v>2165000</v>
      </c>
      <c r="G1251" s="48">
        <v>454650</v>
      </c>
      <c r="H1251" s="48">
        <v>2619650</v>
      </c>
      <c r="I1251" s="28" t="s">
        <v>19</v>
      </c>
      <c r="J1251" s="43"/>
    </row>
    <row r="1252" spans="1:10" customFormat="1" ht="15" hidden="1" customHeight="1" x14ac:dyDescent="0.25">
      <c r="A1252" s="37">
        <v>45098</v>
      </c>
      <c r="B1252" s="25" t="s">
        <v>4355</v>
      </c>
      <c r="C1252" s="68" t="s">
        <v>3083</v>
      </c>
      <c r="D1252" s="68" t="s">
        <v>3084</v>
      </c>
      <c r="E1252" s="48">
        <v>36800</v>
      </c>
      <c r="F1252" s="107">
        <v>240000</v>
      </c>
      <c r="G1252" s="48">
        <v>50400</v>
      </c>
      <c r="H1252" s="48">
        <v>327200</v>
      </c>
      <c r="I1252" s="28" t="s">
        <v>19</v>
      </c>
      <c r="J1252" s="43"/>
    </row>
    <row r="1253" spans="1:10" customFormat="1" ht="15" hidden="1" customHeight="1" x14ac:dyDescent="0.25">
      <c r="A1253" s="37">
        <v>45098</v>
      </c>
      <c r="B1253" s="25" t="s">
        <v>4356</v>
      </c>
      <c r="C1253" s="68" t="s">
        <v>3176</v>
      </c>
      <c r="D1253" s="68" t="s">
        <v>3177</v>
      </c>
      <c r="E1253" s="48">
        <v>0</v>
      </c>
      <c r="F1253" s="107">
        <v>19000</v>
      </c>
      <c r="G1253" s="48">
        <v>3990</v>
      </c>
      <c r="H1253" s="48">
        <v>22990</v>
      </c>
      <c r="I1253" s="28" t="s">
        <v>19</v>
      </c>
      <c r="J1253" s="43"/>
    </row>
    <row r="1254" spans="1:10" customFormat="1" ht="15" hidden="1" customHeight="1" x14ac:dyDescent="0.25">
      <c r="A1254" s="37">
        <v>45098</v>
      </c>
      <c r="B1254" s="25" t="s">
        <v>4357</v>
      </c>
      <c r="C1254" s="68" t="s">
        <v>2851</v>
      </c>
      <c r="D1254" s="68" t="s">
        <v>2852</v>
      </c>
      <c r="E1254" s="48">
        <v>0</v>
      </c>
      <c r="F1254" s="107">
        <v>35000</v>
      </c>
      <c r="G1254" s="48">
        <v>7350</v>
      </c>
      <c r="H1254" s="48">
        <v>42350</v>
      </c>
      <c r="I1254" s="28" t="s">
        <v>19</v>
      </c>
      <c r="J1254" s="43"/>
    </row>
    <row r="1255" spans="1:10" customFormat="1" ht="15" hidden="1" customHeight="1" x14ac:dyDescent="0.25">
      <c r="A1255" s="37">
        <v>45098</v>
      </c>
      <c r="B1255" s="25" t="s">
        <v>4358</v>
      </c>
      <c r="C1255" s="68" t="s">
        <v>2924</v>
      </c>
      <c r="D1255" s="68" t="s">
        <v>2925</v>
      </c>
      <c r="E1255" s="48">
        <v>0</v>
      </c>
      <c r="F1255" s="107">
        <v>23000</v>
      </c>
      <c r="G1255" s="48">
        <v>4830</v>
      </c>
      <c r="H1255" s="48">
        <v>27830</v>
      </c>
      <c r="I1255" s="28" t="s">
        <v>19</v>
      </c>
      <c r="J1255" s="43"/>
    </row>
    <row r="1256" spans="1:10" customFormat="1" ht="15" hidden="1" customHeight="1" x14ac:dyDescent="0.25">
      <c r="A1256" s="37">
        <v>45098</v>
      </c>
      <c r="B1256" s="25" t="s">
        <v>4359</v>
      </c>
      <c r="C1256" s="68" t="s">
        <v>2851</v>
      </c>
      <c r="D1256" s="68" t="s">
        <v>2852</v>
      </c>
      <c r="E1256" s="48">
        <v>0</v>
      </c>
      <c r="F1256" s="107">
        <v>22000</v>
      </c>
      <c r="G1256" s="48">
        <v>4620</v>
      </c>
      <c r="H1256" s="48">
        <v>26620</v>
      </c>
      <c r="I1256" s="28" t="s">
        <v>19</v>
      </c>
      <c r="J1256" s="43"/>
    </row>
    <row r="1257" spans="1:10" customFormat="1" ht="15" hidden="1" customHeight="1" x14ac:dyDescent="0.25">
      <c r="A1257" s="37">
        <v>45098</v>
      </c>
      <c r="B1257" s="25" t="s">
        <v>4360</v>
      </c>
      <c r="C1257" s="68" t="s">
        <v>3067</v>
      </c>
      <c r="D1257" s="68" t="s">
        <v>3068</v>
      </c>
      <c r="E1257" s="48">
        <v>9200</v>
      </c>
      <c r="F1257" s="107">
        <v>123000</v>
      </c>
      <c r="G1257" s="48">
        <v>25830</v>
      </c>
      <c r="H1257" s="48">
        <v>158030</v>
      </c>
      <c r="I1257" s="28" t="s">
        <v>19</v>
      </c>
      <c r="J1257" s="43"/>
    </row>
    <row r="1258" spans="1:10" customFormat="1" ht="15" hidden="1" customHeight="1" x14ac:dyDescent="0.25">
      <c r="A1258" s="37">
        <v>45099</v>
      </c>
      <c r="B1258" s="25" t="s">
        <v>4361</v>
      </c>
      <c r="C1258" s="68" t="s">
        <v>2909</v>
      </c>
      <c r="D1258" s="68" t="s">
        <v>2910</v>
      </c>
      <c r="E1258" s="48">
        <v>9200</v>
      </c>
      <c r="F1258" s="107">
        <v>164000</v>
      </c>
      <c r="G1258" s="48">
        <v>34440</v>
      </c>
      <c r="H1258" s="48">
        <v>207640</v>
      </c>
      <c r="I1258" s="28" t="s">
        <v>19</v>
      </c>
      <c r="J1258" s="43"/>
    </row>
    <row r="1259" spans="1:10" customFormat="1" ht="15" hidden="1" customHeight="1" x14ac:dyDescent="0.25">
      <c r="A1259" s="57">
        <v>45099</v>
      </c>
      <c r="B1259" s="138" t="s">
        <v>4362</v>
      </c>
      <c r="C1259" s="80" t="s">
        <v>4363</v>
      </c>
      <c r="D1259" s="80" t="s">
        <v>4364</v>
      </c>
      <c r="E1259" s="145">
        <v>5500</v>
      </c>
      <c r="F1259" s="146">
        <v>190000</v>
      </c>
      <c r="G1259" s="145">
        <v>39900</v>
      </c>
      <c r="H1259" s="145">
        <v>235400</v>
      </c>
      <c r="I1259" s="59" t="s">
        <v>19</v>
      </c>
      <c r="J1259" s="43"/>
    </row>
    <row r="1260" spans="1:10" ht="15" hidden="1" customHeight="1" x14ac:dyDescent="0.25">
      <c r="A1260" s="127">
        <v>45099</v>
      </c>
      <c r="B1260" s="128" t="s">
        <v>4365</v>
      </c>
      <c r="C1260" s="128" t="s">
        <v>2895</v>
      </c>
      <c r="D1260" s="128" t="s">
        <v>2896</v>
      </c>
      <c r="E1260" s="129">
        <v>6190</v>
      </c>
      <c r="F1260" s="130">
        <v>54000</v>
      </c>
      <c r="G1260" s="129">
        <v>11340</v>
      </c>
      <c r="H1260" s="129">
        <v>71530</v>
      </c>
      <c r="I1260" s="121" t="s">
        <v>19</v>
      </c>
      <c r="J1260" s="43"/>
    </row>
    <row r="1261" spans="1:10" customFormat="1" ht="15" hidden="1" customHeight="1" x14ac:dyDescent="0.25">
      <c r="A1261" s="162">
        <v>45099</v>
      </c>
      <c r="B1261" s="163" t="s">
        <v>4366</v>
      </c>
      <c r="C1261" s="163" t="s">
        <v>3272</v>
      </c>
      <c r="D1261" s="163" t="s">
        <v>3273</v>
      </c>
      <c r="E1261" s="164">
        <v>9200</v>
      </c>
      <c r="F1261" s="165">
        <v>60000</v>
      </c>
      <c r="G1261" s="164">
        <v>12600</v>
      </c>
      <c r="H1261" s="164">
        <v>81800</v>
      </c>
      <c r="I1261" s="166" t="s">
        <v>19</v>
      </c>
      <c r="J1261" s="49"/>
    </row>
    <row r="1262" spans="1:10" customFormat="1" ht="15" hidden="1" customHeight="1" x14ac:dyDescent="0.25">
      <c r="A1262" s="37">
        <v>45099</v>
      </c>
      <c r="B1262" s="25" t="s">
        <v>4367</v>
      </c>
      <c r="C1262" s="68" t="s">
        <v>2867</v>
      </c>
      <c r="D1262" s="68" t="s">
        <v>2868</v>
      </c>
      <c r="E1262" s="48">
        <v>5000</v>
      </c>
      <c r="F1262" s="107">
        <v>120000</v>
      </c>
      <c r="G1262" s="48">
        <v>25200</v>
      </c>
      <c r="H1262" s="48">
        <v>150200</v>
      </c>
      <c r="I1262" s="28" t="s">
        <v>19</v>
      </c>
      <c r="J1262" s="43"/>
    </row>
    <row r="1263" spans="1:10" customFormat="1" ht="15" hidden="1" customHeight="1" x14ac:dyDescent="0.25">
      <c r="A1263" s="37">
        <v>45099</v>
      </c>
      <c r="B1263" s="25" t="s">
        <v>4368</v>
      </c>
      <c r="C1263" s="68" t="s">
        <v>2945</v>
      </c>
      <c r="D1263" s="68" t="s">
        <v>2946</v>
      </c>
      <c r="E1263" s="48">
        <v>4220</v>
      </c>
      <c r="F1263" s="107">
        <v>82000</v>
      </c>
      <c r="G1263" s="48">
        <v>17220</v>
      </c>
      <c r="H1263" s="48">
        <v>103440</v>
      </c>
      <c r="I1263" s="28" t="s">
        <v>19</v>
      </c>
      <c r="J1263" s="43"/>
    </row>
    <row r="1264" spans="1:10" customFormat="1" ht="15" hidden="1" customHeight="1" x14ac:dyDescent="0.25">
      <c r="A1264" s="37">
        <v>45099</v>
      </c>
      <c r="B1264" s="25" t="s">
        <v>4369</v>
      </c>
      <c r="C1264" s="68" t="s">
        <v>2851</v>
      </c>
      <c r="D1264" s="68" t="s">
        <v>2852</v>
      </c>
      <c r="E1264" s="48">
        <v>0</v>
      </c>
      <c r="F1264" s="107">
        <v>32000</v>
      </c>
      <c r="G1264" s="48">
        <v>6720</v>
      </c>
      <c r="H1264" s="48">
        <v>38720</v>
      </c>
      <c r="I1264" s="28" t="s">
        <v>19</v>
      </c>
      <c r="J1264" s="43"/>
    </row>
    <row r="1265" spans="1:10" customFormat="1" ht="15" hidden="1" customHeight="1" x14ac:dyDescent="0.25">
      <c r="A1265" s="37">
        <v>45099</v>
      </c>
      <c r="B1265" s="25" t="s">
        <v>4370</v>
      </c>
      <c r="C1265" s="68" t="s">
        <v>2945</v>
      </c>
      <c r="D1265" s="68" t="s">
        <v>2946</v>
      </c>
      <c r="E1265" s="48">
        <v>0</v>
      </c>
      <c r="F1265" s="107">
        <v>22500</v>
      </c>
      <c r="G1265" s="48">
        <v>4725</v>
      </c>
      <c r="H1265" s="48">
        <v>27225</v>
      </c>
      <c r="I1265" s="28" t="s">
        <v>19</v>
      </c>
      <c r="J1265" s="43"/>
    </row>
    <row r="1266" spans="1:10" customFormat="1" ht="15" hidden="1" customHeight="1" x14ac:dyDescent="0.25">
      <c r="A1266" s="37">
        <v>45099</v>
      </c>
      <c r="B1266" s="25" t="s">
        <v>4371</v>
      </c>
      <c r="C1266" s="68" t="s">
        <v>2867</v>
      </c>
      <c r="D1266" s="68" t="s">
        <v>2868</v>
      </c>
      <c r="E1266" s="48">
        <v>11500</v>
      </c>
      <c r="F1266" s="107">
        <v>95000</v>
      </c>
      <c r="G1266" s="48">
        <v>19950</v>
      </c>
      <c r="H1266" s="48">
        <v>126450</v>
      </c>
      <c r="I1266" s="28" t="s">
        <v>19</v>
      </c>
      <c r="J1266" s="43"/>
    </row>
    <row r="1267" spans="1:10" customFormat="1" ht="15" hidden="1" customHeight="1" x14ac:dyDescent="0.25">
      <c r="A1267" s="37">
        <v>45099</v>
      </c>
      <c r="B1267" s="25" t="s">
        <v>4372</v>
      </c>
      <c r="C1267" s="68" t="s">
        <v>2960</v>
      </c>
      <c r="D1267" s="68" t="s">
        <v>2961</v>
      </c>
      <c r="E1267" s="48">
        <v>18400</v>
      </c>
      <c r="F1267" s="107">
        <v>108000</v>
      </c>
      <c r="G1267" s="48">
        <v>22680</v>
      </c>
      <c r="H1267" s="48">
        <v>149080</v>
      </c>
      <c r="I1267" s="28" t="s">
        <v>19</v>
      </c>
      <c r="J1267" s="43"/>
    </row>
    <row r="1268" spans="1:10" customFormat="1" ht="15" hidden="1" customHeight="1" x14ac:dyDescent="0.25">
      <c r="A1268" s="37">
        <v>45099</v>
      </c>
      <c r="B1268" s="25" t="s">
        <v>4373</v>
      </c>
      <c r="C1268" s="68" t="s">
        <v>2906</v>
      </c>
      <c r="D1268" s="68" t="s">
        <v>2907</v>
      </c>
      <c r="E1268" s="48">
        <v>6080</v>
      </c>
      <c r="F1268" s="107">
        <v>60000</v>
      </c>
      <c r="G1268" s="48">
        <v>12600</v>
      </c>
      <c r="H1268" s="48">
        <v>78680</v>
      </c>
      <c r="I1268" s="28" t="s">
        <v>19</v>
      </c>
      <c r="J1268" s="43"/>
    </row>
    <row r="1269" spans="1:10" customFormat="1" ht="15" hidden="1" customHeight="1" x14ac:dyDescent="0.25">
      <c r="A1269" s="37">
        <v>45099</v>
      </c>
      <c r="B1269" s="25" t="s">
        <v>4374</v>
      </c>
      <c r="C1269" s="68" t="s">
        <v>1140</v>
      </c>
      <c r="D1269" s="68" t="s">
        <v>1141</v>
      </c>
      <c r="E1269" s="48">
        <v>20323.53</v>
      </c>
      <c r="F1269" s="107">
        <v>155000</v>
      </c>
      <c r="G1269" s="48">
        <v>32550</v>
      </c>
      <c r="H1269" s="48">
        <v>207873.53</v>
      </c>
      <c r="I1269" s="28" t="s">
        <v>19</v>
      </c>
      <c r="J1269" s="43"/>
    </row>
    <row r="1270" spans="1:10" customFormat="1" ht="15" hidden="1" customHeight="1" x14ac:dyDescent="0.25">
      <c r="A1270" s="37">
        <v>45099</v>
      </c>
      <c r="B1270" s="25" t="s">
        <v>4375</v>
      </c>
      <c r="C1270" s="68" t="s">
        <v>3007</v>
      </c>
      <c r="D1270" s="68" t="s">
        <v>3008</v>
      </c>
      <c r="E1270" s="48">
        <v>11500</v>
      </c>
      <c r="F1270" s="107">
        <v>73200</v>
      </c>
      <c r="G1270" s="48">
        <v>15372</v>
      </c>
      <c r="H1270" s="48">
        <v>100072</v>
      </c>
      <c r="I1270" s="28" t="s">
        <v>19</v>
      </c>
      <c r="J1270" s="43"/>
    </row>
    <row r="1271" spans="1:10" customFormat="1" ht="15" hidden="1" customHeight="1" x14ac:dyDescent="0.25">
      <c r="A1271" s="37">
        <v>45099</v>
      </c>
      <c r="B1271" s="25" t="s">
        <v>4376</v>
      </c>
      <c r="C1271" s="68" t="s">
        <v>2921</v>
      </c>
      <c r="D1271" s="68" t="s">
        <v>2922</v>
      </c>
      <c r="E1271" s="48">
        <v>14000</v>
      </c>
      <c r="F1271" s="107">
        <v>109800</v>
      </c>
      <c r="G1271" s="48">
        <v>23058</v>
      </c>
      <c r="H1271" s="48">
        <v>146858</v>
      </c>
      <c r="I1271" s="28" t="s">
        <v>19</v>
      </c>
      <c r="J1271" s="43"/>
    </row>
    <row r="1272" spans="1:10" customFormat="1" ht="15" hidden="1" customHeight="1" x14ac:dyDescent="0.25">
      <c r="A1272" s="37">
        <v>45099</v>
      </c>
      <c r="B1272" s="25" t="s">
        <v>4377</v>
      </c>
      <c r="C1272" s="68" t="s">
        <v>2972</v>
      </c>
      <c r="D1272" s="68" t="s">
        <v>2973</v>
      </c>
      <c r="E1272" s="48">
        <v>6190</v>
      </c>
      <c r="F1272" s="107">
        <v>54000</v>
      </c>
      <c r="G1272" s="48">
        <v>11340</v>
      </c>
      <c r="H1272" s="48">
        <v>71530</v>
      </c>
      <c r="I1272" s="28" t="s">
        <v>19</v>
      </c>
      <c r="J1272" s="43"/>
    </row>
    <row r="1273" spans="1:10" customFormat="1" ht="15" hidden="1" customHeight="1" x14ac:dyDescent="0.25">
      <c r="A1273" s="37">
        <v>45099</v>
      </c>
      <c r="B1273" s="25" t="s">
        <v>4378</v>
      </c>
      <c r="C1273" s="68" t="s">
        <v>2867</v>
      </c>
      <c r="D1273" s="68" t="s">
        <v>2868</v>
      </c>
      <c r="E1273" s="48">
        <v>23760</v>
      </c>
      <c r="F1273" s="107">
        <v>369000</v>
      </c>
      <c r="G1273" s="48">
        <v>77490</v>
      </c>
      <c r="H1273" s="48">
        <v>470250</v>
      </c>
      <c r="I1273" s="28" t="s">
        <v>19</v>
      </c>
      <c r="J1273" s="43"/>
    </row>
    <row r="1274" spans="1:10" customFormat="1" ht="15" hidden="1" customHeight="1" x14ac:dyDescent="0.25">
      <c r="A1274" s="37">
        <v>45099</v>
      </c>
      <c r="B1274" s="25" t="s">
        <v>4379</v>
      </c>
      <c r="C1274" s="68" t="s">
        <v>2856</v>
      </c>
      <c r="D1274" s="68" t="s">
        <v>2857</v>
      </c>
      <c r="E1274" s="48">
        <v>12160</v>
      </c>
      <c r="F1274" s="107">
        <v>300000</v>
      </c>
      <c r="G1274" s="48">
        <v>63000</v>
      </c>
      <c r="H1274" s="48">
        <v>375160</v>
      </c>
      <c r="I1274" s="28" t="s">
        <v>19</v>
      </c>
      <c r="J1274" s="43"/>
    </row>
    <row r="1275" spans="1:10" customFormat="1" ht="15" hidden="1" customHeight="1" x14ac:dyDescent="0.25">
      <c r="A1275" s="37">
        <v>45099</v>
      </c>
      <c r="B1275" s="25" t="s">
        <v>4380</v>
      </c>
      <c r="C1275" s="68" t="s">
        <v>2856</v>
      </c>
      <c r="D1275" s="68" t="s">
        <v>2857</v>
      </c>
      <c r="E1275" s="48">
        <v>1820</v>
      </c>
      <c r="F1275" s="107">
        <v>62000</v>
      </c>
      <c r="G1275" s="48">
        <v>13020</v>
      </c>
      <c r="H1275" s="48">
        <v>76840</v>
      </c>
      <c r="I1275" s="28" t="s">
        <v>19</v>
      </c>
      <c r="J1275" s="43"/>
    </row>
    <row r="1276" spans="1:10" customFormat="1" ht="15" hidden="1" customHeight="1" x14ac:dyDescent="0.25">
      <c r="A1276" s="37">
        <v>45099</v>
      </c>
      <c r="B1276" s="25" t="s">
        <v>4381</v>
      </c>
      <c r="C1276" s="68" t="s">
        <v>2921</v>
      </c>
      <c r="D1276" s="68" t="s">
        <v>2922</v>
      </c>
      <c r="E1276" s="48">
        <v>12160</v>
      </c>
      <c r="F1276" s="107">
        <v>120000</v>
      </c>
      <c r="G1276" s="48">
        <v>25200</v>
      </c>
      <c r="H1276" s="48">
        <v>157360</v>
      </c>
      <c r="I1276" s="28" t="s">
        <v>19</v>
      </c>
      <c r="J1276" s="43"/>
    </row>
    <row r="1277" spans="1:10" customFormat="1" ht="15" hidden="1" customHeight="1" x14ac:dyDescent="0.25">
      <c r="A1277" s="37">
        <v>45099</v>
      </c>
      <c r="B1277" s="25" t="s">
        <v>4382</v>
      </c>
      <c r="C1277" s="68" t="s">
        <v>3007</v>
      </c>
      <c r="D1277" s="68" t="s">
        <v>3008</v>
      </c>
      <c r="E1277" s="48">
        <v>4840</v>
      </c>
      <c r="F1277" s="107">
        <v>73200</v>
      </c>
      <c r="G1277" s="48">
        <v>15372</v>
      </c>
      <c r="H1277" s="48">
        <v>93412</v>
      </c>
      <c r="I1277" s="28" t="s">
        <v>19</v>
      </c>
      <c r="J1277" s="43"/>
    </row>
    <row r="1278" spans="1:10" customFormat="1" ht="15" hidden="1" customHeight="1" x14ac:dyDescent="0.25">
      <c r="A1278" s="37">
        <v>45099</v>
      </c>
      <c r="B1278" s="25" t="s">
        <v>4383</v>
      </c>
      <c r="C1278" s="68" t="s">
        <v>2945</v>
      </c>
      <c r="D1278" s="68" t="s">
        <v>2946</v>
      </c>
      <c r="E1278" s="48">
        <v>6360</v>
      </c>
      <c r="F1278" s="107">
        <v>82000</v>
      </c>
      <c r="G1278" s="48">
        <v>17220</v>
      </c>
      <c r="H1278" s="48">
        <v>105580</v>
      </c>
      <c r="I1278" s="28" t="s">
        <v>19</v>
      </c>
      <c r="J1278" s="43"/>
    </row>
    <row r="1279" spans="1:10" customFormat="1" ht="15" hidden="1" customHeight="1" x14ac:dyDescent="0.25">
      <c r="A1279" s="37">
        <v>45099</v>
      </c>
      <c r="B1279" s="25" t="s">
        <v>4384</v>
      </c>
      <c r="C1279" s="68" t="s">
        <v>2945</v>
      </c>
      <c r="D1279" s="68" t="s">
        <v>2946</v>
      </c>
      <c r="E1279" s="48">
        <v>18340</v>
      </c>
      <c r="F1279" s="107">
        <v>273800</v>
      </c>
      <c r="G1279" s="48">
        <v>57498</v>
      </c>
      <c r="H1279" s="48">
        <v>349638</v>
      </c>
      <c r="I1279" s="28" t="s">
        <v>19</v>
      </c>
      <c r="J1279" s="43"/>
    </row>
    <row r="1280" spans="1:10" customFormat="1" ht="15" hidden="1" customHeight="1" x14ac:dyDescent="0.25">
      <c r="A1280" s="37">
        <v>45099</v>
      </c>
      <c r="B1280" s="25" t="s">
        <v>4385</v>
      </c>
      <c r="C1280" s="68" t="s">
        <v>2945</v>
      </c>
      <c r="D1280" s="68" t="s">
        <v>2946</v>
      </c>
      <c r="E1280" s="48">
        <v>18340</v>
      </c>
      <c r="F1280" s="107">
        <v>273800</v>
      </c>
      <c r="G1280" s="48">
        <v>57498</v>
      </c>
      <c r="H1280" s="48">
        <v>349638</v>
      </c>
      <c r="I1280" s="28" t="s">
        <v>19</v>
      </c>
      <c r="J1280" s="43"/>
    </row>
    <row r="1281" spans="1:10" customFormat="1" ht="15" hidden="1" customHeight="1" x14ac:dyDescent="0.25">
      <c r="A1281" s="37">
        <v>45099</v>
      </c>
      <c r="B1281" s="25" t="s">
        <v>4386</v>
      </c>
      <c r="C1281" s="68" t="s">
        <v>3176</v>
      </c>
      <c r="D1281" s="68" t="s">
        <v>3177</v>
      </c>
      <c r="E1281" s="48">
        <v>16703.86</v>
      </c>
      <c r="F1281" s="107">
        <v>197200</v>
      </c>
      <c r="G1281" s="48">
        <v>41412</v>
      </c>
      <c r="H1281" s="48">
        <v>255315.86</v>
      </c>
      <c r="I1281" s="28" t="s">
        <v>19</v>
      </c>
      <c r="J1281" s="43"/>
    </row>
    <row r="1282" spans="1:10" customFormat="1" ht="15" hidden="1" customHeight="1" x14ac:dyDescent="0.25">
      <c r="A1282" s="37">
        <v>45099</v>
      </c>
      <c r="B1282" s="25" t="s">
        <v>4387</v>
      </c>
      <c r="C1282" s="68" t="s">
        <v>2954</v>
      </c>
      <c r="D1282" s="68" t="s">
        <v>2955</v>
      </c>
      <c r="E1282" s="48">
        <v>1500</v>
      </c>
      <c r="F1282" s="107">
        <v>82000</v>
      </c>
      <c r="G1282" s="48">
        <v>17220</v>
      </c>
      <c r="H1282" s="48">
        <v>100720</v>
      </c>
      <c r="I1282" s="28" t="s">
        <v>19</v>
      </c>
      <c r="J1282" s="43"/>
    </row>
    <row r="1283" spans="1:10" customFormat="1" ht="15" hidden="1" customHeight="1" x14ac:dyDescent="0.25">
      <c r="A1283" s="37">
        <v>45099</v>
      </c>
      <c r="B1283" s="25" t="s">
        <v>4388</v>
      </c>
      <c r="C1283" s="68" t="s">
        <v>3096</v>
      </c>
      <c r="D1283" s="68" t="s">
        <v>3097</v>
      </c>
      <c r="E1283" s="48">
        <v>19031.98</v>
      </c>
      <c r="F1283" s="107">
        <v>246000</v>
      </c>
      <c r="G1283" s="48">
        <v>51660</v>
      </c>
      <c r="H1283" s="48">
        <v>316691.98</v>
      </c>
      <c r="I1283" s="28" t="s">
        <v>19</v>
      </c>
      <c r="J1283" s="43"/>
    </row>
    <row r="1284" spans="1:10" customFormat="1" ht="15" hidden="1" customHeight="1" x14ac:dyDescent="0.25">
      <c r="A1284" s="37">
        <v>45099</v>
      </c>
      <c r="B1284" s="25" t="s">
        <v>4389</v>
      </c>
      <c r="C1284" s="68" t="s">
        <v>2867</v>
      </c>
      <c r="D1284" s="68" t="s">
        <v>2868</v>
      </c>
      <c r="E1284" s="48">
        <v>11500</v>
      </c>
      <c r="F1284" s="107">
        <v>164000</v>
      </c>
      <c r="G1284" s="48">
        <v>34440</v>
      </c>
      <c r="H1284" s="48">
        <v>209940</v>
      </c>
      <c r="I1284" s="28" t="s">
        <v>19</v>
      </c>
      <c r="J1284" s="43"/>
    </row>
    <row r="1285" spans="1:10" customFormat="1" ht="15" hidden="1" customHeight="1" x14ac:dyDescent="0.25">
      <c r="A1285" s="37">
        <v>45099</v>
      </c>
      <c r="B1285" s="25" t="s">
        <v>4390</v>
      </c>
      <c r="C1285" s="68" t="s">
        <v>2969</v>
      </c>
      <c r="D1285" s="68" t="s">
        <v>2970</v>
      </c>
      <c r="E1285" s="48">
        <v>16960</v>
      </c>
      <c r="F1285" s="107">
        <v>246000</v>
      </c>
      <c r="G1285" s="48">
        <v>51660</v>
      </c>
      <c r="H1285" s="48">
        <v>314620</v>
      </c>
      <c r="I1285" s="28" t="s">
        <v>19</v>
      </c>
      <c r="J1285" s="43"/>
    </row>
    <row r="1286" spans="1:10" customFormat="1" ht="15" hidden="1" customHeight="1" x14ac:dyDescent="0.25">
      <c r="A1286" s="37">
        <v>45099</v>
      </c>
      <c r="B1286" s="25" t="s">
        <v>4391</v>
      </c>
      <c r="C1286" s="68" t="s">
        <v>2938</v>
      </c>
      <c r="D1286" s="68" t="s">
        <v>2939</v>
      </c>
      <c r="E1286" s="48">
        <v>16960</v>
      </c>
      <c r="F1286" s="107">
        <v>246000</v>
      </c>
      <c r="G1286" s="48">
        <v>51660</v>
      </c>
      <c r="H1286" s="48">
        <v>314620</v>
      </c>
      <c r="I1286" s="28" t="s">
        <v>19</v>
      </c>
      <c r="J1286" s="43"/>
    </row>
    <row r="1287" spans="1:10" customFormat="1" ht="15" hidden="1" customHeight="1" x14ac:dyDescent="0.25">
      <c r="A1287" s="37">
        <v>45099</v>
      </c>
      <c r="B1287" s="25" t="s">
        <v>4392</v>
      </c>
      <c r="C1287" s="68" t="s">
        <v>4059</v>
      </c>
      <c r="D1287" s="68" t="s">
        <v>4060</v>
      </c>
      <c r="E1287" s="48">
        <v>8803.86</v>
      </c>
      <c r="F1287" s="107">
        <v>54000</v>
      </c>
      <c r="G1287" s="48">
        <v>11340</v>
      </c>
      <c r="H1287" s="48">
        <v>74143.86</v>
      </c>
      <c r="I1287" s="28" t="s">
        <v>19</v>
      </c>
      <c r="J1287" s="43"/>
    </row>
    <row r="1288" spans="1:10" customFormat="1" ht="15" hidden="1" customHeight="1" x14ac:dyDescent="0.25">
      <c r="A1288" s="37">
        <v>45099</v>
      </c>
      <c r="B1288" s="25" t="s">
        <v>4393</v>
      </c>
      <c r="C1288" s="68" t="s">
        <v>2903</v>
      </c>
      <c r="D1288" s="68" t="s">
        <v>2904</v>
      </c>
      <c r="E1288" s="48">
        <v>8803.86</v>
      </c>
      <c r="F1288" s="107">
        <v>54000</v>
      </c>
      <c r="G1288" s="48">
        <v>11340</v>
      </c>
      <c r="H1288" s="48">
        <v>74143.86</v>
      </c>
      <c r="I1288" s="28" t="s">
        <v>19</v>
      </c>
      <c r="J1288" s="43"/>
    </row>
    <row r="1289" spans="1:10" customFormat="1" ht="15" hidden="1" customHeight="1" x14ac:dyDescent="0.25">
      <c r="A1289" s="37">
        <v>45099</v>
      </c>
      <c r="B1289" s="25" t="s">
        <v>4394</v>
      </c>
      <c r="C1289" s="68" t="s">
        <v>3011</v>
      </c>
      <c r="D1289" s="68" t="s">
        <v>3012</v>
      </c>
      <c r="E1289" s="48">
        <v>6938.57</v>
      </c>
      <c r="F1289" s="107">
        <v>82000</v>
      </c>
      <c r="G1289" s="48">
        <v>17220</v>
      </c>
      <c r="H1289" s="48">
        <v>106158.57</v>
      </c>
      <c r="I1289" s="28" t="s">
        <v>19</v>
      </c>
      <c r="J1289" s="43"/>
    </row>
    <row r="1290" spans="1:10" customFormat="1" ht="15" hidden="1" customHeight="1" x14ac:dyDescent="0.25">
      <c r="A1290" s="37">
        <v>45100</v>
      </c>
      <c r="B1290" s="25" t="s">
        <v>4395</v>
      </c>
      <c r="C1290" s="68" t="s">
        <v>2867</v>
      </c>
      <c r="D1290" s="68" t="s">
        <v>2868</v>
      </c>
      <c r="E1290" s="48">
        <v>5440</v>
      </c>
      <c r="F1290" s="107">
        <v>62000</v>
      </c>
      <c r="G1290" s="48">
        <v>13020</v>
      </c>
      <c r="H1290" s="48">
        <v>80460</v>
      </c>
      <c r="I1290" s="28" t="s">
        <v>19</v>
      </c>
      <c r="J1290" s="43"/>
    </row>
    <row r="1291" spans="1:10" customFormat="1" ht="15" hidden="1" customHeight="1" x14ac:dyDescent="0.25">
      <c r="A1291" s="37">
        <v>45100</v>
      </c>
      <c r="B1291" s="25" t="s">
        <v>4396</v>
      </c>
      <c r="C1291" s="68" t="s">
        <v>3067</v>
      </c>
      <c r="D1291" s="68" t="s">
        <v>3068</v>
      </c>
      <c r="E1291" s="48">
        <v>0</v>
      </c>
      <c r="F1291" s="107">
        <v>33000</v>
      </c>
      <c r="G1291" s="48">
        <v>6930</v>
      </c>
      <c r="H1291" s="48">
        <v>39930</v>
      </c>
      <c r="I1291" s="28" t="s">
        <v>19</v>
      </c>
      <c r="J1291" s="43"/>
    </row>
    <row r="1292" spans="1:10" customFormat="1" ht="15" hidden="1" customHeight="1" x14ac:dyDescent="0.25">
      <c r="A1292" s="37">
        <v>45100</v>
      </c>
      <c r="B1292" s="25" t="s">
        <v>4397</v>
      </c>
      <c r="C1292" s="68" t="s">
        <v>3896</v>
      </c>
      <c r="D1292" s="68" t="s">
        <v>3897</v>
      </c>
      <c r="E1292" s="48">
        <v>6000</v>
      </c>
      <c r="F1292" s="107">
        <v>60000</v>
      </c>
      <c r="G1292" s="48">
        <v>12600</v>
      </c>
      <c r="H1292" s="48">
        <v>78600</v>
      </c>
      <c r="I1292" s="28" t="s">
        <v>19</v>
      </c>
      <c r="J1292" s="43"/>
    </row>
    <row r="1293" spans="1:10" customFormat="1" ht="15" hidden="1" customHeight="1" x14ac:dyDescent="0.25">
      <c r="A1293" s="37">
        <v>45100</v>
      </c>
      <c r="B1293" s="25" t="s">
        <v>4398</v>
      </c>
      <c r="C1293" s="68" t="s">
        <v>2892</v>
      </c>
      <c r="D1293" s="68" t="s">
        <v>2893</v>
      </c>
      <c r="E1293" s="48">
        <v>910</v>
      </c>
      <c r="F1293" s="107">
        <v>42000</v>
      </c>
      <c r="G1293" s="48">
        <v>8820</v>
      </c>
      <c r="H1293" s="48">
        <v>51730</v>
      </c>
      <c r="I1293" s="28" t="s">
        <v>19</v>
      </c>
      <c r="J1293" s="43"/>
    </row>
    <row r="1294" spans="1:10" customFormat="1" ht="15" hidden="1" customHeight="1" x14ac:dyDescent="0.25">
      <c r="A1294" s="37">
        <v>45100</v>
      </c>
      <c r="B1294" s="25" t="s">
        <v>4399</v>
      </c>
      <c r="C1294" s="68" t="s">
        <v>2972</v>
      </c>
      <c r="D1294" s="68" t="s">
        <v>2973</v>
      </c>
      <c r="E1294" s="48">
        <v>10003.86</v>
      </c>
      <c r="F1294" s="107">
        <v>54000</v>
      </c>
      <c r="G1294" s="48">
        <v>11340</v>
      </c>
      <c r="H1294" s="48">
        <v>75343.86</v>
      </c>
      <c r="I1294" s="28" t="s">
        <v>19</v>
      </c>
      <c r="J1294" s="43"/>
    </row>
    <row r="1295" spans="1:10" customFormat="1" ht="15" hidden="1" customHeight="1" x14ac:dyDescent="0.25">
      <c r="A1295" s="40">
        <v>45100</v>
      </c>
      <c r="B1295" s="47" t="s">
        <v>4400</v>
      </c>
      <c r="C1295" s="47" t="s">
        <v>3272</v>
      </c>
      <c r="D1295" s="47" t="s">
        <v>3273</v>
      </c>
      <c r="E1295" s="48">
        <v>6080</v>
      </c>
      <c r="F1295" s="107">
        <v>60000</v>
      </c>
      <c r="G1295" s="48">
        <v>12600</v>
      </c>
      <c r="H1295" s="48">
        <v>78680</v>
      </c>
      <c r="I1295" s="41" t="s">
        <v>19</v>
      </c>
      <c r="J1295" s="49"/>
    </row>
    <row r="1296" spans="1:10" customFormat="1" ht="15" hidden="1" customHeight="1" x14ac:dyDescent="0.25">
      <c r="A1296" s="37">
        <v>45100</v>
      </c>
      <c r="B1296" s="25" t="s">
        <v>4401</v>
      </c>
      <c r="C1296" s="68" t="s">
        <v>4121</v>
      </c>
      <c r="D1296" s="68" t="s">
        <v>4122</v>
      </c>
      <c r="E1296" s="48">
        <v>12160</v>
      </c>
      <c r="F1296" s="107">
        <v>180000</v>
      </c>
      <c r="G1296" s="48">
        <v>37800</v>
      </c>
      <c r="H1296" s="48">
        <v>229960</v>
      </c>
      <c r="I1296" s="28" t="s">
        <v>19</v>
      </c>
      <c r="J1296" s="43"/>
    </row>
    <row r="1297" spans="1:10" customFormat="1" ht="15" hidden="1" customHeight="1" x14ac:dyDescent="0.25">
      <c r="A1297" s="37">
        <v>45100</v>
      </c>
      <c r="B1297" s="25" t="s">
        <v>4402</v>
      </c>
      <c r="C1297" s="68" t="s">
        <v>3707</v>
      </c>
      <c r="D1297" s="68" t="s">
        <v>3708</v>
      </c>
      <c r="E1297" s="48">
        <v>6080</v>
      </c>
      <c r="F1297" s="107">
        <v>90000</v>
      </c>
      <c r="G1297" s="48">
        <v>18900</v>
      </c>
      <c r="H1297" s="48">
        <v>114980</v>
      </c>
      <c r="I1297" s="28" t="s">
        <v>19</v>
      </c>
      <c r="J1297" s="43"/>
    </row>
    <row r="1298" spans="1:10" customFormat="1" ht="15" hidden="1" customHeight="1" x14ac:dyDescent="0.25">
      <c r="A1298" s="37">
        <v>45100</v>
      </c>
      <c r="B1298" s="25" t="s">
        <v>4403</v>
      </c>
      <c r="C1298" s="68" t="s">
        <v>4121</v>
      </c>
      <c r="D1298" s="68" t="s">
        <v>4122</v>
      </c>
      <c r="E1298" s="48">
        <v>6080</v>
      </c>
      <c r="F1298" s="107">
        <v>90000</v>
      </c>
      <c r="G1298" s="48">
        <v>18900</v>
      </c>
      <c r="H1298" s="48">
        <v>114980</v>
      </c>
      <c r="I1298" s="28" t="s">
        <v>19</v>
      </c>
      <c r="J1298" s="43"/>
    </row>
    <row r="1299" spans="1:10" customFormat="1" ht="15" hidden="1" customHeight="1" x14ac:dyDescent="0.25">
      <c r="A1299" s="37">
        <v>45100</v>
      </c>
      <c r="B1299" s="25" t="s">
        <v>4404</v>
      </c>
      <c r="C1299" s="68" t="s">
        <v>4121</v>
      </c>
      <c r="D1299" s="68" t="s">
        <v>4122</v>
      </c>
      <c r="E1299" s="48">
        <v>6080</v>
      </c>
      <c r="F1299" s="107">
        <v>90000</v>
      </c>
      <c r="G1299" s="48">
        <v>18900</v>
      </c>
      <c r="H1299" s="48">
        <v>114980</v>
      </c>
      <c r="I1299" s="28" t="s">
        <v>19</v>
      </c>
      <c r="J1299" s="43"/>
    </row>
    <row r="1300" spans="1:10" customFormat="1" ht="15" hidden="1" customHeight="1" x14ac:dyDescent="0.25">
      <c r="A1300" s="37">
        <v>45100</v>
      </c>
      <c r="B1300" s="25" t="s">
        <v>4405</v>
      </c>
      <c r="C1300" s="68" t="s">
        <v>4015</v>
      </c>
      <c r="D1300" s="68" t="s">
        <v>4016</v>
      </c>
      <c r="E1300" s="48">
        <v>6080</v>
      </c>
      <c r="F1300" s="107">
        <v>60000</v>
      </c>
      <c r="G1300" s="48">
        <v>12600</v>
      </c>
      <c r="H1300" s="48">
        <v>78680</v>
      </c>
      <c r="I1300" s="28" t="s">
        <v>19</v>
      </c>
      <c r="J1300" s="43"/>
    </row>
    <row r="1301" spans="1:10" customFormat="1" ht="15" hidden="1" customHeight="1" x14ac:dyDescent="0.25">
      <c r="A1301" s="37">
        <v>45100</v>
      </c>
      <c r="B1301" s="25" t="s">
        <v>4406</v>
      </c>
      <c r="C1301" s="68" t="s">
        <v>2856</v>
      </c>
      <c r="D1301" s="68" t="s">
        <v>2857</v>
      </c>
      <c r="E1301" s="48">
        <v>13886.96</v>
      </c>
      <c r="F1301" s="107">
        <v>93000</v>
      </c>
      <c r="G1301" s="48">
        <v>19530</v>
      </c>
      <c r="H1301" s="48">
        <v>126416.96000000001</v>
      </c>
      <c r="I1301" s="28" t="s">
        <v>19</v>
      </c>
      <c r="J1301" s="43"/>
    </row>
    <row r="1302" spans="1:10" customFormat="1" ht="15" hidden="1" customHeight="1" x14ac:dyDescent="0.25">
      <c r="A1302" s="37">
        <v>45103</v>
      </c>
      <c r="B1302" s="25" t="s">
        <v>4407</v>
      </c>
      <c r="C1302" s="68" t="s">
        <v>2867</v>
      </c>
      <c r="D1302" s="68" t="s">
        <v>2868</v>
      </c>
      <c r="E1302" s="48">
        <v>10880</v>
      </c>
      <c r="F1302" s="107">
        <v>155000</v>
      </c>
      <c r="G1302" s="48">
        <v>32550</v>
      </c>
      <c r="H1302" s="48">
        <v>198430</v>
      </c>
      <c r="I1302" s="28" t="s">
        <v>19</v>
      </c>
      <c r="J1302" s="43"/>
    </row>
    <row r="1303" spans="1:10" customFormat="1" ht="15" hidden="1" customHeight="1" x14ac:dyDescent="0.25">
      <c r="A1303" s="37">
        <v>45103</v>
      </c>
      <c r="B1303" s="25" t="s">
        <v>4408</v>
      </c>
      <c r="C1303" s="68" t="s">
        <v>3235</v>
      </c>
      <c r="D1303" s="68" t="s">
        <v>3236</v>
      </c>
      <c r="E1303" s="48">
        <v>80000</v>
      </c>
      <c r="F1303" s="107">
        <v>522500</v>
      </c>
      <c r="G1303" s="48">
        <v>109725</v>
      </c>
      <c r="H1303" s="48">
        <v>712225</v>
      </c>
      <c r="I1303" s="28" t="s">
        <v>19</v>
      </c>
      <c r="J1303" s="43"/>
    </row>
    <row r="1304" spans="1:10" customFormat="1" ht="15" hidden="1" customHeight="1" x14ac:dyDescent="0.25">
      <c r="A1304" s="37">
        <v>45103</v>
      </c>
      <c r="B1304" s="25" t="s">
        <v>4409</v>
      </c>
      <c r="C1304" s="68" t="s">
        <v>2921</v>
      </c>
      <c r="D1304" s="68" t="s">
        <v>2922</v>
      </c>
      <c r="E1304" s="48">
        <v>14000</v>
      </c>
      <c r="F1304" s="107">
        <v>109800</v>
      </c>
      <c r="G1304" s="48">
        <v>23058</v>
      </c>
      <c r="H1304" s="48">
        <v>146858</v>
      </c>
      <c r="I1304" s="28" t="s">
        <v>19</v>
      </c>
      <c r="J1304" s="43"/>
    </row>
    <row r="1305" spans="1:10" customFormat="1" ht="15" hidden="1" customHeight="1" x14ac:dyDescent="0.25">
      <c r="A1305" s="37">
        <v>45103</v>
      </c>
      <c r="B1305" s="25" t="s">
        <v>4410</v>
      </c>
      <c r="C1305" s="68" t="s">
        <v>2851</v>
      </c>
      <c r="D1305" s="68" t="s">
        <v>2852</v>
      </c>
      <c r="E1305" s="48">
        <v>0</v>
      </c>
      <c r="F1305" s="107">
        <v>22000</v>
      </c>
      <c r="G1305" s="48">
        <v>4620</v>
      </c>
      <c r="H1305" s="48">
        <v>26620</v>
      </c>
      <c r="I1305" s="28" t="s">
        <v>19</v>
      </c>
      <c r="J1305" s="43"/>
    </row>
    <row r="1306" spans="1:10" customFormat="1" ht="15" hidden="1" customHeight="1" x14ac:dyDescent="0.25">
      <c r="A1306" s="37">
        <v>45103</v>
      </c>
      <c r="B1306" s="25" t="s">
        <v>4411</v>
      </c>
      <c r="C1306" s="68" t="s">
        <v>3241</v>
      </c>
      <c r="D1306" s="68" t="s">
        <v>3242</v>
      </c>
      <c r="E1306" s="48">
        <v>4960</v>
      </c>
      <c r="F1306" s="107">
        <v>120000</v>
      </c>
      <c r="G1306" s="48">
        <v>25200</v>
      </c>
      <c r="H1306" s="48">
        <v>150160</v>
      </c>
      <c r="I1306" s="28" t="s">
        <v>19</v>
      </c>
      <c r="J1306" s="43"/>
    </row>
    <row r="1307" spans="1:10" customFormat="1" ht="15" hidden="1" customHeight="1" x14ac:dyDescent="0.25">
      <c r="A1307" s="37">
        <v>45103</v>
      </c>
      <c r="B1307" s="25" t="s">
        <v>4412</v>
      </c>
      <c r="C1307" s="68" t="s">
        <v>2867</v>
      </c>
      <c r="D1307" s="68" t="s">
        <v>2868</v>
      </c>
      <c r="E1307" s="48">
        <v>15500</v>
      </c>
      <c r="F1307" s="107">
        <v>168400</v>
      </c>
      <c r="G1307" s="48">
        <v>35364</v>
      </c>
      <c r="H1307" s="48">
        <v>219264</v>
      </c>
      <c r="I1307" s="28" t="s">
        <v>19</v>
      </c>
      <c r="J1307" s="43"/>
    </row>
    <row r="1308" spans="1:10" customFormat="1" ht="15" hidden="1" customHeight="1" x14ac:dyDescent="0.25">
      <c r="A1308" s="37">
        <v>45103</v>
      </c>
      <c r="B1308" s="25" t="s">
        <v>4413</v>
      </c>
      <c r="C1308" s="68" t="s">
        <v>4414</v>
      </c>
      <c r="D1308" s="68" t="s">
        <v>4415</v>
      </c>
      <c r="E1308" s="48">
        <v>18400</v>
      </c>
      <c r="F1308" s="107">
        <v>114000</v>
      </c>
      <c r="G1308" s="48">
        <v>23940</v>
      </c>
      <c r="H1308" s="48">
        <v>156340</v>
      </c>
      <c r="I1308" s="28" t="s">
        <v>19</v>
      </c>
      <c r="J1308" s="43"/>
    </row>
    <row r="1309" spans="1:10" customFormat="1" ht="15" hidden="1" customHeight="1" x14ac:dyDescent="0.25">
      <c r="A1309" s="37">
        <v>45103</v>
      </c>
      <c r="B1309" s="25" t="s">
        <v>4416</v>
      </c>
      <c r="C1309" s="68" t="s">
        <v>2867</v>
      </c>
      <c r="D1309" s="68" t="s">
        <v>2868</v>
      </c>
      <c r="E1309" s="48">
        <v>29805.32</v>
      </c>
      <c r="F1309" s="107">
        <v>486000</v>
      </c>
      <c r="G1309" s="48">
        <v>102060</v>
      </c>
      <c r="H1309" s="48">
        <v>617865.31999999995</v>
      </c>
      <c r="I1309" s="28" t="s">
        <v>19</v>
      </c>
      <c r="J1309" s="43"/>
    </row>
    <row r="1310" spans="1:10" customFormat="1" ht="15" hidden="1" customHeight="1" x14ac:dyDescent="0.25">
      <c r="A1310" s="37">
        <v>45104</v>
      </c>
      <c r="B1310" s="25" t="s">
        <v>4417</v>
      </c>
      <c r="C1310" s="68" t="s">
        <v>3007</v>
      </c>
      <c r="D1310" s="68" t="s">
        <v>3008</v>
      </c>
      <c r="E1310" s="48">
        <v>29000</v>
      </c>
      <c r="F1310" s="107">
        <v>190000</v>
      </c>
      <c r="G1310" s="48">
        <v>39900</v>
      </c>
      <c r="H1310" s="48">
        <v>258900</v>
      </c>
      <c r="I1310" s="28" t="s">
        <v>19</v>
      </c>
      <c r="J1310" s="43"/>
    </row>
    <row r="1311" spans="1:10" customFormat="1" ht="15" hidden="1" customHeight="1" x14ac:dyDescent="0.25">
      <c r="A1311" s="37">
        <v>45104</v>
      </c>
      <c r="B1311" s="25" t="s">
        <v>4418</v>
      </c>
      <c r="C1311" s="68" t="s">
        <v>2851</v>
      </c>
      <c r="D1311" s="68" t="s">
        <v>2852</v>
      </c>
      <c r="E1311" s="48">
        <v>24320</v>
      </c>
      <c r="F1311" s="107">
        <v>360000</v>
      </c>
      <c r="G1311" s="48">
        <v>75600</v>
      </c>
      <c r="H1311" s="48">
        <v>459920</v>
      </c>
      <c r="I1311" s="28" t="s">
        <v>19</v>
      </c>
      <c r="J1311" s="43"/>
    </row>
    <row r="1312" spans="1:10" customFormat="1" ht="15" hidden="1" customHeight="1" x14ac:dyDescent="0.25">
      <c r="A1312" s="37">
        <v>45104</v>
      </c>
      <c r="B1312" s="25" t="s">
        <v>4419</v>
      </c>
      <c r="C1312" s="68" t="s">
        <v>4420</v>
      </c>
      <c r="D1312" s="68" t="s">
        <v>4421</v>
      </c>
      <c r="E1312" s="48">
        <v>17607.72</v>
      </c>
      <c r="F1312" s="107">
        <v>108000</v>
      </c>
      <c r="G1312" s="48">
        <v>22680</v>
      </c>
      <c r="H1312" s="48">
        <v>148287.72</v>
      </c>
      <c r="I1312" s="28" t="s">
        <v>19</v>
      </c>
      <c r="J1312" s="43"/>
    </row>
    <row r="1313" spans="1:10" customFormat="1" ht="15" hidden="1" customHeight="1" x14ac:dyDescent="0.25">
      <c r="A1313" s="37">
        <v>45104</v>
      </c>
      <c r="B1313" s="25" t="s">
        <v>4422</v>
      </c>
      <c r="C1313" s="68" t="s">
        <v>4059</v>
      </c>
      <c r="D1313" s="68" t="s">
        <v>4060</v>
      </c>
      <c r="E1313" s="48">
        <v>9200</v>
      </c>
      <c r="F1313" s="107">
        <v>54000</v>
      </c>
      <c r="G1313" s="48">
        <v>11340</v>
      </c>
      <c r="H1313" s="48">
        <v>74540</v>
      </c>
      <c r="I1313" s="28" t="s">
        <v>19</v>
      </c>
      <c r="J1313" s="43"/>
    </row>
    <row r="1314" spans="1:10" customFormat="1" ht="15" hidden="1" customHeight="1" x14ac:dyDescent="0.25">
      <c r="A1314" s="37">
        <v>45104</v>
      </c>
      <c r="B1314" s="25" t="s">
        <v>4423</v>
      </c>
      <c r="C1314" s="68" t="s">
        <v>3173</v>
      </c>
      <c r="D1314" s="68" t="s">
        <v>3174</v>
      </c>
      <c r="E1314" s="48">
        <v>1998.57</v>
      </c>
      <c r="F1314" s="107">
        <v>52000</v>
      </c>
      <c r="G1314" s="48">
        <v>10920</v>
      </c>
      <c r="H1314" s="48">
        <v>64918.57</v>
      </c>
      <c r="I1314" s="28" t="s">
        <v>19</v>
      </c>
      <c r="J1314" s="43"/>
    </row>
    <row r="1315" spans="1:10" customFormat="1" ht="15" hidden="1" customHeight="1" x14ac:dyDescent="0.25">
      <c r="A1315" s="37">
        <v>45104</v>
      </c>
      <c r="B1315" s="25" t="s">
        <v>4424</v>
      </c>
      <c r="C1315" s="68" t="s">
        <v>3539</v>
      </c>
      <c r="D1315" s="68" t="s">
        <v>3540</v>
      </c>
      <c r="E1315" s="48">
        <v>0</v>
      </c>
      <c r="F1315" s="107">
        <v>2450000</v>
      </c>
      <c r="G1315" s="48">
        <v>514500</v>
      </c>
      <c r="H1315" s="48">
        <v>2964500</v>
      </c>
      <c r="I1315" s="28" t="s">
        <v>19</v>
      </c>
      <c r="J1315" s="43"/>
    </row>
    <row r="1316" spans="1:10" customFormat="1" ht="15" hidden="1" customHeight="1" x14ac:dyDescent="0.25">
      <c r="A1316" s="37">
        <v>45104</v>
      </c>
      <c r="B1316" s="25" t="s">
        <v>4425</v>
      </c>
      <c r="C1316" s="68" t="s">
        <v>2909</v>
      </c>
      <c r="D1316" s="68" t="s">
        <v>2910</v>
      </c>
      <c r="E1316" s="48">
        <v>7920</v>
      </c>
      <c r="F1316" s="107">
        <v>155000</v>
      </c>
      <c r="G1316" s="48">
        <v>32550</v>
      </c>
      <c r="H1316" s="48">
        <v>195470</v>
      </c>
      <c r="I1316" s="28" t="s">
        <v>19</v>
      </c>
      <c r="J1316" s="43"/>
    </row>
    <row r="1317" spans="1:10" customFormat="1" ht="15" hidden="1" customHeight="1" x14ac:dyDescent="0.25">
      <c r="A1317" s="37">
        <v>45104</v>
      </c>
      <c r="B1317" s="25" t="s">
        <v>4426</v>
      </c>
      <c r="C1317" s="68" t="s">
        <v>3165</v>
      </c>
      <c r="D1317" s="68" t="s">
        <v>3166</v>
      </c>
      <c r="E1317" s="48">
        <v>18220</v>
      </c>
      <c r="F1317" s="107">
        <v>205000</v>
      </c>
      <c r="G1317" s="48">
        <v>43050</v>
      </c>
      <c r="H1317" s="48">
        <v>266270</v>
      </c>
      <c r="I1317" s="28" t="s">
        <v>19</v>
      </c>
      <c r="J1317" s="43"/>
    </row>
    <row r="1318" spans="1:10" customFormat="1" ht="15" hidden="1" customHeight="1" x14ac:dyDescent="0.25">
      <c r="A1318" s="40">
        <v>45104</v>
      </c>
      <c r="B1318" s="47" t="s">
        <v>4427</v>
      </c>
      <c r="C1318" s="47" t="s">
        <v>3272</v>
      </c>
      <c r="D1318" s="47" t="s">
        <v>3273</v>
      </c>
      <c r="E1318" s="48">
        <v>8480</v>
      </c>
      <c r="F1318" s="107">
        <v>109800</v>
      </c>
      <c r="G1318" s="48">
        <v>23058</v>
      </c>
      <c r="H1318" s="48">
        <v>141338</v>
      </c>
      <c r="I1318" s="41" t="s">
        <v>19</v>
      </c>
      <c r="J1318" s="49"/>
    </row>
    <row r="1319" spans="1:10" customFormat="1" ht="15" hidden="1" customHeight="1" x14ac:dyDescent="0.25">
      <c r="A1319" s="40">
        <v>45104</v>
      </c>
      <c r="B1319" s="47" t="s">
        <v>4428</v>
      </c>
      <c r="C1319" s="47" t="s">
        <v>3272</v>
      </c>
      <c r="D1319" s="47" t="s">
        <v>3273</v>
      </c>
      <c r="E1319" s="48">
        <v>33920</v>
      </c>
      <c r="F1319" s="107">
        <v>329400</v>
      </c>
      <c r="G1319" s="48">
        <v>69174</v>
      </c>
      <c r="H1319" s="48">
        <v>432494</v>
      </c>
      <c r="I1319" s="41" t="s">
        <v>19</v>
      </c>
      <c r="J1319" s="49"/>
    </row>
    <row r="1320" spans="1:10" customFormat="1" ht="15" hidden="1" customHeight="1" x14ac:dyDescent="0.25">
      <c r="A1320" s="37">
        <v>45104</v>
      </c>
      <c r="B1320" s="25" t="s">
        <v>4429</v>
      </c>
      <c r="C1320" s="68" t="s">
        <v>2867</v>
      </c>
      <c r="D1320" s="68" t="s">
        <v>2868</v>
      </c>
      <c r="E1320" s="48">
        <v>0</v>
      </c>
      <c r="F1320" s="107">
        <v>120000</v>
      </c>
      <c r="G1320" s="48">
        <v>25200</v>
      </c>
      <c r="H1320" s="48">
        <v>145200</v>
      </c>
      <c r="I1320" s="28" t="s">
        <v>19</v>
      </c>
      <c r="J1320" s="43"/>
    </row>
    <row r="1321" spans="1:10" customFormat="1" ht="15" hidden="1" customHeight="1" x14ac:dyDescent="0.25">
      <c r="A1321" s="37">
        <v>45104</v>
      </c>
      <c r="B1321" s="25" t="s">
        <v>4430</v>
      </c>
      <c r="C1321" s="68" t="s">
        <v>2856</v>
      </c>
      <c r="D1321" s="68" t="s">
        <v>2857</v>
      </c>
      <c r="E1321" s="48">
        <v>9200</v>
      </c>
      <c r="F1321" s="107">
        <v>81000</v>
      </c>
      <c r="G1321" s="48">
        <v>17010</v>
      </c>
      <c r="H1321" s="48">
        <v>107210</v>
      </c>
      <c r="I1321" s="28" t="s">
        <v>19</v>
      </c>
      <c r="J1321" s="43"/>
    </row>
    <row r="1322" spans="1:10" customFormat="1" ht="15" hidden="1" customHeight="1" x14ac:dyDescent="0.25">
      <c r="A1322" s="37">
        <v>45104</v>
      </c>
      <c r="B1322" s="25" t="s">
        <v>4431</v>
      </c>
      <c r="C1322" s="68" t="s">
        <v>3460</v>
      </c>
      <c r="D1322" s="68" t="s">
        <v>3461</v>
      </c>
      <c r="E1322" s="48">
        <v>5800</v>
      </c>
      <c r="F1322" s="107">
        <v>82000</v>
      </c>
      <c r="G1322" s="48">
        <v>17220</v>
      </c>
      <c r="H1322" s="48">
        <v>105020</v>
      </c>
      <c r="I1322" s="28" t="s">
        <v>19</v>
      </c>
      <c r="J1322" s="43"/>
    </row>
    <row r="1323" spans="1:10" customFormat="1" ht="15" hidden="1" customHeight="1" x14ac:dyDescent="0.25">
      <c r="A1323" s="37">
        <v>45104</v>
      </c>
      <c r="B1323" s="25" t="s">
        <v>4432</v>
      </c>
      <c r="C1323" s="68" t="s">
        <v>3014</v>
      </c>
      <c r="D1323" s="68" t="s">
        <v>3015</v>
      </c>
      <c r="E1323" s="48">
        <v>16960</v>
      </c>
      <c r="F1323" s="107">
        <v>146400</v>
      </c>
      <c r="G1323" s="48">
        <v>30744</v>
      </c>
      <c r="H1323" s="48">
        <v>194104</v>
      </c>
      <c r="I1323" s="28" t="s">
        <v>19</v>
      </c>
      <c r="J1323" s="43"/>
    </row>
    <row r="1324" spans="1:10" customFormat="1" ht="15" hidden="1" customHeight="1" x14ac:dyDescent="0.25">
      <c r="A1324" s="37">
        <v>45105</v>
      </c>
      <c r="B1324" s="25" t="s">
        <v>4433</v>
      </c>
      <c r="C1324" s="68" t="s">
        <v>4434</v>
      </c>
      <c r="D1324" s="68" t="s">
        <v>4435</v>
      </c>
      <c r="E1324" s="48">
        <v>9680</v>
      </c>
      <c r="F1324" s="107">
        <v>240000</v>
      </c>
      <c r="G1324" s="48">
        <v>50400</v>
      </c>
      <c r="H1324" s="48">
        <v>300080</v>
      </c>
      <c r="I1324" s="28" t="s">
        <v>19</v>
      </c>
      <c r="J1324" s="43"/>
    </row>
    <row r="1325" spans="1:10" customFormat="1" ht="15" hidden="1" customHeight="1" x14ac:dyDescent="0.25">
      <c r="A1325" s="37">
        <v>45105</v>
      </c>
      <c r="B1325" s="25" t="s">
        <v>4436</v>
      </c>
      <c r="C1325" s="68" t="s">
        <v>4434</v>
      </c>
      <c r="D1325" s="68" t="s">
        <v>4435</v>
      </c>
      <c r="E1325" s="48">
        <v>9680</v>
      </c>
      <c r="F1325" s="107">
        <v>180000</v>
      </c>
      <c r="G1325" s="48">
        <v>37800</v>
      </c>
      <c r="H1325" s="48">
        <v>227480</v>
      </c>
      <c r="I1325" s="28" t="s">
        <v>19</v>
      </c>
      <c r="J1325" s="43"/>
    </row>
    <row r="1326" spans="1:10" customFormat="1" ht="15" hidden="1" customHeight="1" x14ac:dyDescent="0.25">
      <c r="A1326" s="37">
        <v>45105</v>
      </c>
      <c r="B1326" s="25" t="s">
        <v>4437</v>
      </c>
      <c r="C1326" s="68" t="s">
        <v>2906</v>
      </c>
      <c r="D1326" s="68" t="s">
        <v>2907</v>
      </c>
      <c r="E1326" s="48">
        <v>9200</v>
      </c>
      <c r="F1326" s="107">
        <v>60000</v>
      </c>
      <c r="G1326" s="48">
        <v>12600</v>
      </c>
      <c r="H1326" s="48">
        <v>81800</v>
      </c>
      <c r="I1326" s="28" t="s">
        <v>19</v>
      </c>
      <c r="J1326" s="43"/>
    </row>
    <row r="1327" spans="1:10" customFormat="1" ht="15" hidden="1" customHeight="1" x14ac:dyDescent="0.25">
      <c r="A1327" s="37">
        <v>45105</v>
      </c>
      <c r="B1327" s="25" t="s">
        <v>4438</v>
      </c>
      <c r="C1327" s="68" t="s">
        <v>2903</v>
      </c>
      <c r="D1327" s="68" t="s">
        <v>2904</v>
      </c>
      <c r="E1327" s="48">
        <v>9200</v>
      </c>
      <c r="F1327" s="107">
        <v>60000</v>
      </c>
      <c r="G1327" s="48">
        <v>12600</v>
      </c>
      <c r="H1327" s="48">
        <v>81800</v>
      </c>
      <c r="I1327" s="28" t="s">
        <v>19</v>
      </c>
      <c r="J1327" s="43"/>
    </row>
    <row r="1328" spans="1:10" customFormat="1" ht="15" hidden="1" customHeight="1" x14ac:dyDescent="0.25">
      <c r="A1328" s="37">
        <v>45105</v>
      </c>
      <c r="B1328" s="25" t="s">
        <v>4439</v>
      </c>
      <c r="C1328" s="68" t="s">
        <v>2903</v>
      </c>
      <c r="D1328" s="68" t="s">
        <v>2904</v>
      </c>
      <c r="E1328" s="48">
        <v>9200</v>
      </c>
      <c r="F1328" s="107">
        <v>60000</v>
      </c>
      <c r="G1328" s="48">
        <v>12600</v>
      </c>
      <c r="H1328" s="48">
        <v>81800</v>
      </c>
      <c r="I1328" s="28" t="s">
        <v>19</v>
      </c>
      <c r="J1328" s="43"/>
    </row>
    <row r="1329" spans="1:10" customFormat="1" ht="15" hidden="1" customHeight="1" x14ac:dyDescent="0.25">
      <c r="A1329" s="37">
        <v>45105</v>
      </c>
      <c r="B1329" s="25" t="s">
        <v>4440</v>
      </c>
      <c r="C1329" s="68" t="s">
        <v>2921</v>
      </c>
      <c r="D1329" s="68" t="s">
        <v>2922</v>
      </c>
      <c r="E1329" s="48">
        <v>9200</v>
      </c>
      <c r="F1329" s="107">
        <v>90000</v>
      </c>
      <c r="G1329" s="48">
        <v>18900</v>
      </c>
      <c r="H1329" s="48">
        <v>118100</v>
      </c>
      <c r="I1329" s="28" t="s">
        <v>19</v>
      </c>
      <c r="J1329" s="43"/>
    </row>
    <row r="1330" spans="1:10" customFormat="1" ht="15" hidden="1" customHeight="1" x14ac:dyDescent="0.25">
      <c r="A1330" s="37">
        <v>45105</v>
      </c>
      <c r="B1330" s="25" t="s">
        <v>4441</v>
      </c>
      <c r="C1330" s="68" t="s">
        <v>3241</v>
      </c>
      <c r="D1330" s="68" t="s">
        <v>3242</v>
      </c>
      <c r="E1330" s="48">
        <v>9200</v>
      </c>
      <c r="F1330" s="107">
        <v>90000</v>
      </c>
      <c r="G1330" s="48">
        <v>18900</v>
      </c>
      <c r="H1330" s="48">
        <v>118100</v>
      </c>
      <c r="I1330" s="28" t="s">
        <v>19</v>
      </c>
      <c r="J1330" s="43"/>
    </row>
    <row r="1331" spans="1:10" customFormat="1" ht="15" hidden="1" customHeight="1" x14ac:dyDescent="0.25">
      <c r="A1331" s="37">
        <v>45105</v>
      </c>
      <c r="B1331" s="25" t="s">
        <v>4442</v>
      </c>
      <c r="C1331" s="68" t="s">
        <v>4420</v>
      </c>
      <c r="D1331" s="68" t="s">
        <v>4421</v>
      </c>
      <c r="E1331" s="48">
        <v>9200</v>
      </c>
      <c r="F1331" s="107">
        <v>60000</v>
      </c>
      <c r="G1331" s="48">
        <v>12600</v>
      </c>
      <c r="H1331" s="48">
        <v>81800</v>
      </c>
      <c r="I1331" s="28" t="s">
        <v>19</v>
      </c>
      <c r="J1331" s="43"/>
    </row>
    <row r="1332" spans="1:10" customFormat="1" ht="15" hidden="1" customHeight="1" x14ac:dyDescent="0.25">
      <c r="A1332" s="37">
        <v>45105</v>
      </c>
      <c r="B1332" s="25" t="s">
        <v>4443</v>
      </c>
      <c r="C1332" s="68" t="s">
        <v>2906</v>
      </c>
      <c r="D1332" s="68" t="s">
        <v>2907</v>
      </c>
      <c r="E1332" s="48">
        <v>9200</v>
      </c>
      <c r="F1332" s="107">
        <v>90000</v>
      </c>
      <c r="G1332" s="48">
        <v>18900</v>
      </c>
      <c r="H1332" s="48">
        <v>118100</v>
      </c>
      <c r="I1332" s="28" t="s">
        <v>19</v>
      </c>
      <c r="J1332" s="43"/>
    </row>
    <row r="1333" spans="1:10" customFormat="1" ht="15" hidden="1" customHeight="1" x14ac:dyDescent="0.25">
      <c r="A1333" s="37">
        <v>45105</v>
      </c>
      <c r="B1333" s="25" t="s">
        <v>4444</v>
      </c>
      <c r="C1333" s="68" t="s">
        <v>3687</v>
      </c>
      <c r="D1333" s="68" t="s">
        <v>3688</v>
      </c>
      <c r="E1333" s="48">
        <v>3161.43</v>
      </c>
      <c r="F1333" s="107">
        <v>42000</v>
      </c>
      <c r="G1333" s="48">
        <v>8820</v>
      </c>
      <c r="H1333" s="48">
        <v>53981.43</v>
      </c>
      <c r="I1333" s="28" t="s">
        <v>19</v>
      </c>
      <c r="J1333" s="43"/>
    </row>
    <row r="1334" spans="1:10" customFormat="1" ht="15" hidden="1" customHeight="1" x14ac:dyDescent="0.25">
      <c r="A1334" s="37">
        <v>45105</v>
      </c>
      <c r="B1334" s="25" t="s">
        <v>4445</v>
      </c>
      <c r="C1334" s="68" t="s">
        <v>2909</v>
      </c>
      <c r="D1334" s="68" t="s">
        <v>2910</v>
      </c>
      <c r="E1334" s="48">
        <v>7920</v>
      </c>
      <c r="F1334" s="107">
        <v>82000</v>
      </c>
      <c r="G1334" s="48">
        <v>17220</v>
      </c>
      <c r="H1334" s="48">
        <v>107140</v>
      </c>
      <c r="I1334" s="28" t="s">
        <v>19</v>
      </c>
      <c r="J1334" s="43"/>
    </row>
    <row r="1335" spans="1:10" customFormat="1" ht="15" hidden="1" customHeight="1" x14ac:dyDescent="0.25">
      <c r="A1335" s="37">
        <v>45105</v>
      </c>
      <c r="B1335" s="25" t="s">
        <v>4446</v>
      </c>
      <c r="C1335" s="68" t="s">
        <v>2921</v>
      </c>
      <c r="D1335" s="68" t="s">
        <v>2922</v>
      </c>
      <c r="E1335" s="48">
        <v>9200</v>
      </c>
      <c r="F1335" s="107">
        <v>60000</v>
      </c>
      <c r="G1335" s="48">
        <v>12600</v>
      </c>
      <c r="H1335" s="48">
        <v>81800</v>
      </c>
      <c r="I1335" s="28" t="s">
        <v>19</v>
      </c>
      <c r="J1335" s="43"/>
    </row>
    <row r="1336" spans="1:10" customFormat="1" ht="15" hidden="1" customHeight="1" x14ac:dyDescent="0.25">
      <c r="A1336" s="37">
        <v>45105</v>
      </c>
      <c r="B1336" s="25" t="s">
        <v>4447</v>
      </c>
      <c r="C1336" s="68" t="s">
        <v>4121</v>
      </c>
      <c r="D1336" s="68" t="s">
        <v>4122</v>
      </c>
      <c r="E1336" s="48">
        <v>18400</v>
      </c>
      <c r="F1336" s="107">
        <v>120000</v>
      </c>
      <c r="G1336" s="48">
        <v>25200</v>
      </c>
      <c r="H1336" s="48">
        <v>163600</v>
      </c>
      <c r="I1336" s="28" t="s">
        <v>19</v>
      </c>
      <c r="J1336" s="43"/>
    </row>
    <row r="1337" spans="1:10" customFormat="1" ht="15" hidden="1" customHeight="1" x14ac:dyDescent="0.25">
      <c r="A1337" s="37">
        <v>45105</v>
      </c>
      <c r="B1337" s="25" t="s">
        <v>4448</v>
      </c>
      <c r="C1337" s="68" t="s">
        <v>2921</v>
      </c>
      <c r="D1337" s="68" t="s">
        <v>2922</v>
      </c>
      <c r="E1337" s="48">
        <v>4610.57</v>
      </c>
      <c r="F1337" s="107">
        <v>294000</v>
      </c>
      <c r="G1337" s="48">
        <v>61740</v>
      </c>
      <c r="H1337" s="48">
        <v>360350.57</v>
      </c>
      <c r="I1337" s="28" t="s">
        <v>19</v>
      </c>
      <c r="J1337" s="43"/>
    </row>
    <row r="1338" spans="1:10" customFormat="1" ht="15" hidden="1" customHeight="1" x14ac:dyDescent="0.25">
      <c r="A1338" s="37">
        <v>45105</v>
      </c>
      <c r="B1338" s="25" t="s">
        <v>4449</v>
      </c>
      <c r="C1338" s="68" t="s">
        <v>2921</v>
      </c>
      <c r="D1338" s="68" t="s">
        <v>2922</v>
      </c>
      <c r="E1338" s="48">
        <v>4610.57</v>
      </c>
      <c r="F1338" s="107">
        <v>294000</v>
      </c>
      <c r="G1338" s="48">
        <v>61740</v>
      </c>
      <c r="H1338" s="48">
        <v>360350.57</v>
      </c>
      <c r="I1338" s="28" t="s">
        <v>19</v>
      </c>
      <c r="J1338" s="43"/>
    </row>
    <row r="1339" spans="1:10" customFormat="1" ht="15" hidden="1" customHeight="1" x14ac:dyDescent="0.25">
      <c r="A1339" s="37">
        <v>45105</v>
      </c>
      <c r="B1339" s="25" t="s">
        <v>4450</v>
      </c>
      <c r="C1339" s="68" t="s">
        <v>2856</v>
      </c>
      <c r="D1339" s="68" t="s">
        <v>2857</v>
      </c>
      <c r="E1339" s="48">
        <v>17526.96</v>
      </c>
      <c r="F1339" s="107">
        <v>186000</v>
      </c>
      <c r="G1339" s="48">
        <v>39060</v>
      </c>
      <c r="H1339" s="48">
        <v>242586.96</v>
      </c>
      <c r="I1339" s="28" t="s">
        <v>19</v>
      </c>
      <c r="J1339" s="43"/>
    </row>
    <row r="1340" spans="1:10" customFormat="1" ht="15" hidden="1" customHeight="1" x14ac:dyDescent="0.25">
      <c r="A1340" s="37">
        <v>45106</v>
      </c>
      <c r="B1340" s="25" t="s">
        <v>4451</v>
      </c>
      <c r="C1340" s="68" t="s">
        <v>2867</v>
      </c>
      <c r="D1340" s="68" t="s">
        <v>2868</v>
      </c>
      <c r="E1340" s="48">
        <v>16960</v>
      </c>
      <c r="F1340" s="107">
        <v>219600</v>
      </c>
      <c r="G1340" s="48">
        <v>46116</v>
      </c>
      <c r="H1340" s="48">
        <v>282676</v>
      </c>
      <c r="I1340" s="28" t="s">
        <v>19</v>
      </c>
      <c r="J1340" s="43"/>
    </row>
    <row r="1341" spans="1:10" customFormat="1" ht="15" hidden="1" customHeight="1" x14ac:dyDescent="0.25">
      <c r="A1341" s="37">
        <v>45106</v>
      </c>
      <c r="B1341" s="25" t="s">
        <v>4452</v>
      </c>
      <c r="C1341" s="68" t="s">
        <v>2856</v>
      </c>
      <c r="D1341" s="68" t="s">
        <v>2857</v>
      </c>
      <c r="E1341" s="48">
        <v>13440</v>
      </c>
      <c r="F1341" s="107">
        <v>246000</v>
      </c>
      <c r="G1341" s="48">
        <v>51660</v>
      </c>
      <c r="H1341" s="48">
        <v>311100</v>
      </c>
      <c r="I1341" s="28" t="s">
        <v>19</v>
      </c>
      <c r="J1341" s="43"/>
    </row>
    <row r="1342" spans="1:10" customFormat="1" ht="15" hidden="1" customHeight="1" x14ac:dyDescent="0.25">
      <c r="A1342" s="37">
        <v>45106</v>
      </c>
      <c r="B1342" s="25" t="s">
        <v>4453</v>
      </c>
      <c r="C1342" s="68" t="s">
        <v>2921</v>
      </c>
      <c r="D1342" s="68" t="s">
        <v>2922</v>
      </c>
      <c r="E1342" s="48">
        <v>8480</v>
      </c>
      <c r="F1342" s="107">
        <v>109800</v>
      </c>
      <c r="G1342" s="48">
        <v>23058</v>
      </c>
      <c r="H1342" s="48">
        <v>141338</v>
      </c>
      <c r="I1342" s="28" t="s">
        <v>19</v>
      </c>
      <c r="J1342" s="43"/>
    </row>
    <row r="1343" spans="1:10" customFormat="1" ht="15" hidden="1" customHeight="1" x14ac:dyDescent="0.25">
      <c r="A1343" s="37">
        <v>45106</v>
      </c>
      <c r="B1343" s="25" t="s">
        <v>4454</v>
      </c>
      <c r="C1343" s="68" t="s">
        <v>3627</v>
      </c>
      <c r="D1343" s="68" t="s">
        <v>3628</v>
      </c>
      <c r="E1343" s="48">
        <v>4840</v>
      </c>
      <c r="F1343" s="107">
        <v>82000</v>
      </c>
      <c r="G1343" s="48">
        <v>17220</v>
      </c>
      <c r="H1343" s="48">
        <v>104060</v>
      </c>
      <c r="I1343" s="28" t="s">
        <v>19</v>
      </c>
      <c r="J1343" s="43"/>
    </row>
    <row r="1344" spans="1:10" customFormat="1" ht="15" hidden="1" customHeight="1" x14ac:dyDescent="0.25">
      <c r="A1344" s="37">
        <v>45106</v>
      </c>
      <c r="B1344" s="25" t="s">
        <v>4455</v>
      </c>
      <c r="C1344" s="68" t="s">
        <v>3559</v>
      </c>
      <c r="D1344" s="68" t="s">
        <v>3560</v>
      </c>
      <c r="E1344" s="48">
        <v>9680</v>
      </c>
      <c r="F1344" s="107">
        <v>164000</v>
      </c>
      <c r="G1344" s="48">
        <v>34440</v>
      </c>
      <c r="H1344" s="48">
        <v>208120</v>
      </c>
      <c r="I1344" s="28" t="s">
        <v>19</v>
      </c>
      <c r="J1344" s="43"/>
    </row>
    <row r="1345" spans="1:10" customFormat="1" ht="15" hidden="1" customHeight="1" x14ac:dyDescent="0.25">
      <c r="A1345" s="37">
        <v>45106</v>
      </c>
      <c r="B1345" s="25" t="s">
        <v>4456</v>
      </c>
      <c r="C1345" s="68" t="s">
        <v>2997</v>
      </c>
      <c r="D1345" s="68" t="s">
        <v>2998</v>
      </c>
      <c r="E1345" s="48">
        <v>12160</v>
      </c>
      <c r="F1345" s="107">
        <v>210000</v>
      </c>
      <c r="G1345" s="48">
        <v>44100</v>
      </c>
      <c r="H1345" s="48">
        <v>266260</v>
      </c>
      <c r="I1345" s="28" t="s">
        <v>19</v>
      </c>
      <c r="J1345" s="43"/>
    </row>
    <row r="1346" spans="1:10" customFormat="1" ht="15" hidden="1" customHeight="1" x14ac:dyDescent="0.25">
      <c r="A1346" s="37">
        <v>45106</v>
      </c>
      <c r="B1346" s="25" t="s">
        <v>4457</v>
      </c>
      <c r="C1346" s="68" t="s">
        <v>2997</v>
      </c>
      <c r="D1346" s="68" t="s">
        <v>2998</v>
      </c>
      <c r="E1346" s="48">
        <v>18240</v>
      </c>
      <c r="F1346" s="107">
        <v>405000</v>
      </c>
      <c r="G1346" s="48">
        <v>85050</v>
      </c>
      <c r="H1346" s="48">
        <v>508290</v>
      </c>
      <c r="I1346" s="28" t="s">
        <v>19</v>
      </c>
      <c r="J1346" s="43"/>
    </row>
    <row r="1347" spans="1:10" customFormat="1" ht="15" hidden="1" customHeight="1" x14ac:dyDescent="0.25">
      <c r="A1347" s="37">
        <v>45106</v>
      </c>
      <c r="B1347" s="25" t="s">
        <v>4458</v>
      </c>
      <c r="C1347" s="68" t="s">
        <v>2903</v>
      </c>
      <c r="D1347" s="68" t="s">
        <v>2904</v>
      </c>
      <c r="E1347" s="48">
        <v>6080</v>
      </c>
      <c r="F1347" s="107">
        <v>105000</v>
      </c>
      <c r="G1347" s="48">
        <v>22050</v>
      </c>
      <c r="H1347" s="48">
        <v>133130</v>
      </c>
      <c r="I1347" s="28" t="s">
        <v>19</v>
      </c>
      <c r="J1347" s="43"/>
    </row>
    <row r="1348" spans="1:10" customFormat="1" ht="15" hidden="1" customHeight="1" x14ac:dyDescent="0.25">
      <c r="A1348" s="37">
        <v>45106</v>
      </c>
      <c r="B1348" s="25" t="s">
        <v>4459</v>
      </c>
      <c r="C1348" s="68" t="s">
        <v>3014</v>
      </c>
      <c r="D1348" s="68" t="s">
        <v>3015</v>
      </c>
      <c r="E1348" s="48">
        <v>12160</v>
      </c>
      <c r="F1348" s="107">
        <v>210000</v>
      </c>
      <c r="G1348" s="48">
        <v>44100</v>
      </c>
      <c r="H1348" s="48">
        <v>266260</v>
      </c>
      <c r="I1348" s="28" t="s">
        <v>19</v>
      </c>
      <c r="J1348" s="43"/>
    </row>
    <row r="1349" spans="1:10" customFormat="1" ht="15" hidden="1" customHeight="1" x14ac:dyDescent="0.25">
      <c r="A1349" s="37">
        <v>45106</v>
      </c>
      <c r="B1349" s="25" t="s">
        <v>4460</v>
      </c>
      <c r="C1349" s="68" t="s">
        <v>3007</v>
      </c>
      <c r="D1349" s="68" t="s">
        <v>3008</v>
      </c>
      <c r="E1349" s="48">
        <v>4840</v>
      </c>
      <c r="F1349" s="107">
        <v>109800</v>
      </c>
      <c r="G1349" s="48">
        <v>23058</v>
      </c>
      <c r="H1349" s="48">
        <v>137698</v>
      </c>
      <c r="I1349" s="28" t="s">
        <v>19</v>
      </c>
      <c r="J1349" s="43"/>
    </row>
    <row r="1350" spans="1:10" customFormat="1" ht="15" hidden="1" customHeight="1" x14ac:dyDescent="0.25">
      <c r="A1350" s="37">
        <v>45106</v>
      </c>
      <c r="B1350" s="25" t="s">
        <v>4461</v>
      </c>
      <c r="C1350" s="68" t="s">
        <v>4059</v>
      </c>
      <c r="D1350" s="68" t="s">
        <v>4060</v>
      </c>
      <c r="E1350" s="48">
        <v>2168.5700000000002</v>
      </c>
      <c r="F1350" s="107">
        <v>42000</v>
      </c>
      <c r="G1350" s="48">
        <v>8820</v>
      </c>
      <c r="H1350" s="48">
        <v>52988.57</v>
      </c>
      <c r="I1350" s="28" t="s">
        <v>19</v>
      </c>
      <c r="J1350" s="43"/>
    </row>
    <row r="1351" spans="1:10" customFormat="1" ht="15" hidden="1" customHeight="1" x14ac:dyDescent="0.25">
      <c r="A1351" s="37">
        <v>45106</v>
      </c>
      <c r="B1351" s="25" t="s">
        <v>4462</v>
      </c>
      <c r="C1351" s="68" t="s">
        <v>2870</v>
      </c>
      <c r="D1351" s="68" t="s">
        <v>2871</v>
      </c>
      <c r="E1351" s="48">
        <v>9200</v>
      </c>
      <c r="F1351" s="107">
        <v>54000</v>
      </c>
      <c r="G1351" s="48">
        <v>11340</v>
      </c>
      <c r="H1351" s="48">
        <v>74540</v>
      </c>
      <c r="I1351" s="28" t="s">
        <v>19</v>
      </c>
      <c r="J1351" s="43"/>
    </row>
    <row r="1352" spans="1:10" customFormat="1" ht="15" hidden="1" customHeight="1" x14ac:dyDescent="0.25">
      <c r="A1352" s="37">
        <v>45107</v>
      </c>
      <c r="B1352" s="25" t="s">
        <v>4463</v>
      </c>
      <c r="C1352" s="68" t="s">
        <v>3559</v>
      </c>
      <c r="D1352" s="68" t="s">
        <v>3560</v>
      </c>
      <c r="E1352" s="48">
        <v>0</v>
      </c>
      <c r="F1352" s="107">
        <v>33000</v>
      </c>
      <c r="G1352" s="48">
        <v>6930</v>
      </c>
      <c r="H1352" s="48">
        <v>39930</v>
      </c>
      <c r="I1352" s="28" t="s">
        <v>19</v>
      </c>
      <c r="J1352" s="43"/>
    </row>
    <row r="1353" spans="1:10" customFormat="1" ht="15" hidden="1" customHeight="1" x14ac:dyDescent="0.25">
      <c r="A1353" s="37">
        <v>45107</v>
      </c>
      <c r="B1353" s="25" t="s">
        <v>4464</v>
      </c>
      <c r="C1353" s="68" t="s">
        <v>4465</v>
      </c>
      <c r="D1353" s="68" t="s">
        <v>4466</v>
      </c>
      <c r="E1353" s="48">
        <v>0</v>
      </c>
      <c r="F1353" s="107">
        <v>33000</v>
      </c>
      <c r="G1353" s="48">
        <v>6930</v>
      </c>
      <c r="H1353" s="48">
        <v>39930</v>
      </c>
      <c r="I1353" s="28" t="s">
        <v>19</v>
      </c>
      <c r="J1353" s="43"/>
    </row>
    <row r="1354" spans="1:10" customFormat="1" ht="15" hidden="1" customHeight="1" x14ac:dyDescent="0.25">
      <c r="A1354" s="37">
        <v>45107</v>
      </c>
      <c r="B1354" s="25" t="s">
        <v>4467</v>
      </c>
      <c r="C1354" s="68" t="s">
        <v>2921</v>
      </c>
      <c r="D1354" s="68" t="s">
        <v>2922</v>
      </c>
      <c r="E1354" s="48">
        <v>0</v>
      </c>
      <c r="F1354" s="107">
        <v>33000</v>
      </c>
      <c r="G1354" s="48">
        <v>6930</v>
      </c>
      <c r="H1354" s="48">
        <v>39930</v>
      </c>
      <c r="I1354" s="28" t="s">
        <v>19</v>
      </c>
      <c r="J1354" s="43"/>
    </row>
    <row r="1355" spans="1:10" customFormat="1" ht="15" hidden="1" customHeight="1" x14ac:dyDescent="0.25">
      <c r="A1355" s="37">
        <v>45107</v>
      </c>
      <c r="B1355" s="25" t="s">
        <v>4468</v>
      </c>
      <c r="C1355" s="68" t="s">
        <v>3067</v>
      </c>
      <c r="D1355" s="68" t="s">
        <v>3068</v>
      </c>
      <c r="E1355" s="48">
        <v>7920</v>
      </c>
      <c r="F1355" s="107">
        <v>164000</v>
      </c>
      <c r="G1355" s="48">
        <v>34440</v>
      </c>
      <c r="H1355" s="48">
        <v>206360</v>
      </c>
      <c r="I1355" s="28" t="s">
        <v>19</v>
      </c>
      <c r="J1355" s="43"/>
    </row>
    <row r="1356" spans="1:10" customFormat="1" ht="15" hidden="1" customHeight="1" x14ac:dyDescent="0.25">
      <c r="A1356" s="37">
        <v>45107</v>
      </c>
      <c r="B1356" s="25" t="s">
        <v>4469</v>
      </c>
      <c r="C1356" s="68" t="s">
        <v>3559</v>
      </c>
      <c r="D1356" s="68" t="s">
        <v>3560</v>
      </c>
      <c r="E1356" s="48">
        <v>1200</v>
      </c>
      <c r="F1356" s="107">
        <v>82000</v>
      </c>
      <c r="G1356" s="48">
        <v>17220</v>
      </c>
      <c r="H1356" s="48">
        <v>100420</v>
      </c>
      <c r="I1356" s="28" t="s">
        <v>19</v>
      </c>
      <c r="J1356" s="43"/>
    </row>
    <row r="1357" spans="1:10" customFormat="1" ht="15" hidden="1" customHeight="1" x14ac:dyDescent="0.25">
      <c r="A1357" s="37">
        <v>45107</v>
      </c>
      <c r="B1357" s="25" t="s">
        <v>4470</v>
      </c>
      <c r="C1357" s="68" t="s">
        <v>2960</v>
      </c>
      <c r="D1357" s="68" t="s">
        <v>2961</v>
      </c>
      <c r="E1357" s="48">
        <v>33200</v>
      </c>
      <c r="F1357" s="107">
        <v>285000</v>
      </c>
      <c r="G1357" s="48">
        <v>59850</v>
      </c>
      <c r="H1357" s="48">
        <v>378050</v>
      </c>
      <c r="I1357" s="28" t="s">
        <v>19</v>
      </c>
      <c r="J1357" s="43"/>
    </row>
    <row r="1358" spans="1:10" customFormat="1" ht="15" hidden="1" customHeight="1" x14ac:dyDescent="0.25">
      <c r="A1358" s="37">
        <v>45107</v>
      </c>
      <c r="B1358" s="25" t="s">
        <v>4471</v>
      </c>
      <c r="C1358" s="68" t="s">
        <v>2867</v>
      </c>
      <c r="D1358" s="68" t="s">
        <v>2868</v>
      </c>
      <c r="E1358" s="48">
        <v>11500</v>
      </c>
      <c r="F1358" s="107">
        <v>95000</v>
      </c>
      <c r="G1358" s="48">
        <v>19950</v>
      </c>
      <c r="H1358" s="48">
        <v>126450</v>
      </c>
      <c r="I1358" s="28" t="s">
        <v>19</v>
      </c>
      <c r="J1358" s="43"/>
    </row>
    <row r="1359" spans="1:10" customFormat="1" ht="15" hidden="1" customHeight="1" x14ac:dyDescent="0.25">
      <c r="A1359" s="37">
        <v>45107</v>
      </c>
      <c r="B1359" s="25" t="s">
        <v>4472</v>
      </c>
      <c r="C1359" s="68" t="s">
        <v>2867</v>
      </c>
      <c r="D1359" s="68" t="s">
        <v>2868</v>
      </c>
      <c r="E1359" s="48">
        <v>11500</v>
      </c>
      <c r="F1359" s="107">
        <v>95000</v>
      </c>
      <c r="G1359" s="48">
        <v>19950</v>
      </c>
      <c r="H1359" s="48">
        <v>126450</v>
      </c>
      <c r="I1359" s="28" t="s">
        <v>19</v>
      </c>
      <c r="J1359" s="43"/>
    </row>
    <row r="1360" spans="1:10" customFormat="1" ht="15" hidden="1" customHeight="1" x14ac:dyDescent="0.25">
      <c r="A1360" s="37">
        <v>45107</v>
      </c>
      <c r="B1360" s="25" t="s">
        <v>4473</v>
      </c>
      <c r="C1360" s="68" t="s">
        <v>2867</v>
      </c>
      <c r="D1360" s="68" t="s">
        <v>2868</v>
      </c>
      <c r="E1360" s="48">
        <v>11500</v>
      </c>
      <c r="F1360" s="107">
        <v>95000</v>
      </c>
      <c r="G1360" s="48">
        <v>19950</v>
      </c>
      <c r="H1360" s="48">
        <v>126450</v>
      </c>
      <c r="I1360" s="28" t="s">
        <v>19</v>
      </c>
      <c r="J1360" s="43"/>
    </row>
    <row r="1361" spans="1:10" customFormat="1" ht="15" hidden="1" customHeight="1" x14ac:dyDescent="0.25">
      <c r="A1361" s="37">
        <v>45107</v>
      </c>
      <c r="B1361" s="25" t="s">
        <v>4474</v>
      </c>
      <c r="C1361" s="68" t="s">
        <v>3450</v>
      </c>
      <c r="D1361" s="68" t="s">
        <v>3451</v>
      </c>
      <c r="E1361" s="48">
        <v>0</v>
      </c>
      <c r="F1361" s="107">
        <v>33000</v>
      </c>
      <c r="G1361" s="48">
        <v>6930</v>
      </c>
      <c r="H1361" s="48">
        <v>39930</v>
      </c>
      <c r="I1361" s="28" t="s">
        <v>19</v>
      </c>
      <c r="J1361" s="43"/>
    </row>
    <row r="1362" spans="1:10" customFormat="1" ht="15" hidden="1" customHeight="1" x14ac:dyDescent="0.25">
      <c r="A1362" s="37">
        <v>45107</v>
      </c>
      <c r="B1362" s="25" t="s">
        <v>4475</v>
      </c>
      <c r="C1362" s="68" t="s">
        <v>3888</v>
      </c>
      <c r="D1362" s="68" t="s">
        <v>3889</v>
      </c>
      <c r="E1362" s="48">
        <v>3161.4299999999898</v>
      </c>
      <c r="F1362" s="107">
        <v>63000</v>
      </c>
      <c r="G1362" s="48">
        <v>13230</v>
      </c>
      <c r="H1362" s="48">
        <v>79391.429999999993</v>
      </c>
      <c r="I1362" s="28" t="s">
        <v>19</v>
      </c>
      <c r="J1362" s="43"/>
    </row>
    <row r="1363" spans="1:10" customFormat="1" ht="15" hidden="1" customHeight="1" x14ac:dyDescent="0.25">
      <c r="A1363" s="37">
        <v>45107</v>
      </c>
      <c r="B1363" s="26" t="s">
        <v>4476</v>
      </c>
      <c r="C1363" s="26" t="s">
        <v>3160</v>
      </c>
      <c r="D1363" s="26" t="s">
        <v>3161</v>
      </c>
      <c r="E1363" s="27">
        <v>391116.1</v>
      </c>
      <c r="F1363" s="30">
        <v>4680000</v>
      </c>
      <c r="G1363" s="27">
        <v>982800</v>
      </c>
      <c r="H1363" s="27">
        <v>6053916.0999999996</v>
      </c>
      <c r="I1363" s="28" t="s">
        <v>19</v>
      </c>
      <c r="J1363" s="43"/>
    </row>
    <row r="1364" spans="1:10" customFormat="1" ht="15" hidden="1" customHeight="1" x14ac:dyDescent="0.25">
      <c r="A1364" s="37">
        <v>45107</v>
      </c>
      <c r="B1364" s="25" t="s">
        <v>4477</v>
      </c>
      <c r="C1364" s="68" t="s">
        <v>2898</v>
      </c>
      <c r="D1364" s="68" t="s">
        <v>2899</v>
      </c>
      <c r="E1364" s="48">
        <v>14043.48</v>
      </c>
      <c r="F1364" s="107">
        <v>557000</v>
      </c>
      <c r="G1364" s="48">
        <v>116970</v>
      </c>
      <c r="H1364" s="48">
        <v>688013.48</v>
      </c>
      <c r="I1364" s="28" t="s">
        <v>19</v>
      </c>
      <c r="J1364" s="43"/>
    </row>
    <row r="1365" spans="1:10" customFormat="1" ht="15" hidden="1" customHeight="1" x14ac:dyDescent="0.25">
      <c r="A1365" s="37">
        <v>45107</v>
      </c>
      <c r="B1365" s="25" t="s">
        <v>4478</v>
      </c>
      <c r="C1365" s="68" t="s">
        <v>2972</v>
      </c>
      <c r="D1365" s="68" t="s">
        <v>2973</v>
      </c>
      <c r="E1365" s="48">
        <v>9200</v>
      </c>
      <c r="F1365" s="107">
        <v>60000</v>
      </c>
      <c r="G1365" s="48">
        <v>12600</v>
      </c>
      <c r="H1365" s="48">
        <v>81800</v>
      </c>
      <c r="I1365" s="28" t="s">
        <v>19</v>
      </c>
      <c r="J1365" s="43"/>
    </row>
    <row r="1366" spans="1:10" customFormat="1" ht="15" hidden="1" customHeight="1" x14ac:dyDescent="0.25">
      <c r="A1366" s="37">
        <v>45107</v>
      </c>
      <c r="B1366" s="25" t="s">
        <v>4479</v>
      </c>
      <c r="C1366" s="68" t="s">
        <v>4480</v>
      </c>
      <c r="D1366" s="68" t="s">
        <v>4481</v>
      </c>
      <c r="E1366" s="48">
        <v>8958</v>
      </c>
      <c r="F1366" s="107">
        <v>93000</v>
      </c>
      <c r="G1366" s="48">
        <v>19530</v>
      </c>
      <c r="H1366" s="48">
        <v>121488</v>
      </c>
      <c r="I1366" s="28" t="s">
        <v>19</v>
      </c>
      <c r="J1366" s="43"/>
    </row>
    <row r="1367" spans="1:10" customFormat="1" ht="15" hidden="1" customHeight="1" x14ac:dyDescent="0.25">
      <c r="A1367" s="37">
        <v>45107</v>
      </c>
      <c r="B1367" s="25" t="s">
        <v>4482</v>
      </c>
      <c r="C1367" s="68" t="s">
        <v>3033</v>
      </c>
      <c r="D1367" s="68" t="s">
        <v>3034</v>
      </c>
      <c r="E1367" s="48">
        <v>9831.98</v>
      </c>
      <c r="F1367" s="107">
        <v>81000</v>
      </c>
      <c r="G1367" s="48">
        <v>17010</v>
      </c>
      <c r="H1367" s="48">
        <v>107841.98</v>
      </c>
      <c r="I1367" s="28" t="s">
        <v>19</v>
      </c>
      <c r="J1367" s="43"/>
    </row>
    <row r="1368" spans="1:10" customFormat="1" ht="15" hidden="1" customHeight="1" x14ac:dyDescent="0.25">
      <c r="A1368" s="37">
        <v>45107</v>
      </c>
      <c r="B1368" s="25" t="s">
        <v>4483</v>
      </c>
      <c r="C1368" s="68" t="s">
        <v>3559</v>
      </c>
      <c r="D1368" s="68" t="s">
        <v>3560</v>
      </c>
      <c r="E1368" s="48">
        <v>3768.57</v>
      </c>
      <c r="F1368" s="107">
        <v>63000</v>
      </c>
      <c r="G1368" s="48">
        <v>13230</v>
      </c>
      <c r="H1368" s="48">
        <v>79998.570000000007</v>
      </c>
      <c r="I1368" s="28" t="s">
        <v>19</v>
      </c>
      <c r="J1368" s="43"/>
    </row>
    <row r="1369" spans="1:10" customFormat="1" ht="15" hidden="1" customHeight="1" x14ac:dyDescent="0.25">
      <c r="A1369" s="37">
        <v>45107</v>
      </c>
      <c r="B1369" s="25" t="s">
        <v>4484</v>
      </c>
      <c r="C1369" s="68" t="s">
        <v>3176</v>
      </c>
      <c r="D1369" s="68" t="s">
        <v>3177</v>
      </c>
      <c r="E1369" s="48">
        <v>17607.72</v>
      </c>
      <c r="F1369" s="107">
        <v>162000</v>
      </c>
      <c r="G1369" s="48">
        <v>34020</v>
      </c>
      <c r="H1369" s="48">
        <v>213627.72</v>
      </c>
      <c r="I1369" s="28" t="s">
        <v>19</v>
      </c>
      <c r="J1369" s="43"/>
    </row>
    <row r="1370" spans="1:10" customFormat="1" ht="15" hidden="1" customHeight="1" x14ac:dyDescent="0.25">
      <c r="A1370" s="37">
        <v>45107</v>
      </c>
      <c r="B1370" s="25" t="s">
        <v>4485</v>
      </c>
      <c r="C1370" s="68" t="s">
        <v>2972</v>
      </c>
      <c r="D1370" s="68" t="s">
        <v>2973</v>
      </c>
      <c r="E1370" s="48">
        <v>3720</v>
      </c>
      <c r="F1370" s="107">
        <v>62000</v>
      </c>
      <c r="G1370" s="48">
        <v>13020</v>
      </c>
      <c r="H1370" s="48">
        <v>78740</v>
      </c>
      <c r="I1370" s="28" t="s">
        <v>19</v>
      </c>
      <c r="J1370" s="43"/>
    </row>
    <row r="1371" spans="1:10" customFormat="1" ht="15" hidden="1" customHeight="1" x14ac:dyDescent="0.25">
      <c r="A1371" s="37">
        <v>45107</v>
      </c>
      <c r="B1371" s="25" t="s">
        <v>4486</v>
      </c>
      <c r="C1371" s="68" t="s">
        <v>3235</v>
      </c>
      <c r="D1371" s="68" t="s">
        <v>3236</v>
      </c>
      <c r="E1371" s="48">
        <v>3720</v>
      </c>
      <c r="F1371" s="107">
        <v>82000</v>
      </c>
      <c r="G1371" s="48">
        <v>17220</v>
      </c>
      <c r="H1371" s="48">
        <v>102940</v>
      </c>
      <c r="I1371" s="28" t="s">
        <v>19</v>
      </c>
      <c r="J1371" s="43"/>
    </row>
    <row r="1372" spans="1:10" customFormat="1" ht="15" hidden="1" customHeight="1" x14ac:dyDescent="0.25">
      <c r="A1372" s="37">
        <v>45107</v>
      </c>
      <c r="B1372" s="25" t="s">
        <v>4487</v>
      </c>
      <c r="C1372" s="68" t="s">
        <v>4172</v>
      </c>
      <c r="D1372" s="68" t="s">
        <v>4173</v>
      </c>
      <c r="E1372" s="48">
        <v>1820</v>
      </c>
      <c r="F1372" s="107">
        <v>52000</v>
      </c>
      <c r="G1372" s="48">
        <v>10920</v>
      </c>
      <c r="H1372" s="48">
        <v>64740</v>
      </c>
      <c r="I1372" s="28" t="s">
        <v>19</v>
      </c>
      <c r="J1372" s="43"/>
    </row>
    <row r="1373" spans="1:10" customFormat="1" ht="15" hidden="1" customHeight="1" x14ac:dyDescent="0.25">
      <c r="A1373" s="37">
        <v>45107</v>
      </c>
      <c r="B1373" s="25" t="s">
        <v>4488</v>
      </c>
      <c r="C1373" s="68" t="s">
        <v>2856</v>
      </c>
      <c r="D1373" s="68" t="s">
        <v>2857</v>
      </c>
      <c r="E1373" s="48">
        <v>1820</v>
      </c>
      <c r="F1373" s="107">
        <v>62000</v>
      </c>
      <c r="G1373" s="48">
        <v>13020</v>
      </c>
      <c r="H1373" s="48">
        <v>76840</v>
      </c>
      <c r="I1373" s="28" t="s">
        <v>19</v>
      </c>
      <c r="J1373" s="43"/>
    </row>
    <row r="1374" spans="1:10" customFormat="1" ht="15" hidden="1" customHeight="1" x14ac:dyDescent="0.25">
      <c r="A1374" s="37">
        <v>45107</v>
      </c>
      <c r="B1374" s="25" t="s">
        <v>4489</v>
      </c>
      <c r="C1374" s="68" t="s">
        <v>3083</v>
      </c>
      <c r="D1374" s="68" t="s">
        <v>3084</v>
      </c>
      <c r="E1374" s="48">
        <v>18400</v>
      </c>
      <c r="F1374" s="107">
        <v>180000</v>
      </c>
      <c r="G1374" s="48">
        <v>37800</v>
      </c>
      <c r="H1374" s="48">
        <v>236200</v>
      </c>
      <c r="I1374" s="28" t="s">
        <v>19</v>
      </c>
      <c r="J1374" s="43"/>
    </row>
    <row r="1375" spans="1:10" customFormat="1" ht="15" hidden="1" customHeight="1" x14ac:dyDescent="0.25">
      <c r="A1375" s="37">
        <v>45107</v>
      </c>
      <c r="B1375" s="25" t="s">
        <v>4490</v>
      </c>
      <c r="C1375" s="68" t="s">
        <v>2867</v>
      </c>
      <c r="D1375" s="68" t="s">
        <v>2868</v>
      </c>
      <c r="E1375" s="48">
        <v>13373.58</v>
      </c>
      <c r="F1375" s="107">
        <v>93000</v>
      </c>
      <c r="G1375" s="48">
        <v>19530</v>
      </c>
      <c r="H1375" s="48">
        <v>125903.58</v>
      </c>
      <c r="I1375" s="28" t="s">
        <v>19</v>
      </c>
      <c r="J1375" s="43"/>
    </row>
    <row r="1376" spans="1:10" customFormat="1" ht="15" hidden="1" customHeight="1" x14ac:dyDescent="0.25">
      <c r="A1376" s="37">
        <v>45107</v>
      </c>
      <c r="B1376" s="25" t="s">
        <v>4491</v>
      </c>
      <c r="C1376" s="68" t="s">
        <v>2867</v>
      </c>
      <c r="D1376" s="68" t="s">
        <v>2868</v>
      </c>
      <c r="E1376" s="48">
        <v>13373.58</v>
      </c>
      <c r="F1376" s="107">
        <v>93000</v>
      </c>
      <c r="G1376" s="48">
        <v>19530</v>
      </c>
      <c r="H1376" s="48">
        <v>125903.58</v>
      </c>
      <c r="I1376" s="28" t="s">
        <v>19</v>
      </c>
      <c r="J1376" s="43"/>
    </row>
    <row r="1377" spans="1:10" customFormat="1" ht="15" hidden="1" customHeight="1" x14ac:dyDescent="0.25">
      <c r="A1377" s="37">
        <v>45107</v>
      </c>
      <c r="B1377" s="25" t="s">
        <v>4492</v>
      </c>
      <c r="C1377" s="68" t="s">
        <v>4059</v>
      </c>
      <c r="D1377" s="68" t="s">
        <v>4060</v>
      </c>
      <c r="E1377" s="48">
        <v>6060.05</v>
      </c>
      <c r="F1377" s="107">
        <v>82000</v>
      </c>
      <c r="G1377" s="48">
        <v>17220</v>
      </c>
      <c r="H1377" s="48">
        <v>105280.05</v>
      </c>
      <c r="I1377" s="28" t="s">
        <v>19</v>
      </c>
      <c r="J1377" s="43"/>
    </row>
    <row r="1378" spans="1:10" customFormat="1" ht="15" hidden="1" customHeight="1" x14ac:dyDescent="0.25">
      <c r="A1378" s="37">
        <v>45107</v>
      </c>
      <c r="B1378" s="25" t="s">
        <v>4493</v>
      </c>
      <c r="C1378" s="68" t="s">
        <v>3014</v>
      </c>
      <c r="D1378" s="68" t="s">
        <v>3015</v>
      </c>
      <c r="E1378" s="48">
        <v>14697.44</v>
      </c>
      <c r="F1378" s="107">
        <v>124000</v>
      </c>
      <c r="G1378" s="48">
        <v>26040</v>
      </c>
      <c r="H1378" s="48">
        <v>164737.44</v>
      </c>
      <c r="I1378" s="28" t="s">
        <v>19</v>
      </c>
      <c r="J1378" s="43"/>
    </row>
    <row r="1379" spans="1:10" customFormat="1" ht="15" hidden="1" customHeight="1" x14ac:dyDescent="0.25">
      <c r="A1379" s="37">
        <v>45107</v>
      </c>
      <c r="B1379" s="25" t="s">
        <v>4494</v>
      </c>
      <c r="C1379" s="68" t="s">
        <v>3096</v>
      </c>
      <c r="D1379" s="68" t="s">
        <v>3097</v>
      </c>
      <c r="E1379" s="48">
        <v>6828.32</v>
      </c>
      <c r="F1379" s="107">
        <v>155000</v>
      </c>
      <c r="G1379" s="48">
        <v>32550</v>
      </c>
      <c r="H1379" s="48">
        <v>194378.32</v>
      </c>
      <c r="I1379" s="28" t="s">
        <v>19</v>
      </c>
      <c r="J1379" s="43"/>
    </row>
    <row r="1380" spans="1:10" customFormat="1" ht="15" hidden="1" customHeight="1" x14ac:dyDescent="0.25">
      <c r="A1380" s="37">
        <v>45107</v>
      </c>
      <c r="B1380" s="25" t="s">
        <v>4495</v>
      </c>
      <c r="C1380" s="68" t="s">
        <v>4496</v>
      </c>
      <c r="D1380" s="68" t="s">
        <v>4497</v>
      </c>
      <c r="E1380" s="48">
        <v>0</v>
      </c>
      <c r="F1380" s="107">
        <v>60000</v>
      </c>
      <c r="G1380" s="48">
        <v>12600</v>
      </c>
      <c r="H1380" s="48">
        <v>72600</v>
      </c>
      <c r="I1380" s="28" t="s">
        <v>19</v>
      </c>
      <c r="J1380" s="43"/>
    </row>
    <row r="1381" spans="1:10" customFormat="1" ht="15" hidden="1" customHeight="1" x14ac:dyDescent="0.25">
      <c r="A1381" s="37">
        <v>45107</v>
      </c>
      <c r="B1381" s="25" t="s">
        <v>4498</v>
      </c>
      <c r="C1381" s="68" t="s">
        <v>2870</v>
      </c>
      <c r="D1381" s="68" t="s">
        <v>2871</v>
      </c>
      <c r="E1381" s="48">
        <v>8574.20999999999</v>
      </c>
      <c r="F1381" s="107">
        <v>54000</v>
      </c>
      <c r="G1381" s="48">
        <v>11340</v>
      </c>
      <c r="H1381" s="48">
        <v>73914.209999999992</v>
      </c>
      <c r="I1381" s="28" t="s">
        <v>19</v>
      </c>
      <c r="J1381" s="43"/>
    </row>
    <row r="1382" spans="1:10" customFormat="1" ht="15" hidden="1" customHeight="1" x14ac:dyDescent="0.25">
      <c r="A1382" s="37">
        <v>45107</v>
      </c>
      <c r="B1382" s="25" t="s">
        <v>4499</v>
      </c>
      <c r="C1382" s="68" t="s">
        <v>2906</v>
      </c>
      <c r="D1382" s="68" t="s">
        <v>2907</v>
      </c>
      <c r="E1382" s="48">
        <v>6080</v>
      </c>
      <c r="F1382" s="107">
        <v>60000</v>
      </c>
      <c r="G1382" s="48">
        <v>12600</v>
      </c>
      <c r="H1382" s="48">
        <v>78680</v>
      </c>
      <c r="I1382" s="28" t="s">
        <v>19</v>
      </c>
      <c r="J1382" s="43"/>
    </row>
    <row r="1383" spans="1:10" customFormat="1" ht="15" hidden="1" customHeight="1" x14ac:dyDescent="0.25">
      <c r="A1383" s="37">
        <v>45107</v>
      </c>
      <c r="B1383" s="25" t="s">
        <v>4500</v>
      </c>
      <c r="C1383" s="68" t="s">
        <v>4501</v>
      </c>
      <c r="D1383" s="68" t="s">
        <v>4502</v>
      </c>
      <c r="E1383" s="48">
        <v>6080</v>
      </c>
      <c r="F1383" s="107">
        <v>94800</v>
      </c>
      <c r="G1383" s="48">
        <v>19908</v>
      </c>
      <c r="H1383" s="48">
        <v>120788</v>
      </c>
      <c r="I1383" s="28" t="s">
        <v>19</v>
      </c>
      <c r="J1383" s="43"/>
    </row>
    <row r="1384" spans="1:10" customFormat="1" ht="15" hidden="1" customHeight="1" x14ac:dyDescent="0.25">
      <c r="A1384" s="37">
        <v>45107</v>
      </c>
      <c r="B1384" s="25" t="s">
        <v>4503</v>
      </c>
      <c r="C1384" s="68" t="s">
        <v>3083</v>
      </c>
      <c r="D1384" s="68" t="s">
        <v>3084</v>
      </c>
      <c r="E1384" s="48">
        <v>24320</v>
      </c>
      <c r="F1384" s="107">
        <v>360000</v>
      </c>
      <c r="G1384" s="48">
        <v>75600</v>
      </c>
      <c r="H1384" s="48">
        <v>459920</v>
      </c>
      <c r="I1384" s="28" t="s">
        <v>19</v>
      </c>
      <c r="J1384" s="43"/>
    </row>
    <row r="1385" spans="1:10" customFormat="1" ht="15" hidden="1" customHeight="1" x14ac:dyDescent="0.25">
      <c r="A1385" s="37">
        <v>45107</v>
      </c>
      <c r="B1385" s="25" t="s">
        <v>4504</v>
      </c>
      <c r="C1385" s="68" t="s">
        <v>4059</v>
      </c>
      <c r="D1385" s="68" t="s">
        <v>4060</v>
      </c>
      <c r="E1385" s="48">
        <v>6080</v>
      </c>
      <c r="F1385" s="107">
        <v>60000</v>
      </c>
      <c r="G1385" s="48">
        <v>12600</v>
      </c>
      <c r="H1385" s="48">
        <v>78680</v>
      </c>
      <c r="I1385" s="28" t="s">
        <v>19</v>
      </c>
      <c r="J1385" s="43"/>
    </row>
    <row r="1386" spans="1:10" customFormat="1" ht="15" hidden="1" customHeight="1" x14ac:dyDescent="0.25">
      <c r="A1386" s="37">
        <v>45107</v>
      </c>
      <c r="B1386" s="25" t="s">
        <v>4505</v>
      </c>
      <c r="C1386" s="68" t="s">
        <v>3450</v>
      </c>
      <c r="D1386" s="68" t="s">
        <v>3451</v>
      </c>
      <c r="E1386" s="48">
        <v>4080</v>
      </c>
      <c r="F1386" s="107">
        <v>90000</v>
      </c>
      <c r="G1386" s="48">
        <v>18900</v>
      </c>
      <c r="H1386" s="48">
        <v>112980</v>
      </c>
      <c r="I1386" s="28" t="s">
        <v>19</v>
      </c>
      <c r="J1386" s="43"/>
    </row>
    <row r="1387" spans="1:10" customFormat="1" ht="15" hidden="1" customHeight="1" x14ac:dyDescent="0.25">
      <c r="A1387" s="37">
        <v>45107</v>
      </c>
      <c r="B1387" s="25" t="s">
        <v>4506</v>
      </c>
      <c r="C1387" s="68" t="s">
        <v>2972</v>
      </c>
      <c r="D1387" s="68" t="s">
        <v>2973</v>
      </c>
      <c r="E1387" s="48">
        <v>26880</v>
      </c>
      <c r="F1387" s="107">
        <v>551600</v>
      </c>
      <c r="G1387" s="48">
        <v>115836</v>
      </c>
      <c r="H1387" s="48">
        <v>694316</v>
      </c>
      <c r="I1387" s="28" t="s">
        <v>19</v>
      </c>
      <c r="J1387" s="43"/>
    </row>
    <row r="1388" spans="1:10" customFormat="1" ht="15" hidden="1" customHeight="1" x14ac:dyDescent="0.25">
      <c r="A1388" s="37">
        <v>45107</v>
      </c>
      <c r="B1388" s="25" t="s">
        <v>4507</v>
      </c>
      <c r="C1388" s="68" t="s">
        <v>2856</v>
      </c>
      <c r="D1388" s="68" t="s">
        <v>2857</v>
      </c>
      <c r="E1388" s="48">
        <v>14800</v>
      </c>
      <c r="F1388" s="107">
        <v>146400</v>
      </c>
      <c r="G1388" s="48">
        <v>30744</v>
      </c>
      <c r="H1388" s="48">
        <v>191944</v>
      </c>
      <c r="I1388" s="28" t="s">
        <v>19</v>
      </c>
      <c r="J1388" s="43"/>
    </row>
    <row r="1389" spans="1:10" customFormat="1" ht="15" hidden="1" customHeight="1" x14ac:dyDescent="0.25">
      <c r="A1389" s="37">
        <v>45107</v>
      </c>
      <c r="B1389" s="25" t="s">
        <v>4508</v>
      </c>
      <c r="C1389" s="68" t="s">
        <v>2856</v>
      </c>
      <c r="D1389" s="68" t="s">
        <v>2857</v>
      </c>
      <c r="E1389" s="48">
        <v>7500</v>
      </c>
      <c r="F1389" s="107">
        <v>146400</v>
      </c>
      <c r="G1389" s="48">
        <v>30744</v>
      </c>
      <c r="H1389" s="48">
        <v>184644</v>
      </c>
      <c r="I1389" s="28" t="s">
        <v>19</v>
      </c>
      <c r="J1389" s="43"/>
    </row>
    <row r="1390" spans="1:10" customFormat="1" ht="15" hidden="1" customHeight="1" x14ac:dyDescent="0.25">
      <c r="A1390" s="37">
        <v>45107</v>
      </c>
      <c r="B1390" s="25" t="s">
        <v>4509</v>
      </c>
      <c r="C1390" s="68" t="s">
        <v>3014</v>
      </c>
      <c r="D1390" s="68" t="s">
        <v>3015</v>
      </c>
      <c r="E1390" s="48">
        <v>4320</v>
      </c>
      <c r="F1390" s="107">
        <v>240000</v>
      </c>
      <c r="G1390" s="48">
        <v>50400</v>
      </c>
      <c r="H1390" s="48">
        <v>294720</v>
      </c>
      <c r="I1390" s="28" t="s">
        <v>19</v>
      </c>
      <c r="J1390" s="43"/>
    </row>
    <row r="1391" spans="1:10" customFormat="1" ht="15" hidden="1" customHeight="1" x14ac:dyDescent="0.25">
      <c r="A1391" s="37">
        <v>45107</v>
      </c>
      <c r="B1391" s="25" t="s">
        <v>4510</v>
      </c>
      <c r="C1391" s="68" t="s">
        <v>4144</v>
      </c>
      <c r="D1391" s="68" t="s">
        <v>4145</v>
      </c>
      <c r="E1391" s="48">
        <v>4800</v>
      </c>
      <c r="F1391" s="107">
        <v>60000</v>
      </c>
      <c r="G1391" s="48">
        <v>12600</v>
      </c>
      <c r="H1391" s="48">
        <v>77400</v>
      </c>
      <c r="I1391" s="28" t="s">
        <v>19</v>
      </c>
      <c r="J1391" s="43"/>
    </row>
    <row r="1392" spans="1:10" customFormat="1" ht="15" hidden="1" customHeight="1" x14ac:dyDescent="0.25">
      <c r="A1392" s="37">
        <v>45107</v>
      </c>
      <c r="B1392" s="25" t="s">
        <v>4511</v>
      </c>
      <c r="C1392" s="68" t="s">
        <v>2972</v>
      </c>
      <c r="D1392" s="68" t="s">
        <v>2973</v>
      </c>
      <c r="E1392" s="48">
        <v>7920</v>
      </c>
      <c r="F1392" s="107">
        <v>164000</v>
      </c>
      <c r="G1392" s="48">
        <v>34440</v>
      </c>
      <c r="H1392" s="48">
        <v>206360</v>
      </c>
      <c r="I1392" s="28" t="s">
        <v>19</v>
      </c>
      <c r="J1392" s="43"/>
    </row>
    <row r="1393" spans="1:10" customFormat="1" ht="15" hidden="1" customHeight="1" x14ac:dyDescent="0.25">
      <c r="A1393" s="40">
        <v>45107</v>
      </c>
      <c r="B1393" s="47" t="s">
        <v>4512</v>
      </c>
      <c r="C1393" s="47" t="s">
        <v>3272</v>
      </c>
      <c r="D1393" s="47" t="s">
        <v>3273</v>
      </c>
      <c r="E1393" s="48">
        <v>4840</v>
      </c>
      <c r="F1393" s="107">
        <v>109800</v>
      </c>
      <c r="G1393" s="48">
        <v>23058</v>
      </c>
      <c r="H1393" s="48">
        <v>137698</v>
      </c>
      <c r="I1393" s="41" t="s">
        <v>19</v>
      </c>
      <c r="J1393" s="49"/>
    </row>
    <row r="1394" spans="1:10" customFormat="1" ht="15" hidden="1" customHeight="1" x14ac:dyDescent="0.25">
      <c r="A1394" s="37">
        <v>45107</v>
      </c>
      <c r="B1394" s="25" t="s">
        <v>4513</v>
      </c>
      <c r="C1394" s="68" t="s">
        <v>2909</v>
      </c>
      <c r="D1394" s="68" t="s">
        <v>2910</v>
      </c>
      <c r="E1394" s="48">
        <v>7920</v>
      </c>
      <c r="F1394" s="107">
        <v>123000</v>
      </c>
      <c r="G1394" s="48">
        <v>25830</v>
      </c>
      <c r="H1394" s="48">
        <v>156750</v>
      </c>
      <c r="I1394" s="28" t="s">
        <v>19</v>
      </c>
      <c r="J1394" s="43"/>
    </row>
    <row r="1395" spans="1:10" customFormat="1" ht="15" hidden="1" customHeight="1" x14ac:dyDescent="0.25">
      <c r="A1395" s="37">
        <v>45107</v>
      </c>
      <c r="B1395" s="25" t="s">
        <v>4514</v>
      </c>
      <c r="C1395" s="68" t="s">
        <v>3290</v>
      </c>
      <c r="D1395" s="68" t="s">
        <v>3291</v>
      </c>
      <c r="E1395" s="48">
        <v>29040</v>
      </c>
      <c r="F1395" s="107">
        <v>394800</v>
      </c>
      <c r="G1395" s="48">
        <v>82908</v>
      </c>
      <c r="H1395" s="48">
        <v>506748</v>
      </c>
      <c r="I1395" s="28" t="s">
        <v>19</v>
      </c>
      <c r="J1395" s="43"/>
    </row>
    <row r="1396" spans="1:10" customFormat="1" ht="15" hidden="1" customHeight="1" x14ac:dyDescent="0.25">
      <c r="A1396" s="37">
        <v>45107</v>
      </c>
      <c r="B1396" s="25" t="s">
        <v>4515</v>
      </c>
      <c r="C1396" s="68" t="s">
        <v>3241</v>
      </c>
      <c r="D1396" s="68" t="s">
        <v>3242</v>
      </c>
      <c r="E1396" s="48">
        <v>14000</v>
      </c>
      <c r="F1396" s="107">
        <v>109800</v>
      </c>
      <c r="G1396" s="48">
        <v>23058</v>
      </c>
      <c r="H1396" s="48">
        <v>146858</v>
      </c>
      <c r="I1396" s="28" t="s">
        <v>19</v>
      </c>
      <c r="J1396" s="43"/>
    </row>
    <row r="1397" spans="1:10" customFormat="1" ht="15" hidden="1" customHeight="1" x14ac:dyDescent="0.25">
      <c r="A1397" s="37">
        <v>45107</v>
      </c>
      <c r="B1397" s="25" t="s">
        <v>4516</v>
      </c>
      <c r="C1397" s="68" t="s">
        <v>4293</v>
      </c>
      <c r="D1397" s="68" t="s">
        <v>4294</v>
      </c>
      <c r="E1397" s="48">
        <v>21000</v>
      </c>
      <c r="F1397" s="107">
        <v>164500</v>
      </c>
      <c r="G1397" s="48">
        <v>34545</v>
      </c>
      <c r="H1397" s="48">
        <v>220045</v>
      </c>
      <c r="I1397" s="28" t="s">
        <v>19</v>
      </c>
      <c r="J1397" s="43"/>
    </row>
    <row r="1398" spans="1:10" customFormat="1" ht="15" hidden="1" customHeight="1" x14ac:dyDescent="0.25">
      <c r="A1398" s="37">
        <v>45107</v>
      </c>
      <c r="B1398" s="25" t="s">
        <v>4517</v>
      </c>
      <c r="C1398" s="68" t="s">
        <v>2867</v>
      </c>
      <c r="D1398" s="68" t="s">
        <v>2868</v>
      </c>
      <c r="E1398" s="48">
        <v>29828</v>
      </c>
      <c r="F1398" s="107">
        <v>528000</v>
      </c>
      <c r="G1398" s="48">
        <v>110880</v>
      </c>
      <c r="H1398" s="48">
        <v>668708</v>
      </c>
      <c r="I1398" s="28" t="s">
        <v>19</v>
      </c>
      <c r="J1398" s="43"/>
    </row>
    <row r="1399" spans="1:10" customFormat="1" ht="15" hidden="1" customHeight="1" x14ac:dyDescent="0.25">
      <c r="A1399" s="37">
        <v>45107</v>
      </c>
      <c r="B1399" s="25" t="s">
        <v>4518</v>
      </c>
      <c r="C1399" s="68" t="s">
        <v>2960</v>
      </c>
      <c r="D1399" s="68" t="s">
        <v>2961</v>
      </c>
      <c r="E1399" s="48">
        <v>4840</v>
      </c>
      <c r="F1399" s="107">
        <v>82000</v>
      </c>
      <c r="G1399" s="48">
        <v>17220</v>
      </c>
      <c r="H1399" s="48">
        <v>104060</v>
      </c>
      <c r="I1399" s="28" t="s">
        <v>19</v>
      </c>
      <c r="J1399" s="43"/>
    </row>
    <row r="1400" spans="1:10" customFormat="1" ht="15" hidden="1" customHeight="1" x14ac:dyDescent="0.25">
      <c r="A1400" s="37">
        <v>45107</v>
      </c>
      <c r="B1400" s="25" t="s">
        <v>4519</v>
      </c>
      <c r="C1400" s="68" t="s">
        <v>4059</v>
      </c>
      <c r="D1400" s="68" t="s">
        <v>4060</v>
      </c>
      <c r="E1400" s="48">
        <v>6080</v>
      </c>
      <c r="F1400" s="107">
        <v>60000</v>
      </c>
      <c r="G1400" s="48">
        <v>12600</v>
      </c>
      <c r="H1400" s="48">
        <v>78680</v>
      </c>
      <c r="I1400" s="28" t="s">
        <v>19</v>
      </c>
      <c r="J1400" s="43"/>
    </row>
    <row r="1401" spans="1:10" customFormat="1" ht="15" hidden="1" customHeight="1" x14ac:dyDescent="0.25">
      <c r="A1401" s="37">
        <v>45107</v>
      </c>
      <c r="B1401" s="25" t="s">
        <v>4520</v>
      </c>
      <c r="C1401" s="68" t="s">
        <v>4059</v>
      </c>
      <c r="D1401" s="68" t="s">
        <v>4060</v>
      </c>
      <c r="E1401" s="48">
        <v>6080</v>
      </c>
      <c r="F1401" s="107">
        <v>60000</v>
      </c>
      <c r="G1401" s="48">
        <v>12600</v>
      </c>
      <c r="H1401" s="48">
        <v>78680</v>
      </c>
      <c r="I1401" s="28" t="s">
        <v>19</v>
      </c>
      <c r="J1401" s="43"/>
    </row>
    <row r="1402" spans="1:10" customFormat="1" ht="15" hidden="1" customHeight="1" x14ac:dyDescent="0.25">
      <c r="A1402" s="37">
        <v>45107</v>
      </c>
      <c r="B1402" s="25" t="s">
        <v>4521</v>
      </c>
      <c r="C1402" s="68" t="s">
        <v>4059</v>
      </c>
      <c r="D1402" s="68" t="s">
        <v>4060</v>
      </c>
      <c r="E1402" s="48">
        <v>6080</v>
      </c>
      <c r="F1402" s="107">
        <v>60000</v>
      </c>
      <c r="G1402" s="48">
        <v>12600</v>
      </c>
      <c r="H1402" s="48">
        <v>78680</v>
      </c>
      <c r="I1402" s="28" t="s">
        <v>19</v>
      </c>
      <c r="J1402" s="43"/>
    </row>
    <row r="1403" spans="1:10" customFormat="1" ht="15" hidden="1" customHeight="1" x14ac:dyDescent="0.25">
      <c r="A1403" s="37">
        <v>45107</v>
      </c>
      <c r="B1403" s="25" t="s">
        <v>4522</v>
      </c>
      <c r="C1403" s="68" t="s">
        <v>2867</v>
      </c>
      <c r="D1403" s="68" t="s">
        <v>2868</v>
      </c>
      <c r="E1403" s="48">
        <v>13373.98</v>
      </c>
      <c r="F1403" s="107">
        <v>95000</v>
      </c>
      <c r="G1403" s="48">
        <v>19950</v>
      </c>
      <c r="H1403" s="48">
        <v>128323.98</v>
      </c>
      <c r="I1403" s="28" t="s">
        <v>19</v>
      </c>
      <c r="J1403" s="43"/>
    </row>
    <row r="1404" spans="1:10" customFormat="1" ht="15" hidden="1" customHeight="1" x14ac:dyDescent="0.25">
      <c r="A1404" s="37">
        <v>45107</v>
      </c>
      <c r="B1404" s="25" t="s">
        <v>4523</v>
      </c>
      <c r="C1404" s="68" t="s">
        <v>2867</v>
      </c>
      <c r="D1404" s="68" t="s">
        <v>2868</v>
      </c>
      <c r="E1404" s="48">
        <v>4960</v>
      </c>
      <c r="F1404" s="107">
        <v>420000</v>
      </c>
      <c r="G1404" s="48">
        <v>88200</v>
      </c>
      <c r="H1404" s="48">
        <v>513160</v>
      </c>
      <c r="I1404" s="28" t="s">
        <v>19</v>
      </c>
      <c r="J1404" s="43"/>
    </row>
    <row r="1405" spans="1:10" customFormat="1" ht="15" hidden="1" customHeight="1" x14ac:dyDescent="0.25">
      <c r="A1405" s="37">
        <v>45107</v>
      </c>
      <c r="B1405" s="25" t="s">
        <v>4524</v>
      </c>
      <c r="C1405" s="68" t="s">
        <v>3083</v>
      </c>
      <c r="D1405" s="68" t="s">
        <v>3084</v>
      </c>
      <c r="E1405" s="48">
        <v>25330</v>
      </c>
      <c r="F1405" s="107">
        <v>180000</v>
      </c>
      <c r="G1405" s="48">
        <v>37800</v>
      </c>
      <c r="H1405" s="48">
        <v>243130</v>
      </c>
      <c r="I1405" s="28" t="s">
        <v>19</v>
      </c>
      <c r="J1405" s="43"/>
    </row>
    <row r="1406" spans="1:10" customFormat="1" ht="15" hidden="1" customHeight="1" x14ac:dyDescent="0.25">
      <c r="A1406" s="37">
        <v>45107</v>
      </c>
      <c r="B1406" s="25" t="s">
        <v>4525</v>
      </c>
      <c r="C1406" s="68" t="s">
        <v>2909</v>
      </c>
      <c r="D1406" s="68" t="s">
        <v>2910</v>
      </c>
      <c r="E1406" s="48">
        <v>5800</v>
      </c>
      <c r="F1406" s="107">
        <v>164000</v>
      </c>
      <c r="G1406" s="48">
        <v>34440</v>
      </c>
      <c r="H1406" s="48">
        <v>204240</v>
      </c>
      <c r="I1406" s="28" t="s">
        <v>19</v>
      </c>
      <c r="J1406" s="43"/>
    </row>
    <row r="1407" spans="1:10" customFormat="1" ht="15" hidden="1" customHeight="1" x14ac:dyDescent="0.25">
      <c r="A1407" s="37">
        <v>45107</v>
      </c>
      <c r="B1407" s="25" t="s">
        <v>4526</v>
      </c>
      <c r="C1407" s="68" t="s">
        <v>2867</v>
      </c>
      <c r="D1407" s="68" t="s">
        <v>2868</v>
      </c>
      <c r="E1407" s="48">
        <v>20000</v>
      </c>
      <c r="F1407" s="107">
        <v>535680</v>
      </c>
      <c r="G1407" s="48">
        <v>112492.8</v>
      </c>
      <c r="H1407" s="48">
        <v>668172.80000000005</v>
      </c>
      <c r="I1407" s="28" t="s">
        <v>19</v>
      </c>
      <c r="J1407" s="43"/>
    </row>
    <row r="1408" spans="1:10" customFormat="1" ht="15" hidden="1" customHeight="1" x14ac:dyDescent="0.25">
      <c r="A1408" s="57">
        <v>45107</v>
      </c>
      <c r="B1408" s="139" t="s">
        <v>4527</v>
      </c>
      <c r="C1408" s="139" t="s">
        <v>3132</v>
      </c>
      <c r="D1408" s="139" t="s">
        <v>3133</v>
      </c>
      <c r="E1408" s="140">
        <v>0</v>
      </c>
      <c r="F1408" s="141">
        <v>408600</v>
      </c>
      <c r="G1408" s="140">
        <v>85806</v>
      </c>
      <c r="H1408" s="140">
        <v>494406</v>
      </c>
      <c r="I1408" s="59" t="s">
        <v>103</v>
      </c>
      <c r="J1408" s="43"/>
    </row>
    <row r="1409" spans="1:10" ht="15" hidden="1" customHeight="1" x14ac:dyDescent="0.25">
      <c r="A1409" s="127">
        <v>45107</v>
      </c>
      <c r="B1409" s="128" t="s">
        <v>4528</v>
      </c>
      <c r="C1409" s="128" t="s">
        <v>2895</v>
      </c>
      <c r="D1409" s="128" t="s">
        <v>2896</v>
      </c>
      <c r="E1409" s="129">
        <v>0</v>
      </c>
      <c r="F1409" s="130">
        <v>300760</v>
      </c>
      <c r="G1409" s="129">
        <v>63159.6</v>
      </c>
      <c r="H1409" s="129">
        <v>363919.6</v>
      </c>
      <c r="I1409" s="121" t="s">
        <v>103</v>
      </c>
      <c r="J1409" s="43"/>
    </row>
    <row r="1410" spans="1:10" customFormat="1" ht="15" hidden="1" customHeight="1" x14ac:dyDescent="0.25">
      <c r="A1410" s="133">
        <v>45107</v>
      </c>
      <c r="B1410" s="154" t="s">
        <v>4529</v>
      </c>
      <c r="C1410" s="167" t="s">
        <v>2856</v>
      </c>
      <c r="D1410" s="167" t="s">
        <v>2857</v>
      </c>
      <c r="E1410" s="168">
        <v>0</v>
      </c>
      <c r="F1410" s="169">
        <v>9507894.25</v>
      </c>
      <c r="G1410" s="168">
        <v>1996657.79</v>
      </c>
      <c r="H1410" s="168">
        <v>11504552.039999999</v>
      </c>
      <c r="I1410" s="134" t="s">
        <v>103</v>
      </c>
      <c r="J1410" s="43"/>
    </row>
    <row r="1411" spans="1:10" customFormat="1" ht="15" hidden="1" customHeight="1" x14ac:dyDescent="0.25">
      <c r="A1411" s="69">
        <v>45107</v>
      </c>
      <c r="B1411" s="25" t="s">
        <v>4530</v>
      </c>
      <c r="C1411" s="68" t="s">
        <v>3268</v>
      </c>
      <c r="D1411" s="68" t="s">
        <v>3269</v>
      </c>
      <c r="E1411" s="70">
        <v>0</v>
      </c>
      <c r="F1411" s="112">
        <v>122600</v>
      </c>
      <c r="G1411" s="70">
        <v>25746</v>
      </c>
      <c r="H1411" s="70">
        <v>148346</v>
      </c>
      <c r="I1411" s="71" t="s">
        <v>103</v>
      </c>
      <c r="J1411" s="43"/>
    </row>
    <row r="1412" spans="1:10" customFormat="1" ht="15" hidden="1" customHeight="1" x14ac:dyDescent="0.25">
      <c r="A1412" s="69">
        <v>45107</v>
      </c>
      <c r="B1412" s="25" t="s">
        <v>4531</v>
      </c>
      <c r="C1412" s="68" t="s">
        <v>2957</v>
      </c>
      <c r="D1412" s="68" t="s">
        <v>2958</v>
      </c>
      <c r="E1412" s="70">
        <v>0</v>
      </c>
      <c r="F1412" s="112">
        <v>1024986</v>
      </c>
      <c r="G1412" s="70">
        <v>215247.06</v>
      </c>
      <c r="H1412" s="70">
        <v>1240233.06</v>
      </c>
      <c r="I1412" s="71" t="s">
        <v>103</v>
      </c>
      <c r="J1412" s="43"/>
    </row>
    <row r="1413" spans="1:10" customFormat="1" ht="15" hidden="1" customHeight="1" x14ac:dyDescent="0.25">
      <c r="A1413" s="69">
        <v>45107</v>
      </c>
      <c r="B1413" s="25" t="s">
        <v>4532</v>
      </c>
      <c r="C1413" s="68" t="s">
        <v>3722</v>
      </c>
      <c r="D1413" s="68" t="s">
        <v>3723</v>
      </c>
      <c r="E1413" s="70">
        <v>0</v>
      </c>
      <c r="F1413" s="112">
        <v>463166</v>
      </c>
      <c r="G1413" s="70">
        <v>97264.86</v>
      </c>
      <c r="H1413" s="70">
        <v>560430.86</v>
      </c>
      <c r="I1413" s="71" t="s">
        <v>103</v>
      </c>
      <c r="J1413" s="43"/>
    </row>
    <row r="1414" spans="1:10" customFormat="1" ht="15" hidden="1" customHeight="1" x14ac:dyDescent="0.25">
      <c r="A1414" s="69">
        <v>45107</v>
      </c>
      <c r="B1414" s="25" t="s">
        <v>4533</v>
      </c>
      <c r="C1414" s="68" t="s">
        <v>1140</v>
      </c>
      <c r="D1414" s="68" t="s">
        <v>1141</v>
      </c>
      <c r="E1414" s="70">
        <v>-1.4901161193847701E-10</v>
      </c>
      <c r="F1414" s="112">
        <v>1026296</v>
      </c>
      <c r="G1414" s="70">
        <v>215522.16</v>
      </c>
      <c r="H1414" s="70">
        <v>1241818.1599999999</v>
      </c>
      <c r="I1414" s="71" t="s">
        <v>103</v>
      </c>
      <c r="J1414" s="43"/>
    </row>
    <row r="1415" spans="1:10" customFormat="1" ht="15" hidden="1" customHeight="1" x14ac:dyDescent="0.25">
      <c r="A1415" s="69">
        <v>45107</v>
      </c>
      <c r="B1415" s="25" t="s">
        <v>4534</v>
      </c>
      <c r="C1415" s="68" t="s">
        <v>4243</v>
      </c>
      <c r="D1415" s="68" t="s">
        <v>4244</v>
      </c>
      <c r="E1415" s="70">
        <v>0</v>
      </c>
      <c r="F1415" s="112">
        <v>309565</v>
      </c>
      <c r="G1415" s="70">
        <v>65008.65</v>
      </c>
      <c r="H1415" s="70">
        <v>374573.65</v>
      </c>
      <c r="I1415" s="71" t="s">
        <v>103</v>
      </c>
      <c r="J1415" s="43"/>
    </row>
    <row r="1416" spans="1:10" customFormat="1" ht="15" hidden="1" customHeight="1" x14ac:dyDescent="0.25">
      <c r="A1416" s="69">
        <v>45107</v>
      </c>
      <c r="B1416" s="25" t="s">
        <v>4535</v>
      </c>
      <c r="C1416" s="68" t="s">
        <v>3346</v>
      </c>
      <c r="D1416" s="68" t="s">
        <v>3347</v>
      </c>
      <c r="E1416" s="70">
        <v>0</v>
      </c>
      <c r="F1416" s="112">
        <v>1752665</v>
      </c>
      <c r="G1416" s="70">
        <v>368059.65</v>
      </c>
      <c r="H1416" s="70">
        <v>2120724.65</v>
      </c>
      <c r="I1416" s="71" t="s">
        <v>103</v>
      </c>
      <c r="J1416" s="43"/>
    </row>
    <row r="1417" spans="1:10" customFormat="1" ht="15" hidden="1" customHeight="1" x14ac:dyDescent="0.25">
      <c r="A1417" s="69">
        <v>45107</v>
      </c>
      <c r="B1417" s="25" t="s">
        <v>4536</v>
      </c>
      <c r="C1417" s="68" t="s">
        <v>3140</v>
      </c>
      <c r="D1417" s="68" t="s">
        <v>3141</v>
      </c>
      <c r="E1417" s="70">
        <v>0</v>
      </c>
      <c r="F1417" s="112">
        <v>50080</v>
      </c>
      <c r="G1417" s="70">
        <v>10516.8</v>
      </c>
      <c r="H1417" s="70">
        <v>60596.800000000003</v>
      </c>
      <c r="I1417" s="71" t="s">
        <v>103</v>
      </c>
      <c r="J1417" s="43"/>
    </row>
    <row r="1418" spans="1:10" customFormat="1" ht="15" hidden="1" customHeight="1" x14ac:dyDescent="0.25">
      <c r="A1418" s="37">
        <v>45107</v>
      </c>
      <c r="B1418" s="25" t="s">
        <v>4537</v>
      </c>
      <c r="C1418" s="68" t="s">
        <v>2892</v>
      </c>
      <c r="D1418" s="68" t="s">
        <v>2893</v>
      </c>
      <c r="E1418" s="48">
        <v>0</v>
      </c>
      <c r="F1418" s="107">
        <v>94800</v>
      </c>
      <c r="G1418" s="48">
        <v>19908</v>
      </c>
      <c r="H1418" s="70">
        <v>114708</v>
      </c>
      <c r="I1418" s="28" t="s">
        <v>103</v>
      </c>
      <c r="J1418" s="43"/>
    </row>
    <row r="1419" spans="1:10" customFormat="1" ht="15" hidden="1" customHeight="1" x14ac:dyDescent="0.25">
      <c r="A1419" s="37">
        <v>45093</v>
      </c>
      <c r="B1419" s="25" t="s">
        <v>4538</v>
      </c>
      <c r="C1419" s="68" t="s">
        <v>3235</v>
      </c>
      <c r="D1419" s="68" t="s">
        <v>3236</v>
      </c>
      <c r="E1419" s="48">
        <v>-71800.44</v>
      </c>
      <c r="F1419" s="107">
        <v>-670400</v>
      </c>
      <c r="G1419" s="48">
        <v>-140784</v>
      </c>
      <c r="H1419" s="70">
        <v>-882984.44</v>
      </c>
      <c r="I1419" s="28" t="s">
        <v>19</v>
      </c>
      <c r="J1419" s="43"/>
    </row>
    <row r="1420" spans="1:10" customFormat="1" ht="15" hidden="1" customHeight="1" x14ac:dyDescent="0.25">
      <c r="A1420" s="37">
        <v>45098</v>
      </c>
      <c r="B1420" s="25" t="s">
        <v>4539</v>
      </c>
      <c r="C1420" s="68" t="s">
        <v>3067</v>
      </c>
      <c r="D1420" s="68" t="s">
        <v>3068</v>
      </c>
      <c r="E1420" s="48">
        <v>-9200</v>
      </c>
      <c r="F1420" s="107">
        <v>-105000</v>
      </c>
      <c r="G1420" s="48">
        <v>-22050</v>
      </c>
      <c r="H1420" s="70">
        <v>-136250</v>
      </c>
      <c r="I1420" s="28" t="s">
        <v>19</v>
      </c>
      <c r="J1420" s="43"/>
    </row>
    <row r="1421" spans="1:10" customFormat="1" ht="15" hidden="1" customHeight="1" x14ac:dyDescent="0.25">
      <c r="A1421" s="37">
        <v>45107</v>
      </c>
      <c r="B1421" s="25" t="s">
        <v>4540</v>
      </c>
      <c r="C1421" s="68" t="s">
        <v>3539</v>
      </c>
      <c r="D1421" s="68" t="s">
        <v>3540</v>
      </c>
      <c r="E1421" s="48">
        <v>0</v>
      </c>
      <c r="F1421" s="107">
        <v>-370000</v>
      </c>
      <c r="G1421" s="48">
        <v>-77700</v>
      </c>
      <c r="H1421" s="70">
        <v>-447700</v>
      </c>
      <c r="I1421" s="28" t="s">
        <v>19</v>
      </c>
      <c r="J1421" s="43"/>
    </row>
    <row r="1422" spans="1:10" customFormat="1" ht="15" hidden="1" customHeight="1" x14ac:dyDescent="0.25">
      <c r="A1422" s="37">
        <v>45107</v>
      </c>
      <c r="B1422" s="25" t="s">
        <v>4541</v>
      </c>
      <c r="C1422" s="68" t="s">
        <v>4480</v>
      </c>
      <c r="D1422" s="68" t="s">
        <v>4481</v>
      </c>
      <c r="E1422" s="48">
        <v>0</v>
      </c>
      <c r="F1422" s="107">
        <v>-31000</v>
      </c>
      <c r="G1422" s="48">
        <v>-6510</v>
      </c>
      <c r="H1422" s="70">
        <v>-37510</v>
      </c>
      <c r="I1422" s="28" t="s">
        <v>19</v>
      </c>
      <c r="J1422" s="43"/>
    </row>
    <row r="1423" spans="1:10" customFormat="1" ht="15" hidden="1" customHeight="1" x14ac:dyDescent="0.25">
      <c r="A1423" s="69">
        <v>45107</v>
      </c>
      <c r="B1423" s="36" t="s">
        <v>3981</v>
      </c>
      <c r="C1423" s="71" t="s">
        <v>2930</v>
      </c>
      <c r="D1423" s="71">
        <v>0</v>
      </c>
      <c r="E1423" s="72">
        <v>0</v>
      </c>
      <c r="F1423" s="113">
        <v>74620</v>
      </c>
      <c r="G1423" s="72">
        <v>15670.199999999999</v>
      </c>
      <c r="H1423" s="70">
        <v>90290.2</v>
      </c>
      <c r="I1423" s="71" t="s">
        <v>103</v>
      </c>
      <c r="J1423" s="43"/>
    </row>
    <row r="1424" spans="1:10" customFormat="1" ht="15" hidden="1" customHeight="1" x14ac:dyDescent="0.25">
      <c r="A1424" s="69">
        <v>45107</v>
      </c>
      <c r="B1424" s="36" t="s">
        <v>3981</v>
      </c>
      <c r="C1424" s="68" t="s">
        <v>4337</v>
      </c>
      <c r="D1424" s="68" t="s">
        <v>4338</v>
      </c>
      <c r="E1424" s="70">
        <v>0</v>
      </c>
      <c r="F1424" s="112">
        <v>677956</v>
      </c>
      <c r="G1424" s="70">
        <v>142370.75999999998</v>
      </c>
      <c r="H1424" s="70">
        <v>820326.76</v>
      </c>
      <c r="I1424" s="68" t="s">
        <v>103</v>
      </c>
      <c r="J1424" s="43"/>
    </row>
    <row r="1425" spans="1:10" customFormat="1" ht="15" hidden="1" customHeight="1" x14ac:dyDescent="0.25">
      <c r="A1425" s="69">
        <v>45107</v>
      </c>
      <c r="B1425" s="25" t="s">
        <v>3981</v>
      </c>
      <c r="C1425" s="68" t="s">
        <v>2892</v>
      </c>
      <c r="D1425" s="18" t="s">
        <v>2893</v>
      </c>
      <c r="E1425" s="70">
        <v>0</v>
      </c>
      <c r="F1425" s="112">
        <v>45107</v>
      </c>
      <c r="G1425" s="70">
        <v>9472.4699999999993</v>
      </c>
      <c r="H1425" s="70">
        <v>54579.47</v>
      </c>
      <c r="I1425" s="68" t="s">
        <v>19</v>
      </c>
      <c r="J1425" s="43"/>
    </row>
    <row r="1426" spans="1:10" customFormat="1" ht="15" hidden="1" customHeight="1" x14ac:dyDescent="0.25">
      <c r="A1426" s="37">
        <v>45114</v>
      </c>
      <c r="B1426" s="64" t="s">
        <v>4542</v>
      </c>
      <c r="C1426" s="18" t="s">
        <v>3096</v>
      </c>
      <c r="D1426" s="18" t="s">
        <v>3097</v>
      </c>
      <c r="E1426" s="73">
        <v>13656.64</v>
      </c>
      <c r="F1426" s="114">
        <v>193750</v>
      </c>
      <c r="G1426" s="73">
        <v>40687.5</v>
      </c>
      <c r="H1426" s="73">
        <v>248094.14</v>
      </c>
      <c r="I1426" s="28" t="s">
        <v>19</v>
      </c>
      <c r="J1426" s="43"/>
    </row>
    <row r="1427" spans="1:10" customFormat="1" ht="15" hidden="1" customHeight="1" x14ac:dyDescent="0.25">
      <c r="A1427" s="37">
        <v>45114</v>
      </c>
      <c r="B1427" s="64" t="s">
        <v>4543</v>
      </c>
      <c r="C1427" s="18" t="s">
        <v>2851</v>
      </c>
      <c r="D1427" s="18" t="s">
        <v>2852</v>
      </c>
      <c r="E1427" s="73">
        <v>6190</v>
      </c>
      <c r="F1427" s="114">
        <v>120000</v>
      </c>
      <c r="G1427" s="73">
        <v>25200</v>
      </c>
      <c r="H1427" s="73">
        <v>151390</v>
      </c>
      <c r="I1427" s="28" t="s">
        <v>19</v>
      </c>
      <c r="J1427" s="43"/>
    </row>
    <row r="1428" spans="1:10" customFormat="1" ht="15" hidden="1" customHeight="1" x14ac:dyDescent="0.25">
      <c r="A1428" s="37">
        <v>45118</v>
      </c>
      <c r="B1428" s="64" t="s">
        <v>4544</v>
      </c>
      <c r="C1428" s="18" t="s">
        <v>2867</v>
      </c>
      <c r="D1428" s="18" t="s">
        <v>2868</v>
      </c>
      <c r="E1428" s="73">
        <v>14999.9999999999</v>
      </c>
      <c r="F1428" s="114">
        <v>441870</v>
      </c>
      <c r="G1428" s="73">
        <v>92792.7</v>
      </c>
      <c r="H1428" s="73">
        <v>549662.69999999995</v>
      </c>
      <c r="I1428" s="28" t="s">
        <v>19</v>
      </c>
      <c r="J1428" s="43"/>
    </row>
    <row r="1429" spans="1:10" customFormat="1" ht="15" hidden="1" customHeight="1" x14ac:dyDescent="0.25">
      <c r="A1429" s="57">
        <v>45118</v>
      </c>
      <c r="B1429" s="122" t="s">
        <v>4545</v>
      </c>
      <c r="C1429" s="123" t="s">
        <v>2867</v>
      </c>
      <c r="D1429" s="123" t="s">
        <v>2868</v>
      </c>
      <c r="E1429" s="124">
        <v>15000</v>
      </c>
      <c r="F1429" s="125">
        <v>361530</v>
      </c>
      <c r="G1429" s="124">
        <v>75921.3</v>
      </c>
      <c r="H1429" s="124">
        <v>452451.3</v>
      </c>
      <c r="I1429" s="59" t="s">
        <v>19</v>
      </c>
      <c r="J1429" s="43"/>
    </row>
    <row r="1430" spans="1:10" customFormat="1" ht="15" hidden="1" customHeight="1" x14ac:dyDescent="0.25">
      <c r="A1430" s="127">
        <v>45118</v>
      </c>
      <c r="B1430" s="128" t="s">
        <v>4546</v>
      </c>
      <c r="C1430" s="128" t="s">
        <v>3132</v>
      </c>
      <c r="D1430" s="128" t="s">
        <v>3133</v>
      </c>
      <c r="E1430" s="129">
        <v>10800</v>
      </c>
      <c r="F1430" s="130">
        <v>137250</v>
      </c>
      <c r="G1430" s="129">
        <v>28822.5</v>
      </c>
      <c r="H1430" s="129">
        <v>176872.5</v>
      </c>
      <c r="I1430" s="121" t="s">
        <v>19</v>
      </c>
      <c r="J1430" s="43"/>
    </row>
    <row r="1431" spans="1:10" customFormat="1" ht="15" hidden="1" customHeight="1" x14ac:dyDescent="0.25">
      <c r="A1431" s="126">
        <v>45118</v>
      </c>
      <c r="B1431" s="122" t="s">
        <v>4547</v>
      </c>
      <c r="C1431" s="123" t="s">
        <v>2867</v>
      </c>
      <c r="D1431" s="123" t="s">
        <v>2868</v>
      </c>
      <c r="E1431" s="124">
        <v>1500</v>
      </c>
      <c r="F1431" s="125">
        <v>80340</v>
      </c>
      <c r="G1431" s="124">
        <v>16871.400000000001</v>
      </c>
      <c r="H1431" s="124">
        <v>98711.4</v>
      </c>
      <c r="I1431" s="55" t="s">
        <v>19</v>
      </c>
      <c r="J1431" s="43"/>
    </row>
    <row r="1432" spans="1:10" customFormat="1" ht="15" hidden="1" customHeight="1" x14ac:dyDescent="0.25">
      <c r="A1432" s="37">
        <v>45118</v>
      </c>
      <c r="B1432" s="64" t="s">
        <v>4548</v>
      </c>
      <c r="C1432" s="18" t="s">
        <v>3346</v>
      </c>
      <c r="D1432" s="18" t="s">
        <v>3347</v>
      </c>
      <c r="E1432" s="73">
        <v>27174</v>
      </c>
      <c r="F1432" s="114">
        <v>385000</v>
      </c>
      <c r="G1432" s="73">
        <v>80850</v>
      </c>
      <c r="H1432" s="73">
        <v>493024</v>
      </c>
      <c r="I1432" s="28" t="s">
        <v>19</v>
      </c>
      <c r="J1432" s="43"/>
    </row>
    <row r="1433" spans="1:10" customFormat="1" ht="15" hidden="1" customHeight="1" x14ac:dyDescent="0.25">
      <c r="A1433" s="37">
        <v>45119</v>
      </c>
      <c r="B1433" s="64" t="s">
        <v>4549</v>
      </c>
      <c r="C1433" s="18" t="s">
        <v>2921</v>
      </c>
      <c r="D1433" s="18" t="s">
        <v>2922</v>
      </c>
      <c r="E1433" s="73">
        <v>0</v>
      </c>
      <c r="F1433" s="114">
        <v>33000</v>
      </c>
      <c r="G1433" s="73">
        <v>6930</v>
      </c>
      <c r="H1433" s="73">
        <v>39930</v>
      </c>
      <c r="I1433" s="28" t="s">
        <v>19</v>
      </c>
      <c r="J1433" s="43"/>
    </row>
    <row r="1434" spans="1:10" customFormat="1" ht="15" hidden="1" customHeight="1" x14ac:dyDescent="0.25">
      <c r="A1434" s="37">
        <v>45119</v>
      </c>
      <c r="B1434" s="64" t="s">
        <v>4550</v>
      </c>
      <c r="C1434" s="18" t="s">
        <v>2945</v>
      </c>
      <c r="D1434" s="18" t="s">
        <v>2946</v>
      </c>
      <c r="E1434" s="73">
        <v>0</v>
      </c>
      <c r="F1434" s="114">
        <v>33000</v>
      </c>
      <c r="G1434" s="73">
        <v>6930</v>
      </c>
      <c r="H1434" s="73">
        <v>39930</v>
      </c>
      <c r="I1434" s="28" t="s">
        <v>19</v>
      </c>
      <c r="J1434" s="43"/>
    </row>
    <row r="1435" spans="1:10" customFormat="1" ht="15" hidden="1" customHeight="1" x14ac:dyDescent="0.25">
      <c r="A1435" s="37">
        <v>45119</v>
      </c>
      <c r="B1435" s="64" t="s">
        <v>4551</v>
      </c>
      <c r="C1435" s="18" t="s">
        <v>2942</v>
      </c>
      <c r="D1435" s="18" t="s">
        <v>2943</v>
      </c>
      <c r="E1435" s="73">
        <v>0</v>
      </c>
      <c r="F1435" s="114">
        <v>33000</v>
      </c>
      <c r="G1435" s="73">
        <v>6930</v>
      </c>
      <c r="H1435" s="73">
        <v>39930</v>
      </c>
      <c r="I1435" s="28" t="s">
        <v>19</v>
      </c>
      <c r="J1435" s="43"/>
    </row>
    <row r="1436" spans="1:10" customFormat="1" ht="15" hidden="1" customHeight="1" x14ac:dyDescent="0.25">
      <c r="A1436" s="37">
        <v>45119</v>
      </c>
      <c r="B1436" s="64" t="s">
        <v>4552</v>
      </c>
      <c r="C1436" s="18" t="s">
        <v>2851</v>
      </c>
      <c r="D1436" s="18" t="s">
        <v>2852</v>
      </c>
      <c r="E1436" s="73">
        <v>0</v>
      </c>
      <c r="F1436" s="114">
        <v>33000</v>
      </c>
      <c r="G1436" s="73">
        <v>6930</v>
      </c>
      <c r="H1436" s="73">
        <v>39930</v>
      </c>
      <c r="I1436" s="28" t="s">
        <v>19</v>
      </c>
      <c r="J1436" s="43"/>
    </row>
    <row r="1437" spans="1:10" customFormat="1" ht="15" hidden="1" customHeight="1" x14ac:dyDescent="0.25">
      <c r="A1437" s="37">
        <v>45119</v>
      </c>
      <c r="B1437" s="64" t="s">
        <v>4553</v>
      </c>
      <c r="C1437" s="18" t="s">
        <v>2856</v>
      </c>
      <c r="D1437" s="18" t="s">
        <v>2857</v>
      </c>
      <c r="E1437" s="73">
        <v>0</v>
      </c>
      <c r="F1437" s="114">
        <v>33000</v>
      </c>
      <c r="G1437" s="73">
        <v>6930</v>
      </c>
      <c r="H1437" s="73">
        <v>39930</v>
      </c>
      <c r="I1437" s="28" t="s">
        <v>19</v>
      </c>
      <c r="J1437" s="43"/>
    </row>
    <row r="1438" spans="1:10" customFormat="1" ht="15" hidden="1" customHeight="1" x14ac:dyDescent="0.25">
      <c r="A1438" s="37">
        <v>45119</v>
      </c>
      <c r="B1438" s="64" t="s">
        <v>4554</v>
      </c>
      <c r="C1438" s="18" t="s">
        <v>2948</v>
      </c>
      <c r="D1438" s="18" t="s">
        <v>2949</v>
      </c>
      <c r="E1438" s="73">
        <v>0</v>
      </c>
      <c r="F1438" s="114">
        <v>33000</v>
      </c>
      <c r="G1438" s="73">
        <v>6930</v>
      </c>
      <c r="H1438" s="73">
        <v>39930</v>
      </c>
      <c r="I1438" s="28" t="s">
        <v>19</v>
      </c>
      <c r="J1438" s="43"/>
    </row>
    <row r="1439" spans="1:10" customFormat="1" ht="15" hidden="1" customHeight="1" x14ac:dyDescent="0.25">
      <c r="A1439" s="37">
        <v>45119</v>
      </c>
      <c r="B1439" s="64" t="s">
        <v>4555</v>
      </c>
      <c r="C1439" s="18" t="s">
        <v>2924</v>
      </c>
      <c r="D1439" s="18" t="s">
        <v>2925</v>
      </c>
      <c r="E1439" s="73">
        <v>0</v>
      </c>
      <c r="F1439" s="114">
        <v>33000</v>
      </c>
      <c r="G1439" s="73">
        <v>6930</v>
      </c>
      <c r="H1439" s="73">
        <v>39930</v>
      </c>
      <c r="I1439" s="28" t="s">
        <v>19</v>
      </c>
      <c r="J1439" s="43"/>
    </row>
    <row r="1440" spans="1:10" customFormat="1" ht="15" hidden="1" customHeight="1" x14ac:dyDescent="0.25">
      <c r="A1440" s="37">
        <v>45119</v>
      </c>
      <c r="B1440" s="64" t="s">
        <v>4556</v>
      </c>
      <c r="C1440" s="18" t="s">
        <v>2945</v>
      </c>
      <c r="D1440" s="18" t="s">
        <v>2946</v>
      </c>
      <c r="E1440" s="73">
        <v>0</v>
      </c>
      <c r="F1440" s="114">
        <v>33000</v>
      </c>
      <c r="G1440" s="73">
        <v>6930</v>
      </c>
      <c r="H1440" s="73">
        <v>39930</v>
      </c>
      <c r="I1440" s="28" t="s">
        <v>19</v>
      </c>
      <c r="J1440" s="43"/>
    </row>
    <row r="1441" spans="1:10" customFormat="1" ht="15" hidden="1" customHeight="1" x14ac:dyDescent="0.25">
      <c r="A1441" s="37">
        <v>45119</v>
      </c>
      <c r="B1441" s="64" t="s">
        <v>4557</v>
      </c>
      <c r="C1441" s="18" t="s">
        <v>4558</v>
      </c>
      <c r="D1441" s="18" t="s">
        <v>4559</v>
      </c>
      <c r="E1441" s="73">
        <v>8804</v>
      </c>
      <c r="F1441" s="114">
        <v>67500</v>
      </c>
      <c r="G1441" s="73">
        <v>14175</v>
      </c>
      <c r="H1441" s="73">
        <v>90479</v>
      </c>
      <c r="I1441" s="28" t="s">
        <v>19</v>
      </c>
      <c r="J1441" s="43"/>
    </row>
    <row r="1442" spans="1:10" customFormat="1" ht="15" hidden="1" customHeight="1" x14ac:dyDescent="0.25">
      <c r="A1442" s="37">
        <v>45119</v>
      </c>
      <c r="B1442" s="64" t="s">
        <v>4560</v>
      </c>
      <c r="C1442" s="18" t="s">
        <v>4558</v>
      </c>
      <c r="D1442" s="18" t="s">
        <v>4559</v>
      </c>
      <c r="E1442" s="73">
        <v>8804</v>
      </c>
      <c r="F1442" s="114">
        <v>67500</v>
      </c>
      <c r="G1442" s="73">
        <v>14175</v>
      </c>
      <c r="H1442" s="73">
        <v>90479</v>
      </c>
      <c r="I1442" s="28" t="s">
        <v>19</v>
      </c>
      <c r="J1442" s="43"/>
    </row>
    <row r="1443" spans="1:10" customFormat="1" ht="15" hidden="1" customHeight="1" x14ac:dyDescent="0.25">
      <c r="A1443" s="37">
        <v>45119</v>
      </c>
      <c r="B1443" s="64" t="s">
        <v>4561</v>
      </c>
      <c r="C1443" s="18" t="s">
        <v>2924</v>
      </c>
      <c r="D1443" s="18" t="s">
        <v>2925</v>
      </c>
      <c r="E1443" s="73">
        <v>0</v>
      </c>
      <c r="F1443" s="114">
        <v>41250</v>
      </c>
      <c r="G1443" s="73">
        <v>8662.5</v>
      </c>
      <c r="H1443" s="73">
        <v>49912.5</v>
      </c>
      <c r="I1443" s="28" t="s">
        <v>19</v>
      </c>
      <c r="J1443" s="43"/>
    </row>
    <row r="1444" spans="1:10" customFormat="1" ht="15" hidden="1" customHeight="1" x14ac:dyDescent="0.25">
      <c r="A1444" s="37">
        <v>45119</v>
      </c>
      <c r="B1444" s="64" t="s">
        <v>4562</v>
      </c>
      <c r="C1444" s="18" t="s">
        <v>3007</v>
      </c>
      <c r="D1444" s="18" t="s">
        <v>3008</v>
      </c>
      <c r="E1444" s="73">
        <v>17607.72</v>
      </c>
      <c r="F1444" s="114">
        <v>135000</v>
      </c>
      <c r="G1444" s="73">
        <v>28350</v>
      </c>
      <c r="H1444" s="73">
        <v>180957.72</v>
      </c>
      <c r="I1444" s="28" t="s">
        <v>19</v>
      </c>
      <c r="J1444" s="43"/>
    </row>
    <row r="1445" spans="1:10" customFormat="1" ht="15" hidden="1" customHeight="1" x14ac:dyDescent="0.25">
      <c r="A1445" s="37">
        <v>45119</v>
      </c>
      <c r="B1445" s="64" t="s">
        <v>4563</v>
      </c>
      <c r="C1445" s="18" t="s">
        <v>4144</v>
      </c>
      <c r="D1445" s="18" t="s">
        <v>4145</v>
      </c>
      <c r="E1445" s="73">
        <v>8803.86</v>
      </c>
      <c r="F1445" s="114">
        <v>67500</v>
      </c>
      <c r="G1445" s="73">
        <v>14175</v>
      </c>
      <c r="H1445" s="73">
        <v>90478.86</v>
      </c>
      <c r="I1445" s="28" t="s">
        <v>19</v>
      </c>
      <c r="J1445" s="43"/>
    </row>
    <row r="1446" spans="1:10" customFormat="1" ht="15" hidden="1" customHeight="1" x14ac:dyDescent="0.25">
      <c r="A1446" s="37">
        <v>45120</v>
      </c>
      <c r="B1446" s="64" t="s">
        <v>4564</v>
      </c>
      <c r="C1446" s="18" t="s">
        <v>4565</v>
      </c>
      <c r="D1446" s="18" t="s">
        <v>4566</v>
      </c>
      <c r="E1446" s="73">
        <v>0</v>
      </c>
      <c r="F1446" s="114">
        <v>41250</v>
      </c>
      <c r="G1446" s="73">
        <v>8662.5</v>
      </c>
      <c r="H1446" s="73">
        <v>49912.5</v>
      </c>
      <c r="I1446" s="28" t="s">
        <v>19</v>
      </c>
      <c r="J1446" s="43"/>
    </row>
    <row r="1447" spans="1:10" customFormat="1" ht="15" hidden="1" customHeight="1" x14ac:dyDescent="0.25">
      <c r="A1447" s="37">
        <v>45120</v>
      </c>
      <c r="B1447" s="64" t="s">
        <v>4567</v>
      </c>
      <c r="C1447" s="18" t="s">
        <v>2997</v>
      </c>
      <c r="D1447" s="18" t="s">
        <v>2998</v>
      </c>
      <c r="E1447" s="73">
        <v>3361.43</v>
      </c>
      <c r="F1447" s="114">
        <v>78750</v>
      </c>
      <c r="G1447" s="73">
        <v>16537.5</v>
      </c>
      <c r="H1447" s="73">
        <v>98648.93</v>
      </c>
      <c r="I1447" s="28" t="s">
        <v>19</v>
      </c>
      <c r="J1447" s="43"/>
    </row>
    <row r="1448" spans="1:10" customFormat="1" ht="15" hidden="1" customHeight="1" x14ac:dyDescent="0.25">
      <c r="A1448" s="37">
        <v>45120</v>
      </c>
      <c r="B1448" s="64" t="s">
        <v>4568</v>
      </c>
      <c r="C1448" s="18" t="s">
        <v>2856</v>
      </c>
      <c r="D1448" s="18" t="s">
        <v>2857</v>
      </c>
      <c r="E1448" s="73">
        <v>0</v>
      </c>
      <c r="F1448" s="114">
        <v>41250</v>
      </c>
      <c r="G1448" s="73">
        <v>8662.5</v>
      </c>
      <c r="H1448" s="73">
        <v>49912.5</v>
      </c>
      <c r="I1448" s="28" t="s">
        <v>19</v>
      </c>
      <c r="J1448" s="43"/>
    </row>
    <row r="1449" spans="1:10" customFormat="1" ht="15" hidden="1" customHeight="1" x14ac:dyDescent="0.25">
      <c r="A1449" s="37">
        <v>45120</v>
      </c>
      <c r="B1449" s="64" t="s">
        <v>4569</v>
      </c>
      <c r="C1449" s="18" t="s">
        <v>2921</v>
      </c>
      <c r="D1449" s="18" t="s">
        <v>2922</v>
      </c>
      <c r="E1449" s="73">
        <v>0</v>
      </c>
      <c r="F1449" s="114">
        <v>41250</v>
      </c>
      <c r="G1449" s="73">
        <v>8662.5</v>
      </c>
      <c r="H1449" s="73">
        <v>49912.5</v>
      </c>
      <c r="I1449" s="28" t="s">
        <v>19</v>
      </c>
      <c r="J1449" s="43"/>
    </row>
    <row r="1450" spans="1:10" customFormat="1" ht="15" hidden="1" customHeight="1" x14ac:dyDescent="0.25">
      <c r="A1450" s="37">
        <v>45120</v>
      </c>
      <c r="B1450" s="64" t="s">
        <v>4570</v>
      </c>
      <c r="C1450" s="18" t="s">
        <v>2867</v>
      </c>
      <c r="D1450" s="18" t="s">
        <v>2868</v>
      </c>
      <c r="E1450" s="73">
        <v>29829</v>
      </c>
      <c r="F1450" s="114">
        <v>405000</v>
      </c>
      <c r="G1450" s="73">
        <v>85050</v>
      </c>
      <c r="H1450" s="73">
        <v>519879</v>
      </c>
      <c r="I1450" s="28" t="s">
        <v>19</v>
      </c>
      <c r="J1450" s="43"/>
    </row>
    <row r="1451" spans="1:10" customFormat="1" ht="15" hidden="1" customHeight="1" x14ac:dyDescent="0.25">
      <c r="A1451" s="37">
        <v>45120</v>
      </c>
      <c r="B1451" s="64" t="s">
        <v>4571</v>
      </c>
      <c r="C1451" s="18" t="s">
        <v>2997</v>
      </c>
      <c r="D1451" s="18" t="s">
        <v>2998</v>
      </c>
      <c r="E1451" s="73">
        <v>0</v>
      </c>
      <c r="F1451" s="114">
        <v>135000</v>
      </c>
      <c r="G1451" s="73">
        <v>28350</v>
      </c>
      <c r="H1451" s="73">
        <v>163350</v>
      </c>
      <c r="I1451" s="28" t="s">
        <v>19</v>
      </c>
      <c r="J1451" s="43"/>
    </row>
    <row r="1452" spans="1:10" customFormat="1" ht="15" hidden="1" customHeight="1" x14ac:dyDescent="0.25">
      <c r="A1452" s="37">
        <v>45121</v>
      </c>
      <c r="B1452" s="64" t="s">
        <v>4572</v>
      </c>
      <c r="C1452" s="18" t="s">
        <v>2909</v>
      </c>
      <c r="D1452" s="18" t="s">
        <v>2910</v>
      </c>
      <c r="E1452" s="73">
        <v>14386.959999999901</v>
      </c>
      <c r="F1452" s="114">
        <v>242500</v>
      </c>
      <c r="G1452" s="73">
        <v>50925</v>
      </c>
      <c r="H1452" s="73">
        <v>307811.95999999996</v>
      </c>
      <c r="I1452" s="28" t="s">
        <v>19</v>
      </c>
      <c r="J1452" s="43"/>
    </row>
    <row r="1453" spans="1:10" customFormat="1" ht="15" hidden="1" customHeight="1" x14ac:dyDescent="0.25">
      <c r="A1453" s="37">
        <v>45121</v>
      </c>
      <c r="B1453" s="64" t="s">
        <v>4573</v>
      </c>
      <c r="C1453" s="18" t="s">
        <v>2909</v>
      </c>
      <c r="D1453" s="18" t="s">
        <v>2910</v>
      </c>
      <c r="E1453" s="73">
        <v>9500</v>
      </c>
      <c r="F1453" s="114">
        <v>242500</v>
      </c>
      <c r="G1453" s="73">
        <v>50925</v>
      </c>
      <c r="H1453" s="73">
        <v>302925</v>
      </c>
      <c r="I1453" s="28" t="s">
        <v>19</v>
      </c>
      <c r="J1453" s="43"/>
    </row>
    <row r="1454" spans="1:10" customFormat="1" ht="15" hidden="1" customHeight="1" x14ac:dyDescent="0.25">
      <c r="A1454" s="37">
        <v>45121</v>
      </c>
      <c r="B1454" s="64" t="s">
        <v>4574</v>
      </c>
      <c r="C1454" s="18" t="s">
        <v>2972</v>
      </c>
      <c r="D1454" s="18" t="s">
        <v>2973</v>
      </c>
      <c r="E1454" s="73">
        <v>11330</v>
      </c>
      <c r="F1454" s="114">
        <v>116250</v>
      </c>
      <c r="G1454" s="73">
        <v>24412.5</v>
      </c>
      <c r="H1454" s="73">
        <v>151992.5</v>
      </c>
      <c r="I1454" s="28" t="s">
        <v>19</v>
      </c>
      <c r="J1454" s="43"/>
    </row>
    <row r="1455" spans="1:10" customFormat="1" ht="15" hidden="1" customHeight="1" x14ac:dyDescent="0.25">
      <c r="A1455" s="37">
        <v>45121</v>
      </c>
      <c r="B1455" s="64" t="s">
        <v>4575</v>
      </c>
      <c r="C1455" s="18" t="s">
        <v>3257</v>
      </c>
      <c r="D1455" s="18" t="s">
        <v>3258</v>
      </c>
      <c r="E1455" s="73">
        <v>8804</v>
      </c>
      <c r="F1455" s="114">
        <v>67500</v>
      </c>
      <c r="G1455" s="73">
        <v>14175</v>
      </c>
      <c r="H1455" s="73">
        <v>90479</v>
      </c>
      <c r="I1455" s="28" t="s">
        <v>19</v>
      </c>
      <c r="J1455" s="43"/>
    </row>
    <row r="1456" spans="1:10" customFormat="1" ht="15" hidden="1" customHeight="1" x14ac:dyDescent="0.25">
      <c r="A1456" s="37">
        <v>45121</v>
      </c>
      <c r="B1456" s="64" t="s">
        <v>4576</v>
      </c>
      <c r="C1456" s="18" t="s">
        <v>3007</v>
      </c>
      <c r="D1456" s="18" t="s">
        <v>3008</v>
      </c>
      <c r="E1456" s="73">
        <v>8804</v>
      </c>
      <c r="F1456" s="114">
        <v>135000</v>
      </c>
      <c r="G1456" s="73">
        <v>28350</v>
      </c>
      <c r="H1456" s="73">
        <v>172154</v>
      </c>
      <c r="I1456" s="28" t="s">
        <v>19</v>
      </c>
      <c r="J1456" s="43"/>
    </row>
    <row r="1457" spans="1:10" customFormat="1" ht="15" hidden="1" customHeight="1" x14ac:dyDescent="0.25">
      <c r="A1457" s="37">
        <v>45121</v>
      </c>
      <c r="B1457" s="64" t="s">
        <v>4577</v>
      </c>
      <c r="C1457" s="18" t="s">
        <v>3176</v>
      </c>
      <c r="D1457" s="18" t="s">
        <v>3177</v>
      </c>
      <c r="E1457" s="73">
        <v>8858</v>
      </c>
      <c r="F1457" s="114">
        <v>116250</v>
      </c>
      <c r="G1457" s="73">
        <v>24412.5</v>
      </c>
      <c r="H1457" s="73">
        <v>149520.5</v>
      </c>
      <c r="I1457" s="28" t="s">
        <v>19</v>
      </c>
      <c r="J1457" s="43"/>
    </row>
    <row r="1458" spans="1:10" customFormat="1" ht="15" hidden="1" customHeight="1" x14ac:dyDescent="0.25">
      <c r="A1458" s="37">
        <v>45121</v>
      </c>
      <c r="B1458" s="64" t="s">
        <v>4578</v>
      </c>
      <c r="C1458" s="18" t="s">
        <v>3200</v>
      </c>
      <c r="D1458" s="18" t="s">
        <v>3201</v>
      </c>
      <c r="E1458" s="73">
        <v>6829</v>
      </c>
      <c r="F1458" s="114">
        <v>155000</v>
      </c>
      <c r="G1458" s="73">
        <v>32550</v>
      </c>
      <c r="H1458" s="73">
        <v>194379</v>
      </c>
      <c r="I1458" s="28" t="s">
        <v>19</v>
      </c>
      <c r="J1458" s="43"/>
    </row>
    <row r="1459" spans="1:10" customFormat="1" ht="15" hidden="1" customHeight="1" x14ac:dyDescent="0.25">
      <c r="A1459" s="37">
        <v>45124</v>
      </c>
      <c r="B1459" s="64" t="s">
        <v>4579</v>
      </c>
      <c r="C1459" s="18" t="s">
        <v>2921</v>
      </c>
      <c r="D1459" s="18" t="s">
        <v>2922</v>
      </c>
      <c r="E1459" s="73">
        <v>44000</v>
      </c>
      <c r="F1459" s="114">
        <v>1203750</v>
      </c>
      <c r="G1459" s="73">
        <v>252787.5</v>
      </c>
      <c r="H1459" s="73">
        <v>1500537.5</v>
      </c>
      <c r="I1459" s="28" t="s">
        <v>19</v>
      </c>
      <c r="J1459" s="43"/>
    </row>
    <row r="1460" spans="1:10" customFormat="1" ht="15" hidden="1" customHeight="1" x14ac:dyDescent="0.25">
      <c r="A1460" s="37">
        <v>45124</v>
      </c>
      <c r="B1460" s="64" t="s">
        <v>4580</v>
      </c>
      <c r="C1460" s="18" t="s">
        <v>3559</v>
      </c>
      <c r="D1460" s="18" t="s">
        <v>3560</v>
      </c>
      <c r="E1460" s="73">
        <v>11500</v>
      </c>
      <c r="F1460" s="114">
        <v>102500</v>
      </c>
      <c r="G1460" s="73">
        <v>21525</v>
      </c>
      <c r="H1460" s="73">
        <v>135525</v>
      </c>
      <c r="I1460" s="28" t="s">
        <v>19</v>
      </c>
      <c r="J1460" s="43"/>
    </row>
    <row r="1461" spans="1:10" customFormat="1" ht="15" hidden="1" customHeight="1" x14ac:dyDescent="0.25">
      <c r="A1461" s="37">
        <v>45124</v>
      </c>
      <c r="B1461" s="64" t="s">
        <v>4581</v>
      </c>
      <c r="C1461" s="18" t="s">
        <v>3150</v>
      </c>
      <c r="D1461" s="18" t="s">
        <v>3151</v>
      </c>
      <c r="E1461" s="73">
        <v>8524</v>
      </c>
      <c r="F1461" s="114">
        <v>155000</v>
      </c>
      <c r="G1461" s="73">
        <v>32550</v>
      </c>
      <c r="H1461" s="73">
        <v>196074</v>
      </c>
      <c r="I1461" s="28" t="s">
        <v>19</v>
      </c>
      <c r="J1461" s="43"/>
    </row>
    <row r="1462" spans="1:10" customFormat="1" ht="15" hidden="1" customHeight="1" x14ac:dyDescent="0.25">
      <c r="A1462" s="37">
        <v>45124</v>
      </c>
      <c r="B1462" s="64" t="s">
        <v>4582</v>
      </c>
      <c r="C1462" s="18" t="s">
        <v>2883</v>
      </c>
      <c r="D1462" s="18" t="s">
        <v>2884</v>
      </c>
      <c r="E1462" s="73">
        <v>1669.56</v>
      </c>
      <c r="F1462" s="114">
        <v>52500</v>
      </c>
      <c r="G1462" s="73">
        <v>11025</v>
      </c>
      <c r="H1462" s="73">
        <v>65194.559999999998</v>
      </c>
      <c r="I1462" s="28" t="s">
        <v>19</v>
      </c>
      <c r="J1462" s="43"/>
    </row>
    <row r="1463" spans="1:10" customFormat="1" ht="15" hidden="1" customHeight="1" x14ac:dyDescent="0.25">
      <c r="A1463" s="37">
        <v>45124</v>
      </c>
      <c r="B1463" s="64" t="s">
        <v>4583</v>
      </c>
      <c r="C1463" s="18" t="s">
        <v>2997</v>
      </c>
      <c r="D1463" s="18" t="s">
        <v>2998</v>
      </c>
      <c r="E1463" s="73">
        <v>26716</v>
      </c>
      <c r="F1463" s="114">
        <v>362500</v>
      </c>
      <c r="G1463" s="73">
        <v>76125</v>
      </c>
      <c r="H1463" s="73">
        <v>465341</v>
      </c>
      <c r="I1463" s="28" t="s">
        <v>19</v>
      </c>
      <c r="J1463" s="43"/>
    </row>
    <row r="1464" spans="1:10" customFormat="1" ht="15" hidden="1" customHeight="1" x14ac:dyDescent="0.25">
      <c r="A1464" s="37">
        <v>45124</v>
      </c>
      <c r="B1464" s="64" t="s">
        <v>4584</v>
      </c>
      <c r="C1464" s="18" t="s">
        <v>2997</v>
      </c>
      <c r="D1464" s="18" t="s">
        <v>2998</v>
      </c>
      <c r="E1464" s="73">
        <v>13358</v>
      </c>
      <c r="F1464" s="114">
        <v>181250</v>
      </c>
      <c r="G1464" s="73">
        <v>38062.5</v>
      </c>
      <c r="H1464" s="73">
        <v>232670.5</v>
      </c>
      <c r="I1464" s="28" t="s">
        <v>19</v>
      </c>
      <c r="J1464" s="43"/>
    </row>
    <row r="1465" spans="1:10" customFormat="1" ht="15" hidden="1" customHeight="1" x14ac:dyDescent="0.25">
      <c r="A1465" s="37">
        <v>45125</v>
      </c>
      <c r="B1465" s="64" t="s">
        <v>4585</v>
      </c>
      <c r="C1465" s="18" t="s">
        <v>4172</v>
      </c>
      <c r="D1465" s="18" t="s">
        <v>4173</v>
      </c>
      <c r="E1465" s="73">
        <v>10500</v>
      </c>
      <c r="F1465" s="114">
        <v>81000</v>
      </c>
      <c r="G1465" s="73">
        <v>17010</v>
      </c>
      <c r="H1465" s="73">
        <v>108510</v>
      </c>
      <c r="I1465" s="28" t="s">
        <v>19</v>
      </c>
      <c r="J1465" s="43"/>
    </row>
    <row r="1466" spans="1:10" customFormat="1" ht="15" hidden="1" customHeight="1" x14ac:dyDescent="0.25">
      <c r="A1466" s="37">
        <v>45125</v>
      </c>
      <c r="B1466" s="64" t="s">
        <v>4586</v>
      </c>
      <c r="C1466" s="18" t="s">
        <v>2856</v>
      </c>
      <c r="D1466" s="18" t="s">
        <v>2857</v>
      </c>
      <c r="E1466" s="73">
        <v>11500</v>
      </c>
      <c r="F1466" s="114">
        <v>91500</v>
      </c>
      <c r="G1466" s="73">
        <v>19215</v>
      </c>
      <c r="H1466" s="73">
        <v>122215</v>
      </c>
      <c r="I1466" s="28" t="s">
        <v>19</v>
      </c>
      <c r="J1466" s="43"/>
    </row>
    <row r="1467" spans="1:10" customFormat="1" ht="15" hidden="1" customHeight="1" x14ac:dyDescent="0.25">
      <c r="A1467" s="37">
        <v>45125</v>
      </c>
      <c r="B1467" s="64" t="s">
        <v>4587</v>
      </c>
      <c r="C1467" s="18" t="s">
        <v>2856</v>
      </c>
      <c r="D1467" s="18" t="s">
        <v>2857</v>
      </c>
      <c r="E1467" s="73">
        <v>1820</v>
      </c>
      <c r="F1467" s="114">
        <v>77500</v>
      </c>
      <c r="G1467" s="73">
        <v>16275</v>
      </c>
      <c r="H1467" s="73">
        <v>95595</v>
      </c>
      <c r="I1467" s="28" t="s">
        <v>19</v>
      </c>
      <c r="J1467" s="43"/>
    </row>
    <row r="1468" spans="1:10" customFormat="1" ht="15" hidden="1" customHeight="1" x14ac:dyDescent="0.25">
      <c r="A1468" s="37">
        <v>45125</v>
      </c>
      <c r="B1468" s="64" t="s">
        <v>4588</v>
      </c>
      <c r="C1468" s="18" t="s">
        <v>2856</v>
      </c>
      <c r="D1468" s="18" t="s">
        <v>2857</v>
      </c>
      <c r="E1468" s="73">
        <v>4240</v>
      </c>
      <c r="F1468" s="114">
        <v>91500</v>
      </c>
      <c r="G1468" s="73">
        <v>19215</v>
      </c>
      <c r="H1468" s="73">
        <v>114955</v>
      </c>
      <c r="I1468" s="28" t="s">
        <v>19</v>
      </c>
      <c r="J1468" s="43"/>
    </row>
    <row r="1469" spans="1:10" customFormat="1" ht="15" hidden="1" customHeight="1" x14ac:dyDescent="0.25">
      <c r="A1469" s="37">
        <v>45125</v>
      </c>
      <c r="B1469" s="64" t="s">
        <v>4589</v>
      </c>
      <c r="C1469" s="18" t="s">
        <v>2867</v>
      </c>
      <c r="D1469" s="18" t="s">
        <v>2868</v>
      </c>
      <c r="E1469" s="73">
        <v>11500</v>
      </c>
      <c r="F1469" s="114">
        <v>153750</v>
      </c>
      <c r="G1469" s="73">
        <v>32287.5</v>
      </c>
      <c r="H1469" s="73">
        <v>197537.5</v>
      </c>
      <c r="I1469" s="28" t="s">
        <v>19</v>
      </c>
      <c r="J1469" s="43"/>
    </row>
    <row r="1470" spans="1:10" customFormat="1" ht="15" hidden="1" customHeight="1" x14ac:dyDescent="0.25">
      <c r="A1470" s="37">
        <v>45125</v>
      </c>
      <c r="B1470" s="64" t="s">
        <v>4590</v>
      </c>
      <c r="C1470" s="18" t="s">
        <v>2867</v>
      </c>
      <c r="D1470" s="18" t="s">
        <v>2868</v>
      </c>
      <c r="E1470" s="73">
        <v>10000</v>
      </c>
      <c r="F1470" s="114">
        <v>247500</v>
      </c>
      <c r="G1470" s="73">
        <v>51975</v>
      </c>
      <c r="H1470" s="73">
        <v>309475</v>
      </c>
      <c r="I1470" s="28" t="s">
        <v>19</v>
      </c>
      <c r="J1470" s="43"/>
    </row>
    <row r="1471" spans="1:10" customFormat="1" ht="15" hidden="1" customHeight="1" x14ac:dyDescent="0.25">
      <c r="A1471" s="37">
        <v>45125</v>
      </c>
      <c r="B1471" s="64" t="s">
        <v>4591</v>
      </c>
      <c r="C1471" s="18" t="s">
        <v>4059</v>
      </c>
      <c r="D1471" s="18" t="s">
        <v>4060</v>
      </c>
      <c r="E1471" s="73">
        <v>6080</v>
      </c>
      <c r="F1471" s="114">
        <v>75000</v>
      </c>
      <c r="G1471" s="73">
        <v>15750</v>
      </c>
      <c r="H1471" s="73">
        <v>96830</v>
      </c>
      <c r="I1471" s="28" t="s">
        <v>19</v>
      </c>
      <c r="J1471" s="43"/>
    </row>
    <row r="1472" spans="1:10" customFormat="1" ht="15" hidden="1" customHeight="1" x14ac:dyDescent="0.25">
      <c r="A1472" s="37">
        <v>45125</v>
      </c>
      <c r="B1472" s="64" t="s">
        <v>4592</v>
      </c>
      <c r="C1472" s="18" t="s">
        <v>3007</v>
      </c>
      <c r="D1472" s="18" t="s">
        <v>3008</v>
      </c>
      <c r="E1472" s="73">
        <v>6080</v>
      </c>
      <c r="F1472" s="114">
        <v>217500</v>
      </c>
      <c r="G1472" s="73">
        <v>45675</v>
      </c>
      <c r="H1472" s="73">
        <v>269255</v>
      </c>
      <c r="I1472" s="28" t="s">
        <v>19</v>
      </c>
      <c r="J1472" s="43"/>
    </row>
    <row r="1473" spans="1:10" customFormat="1" ht="15" hidden="1" customHeight="1" x14ac:dyDescent="0.25">
      <c r="A1473" s="37">
        <v>45125</v>
      </c>
      <c r="B1473" s="64" t="s">
        <v>4593</v>
      </c>
      <c r="C1473" s="18" t="s">
        <v>3007</v>
      </c>
      <c r="D1473" s="18" t="s">
        <v>3008</v>
      </c>
      <c r="E1473" s="73">
        <v>24320</v>
      </c>
      <c r="F1473" s="114">
        <v>435000</v>
      </c>
      <c r="G1473" s="73">
        <v>91350</v>
      </c>
      <c r="H1473" s="73">
        <v>550670</v>
      </c>
      <c r="I1473" s="28" t="s">
        <v>19</v>
      </c>
      <c r="J1473" s="43"/>
    </row>
    <row r="1474" spans="1:10" customFormat="1" ht="15" hidden="1" customHeight="1" x14ac:dyDescent="0.25">
      <c r="A1474" s="37">
        <v>45125</v>
      </c>
      <c r="B1474" s="64" t="s">
        <v>4594</v>
      </c>
      <c r="C1474" s="18" t="s">
        <v>2909</v>
      </c>
      <c r="D1474" s="18" t="s">
        <v>2910</v>
      </c>
      <c r="E1474" s="73">
        <v>7920</v>
      </c>
      <c r="F1474" s="114">
        <v>130000</v>
      </c>
      <c r="G1474" s="73">
        <v>27300</v>
      </c>
      <c r="H1474" s="73">
        <v>165220</v>
      </c>
      <c r="I1474" s="28" t="s">
        <v>19</v>
      </c>
      <c r="J1474" s="43"/>
    </row>
    <row r="1475" spans="1:10" customFormat="1" ht="15" hidden="1" customHeight="1" x14ac:dyDescent="0.25">
      <c r="A1475" s="37">
        <v>45125</v>
      </c>
      <c r="B1475" s="64" t="s">
        <v>4595</v>
      </c>
      <c r="C1475" s="18" t="s">
        <v>4059</v>
      </c>
      <c r="D1475" s="18" t="s">
        <v>4060</v>
      </c>
      <c r="E1475" s="73">
        <v>6080</v>
      </c>
      <c r="F1475" s="114">
        <v>75000</v>
      </c>
      <c r="G1475" s="73">
        <v>15750</v>
      </c>
      <c r="H1475" s="73">
        <v>96830</v>
      </c>
      <c r="I1475" s="28" t="s">
        <v>19</v>
      </c>
      <c r="J1475" s="43"/>
    </row>
    <row r="1476" spans="1:10" customFormat="1" ht="15" hidden="1" customHeight="1" x14ac:dyDescent="0.25">
      <c r="A1476" s="40">
        <v>45125</v>
      </c>
      <c r="B1476" s="74" t="s">
        <v>4596</v>
      </c>
      <c r="C1476" s="74" t="s">
        <v>3272</v>
      </c>
      <c r="D1476" s="74" t="s">
        <v>3273</v>
      </c>
      <c r="E1476" s="73">
        <v>28404</v>
      </c>
      <c r="F1476" s="114">
        <v>202500</v>
      </c>
      <c r="G1476" s="73">
        <v>42525</v>
      </c>
      <c r="H1476" s="73">
        <v>273429</v>
      </c>
      <c r="I1476" s="41" t="s">
        <v>19</v>
      </c>
      <c r="J1476" s="49"/>
    </row>
    <row r="1477" spans="1:10" customFormat="1" ht="15" hidden="1" customHeight="1" x14ac:dyDescent="0.25">
      <c r="A1477" s="37">
        <v>45125</v>
      </c>
      <c r="B1477" s="64" t="s">
        <v>4597</v>
      </c>
      <c r="C1477" s="18" t="s">
        <v>2903</v>
      </c>
      <c r="D1477" s="18" t="s">
        <v>2904</v>
      </c>
      <c r="E1477" s="73">
        <v>6080</v>
      </c>
      <c r="F1477" s="114">
        <v>75000</v>
      </c>
      <c r="G1477" s="73">
        <v>15750</v>
      </c>
      <c r="H1477" s="73">
        <v>96830</v>
      </c>
      <c r="I1477" s="28" t="s">
        <v>19</v>
      </c>
      <c r="J1477" s="43"/>
    </row>
    <row r="1478" spans="1:10" customFormat="1" ht="15" hidden="1" customHeight="1" x14ac:dyDescent="0.25">
      <c r="A1478" s="37">
        <v>45125</v>
      </c>
      <c r="B1478" s="64" t="s">
        <v>4598</v>
      </c>
      <c r="C1478" s="18" t="s">
        <v>2903</v>
      </c>
      <c r="D1478" s="18" t="s">
        <v>2904</v>
      </c>
      <c r="E1478" s="73">
        <v>6080</v>
      </c>
      <c r="F1478" s="114">
        <v>75000</v>
      </c>
      <c r="G1478" s="73">
        <v>15750</v>
      </c>
      <c r="H1478" s="73">
        <v>96830</v>
      </c>
      <c r="I1478" s="28" t="s">
        <v>19</v>
      </c>
      <c r="J1478" s="43"/>
    </row>
    <row r="1479" spans="1:10" customFormat="1" ht="15" hidden="1" customHeight="1" x14ac:dyDescent="0.25">
      <c r="A1479" s="37">
        <v>45125</v>
      </c>
      <c r="B1479" s="64" t="s">
        <v>4599</v>
      </c>
      <c r="C1479" s="18" t="s">
        <v>3241</v>
      </c>
      <c r="D1479" s="18" t="s">
        <v>3242</v>
      </c>
      <c r="E1479" s="73">
        <v>10000</v>
      </c>
      <c r="F1479" s="114">
        <v>202500</v>
      </c>
      <c r="G1479" s="73">
        <v>42525</v>
      </c>
      <c r="H1479" s="73">
        <v>255025</v>
      </c>
      <c r="I1479" s="28" t="s">
        <v>19</v>
      </c>
      <c r="J1479" s="43"/>
    </row>
    <row r="1480" spans="1:10" customFormat="1" ht="15" hidden="1" customHeight="1" x14ac:dyDescent="0.25">
      <c r="A1480" s="37">
        <v>45125</v>
      </c>
      <c r="B1480" s="64" t="s">
        <v>4600</v>
      </c>
      <c r="C1480" s="18" t="s">
        <v>2903</v>
      </c>
      <c r="D1480" s="18" t="s">
        <v>2904</v>
      </c>
      <c r="E1480" s="73">
        <v>6080</v>
      </c>
      <c r="F1480" s="114">
        <v>75000</v>
      </c>
      <c r="G1480" s="73">
        <v>15750</v>
      </c>
      <c r="H1480" s="73">
        <v>96830</v>
      </c>
      <c r="I1480" s="28" t="s">
        <v>19</v>
      </c>
      <c r="J1480" s="43"/>
    </row>
    <row r="1481" spans="1:10" customFormat="1" ht="15" hidden="1" customHeight="1" x14ac:dyDescent="0.25">
      <c r="A1481" s="37">
        <v>45125</v>
      </c>
      <c r="B1481" s="64" t="s">
        <v>4601</v>
      </c>
      <c r="C1481" s="18" t="s">
        <v>3007</v>
      </c>
      <c r="D1481" s="18" t="s">
        <v>3008</v>
      </c>
      <c r="E1481" s="73">
        <v>9200</v>
      </c>
      <c r="F1481" s="114">
        <v>75000</v>
      </c>
      <c r="G1481" s="73">
        <v>15750</v>
      </c>
      <c r="H1481" s="73">
        <v>99950</v>
      </c>
      <c r="I1481" s="28" t="s">
        <v>19</v>
      </c>
      <c r="J1481" s="43"/>
    </row>
    <row r="1482" spans="1:10" customFormat="1" ht="15" hidden="1" customHeight="1" x14ac:dyDescent="0.25">
      <c r="A1482" s="37">
        <v>45125</v>
      </c>
      <c r="B1482" s="64" t="s">
        <v>4602</v>
      </c>
      <c r="C1482" s="18" t="s">
        <v>3007</v>
      </c>
      <c r="D1482" s="18" t="s">
        <v>3008</v>
      </c>
      <c r="E1482" s="73">
        <v>18400</v>
      </c>
      <c r="F1482" s="114">
        <v>150000</v>
      </c>
      <c r="G1482" s="73">
        <v>31500</v>
      </c>
      <c r="H1482" s="73">
        <v>199900</v>
      </c>
      <c r="I1482" s="28" t="s">
        <v>19</v>
      </c>
      <c r="J1482" s="43"/>
    </row>
    <row r="1483" spans="1:10" customFormat="1" ht="15" hidden="1" customHeight="1" x14ac:dyDescent="0.25">
      <c r="A1483" s="37">
        <v>45126</v>
      </c>
      <c r="B1483" s="64" t="s">
        <v>4603</v>
      </c>
      <c r="C1483" s="18" t="s">
        <v>3241</v>
      </c>
      <c r="D1483" s="18" t="s">
        <v>3242</v>
      </c>
      <c r="E1483" s="73">
        <v>9200</v>
      </c>
      <c r="F1483" s="114">
        <v>135000</v>
      </c>
      <c r="G1483" s="73">
        <v>28350</v>
      </c>
      <c r="H1483" s="73">
        <v>172550</v>
      </c>
      <c r="I1483" s="28" t="s">
        <v>19</v>
      </c>
      <c r="J1483" s="43"/>
    </row>
    <row r="1484" spans="1:10" customFormat="1" ht="15" hidden="1" customHeight="1" x14ac:dyDescent="0.25">
      <c r="A1484" s="37">
        <v>45126</v>
      </c>
      <c r="B1484" s="64" t="s">
        <v>4604</v>
      </c>
      <c r="C1484" s="18" t="s">
        <v>2997</v>
      </c>
      <c r="D1484" s="18" t="s">
        <v>2998</v>
      </c>
      <c r="E1484" s="73">
        <v>6863</v>
      </c>
      <c r="F1484" s="114">
        <v>181250</v>
      </c>
      <c r="G1484" s="73">
        <v>38062.5</v>
      </c>
      <c r="H1484" s="73">
        <v>226175.5</v>
      </c>
      <c r="I1484" s="28" t="s">
        <v>19</v>
      </c>
      <c r="J1484" s="43"/>
    </row>
    <row r="1485" spans="1:10" customFormat="1" ht="15" hidden="1" customHeight="1" x14ac:dyDescent="0.25">
      <c r="A1485" s="37">
        <v>45126</v>
      </c>
      <c r="B1485" s="64" t="s">
        <v>4605</v>
      </c>
      <c r="C1485" s="18" t="s">
        <v>2856</v>
      </c>
      <c r="D1485" s="18" t="s">
        <v>2857</v>
      </c>
      <c r="E1485" s="73">
        <v>0</v>
      </c>
      <c r="F1485" s="114">
        <v>73800</v>
      </c>
      <c r="G1485" s="73">
        <v>15498</v>
      </c>
      <c r="H1485" s="73">
        <v>89298</v>
      </c>
      <c r="I1485" s="28" t="s">
        <v>19</v>
      </c>
      <c r="J1485" s="43"/>
    </row>
    <row r="1486" spans="1:10" customFormat="1" ht="15" hidden="1" customHeight="1" x14ac:dyDescent="0.25">
      <c r="A1486" s="37">
        <v>45126</v>
      </c>
      <c r="B1486" s="64" t="s">
        <v>4606</v>
      </c>
      <c r="C1486" s="18" t="s">
        <v>2892</v>
      </c>
      <c r="D1486" s="18" t="s">
        <v>2893</v>
      </c>
      <c r="E1486" s="73">
        <v>0</v>
      </c>
      <c r="F1486" s="114">
        <v>73800</v>
      </c>
      <c r="G1486" s="73">
        <v>15498</v>
      </c>
      <c r="H1486" s="73">
        <v>89298</v>
      </c>
      <c r="I1486" s="28" t="s">
        <v>19</v>
      </c>
      <c r="J1486" s="43"/>
    </row>
    <row r="1487" spans="1:10" customFormat="1" ht="15" hidden="1" customHeight="1" x14ac:dyDescent="0.25">
      <c r="A1487" s="37">
        <v>45126</v>
      </c>
      <c r="B1487" s="64" t="s">
        <v>4607</v>
      </c>
      <c r="C1487" s="18" t="s">
        <v>3373</v>
      </c>
      <c r="D1487" s="18" t="s">
        <v>3374</v>
      </c>
      <c r="E1487" s="73">
        <v>4240</v>
      </c>
      <c r="F1487" s="114">
        <v>167250</v>
      </c>
      <c r="G1487" s="73">
        <v>35122.5</v>
      </c>
      <c r="H1487" s="73">
        <v>206612.5</v>
      </c>
      <c r="I1487" s="28" t="s">
        <v>19</v>
      </c>
      <c r="J1487" s="43"/>
    </row>
    <row r="1488" spans="1:10" customFormat="1" ht="15" hidden="1" customHeight="1" x14ac:dyDescent="0.25">
      <c r="A1488" s="37">
        <v>45126</v>
      </c>
      <c r="B1488" s="64" t="s">
        <v>4608</v>
      </c>
      <c r="C1488" s="18" t="s">
        <v>3559</v>
      </c>
      <c r="D1488" s="18" t="s">
        <v>3560</v>
      </c>
      <c r="E1488" s="73">
        <v>8310.5</v>
      </c>
      <c r="F1488" s="114">
        <v>102500</v>
      </c>
      <c r="G1488" s="73">
        <v>21525</v>
      </c>
      <c r="H1488" s="73">
        <v>132335.5</v>
      </c>
      <c r="I1488" s="28" t="s">
        <v>19</v>
      </c>
      <c r="J1488" s="43"/>
    </row>
    <row r="1489" spans="1:10" customFormat="1" ht="15" hidden="1" customHeight="1" x14ac:dyDescent="0.25">
      <c r="A1489" s="37">
        <v>45126</v>
      </c>
      <c r="B1489" s="64" t="s">
        <v>4609</v>
      </c>
      <c r="C1489" s="18" t="s">
        <v>2921</v>
      </c>
      <c r="D1489" s="18" t="s">
        <v>2922</v>
      </c>
      <c r="E1489" s="73">
        <v>12160</v>
      </c>
      <c r="F1489" s="114">
        <v>192800</v>
      </c>
      <c r="G1489" s="73">
        <v>40488</v>
      </c>
      <c r="H1489" s="73">
        <v>245448</v>
      </c>
      <c r="I1489" s="28" t="s">
        <v>19</v>
      </c>
      <c r="J1489" s="43"/>
    </row>
    <row r="1490" spans="1:10" customFormat="1" ht="15" hidden="1" customHeight="1" x14ac:dyDescent="0.25">
      <c r="A1490" s="37">
        <v>45126</v>
      </c>
      <c r="B1490" s="64" t="s">
        <v>4610</v>
      </c>
      <c r="C1490" s="18" t="s">
        <v>2906</v>
      </c>
      <c r="D1490" s="18" t="s">
        <v>2907</v>
      </c>
      <c r="E1490" s="73">
        <v>6080</v>
      </c>
      <c r="F1490" s="114">
        <v>96400</v>
      </c>
      <c r="G1490" s="73">
        <v>20244</v>
      </c>
      <c r="H1490" s="73">
        <v>122724</v>
      </c>
      <c r="I1490" s="28" t="s">
        <v>19</v>
      </c>
      <c r="J1490" s="43"/>
    </row>
    <row r="1491" spans="1:10" customFormat="1" ht="15" hidden="1" customHeight="1" x14ac:dyDescent="0.25">
      <c r="A1491" s="37">
        <v>45126</v>
      </c>
      <c r="B1491" s="64" t="s">
        <v>4611</v>
      </c>
      <c r="C1491" s="18" t="s">
        <v>2851</v>
      </c>
      <c r="D1491" s="18" t="s">
        <v>2852</v>
      </c>
      <c r="E1491" s="73">
        <v>12160</v>
      </c>
      <c r="F1491" s="114">
        <v>225000</v>
      </c>
      <c r="G1491" s="73">
        <v>47250</v>
      </c>
      <c r="H1491" s="73">
        <v>284410</v>
      </c>
      <c r="I1491" s="28" t="s">
        <v>19</v>
      </c>
      <c r="J1491" s="43"/>
    </row>
    <row r="1492" spans="1:10" customFormat="1" ht="15" hidden="1" customHeight="1" x14ac:dyDescent="0.25">
      <c r="A1492" s="37">
        <v>45126</v>
      </c>
      <c r="B1492" s="64" t="s">
        <v>4612</v>
      </c>
      <c r="C1492" s="18" t="s">
        <v>3007</v>
      </c>
      <c r="D1492" s="18" t="s">
        <v>3008</v>
      </c>
      <c r="E1492" s="73">
        <v>20006</v>
      </c>
      <c r="F1492" s="114">
        <v>135000</v>
      </c>
      <c r="G1492" s="73">
        <v>28350</v>
      </c>
      <c r="H1492" s="73">
        <v>183356</v>
      </c>
      <c r="I1492" s="28" t="s">
        <v>19</v>
      </c>
      <c r="J1492" s="43"/>
    </row>
    <row r="1493" spans="1:10" customFormat="1" ht="15" hidden="1" customHeight="1" x14ac:dyDescent="0.25">
      <c r="A1493" s="37">
        <v>45126</v>
      </c>
      <c r="B1493" s="64" t="s">
        <v>4613</v>
      </c>
      <c r="C1493" s="18" t="s">
        <v>3007</v>
      </c>
      <c r="D1493" s="18" t="s">
        <v>3008</v>
      </c>
      <c r="E1493" s="73">
        <v>12160</v>
      </c>
      <c r="F1493" s="114">
        <v>150000</v>
      </c>
      <c r="G1493" s="73">
        <v>31500</v>
      </c>
      <c r="H1493" s="73">
        <v>193660</v>
      </c>
      <c r="I1493" s="28" t="s">
        <v>19</v>
      </c>
      <c r="J1493" s="43"/>
    </row>
    <row r="1494" spans="1:10" customFormat="1" ht="15" hidden="1" customHeight="1" x14ac:dyDescent="0.25">
      <c r="A1494" s="37">
        <v>45126</v>
      </c>
      <c r="B1494" s="64" t="s">
        <v>4614</v>
      </c>
      <c r="C1494" s="18" t="s">
        <v>2997</v>
      </c>
      <c r="D1494" s="18" t="s">
        <v>2998</v>
      </c>
      <c r="E1494" s="73">
        <v>15840</v>
      </c>
      <c r="F1494" s="114">
        <v>237500</v>
      </c>
      <c r="G1494" s="73">
        <v>49875</v>
      </c>
      <c r="H1494" s="73">
        <v>303215</v>
      </c>
      <c r="I1494" s="28" t="s">
        <v>19</v>
      </c>
      <c r="J1494" s="43"/>
    </row>
    <row r="1495" spans="1:10" customFormat="1" ht="15" hidden="1" customHeight="1" x14ac:dyDescent="0.25">
      <c r="A1495" s="37">
        <v>45126</v>
      </c>
      <c r="B1495" s="64" t="s">
        <v>4615</v>
      </c>
      <c r="C1495" s="18" t="s">
        <v>2972</v>
      </c>
      <c r="D1495" s="18" t="s">
        <v>2973</v>
      </c>
      <c r="E1495" s="73">
        <v>16330</v>
      </c>
      <c r="F1495" s="114">
        <v>192500</v>
      </c>
      <c r="G1495" s="73">
        <v>40425</v>
      </c>
      <c r="H1495" s="73">
        <v>249255</v>
      </c>
      <c r="I1495" s="28" t="s">
        <v>19</v>
      </c>
      <c r="J1495" s="43"/>
    </row>
    <row r="1496" spans="1:10" customFormat="1" ht="15" hidden="1" customHeight="1" x14ac:dyDescent="0.25">
      <c r="A1496" s="37">
        <v>45126</v>
      </c>
      <c r="B1496" s="64" t="s">
        <v>4616</v>
      </c>
      <c r="C1496" s="18" t="s">
        <v>2972</v>
      </c>
      <c r="D1496" s="18" t="s">
        <v>2973</v>
      </c>
      <c r="E1496" s="73">
        <v>16330</v>
      </c>
      <c r="F1496" s="114">
        <v>231250</v>
      </c>
      <c r="G1496" s="73">
        <v>48562.5</v>
      </c>
      <c r="H1496" s="73">
        <v>296142.5</v>
      </c>
      <c r="I1496" s="28" t="s">
        <v>19</v>
      </c>
      <c r="J1496" s="43"/>
    </row>
    <row r="1497" spans="1:10" customFormat="1" ht="15" hidden="1" customHeight="1" x14ac:dyDescent="0.25">
      <c r="A1497" s="37">
        <v>45126</v>
      </c>
      <c r="B1497" s="64" t="s">
        <v>4617</v>
      </c>
      <c r="C1497" s="18" t="s">
        <v>2972</v>
      </c>
      <c r="D1497" s="18" t="s">
        <v>2973</v>
      </c>
      <c r="E1497" s="73">
        <v>16330</v>
      </c>
      <c r="F1497" s="114">
        <v>231250</v>
      </c>
      <c r="G1497" s="73">
        <v>48562.5</v>
      </c>
      <c r="H1497" s="73">
        <v>296142.5</v>
      </c>
      <c r="I1497" s="28" t="s">
        <v>19</v>
      </c>
      <c r="J1497" s="43"/>
    </row>
    <row r="1498" spans="1:10" customFormat="1" ht="15" hidden="1" customHeight="1" x14ac:dyDescent="0.25">
      <c r="A1498" s="37">
        <v>45127</v>
      </c>
      <c r="B1498" s="64" t="s">
        <v>4618</v>
      </c>
      <c r="C1498" s="18" t="s">
        <v>2972</v>
      </c>
      <c r="D1498" s="18" t="s">
        <v>2973</v>
      </c>
      <c r="E1498" s="73">
        <v>16330</v>
      </c>
      <c r="F1498" s="114">
        <v>155000</v>
      </c>
      <c r="G1498" s="73">
        <v>32550</v>
      </c>
      <c r="H1498" s="73">
        <v>203880</v>
      </c>
      <c r="I1498" s="28" t="s">
        <v>19</v>
      </c>
      <c r="J1498" s="43"/>
    </row>
    <row r="1499" spans="1:10" customFormat="1" ht="15" hidden="1" customHeight="1" x14ac:dyDescent="0.25">
      <c r="A1499" s="37">
        <v>45127</v>
      </c>
      <c r="B1499" s="64" t="s">
        <v>4619</v>
      </c>
      <c r="C1499" s="18" t="s">
        <v>3176</v>
      </c>
      <c r="D1499" s="18" t="s">
        <v>3177</v>
      </c>
      <c r="E1499" s="73">
        <v>13660</v>
      </c>
      <c r="F1499" s="114">
        <v>202500</v>
      </c>
      <c r="G1499" s="73">
        <v>42525</v>
      </c>
      <c r="H1499" s="73">
        <v>258685</v>
      </c>
      <c r="I1499" s="28" t="s">
        <v>19</v>
      </c>
      <c r="J1499" s="43"/>
    </row>
    <row r="1500" spans="1:10" customFormat="1" ht="15" hidden="1" customHeight="1" x14ac:dyDescent="0.25">
      <c r="A1500" s="37">
        <v>45127</v>
      </c>
      <c r="B1500" s="64" t="s">
        <v>4620</v>
      </c>
      <c r="C1500" s="18" t="s">
        <v>3876</v>
      </c>
      <c r="D1500" s="18" t="s">
        <v>3877</v>
      </c>
      <c r="E1500" s="73">
        <v>13888</v>
      </c>
      <c r="F1500" s="114">
        <v>155000</v>
      </c>
      <c r="G1500" s="73">
        <v>32550</v>
      </c>
      <c r="H1500" s="73">
        <v>201438</v>
      </c>
      <c r="I1500" s="28" t="s">
        <v>19</v>
      </c>
      <c r="J1500" s="43"/>
    </row>
    <row r="1501" spans="1:10" customFormat="1" ht="15" hidden="1" customHeight="1" x14ac:dyDescent="0.25">
      <c r="A1501" s="37">
        <v>45128</v>
      </c>
      <c r="B1501" s="64" t="s">
        <v>4621</v>
      </c>
      <c r="C1501" s="18" t="s">
        <v>3627</v>
      </c>
      <c r="D1501" s="18" t="s">
        <v>3628</v>
      </c>
      <c r="E1501" s="73">
        <v>2150</v>
      </c>
      <c r="F1501" s="114">
        <v>78750</v>
      </c>
      <c r="G1501" s="73">
        <v>16537.5</v>
      </c>
      <c r="H1501" s="73">
        <v>97437.5</v>
      </c>
      <c r="I1501" s="28" t="s">
        <v>19</v>
      </c>
      <c r="J1501" s="43"/>
    </row>
    <row r="1502" spans="1:10" customFormat="1" ht="15" hidden="1" customHeight="1" x14ac:dyDescent="0.25">
      <c r="A1502" s="37">
        <v>45128</v>
      </c>
      <c r="B1502" s="64" t="s">
        <v>4622</v>
      </c>
      <c r="C1502" s="18" t="s">
        <v>2903</v>
      </c>
      <c r="D1502" s="18" t="s">
        <v>2904</v>
      </c>
      <c r="E1502" s="73">
        <v>9200</v>
      </c>
      <c r="F1502" s="114">
        <v>67500</v>
      </c>
      <c r="G1502" s="73">
        <v>14175</v>
      </c>
      <c r="H1502" s="73">
        <v>90875</v>
      </c>
      <c r="I1502" s="28" t="s">
        <v>19</v>
      </c>
      <c r="J1502" s="43"/>
    </row>
    <row r="1503" spans="1:10" customFormat="1" ht="15" hidden="1" customHeight="1" x14ac:dyDescent="0.25">
      <c r="A1503" s="37">
        <v>45128</v>
      </c>
      <c r="B1503" s="64" t="s">
        <v>4623</v>
      </c>
      <c r="C1503" s="18" t="s">
        <v>3235</v>
      </c>
      <c r="D1503" s="18" t="s">
        <v>3236</v>
      </c>
      <c r="E1503" s="73">
        <v>18004</v>
      </c>
      <c r="F1503" s="114">
        <v>172500</v>
      </c>
      <c r="G1503" s="73">
        <v>36225</v>
      </c>
      <c r="H1503" s="73">
        <v>226729</v>
      </c>
      <c r="I1503" s="28" t="s">
        <v>19</v>
      </c>
      <c r="J1503" s="43"/>
    </row>
    <row r="1504" spans="1:10" customFormat="1" ht="15" hidden="1" customHeight="1" x14ac:dyDescent="0.25">
      <c r="A1504" s="37">
        <v>45128</v>
      </c>
      <c r="B1504" s="64" t="s">
        <v>4624</v>
      </c>
      <c r="C1504" s="18" t="s">
        <v>3450</v>
      </c>
      <c r="D1504" s="18" t="s">
        <v>3451</v>
      </c>
      <c r="E1504" s="73">
        <v>0</v>
      </c>
      <c r="F1504" s="114">
        <v>41250</v>
      </c>
      <c r="G1504" s="73">
        <v>8662.5</v>
      </c>
      <c r="H1504" s="73">
        <v>49912.5</v>
      </c>
      <c r="I1504" s="28" t="s">
        <v>19</v>
      </c>
      <c r="J1504" s="43"/>
    </row>
    <row r="1505" spans="1:10" customFormat="1" ht="15" hidden="1" customHeight="1" x14ac:dyDescent="0.25">
      <c r="A1505" s="37">
        <v>45128</v>
      </c>
      <c r="B1505" s="64" t="s">
        <v>4625</v>
      </c>
      <c r="C1505" s="18" t="s">
        <v>2924</v>
      </c>
      <c r="D1505" s="18" t="s">
        <v>2925</v>
      </c>
      <c r="E1505" s="73">
        <v>0</v>
      </c>
      <c r="F1505" s="114">
        <v>41250</v>
      </c>
      <c r="G1505" s="73">
        <v>8662.5</v>
      </c>
      <c r="H1505" s="73">
        <v>49912.5</v>
      </c>
      <c r="I1505" s="28" t="s">
        <v>19</v>
      </c>
      <c r="J1505" s="43"/>
    </row>
    <row r="1506" spans="1:10" customFormat="1" ht="15" hidden="1" customHeight="1" x14ac:dyDescent="0.25">
      <c r="A1506" s="37">
        <v>45128</v>
      </c>
      <c r="B1506" s="64" t="s">
        <v>4626</v>
      </c>
      <c r="C1506" s="18" t="s">
        <v>2892</v>
      </c>
      <c r="D1506" s="18" t="s">
        <v>2893</v>
      </c>
      <c r="E1506" s="73">
        <v>0</v>
      </c>
      <c r="F1506" s="114">
        <v>41250</v>
      </c>
      <c r="G1506" s="73">
        <v>8662.5</v>
      </c>
      <c r="H1506" s="73">
        <v>49912.5</v>
      </c>
      <c r="I1506" s="28" t="s">
        <v>19</v>
      </c>
      <c r="J1506" s="43"/>
    </row>
    <row r="1507" spans="1:10" customFormat="1" ht="15" hidden="1" customHeight="1" x14ac:dyDescent="0.25">
      <c r="A1507" s="37">
        <v>45128</v>
      </c>
      <c r="B1507" s="64" t="s">
        <v>4627</v>
      </c>
      <c r="C1507" s="18" t="s">
        <v>3241</v>
      </c>
      <c r="D1507" s="18" t="s">
        <v>3242</v>
      </c>
      <c r="E1507" s="73">
        <v>10000</v>
      </c>
      <c r="F1507" s="114">
        <v>202500</v>
      </c>
      <c r="G1507" s="73">
        <v>42525</v>
      </c>
      <c r="H1507" s="73">
        <v>255025</v>
      </c>
      <c r="I1507" s="28" t="s">
        <v>19</v>
      </c>
      <c r="J1507" s="43"/>
    </row>
    <row r="1508" spans="1:10" customFormat="1" ht="15" hidden="1" customHeight="1" x14ac:dyDescent="0.25">
      <c r="A1508" s="37">
        <v>45128</v>
      </c>
      <c r="B1508" s="64" t="s">
        <v>4628</v>
      </c>
      <c r="C1508" s="18" t="s">
        <v>2924</v>
      </c>
      <c r="D1508" s="18" t="s">
        <v>2925</v>
      </c>
      <c r="E1508" s="73">
        <v>0</v>
      </c>
      <c r="F1508" s="114">
        <v>20776.25</v>
      </c>
      <c r="G1508" s="73">
        <v>4363.01</v>
      </c>
      <c r="H1508" s="73">
        <v>25139.26</v>
      </c>
      <c r="I1508" s="28" t="s">
        <v>19</v>
      </c>
      <c r="J1508" s="43"/>
    </row>
    <row r="1509" spans="1:10" customFormat="1" ht="15" hidden="1" customHeight="1" x14ac:dyDescent="0.25">
      <c r="A1509" s="37">
        <v>45128</v>
      </c>
      <c r="B1509" s="64" t="s">
        <v>4629</v>
      </c>
      <c r="C1509" s="18" t="s">
        <v>4465</v>
      </c>
      <c r="D1509" s="18" t="s">
        <v>4466</v>
      </c>
      <c r="E1509" s="73">
        <v>0</v>
      </c>
      <c r="F1509" s="114">
        <v>52500</v>
      </c>
      <c r="G1509" s="73">
        <v>11025</v>
      </c>
      <c r="H1509" s="73">
        <v>63525</v>
      </c>
      <c r="I1509" s="28" t="s">
        <v>19</v>
      </c>
      <c r="J1509" s="43"/>
    </row>
    <row r="1510" spans="1:10" customFormat="1" ht="15" hidden="1" customHeight="1" x14ac:dyDescent="0.25">
      <c r="A1510" s="37">
        <v>45128</v>
      </c>
      <c r="B1510" s="64" t="s">
        <v>4630</v>
      </c>
      <c r="C1510" s="18" t="s">
        <v>2867</v>
      </c>
      <c r="D1510" s="18" t="s">
        <v>2868</v>
      </c>
      <c r="E1510" s="73">
        <v>11500</v>
      </c>
      <c r="F1510" s="114">
        <v>102500</v>
      </c>
      <c r="G1510" s="73">
        <v>21525</v>
      </c>
      <c r="H1510" s="73">
        <v>135525</v>
      </c>
      <c r="I1510" s="28" t="s">
        <v>19</v>
      </c>
      <c r="J1510" s="43"/>
    </row>
    <row r="1511" spans="1:10" customFormat="1" ht="15" hidden="1" customHeight="1" x14ac:dyDescent="0.25">
      <c r="A1511" s="37">
        <v>45128</v>
      </c>
      <c r="B1511" s="64" t="s">
        <v>4631</v>
      </c>
      <c r="C1511" s="18" t="s">
        <v>4632</v>
      </c>
      <c r="D1511" s="18" t="s">
        <v>4633</v>
      </c>
      <c r="E1511" s="73">
        <v>16000</v>
      </c>
      <c r="F1511" s="114">
        <v>183000</v>
      </c>
      <c r="G1511" s="73">
        <v>38430</v>
      </c>
      <c r="H1511" s="73">
        <v>237430</v>
      </c>
      <c r="I1511" s="28" t="s">
        <v>19</v>
      </c>
      <c r="J1511" s="43"/>
    </row>
    <row r="1512" spans="1:10" customFormat="1" ht="15" hidden="1" customHeight="1" x14ac:dyDescent="0.25">
      <c r="A1512" s="37">
        <v>45128</v>
      </c>
      <c r="B1512" s="64" t="s">
        <v>4634</v>
      </c>
      <c r="C1512" s="18" t="s">
        <v>2856</v>
      </c>
      <c r="D1512" s="18" t="s">
        <v>2857</v>
      </c>
      <c r="E1512" s="73">
        <v>16400</v>
      </c>
      <c r="F1512" s="114">
        <v>183000</v>
      </c>
      <c r="G1512" s="73">
        <v>38430</v>
      </c>
      <c r="H1512" s="73">
        <v>237830</v>
      </c>
      <c r="I1512" s="28" t="s">
        <v>19</v>
      </c>
      <c r="J1512" s="43"/>
    </row>
    <row r="1513" spans="1:10" customFormat="1" ht="15" hidden="1" customHeight="1" x14ac:dyDescent="0.25">
      <c r="A1513" s="37">
        <v>45128</v>
      </c>
      <c r="B1513" s="64" t="s">
        <v>4635</v>
      </c>
      <c r="C1513" s="18" t="s">
        <v>2945</v>
      </c>
      <c r="D1513" s="18" t="s">
        <v>2946</v>
      </c>
      <c r="E1513" s="73">
        <v>8800</v>
      </c>
      <c r="F1513" s="114">
        <v>102500</v>
      </c>
      <c r="G1513" s="73">
        <v>21525</v>
      </c>
      <c r="H1513" s="73">
        <v>132825</v>
      </c>
      <c r="I1513" s="28" t="s">
        <v>19</v>
      </c>
      <c r="J1513" s="43"/>
    </row>
    <row r="1514" spans="1:10" customFormat="1" ht="15" hidden="1" customHeight="1" x14ac:dyDescent="0.25">
      <c r="A1514" s="37">
        <v>45128</v>
      </c>
      <c r="B1514" s="64" t="s">
        <v>4636</v>
      </c>
      <c r="C1514" s="18" t="s">
        <v>3450</v>
      </c>
      <c r="D1514" s="18" t="s">
        <v>3451</v>
      </c>
      <c r="E1514" s="73">
        <v>5000</v>
      </c>
      <c r="F1514" s="114">
        <v>123750</v>
      </c>
      <c r="G1514" s="73">
        <v>25987.5</v>
      </c>
      <c r="H1514" s="73">
        <v>154737.5</v>
      </c>
      <c r="I1514" s="28" t="s">
        <v>19</v>
      </c>
      <c r="J1514" s="43"/>
    </row>
    <row r="1515" spans="1:10" customFormat="1" ht="15" hidden="1" customHeight="1" x14ac:dyDescent="0.25">
      <c r="A1515" s="37">
        <v>45128</v>
      </c>
      <c r="B1515" s="64" t="s">
        <v>4637</v>
      </c>
      <c r="C1515" s="18" t="s">
        <v>2972</v>
      </c>
      <c r="D1515" s="18" t="s">
        <v>2973</v>
      </c>
      <c r="E1515" s="73">
        <v>10700</v>
      </c>
      <c r="F1515" s="114">
        <v>116250</v>
      </c>
      <c r="G1515" s="73">
        <v>24412.5</v>
      </c>
      <c r="H1515" s="73">
        <v>151362.5</v>
      </c>
      <c r="I1515" s="28" t="s">
        <v>19</v>
      </c>
      <c r="J1515" s="43"/>
    </row>
    <row r="1516" spans="1:10" customFormat="1" ht="15" hidden="1" customHeight="1" x14ac:dyDescent="0.25">
      <c r="A1516" s="37">
        <v>45128</v>
      </c>
      <c r="B1516" s="64" t="s">
        <v>4638</v>
      </c>
      <c r="C1516" s="18" t="s">
        <v>3876</v>
      </c>
      <c r="D1516" s="18" t="s">
        <v>3877</v>
      </c>
      <c r="E1516" s="73">
        <v>8804</v>
      </c>
      <c r="F1516" s="114">
        <v>67500</v>
      </c>
      <c r="G1516" s="73">
        <v>14175</v>
      </c>
      <c r="H1516" s="73">
        <v>90479</v>
      </c>
      <c r="I1516" s="28" t="s">
        <v>19</v>
      </c>
      <c r="J1516" s="43"/>
    </row>
    <row r="1517" spans="1:10" customFormat="1" ht="15" hidden="1" customHeight="1" x14ac:dyDescent="0.25">
      <c r="A1517" s="37">
        <v>45128</v>
      </c>
      <c r="B1517" s="64" t="s">
        <v>4639</v>
      </c>
      <c r="C1517" s="18" t="s">
        <v>3235</v>
      </c>
      <c r="D1517" s="18" t="s">
        <v>3236</v>
      </c>
      <c r="E1517" s="73">
        <v>3720</v>
      </c>
      <c r="F1517" s="114">
        <v>102500</v>
      </c>
      <c r="G1517" s="73">
        <v>21525</v>
      </c>
      <c r="H1517" s="73">
        <v>127745</v>
      </c>
      <c r="I1517" s="28" t="s">
        <v>19</v>
      </c>
      <c r="J1517" s="43"/>
    </row>
    <row r="1518" spans="1:10" customFormat="1" ht="15" hidden="1" customHeight="1" x14ac:dyDescent="0.25">
      <c r="A1518" s="37">
        <v>45131</v>
      </c>
      <c r="B1518" s="64" t="s">
        <v>4640</v>
      </c>
      <c r="C1518" s="18" t="s">
        <v>2903</v>
      </c>
      <c r="D1518" s="18" t="s">
        <v>2904</v>
      </c>
      <c r="E1518" s="73">
        <v>9200</v>
      </c>
      <c r="F1518" s="114">
        <v>67500</v>
      </c>
      <c r="G1518" s="73">
        <v>14175</v>
      </c>
      <c r="H1518" s="73">
        <v>90875</v>
      </c>
      <c r="I1518" s="28" t="s">
        <v>19</v>
      </c>
      <c r="J1518" s="43"/>
    </row>
    <row r="1519" spans="1:10" customFormat="1" ht="15" hidden="1" customHeight="1" x14ac:dyDescent="0.25">
      <c r="A1519" s="37">
        <v>45131</v>
      </c>
      <c r="B1519" s="64" t="s">
        <v>4641</v>
      </c>
      <c r="C1519" s="18" t="s">
        <v>3007</v>
      </c>
      <c r="D1519" s="18" t="s">
        <v>3008</v>
      </c>
      <c r="E1519" s="73">
        <v>0</v>
      </c>
      <c r="F1519" s="114">
        <v>52500</v>
      </c>
      <c r="G1519" s="73">
        <v>11025</v>
      </c>
      <c r="H1519" s="73">
        <v>63525</v>
      </c>
      <c r="I1519" s="28" t="s">
        <v>19</v>
      </c>
      <c r="J1519" s="43"/>
    </row>
    <row r="1520" spans="1:10" customFormat="1" ht="15" hidden="1" customHeight="1" x14ac:dyDescent="0.25">
      <c r="A1520" s="37">
        <v>45131</v>
      </c>
      <c r="B1520" s="64" t="s">
        <v>4642</v>
      </c>
      <c r="C1520" s="18" t="s">
        <v>4643</v>
      </c>
      <c r="D1520" s="18" t="s">
        <v>4644</v>
      </c>
      <c r="E1520" s="73">
        <v>0</v>
      </c>
      <c r="F1520" s="114">
        <v>61250</v>
      </c>
      <c r="G1520" s="73">
        <v>12862.5</v>
      </c>
      <c r="H1520" s="73">
        <v>74112.5</v>
      </c>
      <c r="I1520" s="28" t="s">
        <v>19</v>
      </c>
      <c r="J1520" s="43"/>
    </row>
    <row r="1521" spans="1:10" customFormat="1" ht="15" hidden="1" customHeight="1" x14ac:dyDescent="0.25">
      <c r="A1521" s="57">
        <v>45131</v>
      </c>
      <c r="B1521" s="122" t="s">
        <v>4645</v>
      </c>
      <c r="C1521" s="123" t="s">
        <v>2856</v>
      </c>
      <c r="D1521" s="123" t="s">
        <v>2857</v>
      </c>
      <c r="E1521" s="124">
        <v>1820</v>
      </c>
      <c r="F1521" s="125">
        <v>77500</v>
      </c>
      <c r="G1521" s="124">
        <v>16275</v>
      </c>
      <c r="H1521" s="124">
        <v>95595</v>
      </c>
      <c r="I1521" s="59" t="s">
        <v>19</v>
      </c>
      <c r="J1521" s="43"/>
    </row>
    <row r="1522" spans="1:10" customFormat="1" ht="15" hidden="1" customHeight="1" x14ac:dyDescent="0.25">
      <c r="A1522" s="127">
        <v>45131</v>
      </c>
      <c r="B1522" s="128" t="s">
        <v>4646</v>
      </c>
      <c r="C1522" s="128" t="s">
        <v>3132</v>
      </c>
      <c r="D1522" s="128" t="s">
        <v>3133</v>
      </c>
      <c r="E1522" s="129">
        <v>33990</v>
      </c>
      <c r="F1522" s="130">
        <v>465000</v>
      </c>
      <c r="G1522" s="129">
        <v>97650</v>
      </c>
      <c r="H1522" s="129">
        <v>596640</v>
      </c>
      <c r="I1522" s="121" t="s">
        <v>19</v>
      </c>
      <c r="J1522" s="43"/>
    </row>
    <row r="1523" spans="1:10" customFormat="1" ht="15" hidden="1" customHeight="1" x14ac:dyDescent="0.25">
      <c r="A1523" s="126">
        <v>45132</v>
      </c>
      <c r="B1523" s="122" t="s">
        <v>4647</v>
      </c>
      <c r="C1523" s="123" t="s">
        <v>2912</v>
      </c>
      <c r="D1523" s="123" t="s">
        <v>2913</v>
      </c>
      <c r="E1523" s="124">
        <v>34500</v>
      </c>
      <c r="F1523" s="125">
        <v>768750</v>
      </c>
      <c r="G1523" s="124">
        <v>161437.5</v>
      </c>
      <c r="H1523" s="124">
        <v>964687.5</v>
      </c>
      <c r="I1523" s="55" t="s">
        <v>19</v>
      </c>
      <c r="J1523" s="43"/>
    </row>
    <row r="1524" spans="1:10" customFormat="1" ht="15" hidden="1" customHeight="1" x14ac:dyDescent="0.25">
      <c r="A1524" s="37">
        <v>45132</v>
      </c>
      <c r="B1524" s="64" t="s">
        <v>4648</v>
      </c>
      <c r="C1524" s="18" t="s">
        <v>3241</v>
      </c>
      <c r="D1524" s="18" t="s">
        <v>3242</v>
      </c>
      <c r="E1524" s="73">
        <v>18400</v>
      </c>
      <c r="F1524" s="114">
        <v>135000</v>
      </c>
      <c r="G1524" s="73">
        <v>28350</v>
      </c>
      <c r="H1524" s="73">
        <v>181750</v>
      </c>
      <c r="I1524" s="28" t="s">
        <v>19</v>
      </c>
      <c r="J1524" s="43"/>
    </row>
    <row r="1525" spans="1:10" customFormat="1" ht="15" hidden="1" customHeight="1" x14ac:dyDescent="0.25">
      <c r="A1525" s="37">
        <v>45132</v>
      </c>
      <c r="B1525" s="64" t="s">
        <v>4649</v>
      </c>
      <c r="C1525" s="18" t="s">
        <v>2892</v>
      </c>
      <c r="D1525" s="18" t="s">
        <v>2893</v>
      </c>
      <c r="E1525" s="73">
        <v>0</v>
      </c>
      <c r="F1525" s="114">
        <v>52500</v>
      </c>
      <c r="G1525" s="73">
        <v>11025</v>
      </c>
      <c r="H1525" s="73">
        <v>63525</v>
      </c>
      <c r="I1525" s="28" t="s">
        <v>19</v>
      </c>
      <c r="J1525" s="43"/>
    </row>
    <row r="1526" spans="1:10" customFormat="1" ht="15" hidden="1" customHeight="1" x14ac:dyDescent="0.25">
      <c r="A1526" s="37">
        <v>45132</v>
      </c>
      <c r="B1526" s="64" t="s">
        <v>4650</v>
      </c>
      <c r="C1526" s="18" t="s">
        <v>2867</v>
      </c>
      <c r="D1526" s="18" t="s">
        <v>2868</v>
      </c>
      <c r="E1526" s="73">
        <v>11500</v>
      </c>
      <c r="F1526" s="114">
        <v>102500</v>
      </c>
      <c r="G1526" s="73">
        <v>21525</v>
      </c>
      <c r="H1526" s="73">
        <v>135525</v>
      </c>
      <c r="I1526" s="28" t="s">
        <v>19</v>
      </c>
      <c r="J1526" s="43"/>
    </row>
    <row r="1527" spans="1:10" customFormat="1" ht="15" hidden="1" customHeight="1" x14ac:dyDescent="0.25">
      <c r="A1527" s="37">
        <v>45132</v>
      </c>
      <c r="B1527" s="64" t="s">
        <v>4651</v>
      </c>
      <c r="C1527" s="18" t="s">
        <v>2909</v>
      </c>
      <c r="D1527" s="18" t="s">
        <v>2910</v>
      </c>
      <c r="E1527" s="73">
        <v>12100</v>
      </c>
      <c r="F1527" s="114">
        <v>205000</v>
      </c>
      <c r="G1527" s="73">
        <v>43050</v>
      </c>
      <c r="H1527" s="73">
        <v>260150</v>
      </c>
      <c r="I1527" s="28" t="s">
        <v>19</v>
      </c>
      <c r="J1527" s="43"/>
    </row>
    <row r="1528" spans="1:10" customFormat="1" ht="15" hidden="1" customHeight="1" x14ac:dyDescent="0.25">
      <c r="A1528" s="37">
        <v>45132</v>
      </c>
      <c r="B1528" s="64" t="s">
        <v>4652</v>
      </c>
      <c r="C1528" s="18" t="s">
        <v>3460</v>
      </c>
      <c r="D1528" s="18" t="s">
        <v>3461</v>
      </c>
      <c r="E1528" s="73">
        <v>10700</v>
      </c>
      <c r="F1528" s="114">
        <v>191250</v>
      </c>
      <c r="G1528" s="73">
        <v>40162.5</v>
      </c>
      <c r="H1528" s="73">
        <v>242112.5</v>
      </c>
      <c r="I1528" s="28" t="s">
        <v>19</v>
      </c>
      <c r="J1528" s="43"/>
    </row>
    <row r="1529" spans="1:10" customFormat="1" ht="15" hidden="1" customHeight="1" x14ac:dyDescent="0.25">
      <c r="A1529" s="37">
        <v>45133</v>
      </c>
      <c r="B1529" s="64" t="s">
        <v>4653</v>
      </c>
      <c r="C1529" s="18" t="s">
        <v>4059</v>
      </c>
      <c r="D1529" s="18" t="s">
        <v>4060</v>
      </c>
      <c r="E1529" s="73">
        <v>6080</v>
      </c>
      <c r="F1529" s="114">
        <v>75000</v>
      </c>
      <c r="G1529" s="73">
        <v>15750</v>
      </c>
      <c r="H1529" s="73">
        <v>96830</v>
      </c>
      <c r="I1529" s="28" t="s">
        <v>19</v>
      </c>
      <c r="J1529" s="43"/>
    </row>
    <row r="1530" spans="1:10" customFormat="1" ht="15" hidden="1" customHeight="1" x14ac:dyDescent="0.25">
      <c r="A1530" s="37">
        <v>45133</v>
      </c>
      <c r="B1530" s="64" t="s">
        <v>4654</v>
      </c>
      <c r="C1530" s="18" t="s">
        <v>1140</v>
      </c>
      <c r="D1530" s="18" t="s">
        <v>1141</v>
      </c>
      <c r="E1530" s="73">
        <v>6088</v>
      </c>
      <c r="F1530" s="114">
        <v>75000</v>
      </c>
      <c r="G1530" s="73">
        <v>15750</v>
      </c>
      <c r="H1530" s="73">
        <v>96838</v>
      </c>
      <c r="I1530" s="28" t="s">
        <v>19</v>
      </c>
      <c r="J1530" s="43"/>
    </row>
    <row r="1531" spans="1:10" customFormat="1" ht="15" hidden="1" customHeight="1" x14ac:dyDescent="0.25">
      <c r="A1531" s="37">
        <v>45133</v>
      </c>
      <c r="B1531" s="64" t="s">
        <v>4655</v>
      </c>
      <c r="C1531" s="18" t="s">
        <v>2876</v>
      </c>
      <c r="D1531" s="18" t="s">
        <v>2877</v>
      </c>
      <c r="E1531" s="73">
        <v>6080</v>
      </c>
      <c r="F1531" s="114">
        <v>75000</v>
      </c>
      <c r="G1531" s="73">
        <v>15750</v>
      </c>
      <c r="H1531" s="73">
        <v>96830</v>
      </c>
      <c r="I1531" s="28" t="s">
        <v>19</v>
      </c>
      <c r="J1531" s="43"/>
    </row>
    <row r="1532" spans="1:10" customFormat="1" ht="15" hidden="1" customHeight="1" x14ac:dyDescent="0.25">
      <c r="A1532" s="40">
        <v>45133</v>
      </c>
      <c r="B1532" s="74" t="s">
        <v>4656</v>
      </c>
      <c r="C1532" s="74" t="s">
        <v>3272</v>
      </c>
      <c r="D1532" s="74" t="s">
        <v>3273</v>
      </c>
      <c r="E1532" s="73">
        <v>24320</v>
      </c>
      <c r="F1532" s="114">
        <v>300000</v>
      </c>
      <c r="G1532" s="73">
        <v>63000</v>
      </c>
      <c r="H1532" s="73">
        <v>387320</v>
      </c>
      <c r="I1532" s="41" t="s">
        <v>19</v>
      </c>
      <c r="J1532" s="49"/>
    </row>
    <row r="1533" spans="1:10" customFormat="1" ht="15" hidden="1" customHeight="1" x14ac:dyDescent="0.25">
      <c r="A1533" s="37">
        <v>45133</v>
      </c>
      <c r="B1533" s="64" t="s">
        <v>4657</v>
      </c>
      <c r="C1533" s="18" t="s">
        <v>3831</v>
      </c>
      <c r="D1533" s="18" t="s">
        <v>3832</v>
      </c>
      <c r="E1533" s="73">
        <v>6080</v>
      </c>
      <c r="F1533" s="114">
        <v>75000</v>
      </c>
      <c r="G1533" s="73">
        <v>15750</v>
      </c>
      <c r="H1533" s="73">
        <v>96830</v>
      </c>
      <c r="I1533" s="28" t="s">
        <v>19</v>
      </c>
      <c r="J1533" s="43"/>
    </row>
    <row r="1534" spans="1:10" customFormat="1" ht="15" hidden="1" customHeight="1" x14ac:dyDescent="0.25">
      <c r="A1534" s="37">
        <v>45133</v>
      </c>
      <c r="B1534" s="64" t="s">
        <v>4658</v>
      </c>
      <c r="C1534" s="18" t="s">
        <v>4558</v>
      </c>
      <c r="D1534" s="18" t="s">
        <v>4559</v>
      </c>
      <c r="E1534" s="73">
        <v>6080</v>
      </c>
      <c r="F1534" s="114">
        <v>75000</v>
      </c>
      <c r="G1534" s="73">
        <v>15750</v>
      </c>
      <c r="H1534" s="73">
        <v>96830</v>
      </c>
      <c r="I1534" s="28" t="s">
        <v>19</v>
      </c>
      <c r="J1534" s="43"/>
    </row>
    <row r="1535" spans="1:10" customFormat="1" ht="15" hidden="1" customHeight="1" x14ac:dyDescent="0.25">
      <c r="A1535" s="37">
        <v>45133</v>
      </c>
      <c r="B1535" s="64" t="s">
        <v>4659</v>
      </c>
      <c r="C1535" s="18" t="s">
        <v>4059</v>
      </c>
      <c r="D1535" s="18" t="s">
        <v>4060</v>
      </c>
      <c r="E1535" s="73">
        <v>9200</v>
      </c>
      <c r="F1535" s="114">
        <v>75000</v>
      </c>
      <c r="G1535" s="73">
        <v>15750</v>
      </c>
      <c r="H1535" s="73">
        <v>99950</v>
      </c>
      <c r="I1535" s="28" t="s">
        <v>19</v>
      </c>
      <c r="J1535" s="43"/>
    </row>
    <row r="1536" spans="1:10" customFormat="1" ht="15" hidden="1" customHeight="1" x14ac:dyDescent="0.25">
      <c r="A1536" s="37">
        <v>45133</v>
      </c>
      <c r="B1536" s="64" t="s">
        <v>4660</v>
      </c>
      <c r="C1536" s="18" t="s">
        <v>2921</v>
      </c>
      <c r="D1536" s="18" t="s">
        <v>2922</v>
      </c>
      <c r="E1536" s="73">
        <v>18400</v>
      </c>
      <c r="F1536" s="114">
        <v>150000</v>
      </c>
      <c r="G1536" s="73">
        <v>31500</v>
      </c>
      <c r="H1536" s="73">
        <v>199900</v>
      </c>
      <c r="I1536" s="28" t="s">
        <v>19</v>
      </c>
      <c r="J1536" s="43"/>
    </row>
    <row r="1537" spans="1:10" customFormat="1" ht="15" hidden="1" customHeight="1" x14ac:dyDescent="0.25">
      <c r="A1537" s="37">
        <v>45133</v>
      </c>
      <c r="B1537" s="64" t="s">
        <v>4661</v>
      </c>
      <c r="C1537" s="18" t="s">
        <v>2856</v>
      </c>
      <c r="D1537" s="18" t="s">
        <v>2857</v>
      </c>
      <c r="E1537" s="73">
        <v>8804</v>
      </c>
      <c r="F1537" s="114">
        <v>101250</v>
      </c>
      <c r="G1537" s="73">
        <v>21262.5</v>
      </c>
      <c r="H1537" s="73">
        <v>131316.5</v>
      </c>
      <c r="I1537" s="28" t="s">
        <v>19</v>
      </c>
      <c r="J1537" s="43"/>
    </row>
    <row r="1538" spans="1:10" customFormat="1" ht="15" hidden="1" customHeight="1" x14ac:dyDescent="0.25">
      <c r="A1538" s="37">
        <v>45133</v>
      </c>
      <c r="B1538" s="64" t="s">
        <v>4662</v>
      </c>
      <c r="C1538" s="18" t="s">
        <v>3373</v>
      </c>
      <c r="D1538" s="18" t="s">
        <v>3374</v>
      </c>
      <c r="E1538" s="73">
        <v>11330</v>
      </c>
      <c r="F1538" s="114">
        <v>153750</v>
      </c>
      <c r="G1538" s="73">
        <v>32287.5</v>
      </c>
      <c r="H1538" s="73">
        <v>197367.5</v>
      </c>
      <c r="I1538" s="28" t="s">
        <v>19</v>
      </c>
      <c r="J1538" s="43"/>
    </row>
    <row r="1539" spans="1:10" customFormat="1" ht="15" hidden="1" customHeight="1" x14ac:dyDescent="0.25">
      <c r="A1539" s="37">
        <v>45133</v>
      </c>
      <c r="B1539" s="64" t="s">
        <v>4663</v>
      </c>
      <c r="C1539" s="18" t="s">
        <v>2909</v>
      </c>
      <c r="D1539" s="18" t="s">
        <v>2910</v>
      </c>
      <c r="E1539" s="73">
        <v>9344</v>
      </c>
      <c r="F1539" s="114">
        <v>242500</v>
      </c>
      <c r="G1539" s="73">
        <v>50925</v>
      </c>
      <c r="H1539" s="73">
        <v>302769</v>
      </c>
      <c r="I1539" s="28" t="s">
        <v>19</v>
      </c>
      <c r="J1539" s="43"/>
    </row>
    <row r="1540" spans="1:10" customFormat="1" ht="15" hidden="1" customHeight="1" x14ac:dyDescent="0.25">
      <c r="A1540" s="37">
        <v>45133</v>
      </c>
      <c r="B1540" s="64" t="s">
        <v>4664</v>
      </c>
      <c r="C1540" s="18" t="s">
        <v>3460</v>
      </c>
      <c r="D1540" s="18" t="s">
        <v>3461</v>
      </c>
      <c r="E1540" s="73">
        <v>11330</v>
      </c>
      <c r="F1540" s="114">
        <v>135000</v>
      </c>
      <c r="G1540" s="73">
        <v>28350</v>
      </c>
      <c r="H1540" s="73">
        <v>174680</v>
      </c>
      <c r="I1540" s="28" t="s">
        <v>19</v>
      </c>
      <c r="J1540" s="43"/>
    </row>
    <row r="1541" spans="1:10" customFormat="1" ht="15" hidden="1" customHeight="1" x14ac:dyDescent="0.25">
      <c r="A1541" s="40">
        <v>45133</v>
      </c>
      <c r="B1541" s="74" t="s">
        <v>4665</v>
      </c>
      <c r="C1541" s="74" t="s">
        <v>3272</v>
      </c>
      <c r="D1541" s="74" t="s">
        <v>3273</v>
      </c>
      <c r="E1541" s="73">
        <v>10004</v>
      </c>
      <c r="F1541" s="114">
        <v>67500</v>
      </c>
      <c r="G1541" s="73">
        <v>14175</v>
      </c>
      <c r="H1541" s="73">
        <v>91679</v>
      </c>
      <c r="I1541" s="41" t="s">
        <v>19</v>
      </c>
      <c r="J1541" s="49"/>
    </row>
    <row r="1542" spans="1:10" customFormat="1" ht="15" hidden="1" customHeight="1" x14ac:dyDescent="0.25">
      <c r="A1542" s="37">
        <v>45134</v>
      </c>
      <c r="B1542" s="64" t="s">
        <v>4666</v>
      </c>
      <c r="C1542" s="18" t="s">
        <v>2909</v>
      </c>
      <c r="D1542" s="18" t="s">
        <v>2910</v>
      </c>
      <c r="E1542" s="73">
        <v>10700</v>
      </c>
      <c r="F1542" s="114">
        <v>153750</v>
      </c>
      <c r="G1542" s="73">
        <v>32287.5</v>
      </c>
      <c r="H1542" s="73">
        <v>196737.5</v>
      </c>
      <c r="I1542" s="28" t="s">
        <v>19</v>
      </c>
      <c r="J1542" s="43"/>
    </row>
    <row r="1543" spans="1:10" customFormat="1" ht="15" hidden="1" customHeight="1" x14ac:dyDescent="0.25">
      <c r="A1543" s="37">
        <v>45134</v>
      </c>
      <c r="B1543" s="64" t="s">
        <v>4667</v>
      </c>
      <c r="C1543" s="18" t="s">
        <v>2921</v>
      </c>
      <c r="D1543" s="18" t="s">
        <v>2922</v>
      </c>
      <c r="E1543" s="73">
        <v>9200</v>
      </c>
      <c r="F1543" s="114">
        <v>67500</v>
      </c>
      <c r="G1543" s="73">
        <v>14175</v>
      </c>
      <c r="H1543" s="73">
        <v>90875</v>
      </c>
      <c r="I1543" s="28" t="s">
        <v>19</v>
      </c>
      <c r="J1543" s="43"/>
    </row>
    <row r="1544" spans="1:10" customFormat="1" ht="15" hidden="1" customHeight="1" x14ac:dyDescent="0.25">
      <c r="A1544" s="37">
        <v>45134</v>
      </c>
      <c r="B1544" s="64" t="s">
        <v>4668</v>
      </c>
      <c r="C1544" s="18" t="s">
        <v>2867</v>
      </c>
      <c r="D1544" s="18" t="s">
        <v>2868</v>
      </c>
      <c r="E1544" s="73">
        <v>13487</v>
      </c>
      <c r="F1544" s="114">
        <v>155000</v>
      </c>
      <c r="G1544" s="73">
        <v>32550</v>
      </c>
      <c r="H1544" s="73">
        <v>201037</v>
      </c>
      <c r="I1544" s="28" t="s">
        <v>19</v>
      </c>
      <c r="J1544" s="43"/>
    </row>
    <row r="1545" spans="1:10" customFormat="1" ht="15" hidden="1" customHeight="1" x14ac:dyDescent="0.25">
      <c r="A1545" s="37">
        <v>45134</v>
      </c>
      <c r="B1545" s="64" t="s">
        <v>4669</v>
      </c>
      <c r="C1545" s="18" t="s">
        <v>2867</v>
      </c>
      <c r="D1545" s="18" t="s">
        <v>2868</v>
      </c>
      <c r="E1545" s="73">
        <v>13487</v>
      </c>
      <c r="F1545" s="114">
        <v>135000</v>
      </c>
      <c r="G1545" s="73">
        <v>28350</v>
      </c>
      <c r="H1545" s="73">
        <v>176837</v>
      </c>
      <c r="I1545" s="28" t="s">
        <v>19</v>
      </c>
      <c r="J1545" s="43"/>
    </row>
    <row r="1546" spans="1:10" customFormat="1" ht="15" hidden="1" customHeight="1" x14ac:dyDescent="0.25">
      <c r="A1546" s="37">
        <v>45134</v>
      </c>
      <c r="B1546" s="64" t="s">
        <v>4670</v>
      </c>
      <c r="C1546" s="18" t="s">
        <v>2972</v>
      </c>
      <c r="D1546" s="18" t="s">
        <v>2973</v>
      </c>
      <c r="E1546" s="73">
        <v>11330</v>
      </c>
      <c r="F1546" s="114">
        <v>153750</v>
      </c>
      <c r="G1546" s="73">
        <v>32287.5</v>
      </c>
      <c r="H1546" s="73">
        <v>197367.5</v>
      </c>
      <c r="I1546" s="28" t="s">
        <v>19</v>
      </c>
      <c r="J1546" s="43"/>
    </row>
    <row r="1547" spans="1:10" customFormat="1" ht="15" hidden="1" customHeight="1" x14ac:dyDescent="0.25">
      <c r="A1547" s="37">
        <v>45134</v>
      </c>
      <c r="B1547" s="64" t="s">
        <v>4671</v>
      </c>
      <c r="C1547" s="18" t="s">
        <v>4672</v>
      </c>
      <c r="D1547" s="18" t="s">
        <v>4673</v>
      </c>
      <c r="E1547" s="73">
        <v>0</v>
      </c>
      <c r="F1547" s="114">
        <v>61250</v>
      </c>
      <c r="G1547" s="73">
        <v>12862.5</v>
      </c>
      <c r="H1547" s="73">
        <v>74112.5</v>
      </c>
      <c r="I1547" s="28" t="s">
        <v>19</v>
      </c>
      <c r="J1547" s="43"/>
    </row>
    <row r="1548" spans="1:10" customFormat="1" ht="15" hidden="1" customHeight="1" x14ac:dyDescent="0.25">
      <c r="A1548" s="37">
        <v>45134</v>
      </c>
      <c r="B1548" s="64" t="s">
        <v>4674</v>
      </c>
      <c r="C1548" s="18" t="s">
        <v>2924</v>
      </c>
      <c r="D1548" s="18" t="s">
        <v>2925</v>
      </c>
      <c r="E1548" s="73">
        <v>0</v>
      </c>
      <c r="F1548" s="114">
        <v>52500</v>
      </c>
      <c r="G1548" s="73">
        <v>11025</v>
      </c>
      <c r="H1548" s="73">
        <v>63525</v>
      </c>
      <c r="I1548" s="28" t="s">
        <v>19</v>
      </c>
      <c r="J1548" s="43"/>
    </row>
    <row r="1549" spans="1:10" customFormat="1" ht="15" hidden="1" customHeight="1" x14ac:dyDescent="0.25">
      <c r="A1549" s="37">
        <v>45134</v>
      </c>
      <c r="B1549" s="64" t="s">
        <v>4675</v>
      </c>
      <c r="C1549" s="18" t="s">
        <v>2921</v>
      </c>
      <c r="D1549" s="18" t="s">
        <v>2922</v>
      </c>
      <c r="E1549" s="73">
        <v>18400</v>
      </c>
      <c r="F1549" s="114">
        <v>210000</v>
      </c>
      <c r="G1549" s="73">
        <v>44100</v>
      </c>
      <c r="H1549" s="73">
        <v>272500</v>
      </c>
      <c r="I1549" s="28" t="s">
        <v>19</v>
      </c>
      <c r="J1549" s="43"/>
    </row>
    <row r="1550" spans="1:10" customFormat="1" ht="15" hidden="1" customHeight="1" x14ac:dyDescent="0.25">
      <c r="A1550" s="37">
        <v>45134</v>
      </c>
      <c r="B1550" s="64" t="s">
        <v>4676</v>
      </c>
      <c r="C1550" s="18" t="s">
        <v>2921</v>
      </c>
      <c r="D1550" s="18" t="s">
        <v>2922</v>
      </c>
      <c r="E1550" s="73">
        <v>18400</v>
      </c>
      <c r="F1550" s="114">
        <v>210000</v>
      </c>
      <c r="G1550" s="73">
        <v>44100</v>
      </c>
      <c r="H1550" s="73">
        <v>272500</v>
      </c>
      <c r="I1550" s="28" t="s">
        <v>19</v>
      </c>
      <c r="J1550" s="43"/>
    </row>
    <row r="1551" spans="1:10" customFormat="1" ht="15" hidden="1" customHeight="1" x14ac:dyDescent="0.25">
      <c r="A1551" s="37">
        <v>45134</v>
      </c>
      <c r="B1551" s="64" t="s">
        <v>4677</v>
      </c>
      <c r="C1551" s="18" t="s">
        <v>2867</v>
      </c>
      <c r="D1551" s="18" t="s">
        <v>2868</v>
      </c>
      <c r="E1551" s="73">
        <v>2500</v>
      </c>
      <c r="F1551" s="114">
        <v>80340</v>
      </c>
      <c r="G1551" s="73">
        <v>16871.400000000001</v>
      </c>
      <c r="H1551" s="73">
        <v>99711.4</v>
      </c>
      <c r="I1551" s="28" t="s">
        <v>19</v>
      </c>
      <c r="J1551" s="43"/>
    </row>
    <row r="1552" spans="1:10" customFormat="1" ht="15" hidden="1" customHeight="1" x14ac:dyDescent="0.25">
      <c r="A1552" s="37">
        <v>45134</v>
      </c>
      <c r="B1552" s="64" t="s">
        <v>4678</v>
      </c>
      <c r="C1552" s="18" t="s">
        <v>3603</v>
      </c>
      <c r="D1552" s="18" t="s">
        <v>3604</v>
      </c>
      <c r="E1552" s="73">
        <v>18584</v>
      </c>
      <c r="F1552" s="114">
        <v>206250</v>
      </c>
      <c r="G1552" s="73">
        <v>43312.5</v>
      </c>
      <c r="H1552" s="73">
        <v>268146.5</v>
      </c>
      <c r="I1552" s="28" t="s">
        <v>19</v>
      </c>
      <c r="J1552" s="43"/>
    </row>
    <row r="1553" spans="1:10" customFormat="1" ht="15" hidden="1" customHeight="1" x14ac:dyDescent="0.25">
      <c r="A1553" s="37">
        <v>45135</v>
      </c>
      <c r="B1553" s="64" t="s">
        <v>4679</v>
      </c>
      <c r="C1553" s="18" t="s">
        <v>2892</v>
      </c>
      <c r="D1553" s="18" t="s">
        <v>2893</v>
      </c>
      <c r="E1553" s="73">
        <v>910</v>
      </c>
      <c r="F1553" s="114">
        <v>52500</v>
      </c>
      <c r="G1553" s="73">
        <v>11025</v>
      </c>
      <c r="H1553" s="73">
        <v>64435</v>
      </c>
      <c r="I1553" s="28" t="s">
        <v>19</v>
      </c>
      <c r="J1553" s="43"/>
    </row>
    <row r="1554" spans="1:10" customFormat="1" ht="15" hidden="1" customHeight="1" x14ac:dyDescent="0.25">
      <c r="A1554" s="37">
        <v>45135</v>
      </c>
      <c r="B1554" s="64" t="s">
        <v>4680</v>
      </c>
      <c r="C1554" s="18" t="s">
        <v>4681</v>
      </c>
      <c r="D1554" s="18" t="s">
        <v>4682</v>
      </c>
      <c r="E1554" s="73">
        <v>15788</v>
      </c>
      <c r="F1554" s="114">
        <v>293750</v>
      </c>
      <c r="G1554" s="73">
        <v>61687.5</v>
      </c>
      <c r="H1554" s="73">
        <v>371225.5</v>
      </c>
      <c r="I1554" s="28" t="s">
        <v>19</v>
      </c>
      <c r="J1554" s="43"/>
    </row>
    <row r="1555" spans="1:10" customFormat="1" ht="15" hidden="1" customHeight="1" x14ac:dyDescent="0.25">
      <c r="A1555" s="37">
        <v>45135</v>
      </c>
      <c r="B1555" s="64" t="s">
        <v>4683</v>
      </c>
      <c r="C1555" s="18" t="s">
        <v>3176</v>
      </c>
      <c r="D1555" s="18" t="s">
        <v>3177</v>
      </c>
      <c r="E1555" s="73">
        <v>1820</v>
      </c>
      <c r="F1555" s="114">
        <v>102500</v>
      </c>
      <c r="G1555" s="73">
        <v>21525</v>
      </c>
      <c r="H1555" s="73">
        <v>125845</v>
      </c>
      <c r="I1555" s="28" t="s">
        <v>19</v>
      </c>
      <c r="J1555" s="43"/>
    </row>
    <row r="1556" spans="1:10" customFormat="1" ht="15" hidden="1" customHeight="1" x14ac:dyDescent="0.25">
      <c r="A1556" s="37">
        <v>45135</v>
      </c>
      <c r="B1556" s="64" t="s">
        <v>4684</v>
      </c>
      <c r="C1556" s="18" t="s">
        <v>3559</v>
      </c>
      <c r="D1556" s="18" t="s">
        <v>3560</v>
      </c>
      <c r="E1556" s="73">
        <v>3769</v>
      </c>
      <c r="F1556" s="114">
        <v>78750</v>
      </c>
      <c r="G1556" s="73">
        <v>16537.5</v>
      </c>
      <c r="H1556" s="73">
        <v>99056.5</v>
      </c>
      <c r="I1556" s="28" t="s">
        <v>19</v>
      </c>
      <c r="J1556" s="43"/>
    </row>
    <row r="1557" spans="1:10" customFormat="1" ht="15" hidden="1" customHeight="1" x14ac:dyDescent="0.25">
      <c r="A1557" s="37">
        <v>45135</v>
      </c>
      <c r="B1557" s="64" t="s">
        <v>4685</v>
      </c>
      <c r="C1557" s="18" t="s">
        <v>2867</v>
      </c>
      <c r="D1557" s="18" t="s">
        <v>2868</v>
      </c>
      <c r="E1557" s="73">
        <v>15500</v>
      </c>
      <c r="F1557" s="114">
        <v>682890</v>
      </c>
      <c r="G1557" s="73">
        <v>143406.9</v>
      </c>
      <c r="H1557" s="73">
        <v>841796.9</v>
      </c>
      <c r="I1557" s="28" t="s">
        <v>19</v>
      </c>
      <c r="J1557" s="43"/>
    </row>
    <row r="1558" spans="1:10" customFormat="1" ht="15" hidden="1" customHeight="1" x14ac:dyDescent="0.25">
      <c r="A1558" s="37">
        <v>45135</v>
      </c>
      <c r="B1558" s="64" t="s">
        <v>4686</v>
      </c>
      <c r="C1558" s="18" t="s">
        <v>2921</v>
      </c>
      <c r="D1558" s="18" t="s">
        <v>2922</v>
      </c>
      <c r="E1558" s="73">
        <v>9200</v>
      </c>
      <c r="F1558" s="114">
        <v>67500</v>
      </c>
      <c r="G1558" s="73">
        <v>14175</v>
      </c>
      <c r="H1558" s="73">
        <v>90875</v>
      </c>
      <c r="I1558" s="28" t="s">
        <v>19</v>
      </c>
      <c r="J1558" s="43"/>
    </row>
    <row r="1559" spans="1:10" customFormat="1" ht="15" hidden="1" customHeight="1" x14ac:dyDescent="0.25">
      <c r="A1559" s="37">
        <v>45135</v>
      </c>
      <c r="B1559" s="64" t="s">
        <v>4687</v>
      </c>
      <c r="C1559" s="18" t="s">
        <v>2903</v>
      </c>
      <c r="D1559" s="18" t="s">
        <v>2904</v>
      </c>
      <c r="E1559" s="73">
        <v>9200</v>
      </c>
      <c r="F1559" s="114">
        <v>75000</v>
      </c>
      <c r="G1559" s="73">
        <v>15750</v>
      </c>
      <c r="H1559" s="73">
        <v>99950</v>
      </c>
      <c r="I1559" s="28" t="s">
        <v>19</v>
      </c>
      <c r="J1559" s="43"/>
    </row>
    <row r="1560" spans="1:10" customFormat="1" ht="15" hidden="1" customHeight="1" x14ac:dyDescent="0.25">
      <c r="A1560" s="37">
        <v>45138</v>
      </c>
      <c r="B1560" s="64" t="s">
        <v>4688</v>
      </c>
      <c r="C1560" s="18" t="s">
        <v>4689</v>
      </c>
      <c r="D1560" s="18" t="s">
        <v>4690</v>
      </c>
      <c r="E1560" s="73">
        <v>9200</v>
      </c>
      <c r="F1560" s="114">
        <v>153750</v>
      </c>
      <c r="G1560" s="73">
        <v>32287.5</v>
      </c>
      <c r="H1560" s="73">
        <v>195237.5</v>
      </c>
      <c r="I1560" s="28" t="s">
        <v>19</v>
      </c>
      <c r="J1560" s="43"/>
    </row>
    <row r="1561" spans="1:10" customFormat="1" ht="15" hidden="1" customHeight="1" x14ac:dyDescent="0.25">
      <c r="A1561" s="37">
        <v>45138</v>
      </c>
      <c r="B1561" s="64" t="s">
        <v>4691</v>
      </c>
      <c r="C1561" s="18" t="s">
        <v>2867</v>
      </c>
      <c r="D1561" s="18" t="s">
        <v>2868</v>
      </c>
      <c r="E1561" s="73">
        <v>7500</v>
      </c>
      <c r="F1561" s="114">
        <v>562500</v>
      </c>
      <c r="G1561" s="73">
        <v>118125</v>
      </c>
      <c r="H1561" s="73">
        <v>688125</v>
      </c>
      <c r="I1561" s="28" t="s">
        <v>19</v>
      </c>
      <c r="J1561" s="43"/>
    </row>
    <row r="1562" spans="1:10" customFormat="1" ht="15" hidden="1" customHeight="1" x14ac:dyDescent="0.25">
      <c r="A1562" s="37">
        <v>45138</v>
      </c>
      <c r="B1562" s="64" t="s">
        <v>4692</v>
      </c>
      <c r="C1562" s="18" t="s">
        <v>2964</v>
      </c>
      <c r="D1562" s="18" t="s">
        <v>2965</v>
      </c>
      <c r="E1562" s="73">
        <v>8804</v>
      </c>
      <c r="F1562" s="114">
        <v>67500</v>
      </c>
      <c r="G1562" s="73">
        <v>14175</v>
      </c>
      <c r="H1562" s="73">
        <v>90479</v>
      </c>
      <c r="I1562" s="28" t="s">
        <v>19</v>
      </c>
      <c r="J1562" s="43"/>
    </row>
    <row r="1563" spans="1:10" customFormat="1" ht="15" hidden="1" customHeight="1" x14ac:dyDescent="0.25">
      <c r="A1563" s="37">
        <v>45138</v>
      </c>
      <c r="B1563" s="64" t="s">
        <v>4693</v>
      </c>
      <c r="C1563" s="18" t="s">
        <v>3606</v>
      </c>
      <c r="D1563" s="18" t="s">
        <v>3607</v>
      </c>
      <c r="E1563" s="73">
        <v>8804</v>
      </c>
      <c r="F1563" s="114">
        <v>67500</v>
      </c>
      <c r="G1563" s="73">
        <v>14175</v>
      </c>
      <c r="H1563" s="73">
        <v>90479</v>
      </c>
      <c r="I1563" s="28" t="s">
        <v>19</v>
      </c>
      <c r="J1563" s="43"/>
    </row>
    <row r="1564" spans="1:10" customFormat="1" ht="15" hidden="1" customHeight="1" x14ac:dyDescent="0.25">
      <c r="A1564" s="37">
        <v>45138</v>
      </c>
      <c r="B1564" s="64" t="s">
        <v>4694</v>
      </c>
      <c r="C1564" s="18" t="s">
        <v>4632</v>
      </c>
      <c r="D1564" s="18" t="s">
        <v>4633</v>
      </c>
      <c r="E1564" s="73">
        <v>19110</v>
      </c>
      <c r="F1564" s="114">
        <v>192500</v>
      </c>
      <c r="G1564" s="73">
        <v>40425</v>
      </c>
      <c r="H1564" s="73">
        <v>252035</v>
      </c>
      <c r="I1564" s="28" t="s">
        <v>19</v>
      </c>
      <c r="J1564" s="43"/>
    </row>
    <row r="1565" spans="1:10" customFormat="1" ht="15" hidden="1" customHeight="1" x14ac:dyDescent="0.25">
      <c r="A1565" s="37">
        <v>45138</v>
      </c>
      <c r="B1565" s="64" t="s">
        <v>4695</v>
      </c>
      <c r="C1565" s="18" t="s">
        <v>2954</v>
      </c>
      <c r="D1565" s="18" t="s">
        <v>2955</v>
      </c>
      <c r="E1565" s="73">
        <v>4600</v>
      </c>
      <c r="F1565" s="114">
        <v>116250</v>
      </c>
      <c r="G1565" s="73">
        <v>24412.5</v>
      </c>
      <c r="H1565" s="73">
        <v>145262.5</v>
      </c>
      <c r="I1565" s="28" t="s">
        <v>19</v>
      </c>
      <c r="J1565" s="43"/>
    </row>
    <row r="1566" spans="1:10" customFormat="1" ht="15" hidden="1" customHeight="1" x14ac:dyDescent="0.25">
      <c r="A1566" s="37">
        <v>45138</v>
      </c>
      <c r="B1566" s="64" t="s">
        <v>4696</v>
      </c>
      <c r="C1566" s="18" t="s">
        <v>2954</v>
      </c>
      <c r="D1566" s="18" t="s">
        <v>2955</v>
      </c>
      <c r="E1566" s="73">
        <v>4600</v>
      </c>
      <c r="F1566" s="114">
        <v>116250</v>
      </c>
      <c r="G1566" s="73">
        <v>24412.5</v>
      </c>
      <c r="H1566" s="73">
        <v>145262.5</v>
      </c>
      <c r="I1566" s="28" t="s">
        <v>19</v>
      </c>
      <c r="J1566" s="43"/>
    </row>
    <row r="1567" spans="1:10" customFormat="1" ht="15" hidden="1" customHeight="1" x14ac:dyDescent="0.25">
      <c r="A1567" s="37">
        <v>45138</v>
      </c>
      <c r="B1567" s="64" t="s">
        <v>4697</v>
      </c>
      <c r="C1567" s="18" t="s">
        <v>3067</v>
      </c>
      <c r="D1567" s="18" t="s">
        <v>3068</v>
      </c>
      <c r="E1567" s="73">
        <v>6590</v>
      </c>
      <c r="F1567" s="114">
        <v>105000</v>
      </c>
      <c r="G1567" s="73">
        <v>22050</v>
      </c>
      <c r="H1567" s="73">
        <v>133640</v>
      </c>
      <c r="I1567" s="28" t="s">
        <v>19</v>
      </c>
      <c r="J1567" s="43"/>
    </row>
    <row r="1568" spans="1:10" customFormat="1" ht="15" hidden="1" customHeight="1" x14ac:dyDescent="0.25">
      <c r="A1568" s="37">
        <v>45138</v>
      </c>
      <c r="B1568" s="64" t="s">
        <v>4698</v>
      </c>
      <c r="C1568" s="18" t="s">
        <v>2921</v>
      </c>
      <c r="D1568" s="18" t="s">
        <v>2922</v>
      </c>
      <c r="E1568" s="73">
        <v>6590</v>
      </c>
      <c r="F1568" s="114">
        <v>105000</v>
      </c>
      <c r="G1568" s="73">
        <v>22050</v>
      </c>
      <c r="H1568" s="73">
        <v>133640</v>
      </c>
      <c r="I1568" s="28" t="s">
        <v>19</v>
      </c>
      <c r="J1568" s="43"/>
    </row>
    <row r="1569" spans="1:10" customFormat="1" ht="15" hidden="1" customHeight="1" x14ac:dyDescent="0.25">
      <c r="A1569" s="37">
        <v>45138</v>
      </c>
      <c r="B1569" s="64" t="s">
        <v>4699</v>
      </c>
      <c r="C1569" s="18" t="s">
        <v>2903</v>
      </c>
      <c r="D1569" s="18" t="s">
        <v>2904</v>
      </c>
      <c r="E1569" s="73">
        <v>10880</v>
      </c>
      <c r="F1569" s="114">
        <v>205000</v>
      </c>
      <c r="G1569" s="73">
        <v>43050</v>
      </c>
      <c r="H1569" s="73">
        <v>258930</v>
      </c>
      <c r="I1569" s="28" t="s">
        <v>19</v>
      </c>
      <c r="J1569" s="43"/>
    </row>
    <row r="1570" spans="1:10" customFormat="1" ht="15" hidden="1" customHeight="1" x14ac:dyDescent="0.25">
      <c r="A1570" s="37">
        <v>45138</v>
      </c>
      <c r="B1570" s="75" t="s">
        <v>4700</v>
      </c>
      <c r="C1570" s="75" t="s">
        <v>3160</v>
      </c>
      <c r="D1570" s="75" t="s">
        <v>3161</v>
      </c>
      <c r="E1570" s="76">
        <v>122149.59</v>
      </c>
      <c r="F1570" s="77">
        <v>2061000</v>
      </c>
      <c r="G1570" s="76">
        <v>432810</v>
      </c>
      <c r="H1570" s="76">
        <v>2615959.59</v>
      </c>
      <c r="I1570" s="28" t="s">
        <v>19</v>
      </c>
      <c r="J1570" s="43"/>
    </row>
    <row r="1571" spans="1:10" customFormat="1" ht="15" hidden="1" customHeight="1" x14ac:dyDescent="0.25">
      <c r="A1571" s="37">
        <v>45138</v>
      </c>
      <c r="B1571" s="64" t="s">
        <v>4701</v>
      </c>
      <c r="C1571" s="18" t="s">
        <v>3241</v>
      </c>
      <c r="D1571" s="18" t="s">
        <v>3242</v>
      </c>
      <c r="E1571" s="73">
        <v>0</v>
      </c>
      <c r="F1571" s="114">
        <v>323500</v>
      </c>
      <c r="G1571" s="73">
        <v>67935</v>
      </c>
      <c r="H1571" s="73">
        <v>391435</v>
      </c>
      <c r="I1571" s="28" t="s">
        <v>19</v>
      </c>
      <c r="J1571" s="43"/>
    </row>
    <row r="1572" spans="1:10" customFormat="1" ht="15" hidden="1" customHeight="1" x14ac:dyDescent="0.25">
      <c r="A1572" s="37">
        <v>45138</v>
      </c>
      <c r="B1572" s="64" t="s">
        <v>4702</v>
      </c>
      <c r="C1572" s="18" t="s">
        <v>2912</v>
      </c>
      <c r="D1572" s="18" t="s">
        <v>2913</v>
      </c>
      <c r="E1572" s="73">
        <v>60443</v>
      </c>
      <c r="F1572" s="114">
        <v>303750</v>
      </c>
      <c r="G1572" s="73">
        <v>63787.5</v>
      </c>
      <c r="H1572" s="73">
        <v>427980.5</v>
      </c>
      <c r="I1572" s="28" t="s">
        <v>19</v>
      </c>
      <c r="J1572" s="43"/>
    </row>
    <row r="1573" spans="1:10" customFormat="1" ht="15" hidden="1" customHeight="1" x14ac:dyDescent="0.25">
      <c r="A1573" s="37">
        <v>45138</v>
      </c>
      <c r="B1573" s="64" t="s">
        <v>4703</v>
      </c>
      <c r="C1573" s="18" t="s">
        <v>2867</v>
      </c>
      <c r="D1573" s="18" t="s">
        <v>2868</v>
      </c>
      <c r="E1573" s="73">
        <v>4840</v>
      </c>
      <c r="F1573" s="114">
        <v>91500</v>
      </c>
      <c r="G1573" s="73">
        <v>19215</v>
      </c>
      <c r="H1573" s="73">
        <v>115555</v>
      </c>
      <c r="I1573" s="28" t="s">
        <v>19</v>
      </c>
      <c r="J1573" s="43"/>
    </row>
    <row r="1574" spans="1:10" customFormat="1" ht="15" hidden="1" customHeight="1" x14ac:dyDescent="0.25">
      <c r="A1574" s="37">
        <v>45138</v>
      </c>
      <c r="B1574" s="64" t="s">
        <v>4704</v>
      </c>
      <c r="C1574" s="18" t="s">
        <v>2921</v>
      </c>
      <c r="D1574" s="18" t="s">
        <v>2922</v>
      </c>
      <c r="E1574" s="73">
        <v>6080</v>
      </c>
      <c r="F1574" s="114">
        <v>75000</v>
      </c>
      <c r="G1574" s="73">
        <v>15750</v>
      </c>
      <c r="H1574" s="73">
        <v>96830</v>
      </c>
      <c r="I1574" s="28" t="s">
        <v>19</v>
      </c>
      <c r="J1574" s="43"/>
    </row>
    <row r="1575" spans="1:10" customFormat="1" ht="15" hidden="1" customHeight="1" x14ac:dyDescent="0.25">
      <c r="A1575" s="37">
        <v>45138</v>
      </c>
      <c r="B1575" s="64" t="s">
        <v>4705</v>
      </c>
      <c r="C1575" s="18" t="s">
        <v>2921</v>
      </c>
      <c r="D1575" s="18" t="s">
        <v>2922</v>
      </c>
      <c r="E1575" s="73">
        <v>12160</v>
      </c>
      <c r="F1575" s="114">
        <v>150000</v>
      </c>
      <c r="G1575" s="73">
        <v>31500</v>
      </c>
      <c r="H1575" s="73">
        <v>193660</v>
      </c>
      <c r="I1575" s="28" t="s">
        <v>19</v>
      </c>
      <c r="J1575" s="43"/>
    </row>
    <row r="1576" spans="1:10" customFormat="1" ht="15" hidden="1" customHeight="1" x14ac:dyDescent="0.25">
      <c r="A1576" s="37">
        <v>45138</v>
      </c>
      <c r="B1576" s="64" t="s">
        <v>4706</v>
      </c>
      <c r="C1576" s="18" t="s">
        <v>4558</v>
      </c>
      <c r="D1576" s="18" t="s">
        <v>4559</v>
      </c>
      <c r="E1576" s="73">
        <v>6080</v>
      </c>
      <c r="F1576" s="114">
        <v>75000</v>
      </c>
      <c r="G1576" s="73">
        <v>15750</v>
      </c>
      <c r="H1576" s="73">
        <v>96830</v>
      </c>
      <c r="I1576" s="28" t="s">
        <v>19</v>
      </c>
      <c r="J1576" s="43"/>
    </row>
    <row r="1577" spans="1:10" customFormat="1" ht="15" hidden="1" customHeight="1" x14ac:dyDescent="0.25">
      <c r="A1577" s="37">
        <v>45138</v>
      </c>
      <c r="B1577" s="64" t="s">
        <v>4707</v>
      </c>
      <c r="C1577" s="18" t="s">
        <v>3067</v>
      </c>
      <c r="D1577" s="18" t="s">
        <v>3068</v>
      </c>
      <c r="E1577" s="73">
        <v>6080</v>
      </c>
      <c r="F1577" s="114">
        <v>75000</v>
      </c>
      <c r="G1577" s="73">
        <v>15750</v>
      </c>
      <c r="H1577" s="73">
        <v>96830</v>
      </c>
      <c r="I1577" s="28" t="s">
        <v>19</v>
      </c>
      <c r="J1577" s="43"/>
    </row>
    <row r="1578" spans="1:10" customFormat="1" ht="15" hidden="1" customHeight="1" x14ac:dyDescent="0.25">
      <c r="A1578" s="37">
        <v>45138</v>
      </c>
      <c r="B1578" s="64" t="s">
        <v>4708</v>
      </c>
      <c r="C1578" s="18" t="s">
        <v>2870</v>
      </c>
      <c r="D1578" s="18" t="s">
        <v>2871</v>
      </c>
      <c r="E1578" s="73">
        <v>6080</v>
      </c>
      <c r="F1578" s="114">
        <v>75000</v>
      </c>
      <c r="G1578" s="73">
        <v>15750</v>
      </c>
      <c r="H1578" s="73">
        <v>96830</v>
      </c>
      <c r="I1578" s="28" t="s">
        <v>19</v>
      </c>
      <c r="J1578" s="43"/>
    </row>
    <row r="1579" spans="1:10" customFormat="1" ht="15" hidden="1" customHeight="1" x14ac:dyDescent="0.25">
      <c r="A1579" s="37">
        <v>45138</v>
      </c>
      <c r="B1579" s="64" t="s">
        <v>4709</v>
      </c>
      <c r="C1579" s="18" t="s">
        <v>3067</v>
      </c>
      <c r="D1579" s="18" t="s">
        <v>3068</v>
      </c>
      <c r="E1579" s="73">
        <v>6080</v>
      </c>
      <c r="F1579" s="114">
        <v>75000</v>
      </c>
      <c r="G1579" s="73">
        <v>15750</v>
      </c>
      <c r="H1579" s="73">
        <v>96830</v>
      </c>
      <c r="I1579" s="28" t="s">
        <v>19</v>
      </c>
      <c r="J1579" s="43"/>
    </row>
    <row r="1580" spans="1:10" customFormat="1" ht="15" hidden="1" customHeight="1" x14ac:dyDescent="0.25">
      <c r="A1580" s="37">
        <v>45138</v>
      </c>
      <c r="B1580" s="64" t="s">
        <v>4710</v>
      </c>
      <c r="C1580" s="18" t="s">
        <v>3067</v>
      </c>
      <c r="D1580" s="18" t="s">
        <v>3068</v>
      </c>
      <c r="E1580" s="73">
        <v>6080</v>
      </c>
      <c r="F1580" s="114">
        <v>118500</v>
      </c>
      <c r="G1580" s="73">
        <v>24885</v>
      </c>
      <c r="H1580" s="73">
        <v>149465</v>
      </c>
      <c r="I1580" s="28" t="s">
        <v>19</v>
      </c>
      <c r="J1580" s="43"/>
    </row>
    <row r="1581" spans="1:10" customFormat="1" ht="15" hidden="1" customHeight="1" x14ac:dyDescent="0.25">
      <c r="A1581" s="37">
        <v>45138</v>
      </c>
      <c r="B1581" s="64" t="s">
        <v>4711</v>
      </c>
      <c r="C1581" s="18" t="s">
        <v>3067</v>
      </c>
      <c r="D1581" s="18" t="s">
        <v>3068</v>
      </c>
      <c r="E1581" s="73">
        <v>6080</v>
      </c>
      <c r="F1581" s="114">
        <v>118500</v>
      </c>
      <c r="G1581" s="73">
        <v>24885</v>
      </c>
      <c r="H1581" s="73">
        <v>149465</v>
      </c>
      <c r="I1581" s="28" t="s">
        <v>19</v>
      </c>
      <c r="J1581" s="43"/>
    </row>
    <row r="1582" spans="1:10" customFormat="1" ht="15" hidden="1" customHeight="1" x14ac:dyDescent="0.25">
      <c r="A1582" s="37">
        <v>45138</v>
      </c>
      <c r="B1582" s="64" t="s">
        <v>4712</v>
      </c>
      <c r="C1582" s="18" t="s">
        <v>3067</v>
      </c>
      <c r="D1582" s="18" t="s">
        <v>3068</v>
      </c>
      <c r="E1582" s="73">
        <v>6080</v>
      </c>
      <c r="F1582" s="114">
        <v>118500</v>
      </c>
      <c r="G1582" s="73">
        <v>24885</v>
      </c>
      <c r="H1582" s="73">
        <v>149465</v>
      </c>
      <c r="I1582" s="28" t="s">
        <v>19</v>
      </c>
      <c r="J1582" s="43"/>
    </row>
    <row r="1583" spans="1:10" customFormat="1" ht="15" hidden="1" customHeight="1" x14ac:dyDescent="0.25">
      <c r="A1583" s="37">
        <v>45138</v>
      </c>
      <c r="B1583" s="64" t="s">
        <v>4713</v>
      </c>
      <c r="C1583" s="18" t="s">
        <v>2903</v>
      </c>
      <c r="D1583" s="18" t="s">
        <v>2904</v>
      </c>
      <c r="E1583" s="73">
        <v>4840</v>
      </c>
      <c r="F1583" s="114">
        <v>153750</v>
      </c>
      <c r="G1583" s="73">
        <v>32287.5</v>
      </c>
      <c r="H1583" s="73">
        <v>190877.5</v>
      </c>
      <c r="I1583" s="28" t="s">
        <v>19</v>
      </c>
      <c r="J1583" s="43"/>
    </row>
    <row r="1584" spans="1:10" customFormat="1" ht="15" hidden="1" customHeight="1" x14ac:dyDescent="0.25">
      <c r="A1584" s="37">
        <v>45138</v>
      </c>
      <c r="B1584" s="64" t="s">
        <v>4714</v>
      </c>
      <c r="C1584" s="18" t="s">
        <v>2903</v>
      </c>
      <c r="D1584" s="18" t="s">
        <v>2904</v>
      </c>
      <c r="E1584" s="73">
        <v>4840</v>
      </c>
      <c r="F1584" s="114">
        <v>153750</v>
      </c>
      <c r="G1584" s="73">
        <v>32287.5</v>
      </c>
      <c r="H1584" s="73">
        <v>190877.5</v>
      </c>
      <c r="I1584" s="28" t="s">
        <v>19</v>
      </c>
      <c r="J1584" s="43"/>
    </row>
    <row r="1585" spans="1:10" customFormat="1" ht="15" hidden="1" customHeight="1" x14ac:dyDescent="0.25">
      <c r="A1585" s="37">
        <v>45138</v>
      </c>
      <c r="B1585" s="64" t="s">
        <v>4715</v>
      </c>
      <c r="C1585" s="18" t="s">
        <v>2903</v>
      </c>
      <c r="D1585" s="18" t="s">
        <v>2904</v>
      </c>
      <c r="E1585" s="73">
        <v>4840</v>
      </c>
      <c r="F1585" s="114">
        <v>153750</v>
      </c>
      <c r="G1585" s="73">
        <v>32287.5</v>
      </c>
      <c r="H1585" s="73">
        <v>190877.5</v>
      </c>
      <c r="I1585" s="28" t="s">
        <v>19</v>
      </c>
      <c r="J1585" s="43"/>
    </row>
    <row r="1586" spans="1:10" customFormat="1" ht="15" hidden="1" customHeight="1" x14ac:dyDescent="0.25">
      <c r="A1586" s="37">
        <v>45138</v>
      </c>
      <c r="B1586" s="64" t="s">
        <v>4716</v>
      </c>
      <c r="C1586" s="18" t="s">
        <v>2870</v>
      </c>
      <c r="D1586" s="18" t="s">
        <v>2871</v>
      </c>
      <c r="E1586" s="73">
        <v>1</v>
      </c>
      <c r="F1586" s="114">
        <v>1</v>
      </c>
      <c r="G1586" s="73">
        <v>0.21</v>
      </c>
      <c r="H1586" s="73">
        <v>2.21</v>
      </c>
      <c r="I1586" s="28" t="s">
        <v>19</v>
      </c>
      <c r="J1586" s="43"/>
    </row>
    <row r="1587" spans="1:10" customFormat="1" ht="15" hidden="1" customHeight="1" x14ac:dyDescent="0.25">
      <c r="A1587" s="37">
        <v>45138</v>
      </c>
      <c r="B1587" s="64" t="s">
        <v>4717</v>
      </c>
      <c r="C1587" s="18" t="s">
        <v>2964</v>
      </c>
      <c r="D1587" s="18" t="s">
        <v>2965</v>
      </c>
      <c r="E1587" s="73">
        <v>9200</v>
      </c>
      <c r="F1587" s="114">
        <v>67500</v>
      </c>
      <c r="G1587" s="73">
        <v>14175</v>
      </c>
      <c r="H1587" s="73">
        <v>90875</v>
      </c>
      <c r="I1587" s="28" t="s">
        <v>19</v>
      </c>
      <c r="J1587" s="43"/>
    </row>
    <row r="1588" spans="1:10" customFormat="1" ht="15" hidden="1" customHeight="1" x14ac:dyDescent="0.25">
      <c r="A1588" s="37">
        <v>45138</v>
      </c>
      <c r="B1588" s="64" t="s">
        <v>4718</v>
      </c>
      <c r="C1588" s="18" t="s">
        <v>2921</v>
      </c>
      <c r="D1588" s="18" t="s">
        <v>2922</v>
      </c>
      <c r="E1588" s="73">
        <v>18400</v>
      </c>
      <c r="F1588" s="114">
        <v>135000</v>
      </c>
      <c r="G1588" s="73">
        <v>28350</v>
      </c>
      <c r="H1588" s="73">
        <v>181750</v>
      </c>
      <c r="I1588" s="28" t="s">
        <v>19</v>
      </c>
      <c r="J1588" s="43"/>
    </row>
    <row r="1589" spans="1:10" customFormat="1" ht="15" hidden="1" customHeight="1" x14ac:dyDescent="0.25">
      <c r="A1589" s="37">
        <v>45138</v>
      </c>
      <c r="B1589" s="64" t="s">
        <v>4719</v>
      </c>
      <c r="C1589" s="18" t="s">
        <v>4059</v>
      </c>
      <c r="D1589" s="18" t="s">
        <v>4060</v>
      </c>
      <c r="E1589" s="73">
        <v>2720</v>
      </c>
      <c r="F1589" s="114">
        <v>77500</v>
      </c>
      <c r="G1589" s="73">
        <v>16275</v>
      </c>
      <c r="H1589" s="73">
        <v>96495</v>
      </c>
      <c r="I1589" s="28" t="s">
        <v>19</v>
      </c>
      <c r="J1589" s="43"/>
    </row>
    <row r="1590" spans="1:10" customFormat="1" ht="15" hidden="1" customHeight="1" x14ac:dyDescent="0.25">
      <c r="A1590" s="37">
        <v>45138</v>
      </c>
      <c r="B1590" s="64" t="s">
        <v>4720</v>
      </c>
      <c r="C1590" s="18" t="s">
        <v>2921</v>
      </c>
      <c r="D1590" s="18" t="s">
        <v>2922</v>
      </c>
      <c r="E1590" s="73">
        <v>30372</v>
      </c>
      <c r="F1590" s="114">
        <v>465000</v>
      </c>
      <c r="G1590" s="73">
        <v>97650</v>
      </c>
      <c r="H1590" s="73">
        <v>593022</v>
      </c>
      <c r="I1590" s="28" t="s">
        <v>19</v>
      </c>
      <c r="J1590" s="43"/>
    </row>
    <row r="1591" spans="1:10" customFormat="1" ht="15" hidden="1" customHeight="1" x14ac:dyDescent="0.25">
      <c r="A1591" s="37">
        <v>45138</v>
      </c>
      <c r="B1591" s="64" t="s">
        <v>4721</v>
      </c>
      <c r="C1591" s="18" t="s">
        <v>2921</v>
      </c>
      <c r="D1591" s="18" t="s">
        <v>2922</v>
      </c>
      <c r="E1591" s="73">
        <v>9800</v>
      </c>
      <c r="F1591" s="114">
        <v>310000</v>
      </c>
      <c r="G1591" s="73">
        <v>65100</v>
      </c>
      <c r="H1591" s="73">
        <v>384900</v>
      </c>
      <c r="I1591" s="28" t="s">
        <v>19</v>
      </c>
      <c r="J1591" s="43"/>
    </row>
    <row r="1592" spans="1:10" customFormat="1" ht="15" hidden="1" customHeight="1" x14ac:dyDescent="0.25">
      <c r="A1592" s="37">
        <v>45138</v>
      </c>
      <c r="B1592" s="64" t="s">
        <v>4722</v>
      </c>
      <c r="C1592" s="18" t="s">
        <v>2921</v>
      </c>
      <c r="D1592" s="18" t="s">
        <v>2922</v>
      </c>
      <c r="E1592" s="73">
        <v>9800</v>
      </c>
      <c r="F1592" s="114">
        <v>310000</v>
      </c>
      <c r="G1592" s="73">
        <v>65100</v>
      </c>
      <c r="H1592" s="73">
        <v>384900</v>
      </c>
      <c r="I1592" s="28" t="s">
        <v>19</v>
      </c>
      <c r="J1592" s="43"/>
    </row>
    <row r="1593" spans="1:10" customFormat="1" ht="15" hidden="1" customHeight="1" x14ac:dyDescent="0.25">
      <c r="A1593" s="37">
        <v>45138</v>
      </c>
      <c r="B1593" s="64" t="s">
        <v>4723</v>
      </c>
      <c r="C1593" s="18" t="s">
        <v>3007</v>
      </c>
      <c r="D1593" s="18" t="s">
        <v>3008</v>
      </c>
      <c r="E1593" s="73">
        <v>5530</v>
      </c>
      <c r="F1593" s="114">
        <v>65000</v>
      </c>
      <c r="G1593" s="73">
        <v>13650</v>
      </c>
      <c r="H1593" s="73">
        <v>84180</v>
      </c>
      <c r="I1593" s="28" t="s">
        <v>19</v>
      </c>
      <c r="J1593" s="43"/>
    </row>
    <row r="1594" spans="1:10" customFormat="1" ht="15" hidden="1" customHeight="1" x14ac:dyDescent="0.25">
      <c r="A1594" s="37">
        <v>45138</v>
      </c>
      <c r="B1594" s="64" t="s">
        <v>4724</v>
      </c>
      <c r="C1594" s="18" t="s">
        <v>2870</v>
      </c>
      <c r="D1594" s="18" t="s">
        <v>2871</v>
      </c>
      <c r="E1594" s="73">
        <v>9200</v>
      </c>
      <c r="F1594" s="114">
        <v>65700</v>
      </c>
      <c r="G1594" s="73">
        <v>13797</v>
      </c>
      <c r="H1594" s="73">
        <v>88697</v>
      </c>
      <c r="I1594" s="28" t="s">
        <v>19</v>
      </c>
      <c r="J1594" s="43"/>
    </row>
    <row r="1595" spans="1:10" customFormat="1" ht="15" hidden="1" customHeight="1" x14ac:dyDescent="0.25">
      <c r="A1595" s="37">
        <v>45138</v>
      </c>
      <c r="B1595" s="64" t="s">
        <v>4725</v>
      </c>
      <c r="C1595" s="18" t="s">
        <v>4172</v>
      </c>
      <c r="D1595" s="18" t="s">
        <v>4173</v>
      </c>
      <c r="E1595" s="73">
        <v>6500</v>
      </c>
      <c r="F1595" s="114">
        <v>91500</v>
      </c>
      <c r="G1595" s="73">
        <v>19215</v>
      </c>
      <c r="H1595" s="73">
        <v>117215</v>
      </c>
      <c r="I1595" s="28" t="s">
        <v>19</v>
      </c>
      <c r="J1595" s="43"/>
    </row>
    <row r="1596" spans="1:10" customFormat="1" ht="15" hidden="1" customHeight="1" x14ac:dyDescent="0.25">
      <c r="A1596" s="37">
        <v>45138</v>
      </c>
      <c r="B1596" s="64" t="s">
        <v>4726</v>
      </c>
      <c r="C1596" s="18" t="s">
        <v>3876</v>
      </c>
      <c r="D1596" s="18" t="s">
        <v>3877</v>
      </c>
      <c r="E1596" s="73">
        <v>12664</v>
      </c>
      <c r="F1596" s="114">
        <v>182500</v>
      </c>
      <c r="G1596" s="73">
        <v>38325</v>
      </c>
      <c r="H1596" s="73">
        <v>233489</v>
      </c>
      <c r="I1596" s="28" t="s">
        <v>19</v>
      </c>
      <c r="J1596" s="43"/>
    </row>
    <row r="1597" spans="1:10" customFormat="1" ht="15" hidden="1" customHeight="1" x14ac:dyDescent="0.25">
      <c r="A1597" s="40">
        <v>45138</v>
      </c>
      <c r="B1597" s="74" t="s">
        <v>4727</v>
      </c>
      <c r="C1597" s="74" t="s">
        <v>3272</v>
      </c>
      <c r="D1597" s="74" t="s">
        <v>3273</v>
      </c>
      <c r="E1597" s="73">
        <v>4262</v>
      </c>
      <c r="F1597" s="114">
        <v>77500</v>
      </c>
      <c r="G1597" s="73">
        <v>16275</v>
      </c>
      <c r="H1597" s="73">
        <v>98037</v>
      </c>
      <c r="I1597" s="41" t="s">
        <v>19</v>
      </c>
      <c r="J1597" s="49"/>
    </row>
    <row r="1598" spans="1:10" customFormat="1" ht="15" hidden="1" customHeight="1" x14ac:dyDescent="0.25">
      <c r="A1598" s="37">
        <v>45138</v>
      </c>
      <c r="B1598" s="64" t="s">
        <v>4728</v>
      </c>
      <c r="C1598" s="18" t="s">
        <v>3014</v>
      </c>
      <c r="D1598" s="18" t="s">
        <v>3015</v>
      </c>
      <c r="E1598" s="73">
        <v>23000</v>
      </c>
      <c r="F1598" s="114">
        <v>307500</v>
      </c>
      <c r="G1598" s="73">
        <v>64575</v>
      </c>
      <c r="H1598" s="73">
        <v>395075</v>
      </c>
      <c r="I1598" s="28" t="s">
        <v>19</v>
      </c>
      <c r="J1598" s="43"/>
    </row>
    <row r="1599" spans="1:10" customFormat="1" ht="15" hidden="1" customHeight="1" x14ac:dyDescent="0.25">
      <c r="A1599" s="37">
        <v>45138</v>
      </c>
      <c r="B1599" s="64" t="s">
        <v>4729</v>
      </c>
      <c r="C1599" s="18" t="s">
        <v>2892</v>
      </c>
      <c r="D1599" s="18" t="s">
        <v>2893</v>
      </c>
      <c r="E1599" s="73">
        <v>1706</v>
      </c>
      <c r="F1599" s="114">
        <v>52500</v>
      </c>
      <c r="G1599" s="73">
        <v>11025</v>
      </c>
      <c r="H1599" s="73">
        <v>65231</v>
      </c>
      <c r="I1599" s="28" t="s">
        <v>19</v>
      </c>
      <c r="J1599" s="43"/>
    </row>
    <row r="1600" spans="1:10" customFormat="1" ht="15" hidden="1" customHeight="1" x14ac:dyDescent="0.25">
      <c r="A1600" s="37">
        <v>45138</v>
      </c>
      <c r="B1600" s="64" t="s">
        <v>4730</v>
      </c>
      <c r="C1600" s="18" t="s">
        <v>2856</v>
      </c>
      <c r="D1600" s="18" t="s">
        <v>2857</v>
      </c>
      <c r="E1600" s="73">
        <v>3362</v>
      </c>
      <c r="F1600" s="114">
        <v>65000</v>
      </c>
      <c r="G1600" s="73">
        <v>13650</v>
      </c>
      <c r="H1600" s="73">
        <v>82012</v>
      </c>
      <c r="I1600" s="28" t="s">
        <v>19</v>
      </c>
      <c r="J1600" s="43"/>
    </row>
    <row r="1601" spans="1:10" customFormat="1" ht="15" hidden="1" customHeight="1" x14ac:dyDescent="0.25">
      <c r="A1601" s="37">
        <v>45138</v>
      </c>
      <c r="B1601" s="64" t="s">
        <v>4731</v>
      </c>
      <c r="C1601" s="18" t="s">
        <v>2856</v>
      </c>
      <c r="D1601" s="18" t="s">
        <v>2857</v>
      </c>
      <c r="E1601" s="73">
        <v>3362</v>
      </c>
      <c r="F1601" s="114">
        <v>65000</v>
      </c>
      <c r="G1601" s="73">
        <v>13650</v>
      </c>
      <c r="H1601" s="73">
        <v>82012</v>
      </c>
      <c r="I1601" s="28" t="s">
        <v>19</v>
      </c>
      <c r="J1601" s="43"/>
    </row>
    <row r="1602" spans="1:10" customFormat="1" ht="15" hidden="1" customHeight="1" x14ac:dyDescent="0.25">
      <c r="A1602" s="37">
        <v>45138</v>
      </c>
      <c r="B1602" s="64" t="s">
        <v>4732</v>
      </c>
      <c r="C1602" s="18" t="s">
        <v>2870</v>
      </c>
      <c r="D1602" s="18" t="s">
        <v>2871</v>
      </c>
      <c r="E1602" s="73">
        <v>11500</v>
      </c>
      <c r="F1602" s="114">
        <v>91500</v>
      </c>
      <c r="G1602" s="73">
        <v>19215</v>
      </c>
      <c r="H1602" s="73">
        <v>122215</v>
      </c>
      <c r="I1602" s="28" t="s">
        <v>19</v>
      </c>
      <c r="J1602" s="43"/>
    </row>
    <row r="1603" spans="1:10" customFormat="1" ht="15" hidden="1" customHeight="1" x14ac:dyDescent="0.25">
      <c r="A1603" s="37">
        <v>45138</v>
      </c>
      <c r="B1603" s="64" t="s">
        <v>4733</v>
      </c>
      <c r="C1603" s="18" t="s">
        <v>1140</v>
      </c>
      <c r="D1603" s="18" t="s">
        <v>1141</v>
      </c>
      <c r="E1603" s="73">
        <v>2720</v>
      </c>
      <c r="F1603" s="114">
        <v>155000</v>
      </c>
      <c r="G1603" s="73">
        <v>32550</v>
      </c>
      <c r="H1603" s="73">
        <v>190270</v>
      </c>
      <c r="I1603" s="28" t="s">
        <v>19</v>
      </c>
      <c r="J1603" s="43"/>
    </row>
    <row r="1604" spans="1:10" customFormat="1" ht="15" hidden="1" customHeight="1" x14ac:dyDescent="0.25">
      <c r="A1604" s="37">
        <v>45138</v>
      </c>
      <c r="B1604" s="64" t="s">
        <v>4734</v>
      </c>
      <c r="C1604" s="18" t="s">
        <v>2856</v>
      </c>
      <c r="D1604" s="18" t="s">
        <v>2857</v>
      </c>
      <c r="E1604" s="73">
        <v>5440</v>
      </c>
      <c r="F1604" s="114">
        <v>232500</v>
      </c>
      <c r="G1604" s="73">
        <v>48825</v>
      </c>
      <c r="H1604" s="73">
        <v>286765</v>
      </c>
      <c r="I1604" s="28" t="s">
        <v>19</v>
      </c>
      <c r="J1604" s="43"/>
    </row>
    <row r="1605" spans="1:10" customFormat="1" ht="15" hidden="1" customHeight="1" x14ac:dyDescent="0.25">
      <c r="A1605" s="37">
        <v>45138</v>
      </c>
      <c r="B1605" s="64" t="s">
        <v>4735</v>
      </c>
      <c r="C1605" s="18" t="s">
        <v>3176</v>
      </c>
      <c r="D1605" s="18" t="s">
        <v>3177</v>
      </c>
      <c r="E1605" s="73">
        <v>26551</v>
      </c>
      <c r="F1605" s="114">
        <v>180000</v>
      </c>
      <c r="G1605" s="73">
        <v>37800</v>
      </c>
      <c r="H1605" s="73">
        <v>244351</v>
      </c>
      <c r="I1605" s="28" t="s">
        <v>19</v>
      </c>
      <c r="J1605" s="43"/>
    </row>
    <row r="1606" spans="1:10" customFormat="1" ht="15" hidden="1" customHeight="1" x14ac:dyDescent="0.25">
      <c r="A1606" s="37">
        <v>45138</v>
      </c>
      <c r="B1606" s="64" t="s">
        <v>4736</v>
      </c>
      <c r="C1606" s="18" t="s">
        <v>2870</v>
      </c>
      <c r="D1606" s="18" t="s">
        <v>2871</v>
      </c>
      <c r="E1606" s="73">
        <v>10071</v>
      </c>
      <c r="F1606" s="114">
        <v>102500</v>
      </c>
      <c r="G1606" s="73">
        <v>21525</v>
      </c>
      <c r="H1606" s="73">
        <v>134096</v>
      </c>
      <c r="I1606" s="28" t="s">
        <v>19</v>
      </c>
      <c r="J1606" s="43"/>
    </row>
    <row r="1607" spans="1:10" customFormat="1" ht="15" hidden="1" customHeight="1" x14ac:dyDescent="0.25">
      <c r="A1607" s="37">
        <v>45138</v>
      </c>
      <c r="B1607" s="64" t="s">
        <v>4737</v>
      </c>
      <c r="C1607" s="18" t="s">
        <v>2883</v>
      </c>
      <c r="D1607" s="18" t="s">
        <v>2884</v>
      </c>
      <c r="E1607" s="73">
        <v>0</v>
      </c>
      <c r="F1607" s="114">
        <v>61250</v>
      </c>
      <c r="G1607" s="73">
        <v>12862.5</v>
      </c>
      <c r="H1607" s="73">
        <v>74112.5</v>
      </c>
      <c r="I1607" s="28" t="s">
        <v>19</v>
      </c>
      <c r="J1607" s="43"/>
    </row>
    <row r="1608" spans="1:10" customFormat="1" ht="15" hidden="1" customHeight="1" x14ac:dyDescent="0.25">
      <c r="A1608" s="37">
        <v>45138</v>
      </c>
      <c r="B1608" s="64" t="s">
        <v>4738</v>
      </c>
      <c r="C1608" s="18" t="s">
        <v>4121</v>
      </c>
      <c r="D1608" s="18" t="s">
        <v>4122</v>
      </c>
      <c r="E1608" s="73">
        <v>0</v>
      </c>
      <c r="F1608" s="114">
        <v>52500</v>
      </c>
      <c r="G1608" s="73">
        <v>11025</v>
      </c>
      <c r="H1608" s="73">
        <v>63525</v>
      </c>
      <c r="I1608" s="28" t="s">
        <v>19</v>
      </c>
      <c r="J1608" s="43"/>
    </row>
    <row r="1609" spans="1:10" customFormat="1" ht="15" hidden="1" customHeight="1" x14ac:dyDescent="0.25">
      <c r="A1609" s="37">
        <v>45138</v>
      </c>
      <c r="B1609" s="64" t="s">
        <v>4739</v>
      </c>
      <c r="C1609" s="18" t="s">
        <v>2903</v>
      </c>
      <c r="D1609" s="18" t="s">
        <v>2904</v>
      </c>
      <c r="E1609" s="73">
        <v>0</v>
      </c>
      <c r="F1609" s="114">
        <v>61250</v>
      </c>
      <c r="G1609" s="73">
        <v>12862.5</v>
      </c>
      <c r="H1609" s="73">
        <v>74112.5</v>
      </c>
      <c r="I1609" s="28" t="s">
        <v>19</v>
      </c>
      <c r="J1609" s="43"/>
    </row>
    <row r="1610" spans="1:10" customFormat="1" ht="15" hidden="1" customHeight="1" x14ac:dyDescent="0.25">
      <c r="A1610" s="37">
        <v>45138</v>
      </c>
      <c r="B1610" s="64" t="s">
        <v>4740</v>
      </c>
      <c r="C1610" s="18" t="s">
        <v>2921</v>
      </c>
      <c r="D1610" s="18" t="s">
        <v>2922</v>
      </c>
      <c r="E1610" s="73">
        <v>0</v>
      </c>
      <c r="F1610" s="114">
        <v>65000</v>
      </c>
      <c r="G1610" s="73">
        <v>13650</v>
      </c>
      <c r="H1610" s="73">
        <v>78650</v>
      </c>
      <c r="I1610" s="28" t="s">
        <v>19</v>
      </c>
      <c r="J1610" s="43"/>
    </row>
    <row r="1611" spans="1:10" customFormat="1" ht="15" hidden="1" customHeight="1" x14ac:dyDescent="0.25">
      <c r="A1611" s="37">
        <v>45138</v>
      </c>
      <c r="B1611" s="64" t="s">
        <v>4741</v>
      </c>
      <c r="C1611" s="18" t="s">
        <v>3176</v>
      </c>
      <c r="D1611" s="18" t="s">
        <v>3177</v>
      </c>
      <c r="E1611" s="73">
        <v>0</v>
      </c>
      <c r="F1611" s="114">
        <v>52500</v>
      </c>
      <c r="G1611" s="73">
        <v>11025</v>
      </c>
      <c r="H1611" s="73">
        <v>63525</v>
      </c>
      <c r="I1611" s="28" t="s">
        <v>19</v>
      </c>
      <c r="J1611" s="43"/>
    </row>
    <row r="1612" spans="1:10" customFormat="1" ht="15" hidden="1" customHeight="1" x14ac:dyDescent="0.25">
      <c r="A1612" s="37">
        <v>45138</v>
      </c>
      <c r="B1612" s="64" t="s">
        <v>4742</v>
      </c>
      <c r="C1612" s="18" t="s">
        <v>3007</v>
      </c>
      <c r="D1612" s="18" t="s">
        <v>3008</v>
      </c>
      <c r="E1612" s="73">
        <v>0</v>
      </c>
      <c r="F1612" s="114">
        <v>61250</v>
      </c>
      <c r="G1612" s="73">
        <v>12862.5</v>
      </c>
      <c r="H1612" s="73">
        <v>74112.5</v>
      </c>
      <c r="I1612" s="28" t="s">
        <v>19</v>
      </c>
      <c r="J1612" s="43"/>
    </row>
    <row r="1613" spans="1:10" customFormat="1" ht="15" hidden="1" customHeight="1" x14ac:dyDescent="0.25">
      <c r="A1613" s="37">
        <v>45138</v>
      </c>
      <c r="B1613" s="64" t="s">
        <v>4743</v>
      </c>
      <c r="C1613" s="18" t="s">
        <v>3150</v>
      </c>
      <c r="D1613" s="18" t="s">
        <v>3151</v>
      </c>
      <c r="E1613" s="73">
        <v>0</v>
      </c>
      <c r="F1613" s="114">
        <v>61250</v>
      </c>
      <c r="G1613" s="73">
        <v>12862.5</v>
      </c>
      <c r="H1613" s="73">
        <v>74112.5</v>
      </c>
      <c r="I1613" s="28" t="s">
        <v>19</v>
      </c>
      <c r="J1613" s="43"/>
    </row>
    <row r="1614" spans="1:10" customFormat="1" ht="15" hidden="1" customHeight="1" x14ac:dyDescent="0.25">
      <c r="A1614" s="37">
        <v>45138</v>
      </c>
      <c r="B1614" s="64" t="s">
        <v>4744</v>
      </c>
      <c r="C1614" s="18" t="s">
        <v>2921</v>
      </c>
      <c r="D1614" s="18" t="s">
        <v>2922</v>
      </c>
      <c r="E1614" s="73">
        <v>17608</v>
      </c>
      <c r="F1614" s="114">
        <v>135000</v>
      </c>
      <c r="G1614" s="73">
        <v>28350</v>
      </c>
      <c r="H1614" s="73">
        <v>180958</v>
      </c>
      <c r="I1614" s="28" t="s">
        <v>19</v>
      </c>
      <c r="J1614" s="43"/>
    </row>
    <row r="1615" spans="1:10" customFormat="1" ht="15" hidden="1" customHeight="1" x14ac:dyDescent="0.25">
      <c r="A1615" s="37">
        <v>45138</v>
      </c>
      <c r="B1615" s="64" t="s">
        <v>4745</v>
      </c>
      <c r="C1615" s="18" t="s">
        <v>3290</v>
      </c>
      <c r="D1615" s="18" t="s">
        <v>3291</v>
      </c>
      <c r="E1615" s="73">
        <v>5440</v>
      </c>
      <c r="F1615" s="114">
        <v>135000</v>
      </c>
      <c r="G1615" s="73">
        <v>28350</v>
      </c>
      <c r="H1615" s="73">
        <v>168790</v>
      </c>
      <c r="I1615" s="28" t="s">
        <v>19</v>
      </c>
      <c r="J1615" s="43"/>
    </row>
    <row r="1616" spans="1:10" customFormat="1" ht="15" hidden="1" customHeight="1" x14ac:dyDescent="0.25">
      <c r="A1616" s="37">
        <v>45138</v>
      </c>
      <c r="B1616" s="64" t="s">
        <v>4746</v>
      </c>
      <c r="C1616" s="18" t="s">
        <v>2867</v>
      </c>
      <c r="D1616" s="18" t="s">
        <v>2868</v>
      </c>
      <c r="E1616" s="73">
        <v>4840</v>
      </c>
      <c r="F1616" s="114">
        <v>153750</v>
      </c>
      <c r="G1616" s="73">
        <v>32287.5</v>
      </c>
      <c r="H1616" s="73">
        <v>190877.5</v>
      </c>
      <c r="I1616" s="28" t="s">
        <v>19</v>
      </c>
      <c r="J1616" s="43"/>
    </row>
    <row r="1617" spans="1:10" customFormat="1" ht="15" hidden="1" customHeight="1" x14ac:dyDescent="0.25">
      <c r="A1617" s="37">
        <v>45138</v>
      </c>
      <c r="B1617" s="64" t="s">
        <v>4747</v>
      </c>
      <c r="C1617" s="18" t="s">
        <v>2957</v>
      </c>
      <c r="D1617" s="18" t="s">
        <v>2958</v>
      </c>
      <c r="E1617" s="73">
        <v>5038</v>
      </c>
      <c r="F1617" s="114">
        <v>220000</v>
      </c>
      <c r="G1617" s="73">
        <v>46200</v>
      </c>
      <c r="H1617" s="73">
        <v>271238</v>
      </c>
      <c r="I1617" s="28" t="s">
        <v>19</v>
      </c>
      <c r="J1617" s="43"/>
    </row>
    <row r="1618" spans="1:10" customFormat="1" ht="15" hidden="1" customHeight="1" x14ac:dyDescent="0.25">
      <c r="A1618" s="37">
        <v>45138</v>
      </c>
      <c r="B1618" s="64" t="s">
        <v>4748</v>
      </c>
      <c r="C1618" s="18" t="s">
        <v>4749</v>
      </c>
      <c r="D1618" s="18" t="s">
        <v>4750</v>
      </c>
      <c r="E1618" s="73">
        <v>6080</v>
      </c>
      <c r="F1618" s="114">
        <v>112500</v>
      </c>
      <c r="G1618" s="73">
        <v>23625</v>
      </c>
      <c r="H1618" s="73">
        <v>142205</v>
      </c>
      <c r="I1618" s="28" t="s">
        <v>19</v>
      </c>
      <c r="J1618" s="43"/>
    </row>
    <row r="1619" spans="1:10" customFormat="1" ht="15" hidden="1" customHeight="1" x14ac:dyDescent="0.25">
      <c r="A1619" s="37">
        <v>45138</v>
      </c>
      <c r="B1619" s="64" t="s">
        <v>4751</v>
      </c>
      <c r="C1619" s="18" t="s">
        <v>4752</v>
      </c>
      <c r="D1619" s="18" t="s">
        <v>4753</v>
      </c>
      <c r="E1619" s="73">
        <v>8480</v>
      </c>
      <c r="F1619" s="114">
        <v>102500</v>
      </c>
      <c r="G1619" s="73">
        <v>21525</v>
      </c>
      <c r="H1619" s="73">
        <v>132505</v>
      </c>
      <c r="I1619" s="28" t="s">
        <v>19</v>
      </c>
      <c r="J1619" s="43"/>
    </row>
    <row r="1620" spans="1:10" customFormat="1" ht="15" hidden="1" customHeight="1" x14ac:dyDescent="0.25">
      <c r="A1620" s="37">
        <v>45138</v>
      </c>
      <c r="B1620" s="64" t="s">
        <v>4754</v>
      </c>
      <c r="C1620" s="18" t="s">
        <v>2921</v>
      </c>
      <c r="D1620" s="18" t="s">
        <v>2922</v>
      </c>
      <c r="E1620" s="73">
        <v>12160</v>
      </c>
      <c r="F1620" s="114">
        <v>150000</v>
      </c>
      <c r="G1620" s="73">
        <v>31500</v>
      </c>
      <c r="H1620" s="73">
        <v>193660</v>
      </c>
      <c r="I1620" s="28" t="s">
        <v>19</v>
      </c>
      <c r="J1620" s="43"/>
    </row>
    <row r="1621" spans="1:10" customFormat="1" ht="15" hidden="1" customHeight="1" x14ac:dyDescent="0.25">
      <c r="A1621" s="37">
        <v>45138</v>
      </c>
      <c r="B1621" s="64" t="s">
        <v>4755</v>
      </c>
      <c r="C1621" s="18" t="s">
        <v>2921</v>
      </c>
      <c r="D1621" s="18" t="s">
        <v>2922</v>
      </c>
      <c r="E1621" s="73">
        <v>7500</v>
      </c>
      <c r="F1621" s="114">
        <v>182500</v>
      </c>
      <c r="G1621" s="73">
        <v>38325</v>
      </c>
      <c r="H1621" s="73">
        <v>228325</v>
      </c>
      <c r="I1621" s="28" t="s">
        <v>19</v>
      </c>
      <c r="J1621" s="43"/>
    </row>
    <row r="1622" spans="1:10" customFormat="1" ht="15" hidden="1" customHeight="1" x14ac:dyDescent="0.25">
      <c r="A1622" s="40">
        <v>45138</v>
      </c>
      <c r="B1622" s="74" t="s">
        <v>4756</v>
      </c>
      <c r="C1622" s="74" t="s">
        <v>3272</v>
      </c>
      <c r="D1622" s="74" t="s">
        <v>3273</v>
      </c>
      <c r="E1622" s="73">
        <v>8480</v>
      </c>
      <c r="F1622" s="114">
        <v>91500</v>
      </c>
      <c r="G1622" s="73">
        <v>19215</v>
      </c>
      <c r="H1622" s="73">
        <v>119195</v>
      </c>
      <c r="I1622" s="41" t="s">
        <v>19</v>
      </c>
      <c r="J1622" s="49"/>
    </row>
    <row r="1623" spans="1:10" customFormat="1" ht="15" hidden="1" customHeight="1" x14ac:dyDescent="0.25">
      <c r="A1623" s="37">
        <v>45138</v>
      </c>
      <c r="B1623" s="64" t="s">
        <v>4757</v>
      </c>
      <c r="C1623" s="18" t="s">
        <v>3011</v>
      </c>
      <c r="D1623" s="18" t="s">
        <v>3012</v>
      </c>
      <c r="E1623" s="73">
        <v>89044</v>
      </c>
      <c r="F1623" s="114">
        <v>1563750</v>
      </c>
      <c r="G1623" s="73">
        <v>328387.5</v>
      </c>
      <c r="H1623" s="73">
        <v>1981181.5</v>
      </c>
      <c r="I1623" s="28" t="s">
        <v>19</v>
      </c>
      <c r="J1623" s="43"/>
    </row>
    <row r="1624" spans="1:10" customFormat="1" ht="15" hidden="1" customHeight="1" x14ac:dyDescent="0.25">
      <c r="A1624" s="37">
        <v>45138</v>
      </c>
      <c r="B1624" s="64" t="s">
        <v>4758</v>
      </c>
      <c r="C1624" s="18" t="s">
        <v>3011</v>
      </c>
      <c r="D1624" s="18" t="s">
        <v>3012</v>
      </c>
      <c r="E1624" s="73">
        <v>40404</v>
      </c>
      <c r="F1624" s="114">
        <v>442500</v>
      </c>
      <c r="G1624" s="73">
        <v>92925</v>
      </c>
      <c r="H1624" s="73">
        <v>575829</v>
      </c>
      <c r="I1624" s="28" t="s">
        <v>19</v>
      </c>
      <c r="J1624" s="43"/>
    </row>
    <row r="1625" spans="1:10" customFormat="1" ht="15" hidden="1" customHeight="1" x14ac:dyDescent="0.25">
      <c r="A1625" s="37">
        <v>45138</v>
      </c>
      <c r="B1625" s="64" t="s">
        <v>4759</v>
      </c>
      <c r="C1625" s="18" t="s">
        <v>4760</v>
      </c>
      <c r="D1625" s="18" t="s">
        <v>4761</v>
      </c>
      <c r="E1625" s="73">
        <v>6080</v>
      </c>
      <c r="F1625" s="114">
        <v>75000</v>
      </c>
      <c r="G1625" s="73">
        <v>15750</v>
      </c>
      <c r="H1625" s="73">
        <v>96830</v>
      </c>
      <c r="I1625" s="28" t="s">
        <v>19</v>
      </c>
      <c r="J1625" s="43"/>
    </row>
    <row r="1626" spans="1:10" customFormat="1" ht="15" hidden="1" customHeight="1" x14ac:dyDescent="0.25">
      <c r="A1626" s="40">
        <v>45138</v>
      </c>
      <c r="B1626" s="74" t="s">
        <v>4762</v>
      </c>
      <c r="C1626" s="74" t="s">
        <v>3272</v>
      </c>
      <c r="D1626" s="74" t="s">
        <v>3273</v>
      </c>
      <c r="E1626" s="73">
        <v>38000</v>
      </c>
      <c r="F1626" s="114">
        <v>503250</v>
      </c>
      <c r="G1626" s="73">
        <v>105682.5</v>
      </c>
      <c r="H1626" s="73">
        <v>646932.5</v>
      </c>
      <c r="I1626" s="41" t="s">
        <v>19</v>
      </c>
      <c r="J1626" s="49"/>
    </row>
    <row r="1627" spans="1:10" customFormat="1" ht="15" hidden="1" customHeight="1" x14ac:dyDescent="0.25">
      <c r="A1627" s="37">
        <v>45138</v>
      </c>
      <c r="B1627" s="64" t="s">
        <v>4763</v>
      </c>
      <c r="C1627" s="18" t="s">
        <v>2876</v>
      </c>
      <c r="D1627" s="18" t="s">
        <v>2877</v>
      </c>
      <c r="E1627" s="73">
        <v>7600</v>
      </c>
      <c r="F1627" s="114">
        <v>153750</v>
      </c>
      <c r="G1627" s="73">
        <v>32287.5</v>
      </c>
      <c r="H1627" s="73">
        <v>193637.5</v>
      </c>
      <c r="I1627" s="28" t="s">
        <v>19</v>
      </c>
      <c r="J1627" s="43"/>
    </row>
    <row r="1628" spans="1:10" customFormat="1" ht="15" hidden="1" customHeight="1" x14ac:dyDescent="0.25">
      <c r="A1628" s="37">
        <v>45138</v>
      </c>
      <c r="B1628" s="64" t="s">
        <v>4764</v>
      </c>
      <c r="C1628" s="18" t="s">
        <v>4172</v>
      </c>
      <c r="D1628" s="18" t="s">
        <v>4173</v>
      </c>
      <c r="E1628" s="73">
        <v>8480</v>
      </c>
      <c r="F1628" s="114">
        <v>237500</v>
      </c>
      <c r="G1628" s="73">
        <v>49875</v>
      </c>
      <c r="H1628" s="73">
        <v>295855</v>
      </c>
      <c r="I1628" s="28" t="s">
        <v>19</v>
      </c>
      <c r="J1628" s="43"/>
    </row>
    <row r="1629" spans="1:10" customFormat="1" ht="15" hidden="1" customHeight="1" x14ac:dyDescent="0.25">
      <c r="A1629" s="37">
        <v>45138</v>
      </c>
      <c r="B1629" s="64" t="s">
        <v>4765</v>
      </c>
      <c r="C1629" s="18" t="s">
        <v>3014</v>
      </c>
      <c r="D1629" s="18" t="s">
        <v>3015</v>
      </c>
      <c r="E1629" s="73">
        <v>14100</v>
      </c>
      <c r="F1629" s="114">
        <v>128750</v>
      </c>
      <c r="G1629" s="73">
        <v>27037.5</v>
      </c>
      <c r="H1629" s="73">
        <v>169887.5</v>
      </c>
      <c r="I1629" s="28" t="s">
        <v>19</v>
      </c>
      <c r="J1629" s="43"/>
    </row>
    <row r="1630" spans="1:10" customFormat="1" ht="15" hidden="1" customHeight="1" x14ac:dyDescent="0.25">
      <c r="A1630" s="37">
        <v>45138</v>
      </c>
      <c r="B1630" s="64" t="s">
        <v>4766</v>
      </c>
      <c r="C1630" s="18" t="s">
        <v>2909</v>
      </c>
      <c r="D1630" s="18" t="s">
        <v>2910</v>
      </c>
      <c r="E1630" s="73">
        <v>14387</v>
      </c>
      <c r="F1630" s="114">
        <v>205000</v>
      </c>
      <c r="G1630" s="73">
        <v>43050</v>
      </c>
      <c r="H1630" s="73">
        <v>262437</v>
      </c>
      <c r="I1630" s="28" t="s">
        <v>19</v>
      </c>
      <c r="J1630" s="43"/>
    </row>
    <row r="1631" spans="1:10" customFormat="1" ht="15" hidden="1" customHeight="1" x14ac:dyDescent="0.25">
      <c r="A1631" s="37">
        <v>45138</v>
      </c>
      <c r="B1631" s="64" t="s">
        <v>4767</v>
      </c>
      <c r="C1631" s="18" t="s">
        <v>2909</v>
      </c>
      <c r="D1631" s="18" t="s">
        <v>2910</v>
      </c>
      <c r="E1631" s="73">
        <v>14387</v>
      </c>
      <c r="F1631" s="114">
        <v>205000</v>
      </c>
      <c r="G1631" s="73">
        <v>43050</v>
      </c>
      <c r="H1631" s="73">
        <v>262437</v>
      </c>
      <c r="I1631" s="28" t="s">
        <v>19</v>
      </c>
      <c r="J1631" s="43"/>
    </row>
    <row r="1632" spans="1:10" customFormat="1" ht="15" hidden="1" customHeight="1" x14ac:dyDescent="0.25">
      <c r="A1632" s="37">
        <v>45138</v>
      </c>
      <c r="B1632" s="64" t="s">
        <v>4768</v>
      </c>
      <c r="C1632" s="18" t="s">
        <v>2909</v>
      </c>
      <c r="D1632" s="18" t="s">
        <v>2910</v>
      </c>
      <c r="E1632" s="73">
        <v>14387</v>
      </c>
      <c r="F1632" s="114">
        <v>153750</v>
      </c>
      <c r="G1632" s="73">
        <v>32287.5</v>
      </c>
      <c r="H1632" s="73">
        <v>200424.5</v>
      </c>
      <c r="I1632" s="28" t="s">
        <v>19</v>
      </c>
      <c r="J1632" s="43"/>
    </row>
    <row r="1633" spans="1:10" customFormat="1" ht="15" hidden="1" customHeight="1" x14ac:dyDescent="0.25">
      <c r="A1633" s="37">
        <v>45138</v>
      </c>
      <c r="B1633" s="64" t="s">
        <v>4769</v>
      </c>
      <c r="C1633" s="18" t="s">
        <v>2945</v>
      </c>
      <c r="D1633" s="18" t="s">
        <v>2946</v>
      </c>
      <c r="E1633" s="73">
        <v>18800</v>
      </c>
      <c r="F1633" s="114">
        <v>410000</v>
      </c>
      <c r="G1633" s="73">
        <v>86100</v>
      </c>
      <c r="H1633" s="73">
        <v>514900</v>
      </c>
      <c r="I1633" s="28" t="s">
        <v>19</v>
      </c>
      <c r="J1633" s="43"/>
    </row>
    <row r="1634" spans="1:10" customFormat="1" ht="15" hidden="1" customHeight="1" x14ac:dyDescent="0.25">
      <c r="A1634" s="37">
        <v>45138</v>
      </c>
      <c r="B1634" s="64" t="s">
        <v>4770</v>
      </c>
      <c r="C1634" s="18" t="s">
        <v>3007</v>
      </c>
      <c r="D1634" s="18" t="s">
        <v>3008</v>
      </c>
      <c r="E1634" s="73">
        <v>15840</v>
      </c>
      <c r="F1634" s="114">
        <v>135000</v>
      </c>
      <c r="G1634" s="73">
        <v>28350</v>
      </c>
      <c r="H1634" s="73">
        <v>179190</v>
      </c>
      <c r="I1634" s="28" t="s">
        <v>19</v>
      </c>
      <c r="J1634" s="43"/>
    </row>
    <row r="1635" spans="1:10" customFormat="1" ht="15" hidden="1" customHeight="1" x14ac:dyDescent="0.25">
      <c r="A1635" s="37">
        <v>45138</v>
      </c>
      <c r="B1635" s="64" t="s">
        <v>4771</v>
      </c>
      <c r="C1635" s="18" t="s">
        <v>4144</v>
      </c>
      <c r="D1635" s="18" t="s">
        <v>4145</v>
      </c>
      <c r="E1635" s="73">
        <v>5440</v>
      </c>
      <c r="F1635" s="114">
        <v>101250</v>
      </c>
      <c r="G1635" s="73">
        <v>21262.5</v>
      </c>
      <c r="H1635" s="73">
        <v>127952.5</v>
      </c>
      <c r="I1635" s="28" t="s">
        <v>19</v>
      </c>
      <c r="J1635" s="43"/>
    </row>
    <row r="1636" spans="1:10" customFormat="1" ht="15" hidden="1" customHeight="1" x14ac:dyDescent="0.25">
      <c r="A1636" s="37">
        <v>45138</v>
      </c>
      <c r="B1636" s="64" t="s">
        <v>4772</v>
      </c>
      <c r="C1636" s="18" t="s">
        <v>2960</v>
      </c>
      <c r="D1636" s="18" t="s">
        <v>2961</v>
      </c>
      <c r="E1636" s="73">
        <v>6190</v>
      </c>
      <c r="F1636" s="114">
        <v>112500</v>
      </c>
      <c r="G1636" s="73">
        <v>23625</v>
      </c>
      <c r="H1636" s="73">
        <v>142315</v>
      </c>
      <c r="I1636" s="28" t="s">
        <v>19</v>
      </c>
      <c r="J1636" s="43"/>
    </row>
    <row r="1637" spans="1:10" customFormat="1" ht="15" hidden="1" customHeight="1" x14ac:dyDescent="0.25">
      <c r="A1637" s="37">
        <v>45138</v>
      </c>
      <c r="B1637" s="64" t="s">
        <v>4773</v>
      </c>
      <c r="C1637" s="18" t="s">
        <v>2921</v>
      </c>
      <c r="D1637" s="18" t="s">
        <v>2922</v>
      </c>
      <c r="E1637" s="73">
        <v>46002</v>
      </c>
      <c r="F1637" s="114">
        <v>823500</v>
      </c>
      <c r="G1637" s="73">
        <v>172935</v>
      </c>
      <c r="H1637" s="73">
        <v>1042437</v>
      </c>
      <c r="I1637" s="28" t="s">
        <v>19</v>
      </c>
      <c r="J1637" s="43"/>
    </row>
    <row r="1638" spans="1:10" customFormat="1" ht="15" hidden="1" customHeight="1" x14ac:dyDescent="0.25">
      <c r="A1638" s="37">
        <v>45138</v>
      </c>
      <c r="B1638" s="64" t="s">
        <v>4774</v>
      </c>
      <c r="C1638" s="18" t="s">
        <v>2921</v>
      </c>
      <c r="D1638" s="18" t="s">
        <v>2922</v>
      </c>
      <c r="E1638" s="73">
        <v>46000</v>
      </c>
      <c r="F1638" s="114">
        <v>640500</v>
      </c>
      <c r="G1638" s="73">
        <v>134505</v>
      </c>
      <c r="H1638" s="73">
        <v>821005</v>
      </c>
      <c r="I1638" s="28" t="s">
        <v>19</v>
      </c>
      <c r="J1638" s="43"/>
    </row>
    <row r="1639" spans="1:10" customFormat="1" ht="15" hidden="1" customHeight="1" x14ac:dyDescent="0.25">
      <c r="A1639" s="37">
        <v>45138</v>
      </c>
      <c r="B1639" s="64" t="s">
        <v>4775</v>
      </c>
      <c r="C1639" s="18" t="s">
        <v>2921</v>
      </c>
      <c r="D1639" s="18" t="s">
        <v>2922</v>
      </c>
      <c r="E1639" s="73">
        <v>23000</v>
      </c>
      <c r="F1639" s="114">
        <v>357750</v>
      </c>
      <c r="G1639" s="73">
        <v>75127.5</v>
      </c>
      <c r="H1639" s="73">
        <v>455877.5</v>
      </c>
      <c r="I1639" s="28" t="s">
        <v>19</v>
      </c>
      <c r="J1639" s="43"/>
    </row>
    <row r="1640" spans="1:10" customFormat="1" ht="15" hidden="1" customHeight="1" x14ac:dyDescent="0.25">
      <c r="A1640" s="37">
        <v>45138</v>
      </c>
      <c r="B1640" s="64" t="s">
        <v>4776</v>
      </c>
      <c r="C1640" s="18" t="s">
        <v>3358</v>
      </c>
      <c r="D1640" s="18" t="s">
        <v>3359</v>
      </c>
      <c r="E1640" s="73">
        <v>5000</v>
      </c>
      <c r="F1640" s="114">
        <v>156500</v>
      </c>
      <c r="G1640" s="73">
        <v>32865</v>
      </c>
      <c r="H1640" s="73">
        <v>194365</v>
      </c>
      <c r="I1640" s="28" t="s">
        <v>19</v>
      </c>
      <c r="J1640" s="43"/>
    </row>
    <row r="1641" spans="1:10" customFormat="1" ht="15" hidden="1" customHeight="1" x14ac:dyDescent="0.25">
      <c r="A1641" s="37">
        <v>45138</v>
      </c>
      <c r="B1641" s="64" t="s">
        <v>4777</v>
      </c>
      <c r="C1641" s="18" t="s">
        <v>3606</v>
      </c>
      <c r="D1641" s="18" t="s">
        <v>3607</v>
      </c>
      <c r="E1641" s="73">
        <v>15200</v>
      </c>
      <c r="F1641" s="114">
        <v>221250</v>
      </c>
      <c r="G1641" s="73">
        <v>46462.5</v>
      </c>
      <c r="H1641" s="73">
        <v>282912.5</v>
      </c>
      <c r="I1641" s="28" t="s">
        <v>19</v>
      </c>
      <c r="J1641" s="43"/>
    </row>
    <row r="1642" spans="1:10" customFormat="1" ht="15" hidden="1" customHeight="1" x14ac:dyDescent="0.25">
      <c r="A1642" s="37">
        <v>45138</v>
      </c>
      <c r="B1642" s="64" t="s">
        <v>4778</v>
      </c>
      <c r="C1642" s="18" t="s">
        <v>4779</v>
      </c>
      <c r="D1642" s="18" t="s">
        <v>4780</v>
      </c>
      <c r="E1642" s="73">
        <v>21000</v>
      </c>
      <c r="F1642" s="114">
        <v>300000</v>
      </c>
      <c r="G1642" s="73">
        <v>63000</v>
      </c>
      <c r="H1642" s="73">
        <v>384000</v>
      </c>
      <c r="I1642" s="28" t="s">
        <v>19</v>
      </c>
      <c r="J1642" s="43"/>
    </row>
    <row r="1643" spans="1:10" customFormat="1" ht="15" hidden="1" customHeight="1" x14ac:dyDescent="0.25">
      <c r="A1643" s="37">
        <v>45138</v>
      </c>
      <c r="B1643" s="64" t="s">
        <v>4781</v>
      </c>
      <c r="C1643" s="18" t="s">
        <v>4782</v>
      </c>
      <c r="D1643" s="18" t="s">
        <v>4783</v>
      </c>
      <c r="E1643" s="73">
        <v>5000</v>
      </c>
      <c r="F1643" s="114">
        <v>101250</v>
      </c>
      <c r="G1643" s="73">
        <v>21262.5</v>
      </c>
      <c r="H1643" s="73">
        <v>127512.5</v>
      </c>
      <c r="I1643" s="28" t="s">
        <v>19</v>
      </c>
      <c r="J1643" s="43"/>
    </row>
    <row r="1644" spans="1:10" customFormat="1" ht="15" hidden="1" customHeight="1" x14ac:dyDescent="0.25">
      <c r="A1644" s="57">
        <v>45138</v>
      </c>
      <c r="B1644" s="122" t="s">
        <v>4784</v>
      </c>
      <c r="C1644" s="123" t="s">
        <v>2892</v>
      </c>
      <c r="D1644" s="123" t="s">
        <v>2893</v>
      </c>
      <c r="E1644" s="124">
        <v>3636</v>
      </c>
      <c r="F1644" s="125">
        <v>52500</v>
      </c>
      <c r="G1644" s="124">
        <v>11025</v>
      </c>
      <c r="H1644" s="124">
        <v>67161</v>
      </c>
      <c r="I1644" s="59" t="s">
        <v>19</v>
      </c>
      <c r="J1644" s="43"/>
    </row>
    <row r="1645" spans="1:10" customFormat="1" ht="15" hidden="1" customHeight="1" x14ac:dyDescent="0.25">
      <c r="A1645" s="147">
        <v>45138</v>
      </c>
      <c r="B1645" s="148" t="s">
        <v>4785</v>
      </c>
      <c r="C1645" s="148" t="s">
        <v>3132</v>
      </c>
      <c r="D1645" s="148" t="s">
        <v>3133</v>
      </c>
      <c r="E1645" s="149">
        <v>0</v>
      </c>
      <c r="F1645" s="150">
        <v>1098874</v>
      </c>
      <c r="G1645" s="149">
        <v>230763.54</v>
      </c>
      <c r="H1645" s="149">
        <v>1329637.54</v>
      </c>
      <c r="I1645" s="151" t="s">
        <v>103</v>
      </c>
      <c r="J1645" s="43"/>
    </row>
    <row r="1646" spans="1:10" ht="15" hidden="1" customHeight="1" x14ac:dyDescent="0.25">
      <c r="A1646" s="127">
        <v>45138</v>
      </c>
      <c r="B1646" s="128" t="s">
        <v>4786</v>
      </c>
      <c r="C1646" s="128" t="s">
        <v>2895</v>
      </c>
      <c r="D1646" s="128" t="s">
        <v>2896</v>
      </c>
      <c r="E1646" s="129">
        <v>0</v>
      </c>
      <c r="F1646" s="130">
        <v>638680</v>
      </c>
      <c r="G1646" s="129">
        <v>134122.79999999999</v>
      </c>
      <c r="H1646" s="129">
        <v>772802.8</v>
      </c>
      <c r="I1646" s="121" t="s">
        <v>103</v>
      </c>
      <c r="J1646" s="43"/>
    </row>
    <row r="1647" spans="1:10" customFormat="1" ht="15" hidden="1" customHeight="1" x14ac:dyDescent="0.25">
      <c r="A1647" s="126">
        <v>45138</v>
      </c>
      <c r="B1647" s="122" t="s">
        <v>4787</v>
      </c>
      <c r="C1647" s="123" t="s">
        <v>3876</v>
      </c>
      <c r="D1647" s="123" t="s">
        <v>3877</v>
      </c>
      <c r="E1647" s="124">
        <v>0</v>
      </c>
      <c r="F1647" s="125">
        <v>752690</v>
      </c>
      <c r="G1647" s="124">
        <v>158064.9</v>
      </c>
      <c r="H1647" s="124">
        <v>910754.9</v>
      </c>
      <c r="I1647" s="55" t="s">
        <v>103</v>
      </c>
      <c r="J1647" s="43"/>
    </row>
    <row r="1648" spans="1:10" customFormat="1" ht="15" hidden="1" customHeight="1" x14ac:dyDescent="0.25">
      <c r="A1648" s="37">
        <v>45138</v>
      </c>
      <c r="B1648" s="64" t="s">
        <v>4788</v>
      </c>
      <c r="C1648" s="18" t="s">
        <v>2856</v>
      </c>
      <c r="D1648" s="18" t="s">
        <v>2857</v>
      </c>
      <c r="E1648" s="73">
        <v>0</v>
      </c>
      <c r="F1648" s="114">
        <v>9684201.2599999998</v>
      </c>
      <c r="G1648" s="73">
        <v>2033682.27</v>
      </c>
      <c r="H1648" s="73">
        <v>11717883.529999999</v>
      </c>
      <c r="I1648" s="28" t="s">
        <v>103</v>
      </c>
      <c r="J1648" s="43"/>
    </row>
    <row r="1649" spans="1:10" customFormat="1" ht="15" hidden="1" customHeight="1" x14ac:dyDescent="0.25">
      <c r="A1649" s="37">
        <v>45138</v>
      </c>
      <c r="B1649" s="64" t="s">
        <v>4789</v>
      </c>
      <c r="C1649" s="18" t="s">
        <v>2957</v>
      </c>
      <c r="D1649" s="18" t="s">
        <v>2958</v>
      </c>
      <c r="E1649" s="73">
        <v>0</v>
      </c>
      <c r="F1649" s="114">
        <v>416932</v>
      </c>
      <c r="G1649" s="73">
        <v>87555.72</v>
      </c>
      <c r="H1649" s="73">
        <v>504487.72</v>
      </c>
      <c r="I1649" s="28" t="s">
        <v>103</v>
      </c>
      <c r="J1649" s="43"/>
    </row>
    <row r="1650" spans="1:10" customFormat="1" ht="15" hidden="1" customHeight="1" x14ac:dyDescent="0.25">
      <c r="A1650" s="37">
        <v>45138</v>
      </c>
      <c r="B1650" s="64" t="s">
        <v>4790</v>
      </c>
      <c r="C1650" s="18" t="s">
        <v>3290</v>
      </c>
      <c r="D1650" s="18" t="s">
        <v>3291</v>
      </c>
      <c r="E1650" s="73">
        <v>0</v>
      </c>
      <c r="F1650" s="114">
        <v>744314</v>
      </c>
      <c r="G1650" s="73">
        <v>156305.94</v>
      </c>
      <c r="H1650" s="73">
        <v>900619.94</v>
      </c>
      <c r="I1650" s="28" t="s">
        <v>19</v>
      </c>
      <c r="J1650" s="43"/>
    </row>
    <row r="1651" spans="1:10" customFormat="1" ht="15" hidden="1" customHeight="1" x14ac:dyDescent="0.25">
      <c r="A1651" s="37">
        <v>45138</v>
      </c>
      <c r="B1651" s="64" t="s">
        <v>4791</v>
      </c>
      <c r="C1651" s="18" t="s">
        <v>3722</v>
      </c>
      <c r="D1651" s="18" t="s">
        <v>3723</v>
      </c>
      <c r="E1651" s="73">
        <v>0</v>
      </c>
      <c r="F1651" s="114">
        <v>715550</v>
      </c>
      <c r="G1651" s="73">
        <v>150265.5</v>
      </c>
      <c r="H1651" s="73">
        <v>865815.5</v>
      </c>
      <c r="I1651" s="28" t="s">
        <v>103</v>
      </c>
      <c r="J1651" s="43"/>
    </row>
    <row r="1652" spans="1:10" customFormat="1" ht="15" hidden="1" customHeight="1" x14ac:dyDescent="0.25">
      <c r="A1652" s="37">
        <v>45138</v>
      </c>
      <c r="B1652" s="64" t="s">
        <v>4792</v>
      </c>
      <c r="C1652" s="18" t="s">
        <v>2892</v>
      </c>
      <c r="D1652" s="18" t="s">
        <v>2893</v>
      </c>
      <c r="E1652" s="73">
        <v>0</v>
      </c>
      <c r="F1652" s="114">
        <v>345295</v>
      </c>
      <c r="G1652" s="73">
        <v>72511.95</v>
      </c>
      <c r="H1652" s="73">
        <v>417806.95</v>
      </c>
      <c r="I1652" s="28" t="s">
        <v>103</v>
      </c>
      <c r="J1652" s="43"/>
    </row>
    <row r="1653" spans="1:10" customFormat="1" ht="15" hidden="1" customHeight="1" x14ac:dyDescent="0.25">
      <c r="A1653" s="37">
        <v>45138</v>
      </c>
      <c r="B1653" s="64" t="s">
        <v>4793</v>
      </c>
      <c r="C1653" s="18" t="s">
        <v>1140</v>
      </c>
      <c r="D1653" s="18" t="s">
        <v>1141</v>
      </c>
      <c r="E1653" s="73">
        <v>0</v>
      </c>
      <c r="F1653" s="114">
        <v>980550</v>
      </c>
      <c r="G1653" s="73">
        <v>205915.5</v>
      </c>
      <c r="H1653" s="73">
        <v>1186465.5</v>
      </c>
      <c r="I1653" s="28" t="s">
        <v>103</v>
      </c>
      <c r="J1653" s="43"/>
    </row>
    <row r="1654" spans="1:10" customFormat="1" ht="15" hidden="1" customHeight="1" x14ac:dyDescent="0.25">
      <c r="A1654" s="37">
        <v>45138</v>
      </c>
      <c r="B1654" s="64" t="s">
        <v>4794</v>
      </c>
      <c r="C1654" s="18" t="s">
        <v>3346</v>
      </c>
      <c r="D1654" s="18" t="s">
        <v>3347</v>
      </c>
      <c r="E1654" s="73">
        <v>0</v>
      </c>
      <c r="F1654" s="114">
        <v>2998866</v>
      </c>
      <c r="G1654" s="73">
        <v>629761.86</v>
      </c>
      <c r="H1654" s="73">
        <v>3628627.86</v>
      </c>
      <c r="I1654" s="28" t="s">
        <v>103</v>
      </c>
      <c r="J1654" s="43"/>
    </row>
    <row r="1655" spans="1:10" customFormat="1" ht="15" hidden="1" customHeight="1" x14ac:dyDescent="0.25">
      <c r="A1655" s="37">
        <v>45138</v>
      </c>
      <c r="B1655" s="64" t="s">
        <v>4795</v>
      </c>
      <c r="C1655" s="18" t="s">
        <v>3140</v>
      </c>
      <c r="D1655" s="18" t="s">
        <v>3141</v>
      </c>
      <c r="E1655" s="73">
        <v>0</v>
      </c>
      <c r="F1655" s="114">
        <v>71176</v>
      </c>
      <c r="G1655" s="73">
        <v>14946.96</v>
      </c>
      <c r="H1655" s="73">
        <v>86122.96</v>
      </c>
      <c r="I1655" s="28" t="s">
        <v>103</v>
      </c>
      <c r="J1655" s="43"/>
    </row>
    <row r="1656" spans="1:10" customFormat="1" ht="15" hidden="1" customHeight="1" x14ac:dyDescent="0.25">
      <c r="A1656" s="57">
        <v>45138</v>
      </c>
      <c r="B1656" s="64" t="s">
        <v>4796</v>
      </c>
      <c r="C1656" s="18" t="s">
        <v>3268</v>
      </c>
      <c r="D1656" s="18" t="s">
        <v>3269</v>
      </c>
      <c r="E1656" s="73">
        <v>0</v>
      </c>
      <c r="F1656" s="114">
        <v>129024</v>
      </c>
      <c r="G1656" s="73">
        <v>27095.040000000001</v>
      </c>
      <c r="H1656" s="73">
        <v>156119.04000000001</v>
      </c>
      <c r="I1656" s="59" t="s">
        <v>103</v>
      </c>
      <c r="J1656" s="43"/>
    </row>
    <row r="1657" spans="1:10" customFormat="1" ht="15.75" hidden="1" customHeight="1" x14ac:dyDescent="0.25">
      <c r="A1657" s="37">
        <v>45114</v>
      </c>
      <c r="B1657" s="36" t="s">
        <v>4797</v>
      </c>
      <c r="C1657" s="36" t="s">
        <v>2851</v>
      </c>
      <c r="D1657" s="28">
        <v>0</v>
      </c>
      <c r="E1657" s="38">
        <v>0</v>
      </c>
      <c r="F1657" s="67">
        <v>4825796</v>
      </c>
      <c r="G1657" s="38">
        <v>1013417.16</v>
      </c>
      <c r="H1657" s="56">
        <v>5839213.1600000001</v>
      </c>
      <c r="I1657" s="28" t="s">
        <v>103</v>
      </c>
      <c r="J1657" s="43"/>
    </row>
    <row r="1658" spans="1:10" customFormat="1" ht="15" hidden="1" customHeight="1" x14ac:dyDescent="0.25">
      <c r="A1658" s="37">
        <v>45114</v>
      </c>
      <c r="B1658" s="36" t="s">
        <v>3981</v>
      </c>
      <c r="C1658" s="36" t="s">
        <v>2930</v>
      </c>
      <c r="D1658" s="18">
        <v>0</v>
      </c>
      <c r="E1658" s="38">
        <v>0</v>
      </c>
      <c r="F1658" s="67">
        <v>71860</v>
      </c>
      <c r="G1658" s="38">
        <v>15090.599999999999</v>
      </c>
      <c r="H1658" s="56">
        <v>86950.6</v>
      </c>
      <c r="I1658" s="28" t="s">
        <v>103</v>
      </c>
      <c r="J1658" s="43"/>
    </row>
    <row r="1659" spans="1:10" customFormat="1" ht="15" hidden="1" customHeight="1" x14ac:dyDescent="0.25">
      <c r="A1659" s="57">
        <v>45114</v>
      </c>
      <c r="B1659" s="58" t="s">
        <v>3981</v>
      </c>
      <c r="C1659" s="58" t="s">
        <v>4798</v>
      </c>
      <c r="D1659" s="18">
        <v>0</v>
      </c>
      <c r="E1659" s="60">
        <v>0</v>
      </c>
      <c r="F1659" s="115">
        <v>970392</v>
      </c>
      <c r="G1659" s="60">
        <v>203782.32</v>
      </c>
      <c r="H1659" s="61">
        <v>1174174.32</v>
      </c>
      <c r="I1659" s="59" t="s">
        <v>103</v>
      </c>
      <c r="J1659" s="43"/>
    </row>
    <row r="1660" spans="1:10" customFormat="1" ht="15" hidden="1" customHeight="1" x14ac:dyDescent="0.25">
      <c r="A1660" s="37">
        <v>45148</v>
      </c>
      <c r="B1660" s="188" t="s">
        <v>4799</v>
      </c>
      <c r="C1660" s="18" t="s">
        <v>3241</v>
      </c>
      <c r="D1660" s="18" t="s">
        <v>3242</v>
      </c>
      <c r="E1660" s="73">
        <v>18680</v>
      </c>
      <c r="F1660" s="114">
        <v>223750</v>
      </c>
      <c r="G1660" s="73">
        <v>46987.5</v>
      </c>
      <c r="H1660" s="73">
        <v>289417.5</v>
      </c>
      <c r="I1660" s="28" t="s">
        <v>19</v>
      </c>
      <c r="J1660" s="43"/>
    </row>
    <row r="1661" spans="1:10" customFormat="1" ht="15" hidden="1" customHeight="1" x14ac:dyDescent="0.25">
      <c r="A1661" s="37">
        <v>45148</v>
      </c>
      <c r="B1661" s="188" t="s">
        <v>4800</v>
      </c>
      <c r="C1661" s="18" t="s">
        <v>2903</v>
      </c>
      <c r="D1661" s="18" t="s">
        <v>2904</v>
      </c>
      <c r="E1661" s="73">
        <v>10004</v>
      </c>
      <c r="F1661" s="114">
        <v>67500</v>
      </c>
      <c r="G1661" s="73">
        <v>14175</v>
      </c>
      <c r="H1661" s="73">
        <v>91679</v>
      </c>
      <c r="I1661" s="28" t="s">
        <v>19</v>
      </c>
      <c r="J1661" s="43"/>
    </row>
    <row r="1662" spans="1:10" customFormat="1" ht="15" hidden="1" customHeight="1" x14ac:dyDescent="0.25">
      <c r="A1662" s="37">
        <v>45148</v>
      </c>
      <c r="B1662" s="188" t="s">
        <v>4801</v>
      </c>
      <c r="C1662" s="18" t="s">
        <v>2909</v>
      </c>
      <c r="D1662" s="18" t="s">
        <v>2910</v>
      </c>
      <c r="E1662" s="73">
        <v>10004</v>
      </c>
      <c r="F1662" s="114">
        <v>67500</v>
      </c>
      <c r="G1662" s="73">
        <v>14175</v>
      </c>
      <c r="H1662" s="73">
        <v>91679</v>
      </c>
      <c r="I1662" s="28" t="s">
        <v>19</v>
      </c>
      <c r="J1662" s="43"/>
    </row>
    <row r="1663" spans="1:10" customFormat="1" ht="15" hidden="1" customHeight="1" x14ac:dyDescent="0.25">
      <c r="A1663" s="37">
        <v>45148</v>
      </c>
      <c r="B1663" s="188" t="s">
        <v>4802</v>
      </c>
      <c r="C1663" s="18" t="s">
        <v>2867</v>
      </c>
      <c r="D1663" s="18" t="s">
        <v>2868</v>
      </c>
      <c r="E1663" s="73">
        <v>21214</v>
      </c>
      <c r="F1663" s="114">
        <v>308520</v>
      </c>
      <c r="G1663" s="73">
        <v>64789.2</v>
      </c>
      <c r="H1663" s="73">
        <v>394523.2</v>
      </c>
      <c r="I1663" s="28" t="s">
        <v>19</v>
      </c>
      <c r="J1663" s="43"/>
    </row>
    <row r="1664" spans="1:10" customFormat="1" ht="15" hidden="1" customHeight="1" x14ac:dyDescent="0.25">
      <c r="A1664" s="57">
        <v>45148</v>
      </c>
      <c r="B1664" s="190" t="s">
        <v>4803</v>
      </c>
      <c r="C1664" s="123" t="s">
        <v>2921</v>
      </c>
      <c r="D1664" s="123" t="s">
        <v>2922</v>
      </c>
      <c r="E1664" s="124">
        <v>34500</v>
      </c>
      <c r="F1664" s="125">
        <v>465000</v>
      </c>
      <c r="G1664" s="124">
        <v>97650</v>
      </c>
      <c r="H1664" s="124">
        <v>597150</v>
      </c>
      <c r="I1664" s="59" t="s">
        <v>19</v>
      </c>
      <c r="J1664" s="43"/>
    </row>
    <row r="1665" spans="1:10" ht="15" hidden="1" customHeight="1" x14ac:dyDescent="0.25">
      <c r="A1665" s="127">
        <v>45148</v>
      </c>
      <c r="B1665" s="191" t="s">
        <v>4804</v>
      </c>
      <c r="C1665" s="128" t="s">
        <v>2895</v>
      </c>
      <c r="D1665" s="128" t="s">
        <v>2896</v>
      </c>
      <c r="E1665" s="129">
        <v>9200</v>
      </c>
      <c r="F1665" s="130">
        <v>67500</v>
      </c>
      <c r="G1665" s="129">
        <v>14175</v>
      </c>
      <c r="H1665" s="129">
        <v>90875</v>
      </c>
      <c r="I1665" s="121" t="s">
        <v>19</v>
      </c>
      <c r="J1665" s="43"/>
    </row>
    <row r="1666" spans="1:10" customFormat="1" ht="15" hidden="1" customHeight="1" x14ac:dyDescent="0.25">
      <c r="A1666" s="126">
        <v>45148</v>
      </c>
      <c r="B1666" s="190" t="s">
        <v>4805</v>
      </c>
      <c r="C1666" s="123" t="s">
        <v>3014</v>
      </c>
      <c r="D1666" s="123" t="s">
        <v>3015</v>
      </c>
      <c r="E1666" s="124">
        <v>15840</v>
      </c>
      <c r="F1666" s="125">
        <v>135000</v>
      </c>
      <c r="G1666" s="124">
        <v>28350</v>
      </c>
      <c r="H1666" s="124">
        <v>179190</v>
      </c>
      <c r="I1666" s="55" t="s">
        <v>19</v>
      </c>
      <c r="J1666" s="43"/>
    </row>
    <row r="1667" spans="1:10" customFormat="1" ht="15" hidden="1" customHeight="1" x14ac:dyDescent="0.25">
      <c r="A1667" s="57">
        <v>45148</v>
      </c>
      <c r="B1667" s="190" t="s">
        <v>4806</v>
      </c>
      <c r="C1667" s="123" t="s">
        <v>2906</v>
      </c>
      <c r="D1667" s="123" t="s">
        <v>2907</v>
      </c>
      <c r="E1667" s="124">
        <v>6190</v>
      </c>
      <c r="F1667" s="125">
        <v>75000</v>
      </c>
      <c r="G1667" s="124">
        <v>15750</v>
      </c>
      <c r="H1667" s="124">
        <v>96940</v>
      </c>
      <c r="I1667" s="59" t="s">
        <v>19</v>
      </c>
      <c r="J1667" s="43"/>
    </row>
    <row r="1668" spans="1:10" ht="15" hidden="1" customHeight="1" x14ac:dyDescent="0.25">
      <c r="A1668" s="127">
        <v>45148</v>
      </c>
      <c r="B1668" s="191" t="s">
        <v>4807</v>
      </c>
      <c r="C1668" s="128" t="s">
        <v>2895</v>
      </c>
      <c r="D1668" s="128" t="s">
        <v>2896</v>
      </c>
      <c r="E1668" s="129">
        <v>6590</v>
      </c>
      <c r="F1668" s="130">
        <v>67500</v>
      </c>
      <c r="G1668" s="129">
        <v>14175</v>
      </c>
      <c r="H1668" s="129">
        <v>88265</v>
      </c>
      <c r="I1668" s="121" t="s">
        <v>19</v>
      </c>
      <c r="J1668" s="43"/>
    </row>
    <row r="1669" spans="1:10" customFormat="1" ht="15" hidden="1" customHeight="1" x14ac:dyDescent="0.25">
      <c r="A1669" s="126">
        <v>45148</v>
      </c>
      <c r="B1669" s="190" t="s">
        <v>4808</v>
      </c>
      <c r="C1669" s="123" t="s">
        <v>2921</v>
      </c>
      <c r="D1669" s="123" t="s">
        <v>2922</v>
      </c>
      <c r="E1669" s="124">
        <v>13180</v>
      </c>
      <c r="F1669" s="125">
        <v>135000</v>
      </c>
      <c r="G1669" s="124">
        <v>28350</v>
      </c>
      <c r="H1669" s="124">
        <v>176530</v>
      </c>
      <c r="I1669" s="55" t="s">
        <v>19</v>
      </c>
      <c r="J1669" s="43"/>
    </row>
    <row r="1670" spans="1:10" customFormat="1" ht="15" hidden="1" customHeight="1" x14ac:dyDescent="0.25">
      <c r="A1670" s="37">
        <v>45148</v>
      </c>
      <c r="B1670" s="188" t="s">
        <v>4809</v>
      </c>
      <c r="C1670" s="18" t="s">
        <v>2870</v>
      </c>
      <c r="D1670" s="18" t="s">
        <v>2871</v>
      </c>
      <c r="E1670" s="73">
        <v>9200</v>
      </c>
      <c r="F1670" s="114">
        <v>67500</v>
      </c>
      <c r="G1670" s="73">
        <v>14175</v>
      </c>
      <c r="H1670" s="73">
        <v>90875</v>
      </c>
      <c r="I1670" s="28" t="s">
        <v>19</v>
      </c>
      <c r="J1670" s="43"/>
    </row>
    <row r="1671" spans="1:10" customFormat="1" ht="15" hidden="1" customHeight="1" x14ac:dyDescent="0.25">
      <c r="A1671" s="37">
        <v>45148</v>
      </c>
      <c r="B1671" s="188" t="s">
        <v>4810</v>
      </c>
      <c r="C1671" s="18" t="s">
        <v>2892</v>
      </c>
      <c r="D1671" s="18" t="s">
        <v>2893</v>
      </c>
      <c r="E1671" s="73">
        <v>3636</v>
      </c>
      <c r="F1671" s="114">
        <v>52500</v>
      </c>
      <c r="G1671" s="73">
        <v>11025</v>
      </c>
      <c r="H1671" s="73">
        <v>67161</v>
      </c>
      <c r="I1671" s="28" t="s">
        <v>19</v>
      </c>
      <c r="J1671" s="43"/>
    </row>
    <row r="1672" spans="1:10" customFormat="1" ht="15" hidden="1" customHeight="1" x14ac:dyDescent="0.25">
      <c r="A1672" s="37">
        <v>45148</v>
      </c>
      <c r="B1672" s="188" t="s">
        <v>4811</v>
      </c>
      <c r="C1672" s="18" t="s">
        <v>2960</v>
      </c>
      <c r="D1672" s="18" t="s">
        <v>2961</v>
      </c>
      <c r="E1672" s="73">
        <v>13986</v>
      </c>
      <c r="F1672" s="114">
        <v>153750</v>
      </c>
      <c r="G1672" s="73">
        <v>32287.5</v>
      </c>
      <c r="H1672" s="73">
        <v>200023.5</v>
      </c>
      <c r="I1672" s="28" t="s">
        <v>19</v>
      </c>
      <c r="J1672" s="43"/>
    </row>
    <row r="1673" spans="1:10" customFormat="1" ht="15" hidden="1" customHeight="1" x14ac:dyDescent="0.25">
      <c r="A1673" s="37">
        <v>45149</v>
      </c>
      <c r="B1673" s="188" t="s">
        <v>4812</v>
      </c>
      <c r="C1673" s="18" t="s">
        <v>2851</v>
      </c>
      <c r="D1673" s="18" t="s">
        <v>2852</v>
      </c>
      <c r="E1673" s="73">
        <v>0</v>
      </c>
      <c r="F1673" s="114">
        <v>52500</v>
      </c>
      <c r="G1673" s="73">
        <v>11025</v>
      </c>
      <c r="H1673" s="73">
        <v>63525</v>
      </c>
      <c r="I1673" s="28" t="s">
        <v>19</v>
      </c>
      <c r="J1673" s="43"/>
    </row>
    <row r="1674" spans="1:10" customFormat="1" ht="15" hidden="1" customHeight="1" x14ac:dyDescent="0.25">
      <c r="A1674" s="37">
        <v>45149</v>
      </c>
      <c r="B1674" s="188" t="s">
        <v>4813</v>
      </c>
      <c r="C1674" s="18" t="s">
        <v>2851</v>
      </c>
      <c r="D1674" s="18" t="s">
        <v>2852</v>
      </c>
      <c r="E1674" s="73">
        <v>4900</v>
      </c>
      <c r="F1674" s="114">
        <v>78750</v>
      </c>
      <c r="G1674" s="73">
        <v>16537.5</v>
      </c>
      <c r="H1674" s="73">
        <v>100187.5</v>
      </c>
      <c r="I1674" s="28" t="s">
        <v>19</v>
      </c>
      <c r="J1674" s="43"/>
    </row>
    <row r="1675" spans="1:10" customFormat="1" ht="15" hidden="1" customHeight="1" x14ac:dyDescent="0.25">
      <c r="A1675" s="37">
        <v>45149</v>
      </c>
      <c r="B1675" s="188" t="s">
        <v>4814</v>
      </c>
      <c r="C1675" s="18" t="s">
        <v>2867</v>
      </c>
      <c r="D1675" s="18" t="s">
        <v>2868</v>
      </c>
      <c r="E1675" s="73">
        <v>13487</v>
      </c>
      <c r="F1675" s="114">
        <v>77500</v>
      </c>
      <c r="G1675" s="73">
        <v>16275</v>
      </c>
      <c r="H1675" s="73">
        <v>107262</v>
      </c>
      <c r="I1675" s="28" t="s">
        <v>19</v>
      </c>
      <c r="J1675" s="43"/>
    </row>
    <row r="1676" spans="1:10" customFormat="1" ht="15" hidden="1" customHeight="1" x14ac:dyDescent="0.25">
      <c r="A1676" s="37">
        <v>45149</v>
      </c>
      <c r="B1676" s="188" t="s">
        <v>4815</v>
      </c>
      <c r="C1676" s="18" t="s">
        <v>2867</v>
      </c>
      <c r="D1676" s="18" t="s">
        <v>2868</v>
      </c>
      <c r="E1676" s="73">
        <v>13487</v>
      </c>
      <c r="F1676" s="114">
        <v>102500</v>
      </c>
      <c r="G1676" s="73">
        <v>21525</v>
      </c>
      <c r="H1676" s="73">
        <v>137512</v>
      </c>
      <c r="I1676" s="28" t="s">
        <v>19</v>
      </c>
      <c r="J1676" s="43"/>
    </row>
    <row r="1677" spans="1:10" customFormat="1" ht="15" hidden="1" customHeight="1" x14ac:dyDescent="0.25">
      <c r="A1677" s="37">
        <v>45149</v>
      </c>
      <c r="B1677" s="188" t="s">
        <v>4816</v>
      </c>
      <c r="C1677" s="18" t="s">
        <v>2851</v>
      </c>
      <c r="D1677" s="18" t="s">
        <v>2852</v>
      </c>
      <c r="E1677" s="73">
        <v>3512</v>
      </c>
      <c r="F1677" s="114">
        <v>78750</v>
      </c>
      <c r="G1677" s="73">
        <v>16537.5</v>
      </c>
      <c r="H1677" s="73">
        <v>98799.5</v>
      </c>
      <c r="I1677" s="28" t="s">
        <v>19</v>
      </c>
      <c r="J1677" s="43"/>
    </row>
    <row r="1678" spans="1:10" customFormat="1" ht="15" hidden="1" customHeight="1" x14ac:dyDescent="0.25">
      <c r="A1678" s="37">
        <v>45149</v>
      </c>
      <c r="B1678" s="188" t="s">
        <v>4817</v>
      </c>
      <c r="C1678" s="18" t="s">
        <v>3748</v>
      </c>
      <c r="D1678" s="18" t="s">
        <v>3749</v>
      </c>
      <c r="E1678" s="73">
        <v>3200</v>
      </c>
      <c r="F1678" s="114">
        <v>52500</v>
      </c>
      <c r="G1678" s="73">
        <v>11025</v>
      </c>
      <c r="H1678" s="73">
        <v>66725</v>
      </c>
      <c r="I1678" s="28" t="s">
        <v>19</v>
      </c>
      <c r="J1678" s="43"/>
    </row>
    <row r="1679" spans="1:10" customFormat="1" ht="15" hidden="1" customHeight="1" x14ac:dyDescent="0.25">
      <c r="A1679" s="37">
        <v>45149</v>
      </c>
      <c r="B1679" s="188" t="s">
        <v>4818</v>
      </c>
      <c r="C1679" s="18" t="s">
        <v>2909</v>
      </c>
      <c r="D1679" s="18" t="s">
        <v>2910</v>
      </c>
      <c r="E1679" s="73">
        <v>9344</v>
      </c>
      <c r="F1679" s="114">
        <v>153750</v>
      </c>
      <c r="G1679" s="73">
        <v>32287.5</v>
      </c>
      <c r="H1679" s="73">
        <v>195381.5</v>
      </c>
      <c r="I1679" s="28" t="s">
        <v>19</v>
      </c>
      <c r="J1679" s="43"/>
    </row>
    <row r="1680" spans="1:10" customFormat="1" ht="15" hidden="1" customHeight="1" x14ac:dyDescent="0.25">
      <c r="A1680" s="37">
        <v>45149</v>
      </c>
      <c r="B1680" s="188" t="s">
        <v>4819</v>
      </c>
      <c r="C1680" s="18" t="s">
        <v>2921</v>
      </c>
      <c r="D1680" s="18" t="s">
        <v>2922</v>
      </c>
      <c r="E1680" s="73">
        <v>6080</v>
      </c>
      <c r="F1680" s="114">
        <v>75000</v>
      </c>
      <c r="G1680" s="73">
        <v>15750</v>
      </c>
      <c r="H1680" s="73">
        <v>96830</v>
      </c>
      <c r="I1680" s="28" t="s">
        <v>19</v>
      </c>
      <c r="J1680" s="43"/>
    </row>
    <row r="1681" spans="1:10" customFormat="1" ht="15" hidden="1" customHeight="1" x14ac:dyDescent="0.25">
      <c r="A1681" s="37">
        <v>45149</v>
      </c>
      <c r="B1681" s="188" t="s">
        <v>4820</v>
      </c>
      <c r="C1681" s="18" t="s">
        <v>4558</v>
      </c>
      <c r="D1681" s="18" t="s">
        <v>4559</v>
      </c>
      <c r="E1681" s="73">
        <v>6080</v>
      </c>
      <c r="F1681" s="114">
        <v>75000</v>
      </c>
      <c r="G1681" s="73">
        <v>15750</v>
      </c>
      <c r="H1681" s="73">
        <v>96830</v>
      </c>
      <c r="I1681" s="28" t="s">
        <v>19</v>
      </c>
      <c r="J1681" s="43"/>
    </row>
    <row r="1682" spans="1:10" customFormat="1" ht="15" hidden="1" customHeight="1" x14ac:dyDescent="0.25">
      <c r="A1682" s="37">
        <v>45149</v>
      </c>
      <c r="B1682" s="188" t="s">
        <v>4821</v>
      </c>
      <c r="C1682" s="18" t="s">
        <v>2903</v>
      </c>
      <c r="D1682" s="18" t="s">
        <v>2904</v>
      </c>
      <c r="E1682" s="73">
        <v>6080</v>
      </c>
      <c r="F1682" s="114">
        <v>75000</v>
      </c>
      <c r="G1682" s="73">
        <v>15750</v>
      </c>
      <c r="H1682" s="73">
        <v>96830</v>
      </c>
      <c r="I1682" s="28" t="s">
        <v>19</v>
      </c>
      <c r="J1682" s="43"/>
    </row>
    <row r="1683" spans="1:10" customFormat="1" ht="15" hidden="1" customHeight="1" x14ac:dyDescent="0.25">
      <c r="A1683" s="37">
        <v>45149</v>
      </c>
      <c r="B1683" s="188" t="s">
        <v>4822</v>
      </c>
      <c r="C1683" s="18" t="s">
        <v>4558</v>
      </c>
      <c r="D1683" s="18" t="s">
        <v>4559</v>
      </c>
      <c r="E1683" s="73">
        <v>6080</v>
      </c>
      <c r="F1683" s="114">
        <v>75000</v>
      </c>
      <c r="G1683" s="73">
        <v>15750</v>
      </c>
      <c r="H1683" s="73">
        <v>96830</v>
      </c>
      <c r="I1683" s="28" t="s">
        <v>19</v>
      </c>
      <c r="J1683" s="43"/>
    </row>
    <row r="1684" spans="1:10" customFormat="1" ht="15" hidden="1" customHeight="1" x14ac:dyDescent="0.25">
      <c r="A1684" s="37">
        <v>45149</v>
      </c>
      <c r="B1684" s="188" t="s">
        <v>4823</v>
      </c>
      <c r="C1684" s="18" t="s">
        <v>2903</v>
      </c>
      <c r="D1684" s="18" t="s">
        <v>2904</v>
      </c>
      <c r="E1684" s="73">
        <v>6080</v>
      </c>
      <c r="F1684" s="114">
        <v>75000</v>
      </c>
      <c r="G1684" s="73">
        <v>15750</v>
      </c>
      <c r="H1684" s="73">
        <v>96830</v>
      </c>
      <c r="I1684" s="28" t="s">
        <v>19</v>
      </c>
      <c r="J1684" s="43"/>
    </row>
    <row r="1685" spans="1:10" customFormat="1" ht="15" hidden="1" customHeight="1" x14ac:dyDescent="0.25">
      <c r="A1685" s="37">
        <v>45149</v>
      </c>
      <c r="B1685" s="188" t="s">
        <v>4824</v>
      </c>
      <c r="C1685" s="18" t="s">
        <v>2903</v>
      </c>
      <c r="D1685" s="18" t="s">
        <v>2904</v>
      </c>
      <c r="E1685" s="73">
        <v>6080</v>
      </c>
      <c r="F1685" s="114">
        <v>75000</v>
      </c>
      <c r="G1685" s="73">
        <v>15750</v>
      </c>
      <c r="H1685" s="73">
        <v>96830</v>
      </c>
      <c r="I1685" s="28" t="s">
        <v>19</v>
      </c>
      <c r="J1685" s="43"/>
    </row>
    <row r="1686" spans="1:10" customFormat="1" ht="15" hidden="1" customHeight="1" x14ac:dyDescent="0.25">
      <c r="A1686" s="37">
        <v>45149</v>
      </c>
      <c r="B1686" s="188" t="s">
        <v>4825</v>
      </c>
      <c r="C1686" s="18" t="s">
        <v>2921</v>
      </c>
      <c r="D1686" s="18" t="s">
        <v>2922</v>
      </c>
      <c r="E1686" s="73">
        <v>12160</v>
      </c>
      <c r="F1686" s="114">
        <v>150000</v>
      </c>
      <c r="G1686" s="73">
        <v>31500</v>
      </c>
      <c r="H1686" s="73">
        <v>193660</v>
      </c>
      <c r="I1686" s="28" t="s">
        <v>19</v>
      </c>
      <c r="J1686" s="43"/>
    </row>
    <row r="1687" spans="1:10" customFormat="1" ht="15" hidden="1" customHeight="1" x14ac:dyDescent="0.25">
      <c r="A1687" s="37">
        <v>45149</v>
      </c>
      <c r="B1687" s="188" t="s">
        <v>4826</v>
      </c>
      <c r="C1687" s="18" t="s">
        <v>4827</v>
      </c>
      <c r="D1687" s="18" t="s">
        <v>4828</v>
      </c>
      <c r="E1687" s="73">
        <v>6080</v>
      </c>
      <c r="F1687" s="114">
        <v>75000</v>
      </c>
      <c r="G1687" s="73">
        <v>15750</v>
      </c>
      <c r="H1687" s="73">
        <v>96830</v>
      </c>
      <c r="I1687" s="28" t="s">
        <v>19</v>
      </c>
      <c r="J1687" s="43"/>
    </row>
    <row r="1688" spans="1:10" customFormat="1" ht="15" hidden="1" customHeight="1" x14ac:dyDescent="0.25">
      <c r="A1688" s="37">
        <v>45149</v>
      </c>
      <c r="B1688" s="188" t="s">
        <v>4829</v>
      </c>
      <c r="C1688" s="18" t="s">
        <v>2909</v>
      </c>
      <c r="D1688" s="18" t="s">
        <v>2910</v>
      </c>
      <c r="E1688" s="73">
        <v>7444</v>
      </c>
      <c r="F1688" s="114">
        <v>205000</v>
      </c>
      <c r="G1688" s="73">
        <v>43050</v>
      </c>
      <c r="H1688" s="73">
        <v>255494</v>
      </c>
      <c r="I1688" s="28" t="s">
        <v>19</v>
      </c>
      <c r="J1688" s="43"/>
    </row>
    <row r="1689" spans="1:10" customFormat="1" ht="15" hidden="1" customHeight="1" x14ac:dyDescent="0.25">
      <c r="A1689" s="37">
        <v>45149</v>
      </c>
      <c r="B1689" s="188" t="s">
        <v>4830</v>
      </c>
      <c r="C1689" s="18" t="s">
        <v>2921</v>
      </c>
      <c r="D1689" s="18" t="s">
        <v>2922</v>
      </c>
      <c r="E1689" s="73">
        <v>9461</v>
      </c>
      <c r="F1689" s="114">
        <v>102500</v>
      </c>
      <c r="G1689" s="73">
        <v>21525</v>
      </c>
      <c r="H1689" s="73">
        <v>133486</v>
      </c>
      <c r="I1689" s="28" t="s">
        <v>19</v>
      </c>
      <c r="J1689" s="43"/>
    </row>
    <row r="1690" spans="1:10" customFormat="1" ht="15" hidden="1" customHeight="1" x14ac:dyDescent="0.25">
      <c r="A1690" s="37">
        <v>45149</v>
      </c>
      <c r="B1690" s="188" t="s">
        <v>4831</v>
      </c>
      <c r="C1690" s="18" t="s">
        <v>3011</v>
      </c>
      <c r="D1690" s="18" t="s">
        <v>3012</v>
      </c>
      <c r="E1690" s="73">
        <v>29040</v>
      </c>
      <c r="F1690" s="114">
        <v>922500</v>
      </c>
      <c r="G1690" s="73">
        <v>193725</v>
      </c>
      <c r="H1690" s="73">
        <v>1145265</v>
      </c>
      <c r="I1690" s="28" t="s">
        <v>19</v>
      </c>
      <c r="J1690" s="43"/>
    </row>
    <row r="1691" spans="1:10" customFormat="1" ht="15" hidden="1" customHeight="1" x14ac:dyDescent="0.25">
      <c r="A1691" s="37">
        <v>45149</v>
      </c>
      <c r="B1691" s="188" t="s">
        <v>4832</v>
      </c>
      <c r="C1691" s="18" t="s">
        <v>3358</v>
      </c>
      <c r="D1691" s="18" t="s">
        <v>3359</v>
      </c>
      <c r="E1691" s="73">
        <v>0</v>
      </c>
      <c r="F1691" s="114">
        <v>371250</v>
      </c>
      <c r="G1691" s="73">
        <v>77962.5</v>
      </c>
      <c r="H1691" s="73">
        <v>449212.5</v>
      </c>
      <c r="I1691" s="28" t="s">
        <v>19</v>
      </c>
      <c r="J1691" s="43"/>
    </row>
    <row r="1692" spans="1:10" customFormat="1" ht="15" hidden="1" customHeight="1" x14ac:dyDescent="0.25">
      <c r="A1692" s="37">
        <v>45149</v>
      </c>
      <c r="B1692" s="188" t="s">
        <v>4833</v>
      </c>
      <c r="C1692" s="18" t="s">
        <v>4827</v>
      </c>
      <c r="D1692" s="18" t="s">
        <v>4828</v>
      </c>
      <c r="E1692" s="73">
        <v>34500</v>
      </c>
      <c r="F1692" s="114">
        <v>315000</v>
      </c>
      <c r="G1692" s="73">
        <v>66150</v>
      </c>
      <c r="H1692" s="73">
        <v>415650</v>
      </c>
      <c r="I1692" s="28" t="s">
        <v>19</v>
      </c>
      <c r="J1692" s="43"/>
    </row>
    <row r="1693" spans="1:10" customFormat="1" ht="15" hidden="1" customHeight="1" x14ac:dyDescent="0.25">
      <c r="A1693" s="37">
        <v>45149</v>
      </c>
      <c r="B1693" s="188" t="s">
        <v>4834</v>
      </c>
      <c r="C1693" s="18" t="s">
        <v>3241</v>
      </c>
      <c r="D1693" s="18" t="s">
        <v>3242</v>
      </c>
      <c r="E1693" s="73">
        <v>5000</v>
      </c>
      <c r="F1693" s="114">
        <v>101250</v>
      </c>
      <c r="G1693" s="73">
        <v>21262.5</v>
      </c>
      <c r="H1693" s="73">
        <v>127512.5</v>
      </c>
      <c r="I1693" s="28" t="s">
        <v>19</v>
      </c>
      <c r="J1693" s="43"/>
    </row>
    <row r="1694" spans="1:10" customFormat="1" ht="15" hidden="1" customHeight="1" x14ac:dyDescent="0.25">
      <c r="A1694" s="37">
        <v>45152</v>
      </c>
      <c r="B1694" s="188" t="s">
        <v>4835</v>
      </c>
      <c r="C1694" s="18" t="s">
        <v>3603</v>
      </c>
      <c r="D1694" s="18" t="s">
        <v>3604</v>
      </c>
      <c r="E1694" s="73">
        <v>6590</v>
      </c>
      <c r="F1694" s="114">
        <v>67500</v>
      </c>
      <c r="G1694" s="73">
        <v>14175</v>
      </c>
      <c r="H1694" s="73">
        <v>88265</v>
      </c>
      <c r="I1694" s="28" t="s">
        <v>19</v>
      </c>
      <c r="J1694" s="43"/>
    </row>
    <row r="1695" spans="1:10" customFormat="1" ht="15" hidden="1" customHeight="1" x14ac:dyDescent="0.25">
      <c r="A1695" s="37">
        <v>45152</v>
      </c>
      <c r="B1695" s="188" t="s">
        <v>4836</v>
      </c>
      <c r="C1695" s="18" t="s">
        <v>3029</v>
      </c>
      <c r="D1695" s="18" t="s">
        <v>3030</v>
      </c>
      <c r="E1695" s="73">
        <v>6080</v>
      </c>
      <c r="F1695" s="114">
        <v>75000</v>
      </c>
      <c r="G1695" s="73">
        <v>15750</v>
      </c>
      <c r="H1695" s="73">
        <v>96830</v>
      </c>
      <c r="I1695" s="28" t="s">
        <v>19</v>
      </c>
      <c r="J1695" s="43"/>
    </row>
    <row r="1696" spans="1:10" customFormat="1" ht="15" hidden="1" customHeight="1" x14ac:dyDescent="0.25">
      <c r="A1696" s="37">
        <v>45152</v>
      </c>
      <c r="B1696" s="188" t="s">
        <v>4837</v>
      </c>
      <c r="C1696" s="18" t="s">
        <v>2856</v>
      </c>
      <c r="D1696" s="18" t="s">
        <v>2857</v>
      </c>
      <c r="E1696" s="73">
        <v>17608</v>
      </c>
      <c r="F1696" s="114">
        <v>202500</v>
      </c>
      <c r="G1696" s="73">
        <v>42525</v>
      </c>
      <c r="H1696" s="73">
        <v>262633</v>
      </c>
      <c r="I1696" s="28" t="s">
        <v>19</v>
      </c>
      <c r="J1696" s="43"/>
    </row>
    <row r="1697" spans="1:10" customFormat="1" ht="15" hidden="1" customHeight="1" x14ac:dyDescent="0.25">
      <c r="A1697" s="37">
        <v>45152</v>
      </c>
      <c r="B1697" s="188" t="s">
        <v>4838</v>
      </c>
      <c r="C1697" s="18" t="s">
        <v>2921</v>
      </c>
      <c r="D1697" s="18" t="s">
        <v>2922</v>
      </c>
      <c r="E1697" s="73">
        <v>8804</v>
      </c>
      <c r="F1697" s="114">
        <v>67500</v>
      </c>
      <c r="G1697" s="73">
        <v>14175</v>
      </c>
      <c r="H1697" s="73">
        <v>90479</v>
      </c>
      <c r="I1697" s="28" t="s">
        <v>19</v>
      </c>
      <c r="J1697" s="43"/>
    </row>
    <row r="1698" spans="1:10" customFormat="1" ht="15" hidden="1" customHeight="1" x14ac:dyDescent="0.25">
      <c r="A1698" s="37">
        <v>45152</v>
      </c>
      <c r="B1698" s="188" t="s">
        <v>4839</v>
      </c>
      <c r="C1698" s="18" t="s">
        <v>2921</v>
      </c>
      <c r="D1698" s="18" t="s">
        <v>2922</v>
      </c>
      <c r="E1698" s="73">
        <v>6080</v>
      </c>
      <c r="F1698" s="114">
        <v>75000</v>
      </c>
      <c r="G1698" s="73">
        <v>15750</v>
      </c>
      <c r="H1698" s="73">
        <v>96830</v>
      </c>
      <c r="I1698" s="28" t="s">
        <v>19</v>
      </c>
      <c r="J1698" s="43"/>
    </row>
    <row r="1699" spans="1:10" customFormat="1" ht="15" hidden="1" customHeight="1" x14ac:dyDescent="0.25">
      <c r="A1699" s="37">
        <v>45152</v>
      </c>
      <c r="B1699" s="188" t="s">
        <v>4840</v>
      </c>
      <c r="C1699" s="18" t="s">
        <v>2921</v>
      </c>
      <c r="D1699" s="18" t="s">
        <v>2922</v>
      </c>
      <c r="E1699" s="73">
        <v>12160</v>
      </c>
      <c r="F1699" s="114">
        <v>150000</v>
      </c>
      <c r="G1699" s="73">
        <v>31500</v>
      </c>
      <c r="H1699" s="73">
        <v>193660</v>
      </c>
      <c r="I1699" s="28" t="s">
        <v>19</v>
      </c>
      <c r="J1699" s="43"/>
    </row>
    <row r="1700" spans="1:10" customFormat="1" ht="15" hidden="1" customHeight="1" x14ac:dyDescent="0.25">
      <c r="A1700" s="37">
        <v>45152</v>
      </c>
      <c r="B1700" s="188" t="s">
        <v>4841</v>
      </c>
      <c r="C1700" s="18" t="s">
        <v>2921</v>
      </c>
      <c r="D1700" s="18" t="s">
        <v>2922</v>
      </c>
      <c r="E1700" s="73">
        <v>17608</v>
      </c>
      <c r="F1700" s="114">
        <v>135000</v>
      </c>
      <c r="G1700" s="73">
        <v>28350</v>
      </c>
      <c r="H1700" s="73">
        <v>180958</v>
      </c>
      <c r="I1700" s="28" t="s">
        <v>19</v>
      </c>
      <c r="J1700" s="43"/>
    </row>
    <row r="1701" spans="1:10" customFormat="1" ht="15" hidden="1" customHeight="1" x14ac:dyDescent="0.25">
      <c r="A1701" s="37">
        <v>45152</v>
      </c>
      <c r="B1701" s="188" t="s">
        <v>4842</v>
      </c>
      <c r="C1701" s="18" t="s">
        <v>4558</v>
      </c>
      <c r="D1701" s="18" t="s">
        <v>4559</v>
      </c>
      <c r="E1701" s="73">
        <v>6080</v>
      </c>
      <c r="F1701" s="114">
        <v>75000</v>
      </c>
      <c r="G1701" s="73">
        <v>15750</v>
      </c>
      <c r="H1701" s="73">
        <v>96830</v>
      </c>
      <c r="I1701" s="28" t="s">
        <v>19</v>
      </c>
      <c r="J1701" s="43"/>
    </row>
    <row r="1702" spans="1:10" customFormat="1" ht="15" hidden="1" customHeight="1" x14ac:dyDescent="0.25">
      <c r="A1702" s="37">
        <v>45152</v>
      </c>
      <c r="B1702" s="188" t="s">
        <v>4843</v>
      </c>
      <c r="C1702" s="18" t="s">
        <v>3014</v>
      </c>
      <c r="D1702" s="18" t="s">
        <v>3015</v>
      </c>
      <c r="E1702" s="73">
        <v>12160</v>
      </c>
      <c r="F1702" s="114">
        <v>150000</v>
      </c>
      <c r="G1702" s="73">
        <v>31500</v>
      </c>
      <c r="H1702" s="73">
        <v>193660</v>
      </c>
      <c r="I1702" s="28" t="s">
        <v>19</v>
      </c>
      <c r="J1702" s="43"/>
    </row>
    <row r="1703" spans="1:10" customFormat="1" ht="15" hidden="1" customHeight="1" x14ac:dyDescent="0.25">
      <c r="A1703" s="37">
        <v>45152</v>
      </c>
      <c r="B1703" s="188" t="s">
        <v>4844</v>
      </c>
      <c r="C1703" s="18" t="s">
        <v>4845</v>
      </c>
      <c r="D1703" s="18" t="s">
        <v>4846</v>
      </c>
      <c r="E1703" s="73">
        <v>6080</v>
      </c>
      <c r="F1703" s="114">
        <v>75000</v>
      </c>
      <c r="G1703" s="73">
        <v>15750</v>
      </c>
      <c r="H1703" s="73">
        <v>96830</v>
      </c>
      <c r="I1703" s="28" t="s">
        <v>19</v>
      </c>
      <c r="J1703" s="43"/>
    </row>
    <row r="1704" spans="1:10" customFormat="1" ht="15" hidden="1" customHeight="1" x14ac:dyDescent="0.25">
      <c r="A1704" s="37">
        <v>45152</v>
      </c>
      <c r="B1704" s="188" t="s">
        <v>4847</v>
      </c>
      <c r="C1704" s="18" t="s">
        <v>3014</v>
      </c>
      <c r="D1704" s="18" t="s">
        <v>3015</v>
      </c>
      <c r="E1704" s="73">
        <v>17608</v>
      </c>
      <c r="F1704" s="114">
        <v>135000</v>
      </c>
      <c r="G1704" s="73">
        <v>28350</v>
      </c>
      <c r="H1704" s="73">
        <v>180958</v>
      </c>
      <c r="I1704" s="28" t="s">
        <v>19</v>
      </c>
      <c r="J1704" s="43"/>
    </row>
    <row r="1705" spans="1:10" customFormat="1" ht="15" hidden="1" customHeight="1" x14ac:dyDescent="0.25">
      <c r="A1705" s="37">
        <v>45152</v>
      </c>
      <c r="B1705" s="188" t="s">
        <v>4848</v>
      </c>
      <c r="C1705" s="18" t="s">
        <v>3007</v>
      </c>
      <c r="D1705" s="18" t="s">
        <v>3008</v>
      </c>
      <c r="E1705" s="73">
        <v>28000</v>
      </c>
      <c r="F1705" s="114">
        <v>155000</v>
      </c>
      <c r="G1705" s="73">
        <v>32550</v>
      </c>
      <c r="H1705" s="73">
        <v>215550</v>
      </c>
      <c r="I1705" s="28" t="s">
        <v>19</v>
      </c>
      <c r="J1705" s="43"/>
    </row>
    <row r="1706" spans="1:10" customFormat="1" ht="15" hidden="1" customHeight="1" x14ac:dyDescent="0.25">
      <c r="A1706" s="37">
        <v>45153</v>
      </c>
      <c r="B1706" s="188" t="s">
        <v>4849</v>
      </c>
      <c r="C1706" s="18" t="s">
        <v>2892</v>
      </c>
      <c r="D1706" s="18" t="s">
        <v>2893</v>
      </c>
      <c r="E1706" s="73">
        <v>3636</v>
      </c>
      <c r="F1706" s="114">
        <v>52500</v>
      </c>
      <c r="G1706" s="73">
        <v>11025</v>
      </c>
      <c r="H1706" s="73">
        <v>67161</v>
      </c>
      <c r="I1706" s="28" t="s">
        <v>19</v>
      </c>
      <c r="J1706" s="43"/>
    </row>
    <row r="1707" spans="1:10" customFormat="1" ht="15" hidden="1" customHeight="1" x14ac:dyDescent="0.25">
      <c r="A1707" s="37">
        <v>45153</v>
      </c>
      <c r="B1707" s="188" t="s">
        <v>4850</v>
      </c>
      <c r="C1707" s="18" t="s">
        <v>3176</v>
      </c>
      <c r="D1707" s="18" t="s">
        <v>3177</v>
      </c>
      <c r="E1707" s="73">
        <v>7011</v>
      </c>
      <c r="F1707" s="114">
        <v>77500</v>
      </c>
      <c r="G1707" s="73">
        <v>16275</v>
      </c>
      <c r="H1707" s="73">
        <v>100786</v>
      </c>
      <c r="I1707" s="28" t="s">
        <v>19</v>
      </c>
      <c r="J1707" s="43"/>
    </row>
    <row r="1708" spans="1:10" customFormat="1" ht="15" hidden="1" customHeight="1" x14ac:dyDescent="0.25">
      <c r="A1708" s="37">
        <v>45153</v>
      </c>
      <c r="B1708" s="188" t="s">
        <v>4851</v>
      </c>
      <c r="C1708" s="18" t="s">
        <v>2909</v>
      </c>
      <c r="D1708" s="18" t="s">
        <v>2910</v>
      </c>
      <c r="E1708" s="73">
        <v>11561</v>
      </c>
      <c r="F1708" s="114">
        <v>102500</v>
      </c>
      <c r="G1708" s="73">
        <v>21525</v>
      </c>
      <c r="H1708" s="73">
        <v>135586</v>
      </c>
      <c r="I1708" s="28" t="s">
        <v>19</v>
      </c>
      <c r="J1708" s="43"/>
    </row>
    <row r="1709" spans="1:10" customFormat="1" ht="15" hidden="1" customHeight="1" x14ac:dyDescent="0.25">
      <c r="A1709" s="37">
        <v>45153</v>
      </c>
      <c r="B1709" s="188" t="s">
        <v>4852</v>
      </c>
      <c r="C1709" s="18" t="s">
        <v>4243</v>
      </c>
      <c r="D1709" s="18" t="s">
        <v>4244</v>
      </c>
      <c r="E1709" s="73">
        <v>13400</v>
      </c>
      <c r="F1709" s="114">
        <v>182500</v>
      </c>
      <c r="G1709" s="73">
        <v>38325</v>
      </c>
      <c r="H1709" s="73">
        <v>234225</v>
      </c>
      <c r="I1709" s="28" t="s">
        <v>19</v>
      </c>
      <c r="J1709" s="43"/>
    </row>
    <row r="1710" spans="1:10" customFormat="1" ht="15" hidden="1" customHeight="1" x14ac:dyDescent="0.25">
      <c r="A1710" s="37">
        <v>45153</v>
      </c>
      <c r="B1710" s="188" t="s">
        <v>4853</v>
      </c>
      <c r="C1710" s="18" t="s">
        <v>4854</v>
      </c>
      <c r="D1710" s="18" t="s">
        <v>4855</v>
      </c>
      <c r="E1710" s="73">
        <v>12400</v>
      </c>
      <c r="F1710" s="114">
        <v>101250</v>
      </c>
      <c r="G1710" s="73">
        <v>21262.5</v>
      </c>
      <c r="H1710" s="73">
        <v>134912.5</v>
      </c>
      <c r="I1710" s="28" t="s">
        <v>19</v>
      </c>
      <c r="J1710" s="43"/>
    </row>
    <row r="1711" spans="1:10" customFormat="1" ht="15" hidden="1" customHeight="1" x14ac:dyDescent="0.25">
      <c r="A1711" s="37">
        <v>45153</v>
      </c>
      <c r="B1711" s="188" t="s">
        <v>4856</v>
      </c>
      <c r="C1711" s="18" t="s">
        <v>3165</v>
      </c>
      <c r="D1711" s="18" t="s">
        <v>3166</v>
      </c>
      <c r="E1711" s="73">
        <v>7400</v>
      </c>
      <c r="F1711" s="114">
        <v>101250</v>
      </c>
      <c r="G1711" s="73">
        <v>21262.5</v>
      </c>
      <c r="H1711" s="73">
        <v>129912.5</v>
      </c>
      <c r="I1711" s="28" t="s">
        <v>19</v>
      </c>
      <c r="J1711" s="43"/>
    </row>
    <row r="1712" spans="1:10" customFormat="1" ht="15" hidden="1" customHeight="1" x14ac:dyDescent="0.25">
      <c r="A1712" s="37">
        <v>45153</v>
      </c>
      <c r="B1712" s="188" t="s">
        <v>4857</v>
      </c>
      <c r="C1712" s="18" t="s">
        <v>3627</v>
      </c>
      <c r="D1712" s="18" t="s">
        <v>3628</v>
      </c>
      <c r="E1712" s="73">
        <v>4420</v>
      </c>
      <c r="F1712" s="114">
        <v>78750</v>
      </c>
      <c r="G1712" s="73">
        <v>16537.5</v>
      </c>
      <c r="H1712" s="73">
        <v>99707.5</v>
      </c>
      <c r="I1712" s="28" t="s">
        <v>19</v>
      </c>
      <c r="J1712" s="43"/>
    </row>
    <row r="1713" spans="1:10" customFormat="1" ht="15" hidden="1" customHeight="1" x14ac:dyDescent="0.25">
      <c r="A1713" s="37">
        <v>45153</v>
      </c>
      <c r="B1713" s="188" t="s">
        <v>4858</v>
      </c>
      <c r="C1713" s="18" t="s">
        <v>3083</v>
      </c>
      <c r="D1713" s="18" t="s">
        <v>3084</v>
      </c>
      <c r="E1713" s="73">
        <v>4120</v>
      </c>
      <c r="F1713" s="114">
        <v>77500</v>
      </c>
      <c r="G1713" s="73">
        <v>16275</v>
      </c>
      <c r="H1713" s="73">
        <v>97895</v>
      </c>
      <c r="I1713" s="28" t="s">
        <v>19</v>
      </c>
      <c r="J1713" s="43"/>
    </row>
    <row r="1714" spans="1:10" customFormat="1" ht="15" hidden="1" customHeight="1" x14ac:dyDescent="0.25">
      <c r="A1714" s="37">
        <v>45153</v>
      </c>
      <c r="B1714" s="188" t="s">
        <v>4859</v>
      </c>
      <c r="C1714" s="18" t="s">
        <v>3007</v>
      </c>
      <c r="D1714" s="18" t="s">
        <v>3008</v>
      </c>
      <c r="E1714" s="73">
        <v>9680</v>
      </c>
      <c r="F1714" s="114">
        <v>410000</v>
      </c>
      <c r="G1714" s="73">
        <v>86100</v>
      </c>
      <c r="H1714" s="73">
        <v>505780</v>
      </c>
      <c r="I1714" s="28" t="s">
        <v>19</v>
      </c>
      <c r="J1714" s="43"/>
    </row>
    <row r="1715" spans="1:10" customFormat="1" ht="15" hidden="1" customHeight="1" x14ac:dyDescent="0.25">
      <c r="A1715" s="37">
        <v>45153</v>
      </c>
      <c r="B1715" s="188" t="s">
        <v>4860</v>
      </c>
      <c r="C1715" s="18" t="s">
        <v>3083</v>
      </c>
      <c r="D1715" s="18" t="s">
        <v>3084</v>
      </c>
      <c r="E1715" s="73">
        <v>0</v>
      </c>
      <c r="F1715" s="114">
        <v>52500</v>
      </c>
      <c r="G1715" s="73">
        <v>11025</v>
      </c>
      <c r="H1715" s="73">
        <v>63525</v>
      </c>
      <c r="I1715" s="28" t="s">
        <v>19</v>
      </c>
      <c r="J1715" s="43"/>
    </row>
    <row r="1716" spans="1:10" customFormat="1" ht="15" hidden="1" customHeight="1" x14ac:dyDescent="0.25">
      <c r="A1716" s="37">
        <v>45153</v>
      </c>
      <c r="B1716" s="188" t="s">
        <v>4861</v>
      </c>
      <c r="C1716" s="18" t="s">
        <v>3603</v>
      </c>
      <c r="D1716" s="18" t="s">
        <v>3604</v>
      </c>
      <c r="E1716" s="73">
        <v>17100</v>
      </c>
      <c r="F1716" s="114">
        <v>181250</v>
      </c>
      <c r="G1716" s="73">
        <v>38062.5</v>
      </c>
      <c r="H1716" s="73">
        <v>236412.5</v>
      </c>
      <c r="I1716" s="28" t="s">
        <v>19</v>
      </c>
      <c r="J1716" s="43"/>
    </row>
    <row r="1717" spans="1:10" customFormat="1" ht="15" hidden="1" customHeight="1" x14ac:dyDescent="0.25">
      <c r="A1717" s="40">
        <v>45153</v>
      </c>
      <c r="B1717" s="11" t="s">
        <v>4862</v>
      </c>
      <c r="C1717" s="74" t="s">
        <v>3272</v>
      </c>
      <c r="D1717" s="74" t="s">
        <v>3273</v>
      </c>
      <c r="E1717" s="73">
        <v>44400</v>
      </c>
      <c r="F1717" s="114">
        <v>307500</v>
      </c>
      <c r="G1717" s="73">
        <v>64575</v>
      </c>
      <c r="H1717" s="73">
        <v>416475</v>
      </c>
      <c r="I1717" s="41" t="s">
        <v>19</v>
      </c>
      <c r="J1717" s="49"/>
    </row>
    <row r="1718" spans="1:10" customFormat="1" ht="15" hidden="1" customHeight="1" x14ac:dyDescent="0.25">
      <c r="A1718" s="37">
        <v>45153</v>
      </c>
      <c r="B1718" s="188" t="s">
        <v>4863</v>
      </c>
      <c r="C1718" s="18" t="s">
        <v>2921</v>
      </c>
      <c r="D1718" s="18" t="s">
        <v>2922</v>
      </c>
      <c r="E1718" s="73">
        <v>12880</v>
      </c>
      <c r="F1718" s="114">
        <v>283750</v>
      </c>
      <c r="G1718" s="73">
        <v>59587.5</v>
      </c>
      <c r="H1718" s="73">
        <v>356217.5</v>
      </c>
      <c r="I1718" s="28" t="s">
        <v>19</v>
      </c>
      <c r="J1718" s="43"/>
    </row>
    <row r="1719" spans="1:10" customFormat="1" ht="15" hidden="1" customHeight="1" x14ac:dyDescent="0.25">
      <c r="A1719" s="37">
        <v>45153</v>
      </c>
      <c r="B1719" s="188" t="s">
        <v>4864</v>
      </c>
      <c r="C1719" s="18" t="s">
        <v>2921</v>
      </c>
      <c r="D1719" s="18" t="s">
        <v>2922</v>
      </c>
      <c r="E1719" s="73">
        <v>4840</v>
      </c>
      <c r="F1719" s="114">
        <v>91500</v>
      </c>
      <c r="G1719" s="73">
        <v>19215</v>
      </c>
      <c r="H1719" s="73">
        <v>115555</v>
      </c>
      <c r="I1719" s="28" t="s">
        <v>19</v>
      </c>
      <c r="J1719" s="43"/>
    </row>
    <row r="1720" spans="1:10" customFormat="1" ht="15" hidden="1" customHeight="1" x14ac:dyDescent="0.25">
      <c r="A1720" s="37">
        <v>45153</v>
      </c>
      <c r="B1720" s="188" t="s">
        <v>4865</v>
      </c>
      <c r="C1720" s="18" t="s">
        <v>2997</v>
      </c>
      <c r="D1720" s="18" t="s">
        <v>2998</v>
      </c>
      <c r="E1720" s="73">
        <v>23760</v>
      </c>
      <c r="F1720" s="114">
        <v>358750</v>
      </c>
      <c r="G1720" s="73">
        <v>75337.5</v>
      </c>
      <c r="H1720" s="73">
        <v>457847.5</v>
      </c>
      <c r="I1720" s="28" t="s">
        <v>19</v>
      </c>
      <c r="J1720" s="43"/>
    </row>
    <row r="1721" spans="1:10" customFormat="1" ht="15" hidden="1" customHeight="1" x14ac:dyDescent="0.25">
      <c r="A1721" s="37">
        <v>45153</v>
      </c>
      <c r="B1721" s="188" t="s">
        <v>4866</v>
      </c>
      <c r="C1721" s="18" t="s">
        <v>3083</v>
      </c>
      <c r="D1721" s="18" t="s">
        <v>3084</v>
      </c>
      <c r="E1721" s="73">
        <v>16400</v>
      </c>
      <c r="F1721" s="114">
        <v>205000</v>
      </c>
      <c r="G1721" s="73">
        <v>43050</v>
      </c>
      <c r="H1721" s="73">
        <v>264450</v>
      </c>
      <c r="I1721" s="28" t="s">
        <v>19</v>
      </c>
      <c r="J1721" s="43"/>
    </row>
    <row r="1722" spans="1:10" customFormat="1" ht="15" hidden="1" customHeight="1" x14ac:dyDescent="0.25">
      <c r="A1722" s="37">
        <v>45153</v>
      </c>
      <c r="B1722" s="188" t="s">
        <v>4867</v>
      </c>
      <c r="C1722" s="18" t="s">
        <v>3007</v>
      </c>
      <c r="D1722" s="18" t="s">
        <v>3008</v>
      </c>
      <c r="E1722" s="73">
        <v>4840</v>
      </c>
      <c r="F1722" s="114">
        <v>205000</v>
      </c>
      <c r="G1722" s="73">
        <v>43050</v>
      </c>
      <c r="H1722" s="73">
        <v>252890</v>
      </c>
      <c r="I1722" s="28" t="s">
        <v>19</v>
      </c>
      <c r="J1722" s="43"/>
    </row>
    <row r="1723" spans="1:10" customFormat="1" ht="15" hidden="1" customHeight="1" x14ac:dyDescent="0.25">
      <c r="A1723" s="37">
        <v>45153</v>
      </c>
      <c r="B1723" s="188" t="s">
        <v>4868</v>
      </c>
      <c r="C1723" s="18" t="s">
        <v>4869</v>
      </c>
      <c r="D1723" s="18" t="s">
        <v>4870</v>
      </c>
      <c r="E1723" s="73">
        <v>0</v>
      </c>
      <c r="F1723" s="114">
        <v>61250</v>
      </c>
      <c r="G1723" s="73">
        <v>12862.5</v>
      </c>
      <c r="H1723" s="73">
        <v>74112.5</v>
      </c>
      <c r="I1723" s="28" t="s">
        <v>19</v>
      </c>
      <c r="J1723" s="43"/>
    </row>
    <row r="1724" spans="1:10" customFormat="1" ht="15" hidden="1" customHeight="1" x14ac:dyDescent="0.25">
      <c r="A1724" s="40">
        <v>45154</v>
      </c>
      <c r="B1724" s="11" t="s">
        <v>4871</v>
      </c>
      <c r="C1724" s="74" t="s">
        <v>3272</v>
      </c>
      <c r="D1724" s="74" t="s">
        <v>3273</v>
      </c>
      <c r="E1724" s="73">
        <v>9800</v>
      </c>
      <c r="F1724" s="114">
        <v>178125</v>
      </c>
      <c r="G1724" s="73">
        <v>37406.25</v>
      </c>
      <c r="H1724" s="73">
        <v>225331.25</v>
      </c>
      <c r="I1724" s="41" t="s">
        <v>19</v>
      </c>
      <c r="J1724" s="49"/>
    </row>
    <row r="1725" spans="1:10" customFormat="1" ht="15" hidden="1" customHeight="1" x14ac:dyDescent="0.25">
      <c r="A1725" s="40">
        <v>45154</v>
      </c>
      <c r="B1725" s="11" t="s">
        <v>4872</v>
      </c>
      <c r="C1725" s="74" t="s">
        <v>3272</v>
      </c>
      <c r="D1725" s="74" t="s">
        <v>3273</v>
      </c>
      <c r="E1725" s="73">
        <v>9800</v>
      </c>
      <c r="F1725" s="114">
        <v>178125</v>
      </c>
      <c r="G1725" s="73">
        <v>37406.25</v>
      </c>
      <c r="H1725" s="73">
        <v>225331.25</v>
      </c>
      <c r="I1725" s="41" t="s">
        <v>19</v>
      </c>
      <c r="J1725" s="49"/>
    </row>
    <row r="1726" spans="1:10" customFormat="1" ht="15" hidden="1" customHeight="1" x14ac:dyDescent="0.25">
      <c r="A1726" s="37">
        <v>45154</v>
      </c>
      <c r="B1726" s="188" t="s">
        <v>4873</v>
      </c>
      <c r="C1726" s="18" t="s">
        <v>2867</v>
      </c>
      <c r="D1726" s="18" t="s">
        <v>2868</v>
      </c>
      <c r="E1726" s="73">
        <v>14100</v>
      </c>
      <c r="F1726" s="114">
        <v>210500</v>
      </c>
      <c r="G1726" s="73">
        <v>44205</v>
      </c>
      <c r="H1726" s="73">
        <v>268805</v>
      </c>
      <c r="I1726" s="28" t="s">
        <v>19</v>
      </c>
      <c r="J1726" s="43"/>
    </row>
    <row r="1727" spans="1:10" customFormat="1" ht="15" hidden="1" customHeight="1" x14ac:dyDescent="0.25">
      <c r="A1727" s="37">
        <v>45154</v>
      </c>
      <c r="B1727" s="188" t="s">
        <v>4874</v>
      </c>
      <c r="C1727" s="18" t="s">
        <v>3033</v>
      </c>
      <c r="D1727" s="18" t="s">
        <v>3034</v>
      </c>
      <c r="E1727" s="73">
        <v>9200</v>
      </c>
      <c r="F1727" s="114">
        <v>162500</v>
      </c>
      <c r="G1727" s="73">
        <v>34125</v>
      </c>
      <c r="H1727" s="73">
        <v>205825</v>
      </c>
      <c r="I1727" s="28" t="s">
        <v>19</v>
      </c>
      <c r="J1727" s="43"/>
    </row>
    <row r="1728" spans="1:10" customFormat="1" ht="15" hidden="1" customHeight="1" x14ac:dyDescent="0.25">
      <c r="A1728" s="37">
        <v>45154</v>
      </c>
      <c r="B1728" s="188" t="s">
        <v>4875</v>
      </c>
      <c r="C1728" s="18" t="s">
        <v>2945</v>
      </c>
      <c r="D1728" s="18" t="s">
        <v>2946</v>
      </c>
      <c r="E1728" s="73">
        <v>22100</v>
      </c>
      <c r="F1728" s="114">
        <v>270000</v>
      </c>
      <c r="G1728" s="73">
        <v>56700</v>
      </c>
      <c r="H1728" s="73">
        <v>348800</v>
      </c>
      <c r="I1728" s="28" t="s">
        <v>19</v>
      </c>
      <c r="J1728" s="43"/>
    </row>
    <row r="1729" spans="1:10" customFormat="1" ht="15" hidden="1" customHeight="1" x14ac:dyDescent="0.25">
      <c r="A1729" s="37">
        <v>45154</v>
      </c>
      <c r="B1729" s="188" t="s">
        <v>4876</v>
      </c>
      <c r="C1729" s="18" t="s">
        <v>2867</v>
      </c>
      <c r="D1729" s="18" t="s">
        <v>2868</v>
      </c>
      <c r="E1729" s="73">
        <v>34500</v>
      </c>
      <c r="F1729" s="114">
        <v>461250</v>
      </c>
      <c r="G1729" s="73">
        <v>96862.5</v>
      </c>
      <c r="H1729" s="73">
        <v>592612.5</v>
      </c>
      <c r="I1729" s="28" t="s">
        <v>19</v>
      </c>
      <c r="J1729" s="43"/>
    </row>
    <row r="1730" spans="1:10" customFormat="1" ht="15" hidden="1" customHeight="1" x14ac:dyDescent="0.25">
      <c r="A1730" s="37">
        <v>45154</v>
      </c>
      <c r="B1730" s="188" t="s">
        <v>4877</v>
      </c>
      <c r="C1730" s="18" t="s">
        <v>2870</v>
      </c>
      <c r="D1730" s="18" t="s">
        <v>2871</v>
      </c>
      <c r="E1730" s="73">
        <v>9200</v>
      </c>
      <c r="F1730" s="114">
        <v>67500</v>
      </c>
      <c r="G1730" s="73">
        <v>14175</v>
      </c>
      <c r="H1730" s="73">
        <v>90875</v>
      </c>
      <c r="I1730" s="28" t="s">
        <v>19</v>
      </c>
      <c r="J1730" s="43"/>
    </row>
    <row r="1731" spans="1:10" customFormat="1" ht="15" hidden="1" customHeight="1" x14ac:dyDescent="0.25">
      <c r="A1731" s="37">
        <v>45154</v>
      </c>
      <c r="B1731" s="188" t="s">
        <v>4878</v>
      </c>
      <c r="C1731" s="18" t="s">
        <v>2921</v>
      </c>
      <c r="D1731" s="18" t="s">
        <v>2922</v>
      </c>
      <c r="E1731" s="73">
        <v>33000</v>
      </c>
      <c r="F1731" s="114">
        <v>238000</v>
      </c>
      <c r="G1731" s="73">
        <v>49980</v>
      </c>
      <c r="H1731" s="73">
        <v>320980</v>
      </c>
      <c r="I1731" s="28" t="s">
        <v>19</v>
      </c>
      <c r="J1731" s="43"/>
    </row>
    <row r="1732" spans="1:10" customFormat="1" ht="15" hidden="1" customHeight="1" x14ac:dyDescent="0.25">
      <c r="A1732" s="40">
        <v>45154</v>
      </c>
      <c r="B1732" s="11" t="s">
        <v>4879</v>
      </c>
      <c r="C1732" s="74" t="s">
        <v>3272</v>
      </c>
      <c r="D1732" s="74" t="s">
        <v>3273</v>
      </c>
      <c r="E1732" s="73">
        <v>16400</v>
      </c>
      <c r="F1732" s="114">
        <v>153750</v>
      </c>
      <c r="G1732" s="73">
        <v>32287.5</v>
      </c>
      <c r="H1732" s="73">
        <v>202437.5</v>
      </c>
      <c r="I1732" s="41" t="s">
        <v>19</v>
      </c>
      <c r="J1732" s="49"/>
    </row>
    <row r="1733" spans="1:10" customFormat="1" ht="15" hidden="1" customHeight="1" x14ac:dyDescent="0.25">
      <c r="A1733" s="37">
        <v>45154</v>
      </c>
      <c r="B1733" s="188" t="s">
        <v>4880</v>
      </c>
      <c r="C1733" s="18" t="s">
        <v>3011</v>
      </c>
      <c r="D1733" s="18" t="s">
        <v>3012</v>
      </c>
      <c r="E1733" s="73">
        <v>16400</v>
      </c>
      <c r="F1733" s="114">
        <v>153750</v>
      </c>
      <c r="G1733" s="73">
        <v>32287.5</v>
      </c>
      <c r="H1733" s="73">
        <v>202437.5</v>
      </c>
      <c r="I1733" s="28" t="s">
        <v>19</v>
      </c>
      <c r="J1733" s="43"/>
    </row>
    <row r="1734" spans="1:10" customFormat="1" ht="15" hidden="1" customHeight="1" x14ac:dyDescent="0.25">
      <c r="A1734" s="37">
        <v>45154</v>
      </c>
      <c r="B1734" s="188" t="s">
        <v>4881</v>
      </c>
      <c r="C1734" s="18" t="s">
        <v>4779</v>
      </c>
      <c r="D1734" s="18" t="s">
        <v>4780</v>
      </c>
      <c r="E1734" s="73">
        <v>27600</v>
      </c>
      <c r="F1734" s="114">
        <v>450000</v>
      </c>
      <c r="G1734" s="73">
        <v>94500</v>
      </c>
      <c r="H1734" s="73">
        <v>572100</v>
      </c>
      <c r="I1734" s="28" t="s">
        <v>19</v>
      </c>
      <c r="J1734" s="43"/>
    </row>
    <row r="1735" spans="1:10" customFormat="1" ht="15" hidden="1" customHeight="1" x14ac:dyDescent="0.25">
      <c r="A1735" s="37">
        <v>45154</v>
      </c>
      <c r="B1735" s="188" t="s">
        <v>4882</v>
      </c>
      <c r="C1735" s="18" t="s">
        <v>2927</v>
      </c>
      <c r="D1735" s="18" t="s">
        <v>2928</v>
      </c>
      <c r="E1735" s="73">
        <v>7500</v>
      </c>
      <c r="F1735" s="114">
        <v>95000</v>
      </c>
      <c r="G1735" s="73">
        <v>19950</v>
      </c>
      <c r="H1735" s="73">
        <v>122450</v>
      </c>
      <c r="I1735" s="28" t="s">
        <v>19</v>
      </c>
      <c r="J1735" s="43"/>
    </row>
    <row r="1736" spans="1:10" customFormat="1" ht="15" hidden="1" customHeight="1" x14ac:dyDescent="0.25">
      <c r="A1736" s="37">
        <v>45155</v>
      </c>
      <c r="B1736" s="188" t="s">
        <v>4883</v>
      </c>
      <c r="C1736" s="18" t="s">
        <v>1140</v>
      </c>
      <c r="D1736" s="18" t="s">
        <v>1141</v>
      </c>
      <c r="E1736" s="73">
        <v>13200</v>
      </c>
      <c r="F1736" s="114">
        <v>193750</v>
      </c>
      <c r="G1736" s="73">
        <v>40687.5</v>
      </c>
      <c r="H1736" s="73">
        <v>247637.5</v>
      </c>
      <c r="I1736" s="28" t="s">
        <v>19</v>
      </c>
      <c r="J1736" s="43"/>
    </row>
    <row r="1737" spans="1:10" customFormat="1" ht="15" hidden="1" customHeight="1" x14ac:dyDescent="0.25">
      <c r="A1737" s="37">
        <v>45155</v>
      </c>
      <c r="B1737" s="188" t="s">
        <v>4884</v>
      </c>
      <c r="C1737" s="18" t="s">
        <v>2997</v>
      </c>
      <c r="D1737" s="18" t="s">
        <v>2998</v>
      </c>
      <c r="E1737" s="73">
        <v>2300</v>
      </c>
      <c r="F1737" s="114">
        <v>78750</v>
      </c>
      <c r="G1737" s="73">
        <v>16537.5</v>
      </c>
      <c r="H1737" s="73">
        <v>97587.5</v>
      </c>
      <c r="I1737" s="28" t="s">
        <v>19</v>
      </c>
      <c r="J1737" s="43"/>
    </row>
    <row r="1738" spans="1:10" customFormat="1" ht="15" hidden="1" customHeight="1" x14ac:dyDescent="0.25">
      <c r="A1738" s="37">
        <v>45155</v>
      </c>
      <c r="B1738" s="188" t="s">
        <v>4885</v>
      </c>
      <c r="C1738" s="18" t="s">
        <v>2930</v>
      </c>
      <c r="D1738" s="18" t="s">
        <v>2931</v>
      </c>
      <c r="E1738" s="73">
        <v>14100</v>
      </c>
      <c r="F1738" s="114">
        <v>297500</v>
      </c>
      <c r="G1738" s="73">
        <v>62475</v>
      </c>
      <c r="H1738" s="73">
        <v>374075</v>
      </c>
      <c r="I1738" s="28" t="s">
        <v>19</v>
      </c>
      <c r="J1738" s="43"/>
    </row>
    <row r="1739" spans="1:10" customFormat="1" ht="15" hidden="1" customHeight="1" x14ac:dyDescent="0.25">
      <c r="A1739" s="57">
        <v>45155</v>
      </c>
      <c r="B1739" s="190" t="s">
        <v>4886</v>
      </c>
      <c r="C1739" s="123" t="s">
        <v>2930</v>
      </c>
      <c r="D1739" s="123" t="s">
        <v>2931</v>
      </c>
      <c r="E1739" s="124">
        <v>14100</v>
      </c>
      <c r="F1739" s="125">
        <v>260000</v>
      </c>
      <c r="G1739" s="124">
        <v>54600</v>
      </c>
      <c r="H1739" s="124">
        <v>328700</v>
      </c>
      <c r="I1739" s="59" t="s">
        <v>19</v>
      </c>
      <c r="J1739" s="43"/>
    </row>
    <row r="1740" spans="1:10" ht="15" hidden="1" customHeight="1" x14ac:dyDescent="0.25">
      <c r="A1740" s="127">
        <v>45155</v>
      </c>
      <c r="B1740" s="191" t="s">
        <v>4887</v>
      </c>
      <c r="C1740" s="128" t="s">
        <v>2895</v>
      </c>
      <c r="D1740" s="128" t="s">
        <v>2896</v>
      </c>
      <c r="E1740" s="129">
        <v>9200</v>
      </c>
      <c r="F1740" s="130">
        <v>75000</v>
      </c>
      <c r="G1740" s="129">
        <v>15750</v>
      </c>
      <c r="H1740" s="129">
        <v>99950</v>
      </c>
      <c r="I1740" s="121" t="s">
        <v>19</v>
      </c>
      <c r="J1740" s="43"/>
    </row>
    <row r="1741" spans="1:10" customFormat="1" ht="15" hidden="1" customHeight="1" x14ac:dyDescent="0.25">
      <c r="A1741" s="126">
        <v>45155</v>
      </c>
      <c r="B1741" s="190" t="s">
        <v>4888</v>
      </c>
      <c r="C1741" s="123" t="s">
        <v>2867</v>
      </c>
      <c r="D1741" s="123" t="s">
        <v>2868</v>
      </c>
      <c r="E1741" s="124">
        <v>11500</v>
      </c>
      <c r="F1741" s="125">
        <v>137250</v>
      </c>
      <c r="G1741" s="124">
        <v>28822.5</v>
      </c>
      <c r="H1741" s="124">
        <v>177572.5</v>
      </c>
      <c r="I1741" s="55" t="s">
        <v>19</v>
      </c>
      <c r="J1741" s="43"/>
    </row>
    <row r="1742" spans="1:10" customFormat="1" ht="15" hidden="1" customHeight="1" x14ac:dyDescent="0.25">
      <c r="A1742" s="37">
        <v>45155</v>
      </c>
      <c r="B1742" s="188" t="s">
        <v>4889</v>
      </c>
      <c r="C1742" s="18" t="s">
        <v>3358</v>
      </c>
      <c r="D1742" s="18" t="s">
        <v>3359</v>
      </c>
      <c r="E1742" s="73">
        <v>8900</v>
      </c>
      <c r="F1742" s="114">
        <v>67500</v>
      </c>
      <c r="G1742" s="73">
        <v>14175</v>
      </c>
      <c r="H1742" s="73">
        <v>90575</v>
      </c>
      <c r="I1742" s="28" t="s">
        <v>19</v>
      </c>
      <c r="J1742" s="43"/>
    </row>
    <row r="1743" spans="1:10" customFormat="1" ht="15" hidden="1" customHeight="1" x14ac:dyDescent="0.25">
      <c r="A1743" s="37">
        <v>45155</v>
      </c>
      <c r="B1743" s="188" t="s">
        <v>4890</v>
      </c>
      <c r="C1743" s="18" t="s">
        <v>2903</v>
      </c>
      <c r="D1743" s="18" t="s">
        <v>2904</v>
      </c>
      <c r="E1743" s="73">
        <v>9200</v>
      </c>
      <c r="F1743" s="114">
        <v>67500</v>
      </c>
      <c r="G1743" s="73">
        <v>14175</v>
      </c>
      <c r="H1743" s="73">
        <v>90875</v>
      </c>
      <c r="I1743" s="28" t="s">
        <v>19</v>
      </c>
      <c r="J1743" s="43"/>
    </row>
    <row r="1744" spans="1:10" customFormat="1" ht="15" hidden="1" customHeight="1" x14ac:dyDescent="0.25">
      <c r="A1744" s="37">
        <v>45155</v>
      </c>
      <c r="B1744" s="188" t="s">
        <v>4891</v>
      </c>
      <c r="C1744" s="18" t="s">
        <v>4892</v>
      </c>
      <c r="D1744" s="18" t="s">
        <v>4893</v>
      </c>
      <c r="E1744" s="73">
        <v>8900</v>
      </c>
      <c r="F1744" s="114">
        <v>67500</v>
      </c>
      <c r="G1744" s="73">
        <v>14175</v>
      </c>
      <c r="H1744" s="73">
        <v>90575</v>
      </c>
      <c r="I1744" s="28" t="s">
        <v>19</v>
      </c>
      <c r="J1744" s="43"/>
    </row>
    <row r="1745" spans="1:10" customFormat="1" ht="15" hidden="1" customHeight="1" x14ac:dyDescent="0.25">
      <c r="A1745" s="37">
        <v>45155</v>
      </c>
      <c r="B1745" s="188" t="s">
        <v>4894</v>
      </c>
      <c r="C1745" s="18" t="s">
        <v>2892</v>
      </c>
      <c r="D1745" s="18" t="s">
        <v>2893</v>
      </c>
      <c r="E1745" s="73">
        <v>3700</v>
      </c>
      <c r="F1745" s="114">
        <v>65000</v>
      </c>
      <c r="G1745" s="73">
        <v>13650</v>
      </c>
      <c r="H1745" s="73">
        <v>82350</v>
      </c>
      <c r="I1745" s="28" t="s">
        <v>19</v>
      </c>
      <c r="J1745" s="43"/>
    </row>
    <row r="1746" spans="1:10" customFormat="1" ht="15" hidden="1" customHeight="1" x14ac:dyDescent="0.25">
      <c r="A1746" s="37">
        <v>45156</v>
      </c>
      <c r="B1746" s="188" t="s">
        <v>4895</v>
      </c>
      <c r="C1746" s="18" t="s">
        <v>2856</v>
      </c>
      <c r="D1746" s="18" t="s">
        <v>2857</v>
      </c>
      <c r="E1746" s="73">
        <v>7600</v>
      </c>
      <c r="F1746" s="114">
        <v>67500</v>
      </c>
      <c r="G1746" s="73">
        <v>14175</v>
      </c>
      <c r="H1746" s="73">
        <v>89275</v>
      </c>
      <c r="I1746" s="28" t="s">
        <v>19</v>
      </c>
      <c r="J1746" s="43"/>
    </row>
    <row r="1747" spans="1:10" customFormat="1" ht="15" hidden="1" customHeight="1" x14ac:dyDescent="0.25">
      <c r="A1747" s="37">
        <v>45156</v>
      </c>
      <c r="B1747" s="188" t="s">
        <v>4896</v>
      </c>
      <c r="C1747" s="18" t="s">
        <v>2876</v>
      </c>
      <c r="D1747" s="18" t="s">
        <v>2877</v>
      </c>
      <c r="E1747" s="73">
        <v>3700</v>
      </c>
      <c r="F1747" s="114">
        <v>65000</v>
      </c>
      <c r="G1747" s="73">
        <v>13650</v>
      </c>
      <c r="H1747" s="73">
        <v>82350</v>
      </c>
      <c r="I1747" s="28" t="s">
        <v>19</v>
      </c>
      <c r="J1747" s="43"/>
    </row>
    <row r="1748" spans="1:10" customFormat="1" ht="15" hidden="1" customHeight="1" x14ac:dyDescent="0.25">
      <c r="A1748" s="37">
        <v>45156</v>
      </c>
      <c r="B1748" s="188" t="s">
        <v>4897</v>
      </c>
      <c r="C1748" s="18" t="s">
        <v>3029</v>
      </c>
      <c r="D1748" s="18" t="s">
        <v>3030</v>
      </c>
      <c r="E1748" s="73">
        <v>8900</v>
      </c>
      <c r="F1748" s="114">
        <v>67500</v>
      </c>
      <c r="G1748" s="73">
        <v>14175</v>
      </c>
      <c r="H1748" s="73">
        <v>90575</v>
      </c>
      <c r="I1748" s="28" t="s">
        <v>19</v>
      </c>
      <c r="J1748" s="43"/>
    </row>
    <row r="1749" spans="1:10" customFormat="1" ht="15" hidden="1" customHeight="1" x14ac:dyDescent="0.25">
      <c r="A1749" s="37">
        <v>45156</v>
      </c>
      <c r="B1749" s="188" t="s">
        <v>4898</v>
      </c>
      <c r="C1749" s="18" t="s">
        <v>3029</v>
      </c>
      <c r="D1749" s="18" t="s">
        <v>3030</v>
      </c>
      <c r="E1749" s="73">
        <v>8900</v>
      </c>
      <c r="F1749" s="114">
        <v>105000</v>
      </c>
      <c r="G1749" s="73">
        <v>22050</v>
      </c>
      <c r="H1749" s="73">
        <v>135950</v>
      </c>
      <c r="I1749" s="28" t="s">
        <v>19</v>
      </c>
      <c r="J1749" s="43"/>
    </row>
    <row r="1750" spans="1:10" customFormat="1" ht="15" hidden="1" customHeight="1" x14ac:dyDescent="0.25">
      <c r="A1750" s="37">
        <v>45156</v>
      </c>
      <c r="B1750" s="188" t="s">
        <v>4899</v>
      </c>
      <c r="C1750" s="18" t="s">
        <v>3007</v>
      </c>
      <c r="D1750" s="18" t="s">
        <v>3008</v>
      </c>
      <c r="E1750" s="73">
        <v>8160</v>
      </c>
      <c r="F1750" s="114">
        <v>232500</v>
      </c>
      <c r="G1750" s="73">
        <v>48825</v>
      </c>
      <c r="H1750" s="73">
        <v>289485</v>
      </c>
      <c r="I1750" s="28" t="s">
        <v>19</v>
      </c>
      <c r="J1750" s="43"/>
    </row>
    <row r="1751" spans="1:10" customFormat="1" ht="15" hidden="1" customHeight="1" x14ac:dyDescent="0.25">
      <c r="A1751" s="37">
        <v>45156</v>
      </c>
      <c r="B1751" s="188" t="s">
        <v>4900</v>
      </c>
      <c r="C1751" s="18" t="s">
        <v>4827</v>
      </c>
      <c r="D1751" s="18" t="s">
        <v>4828</v>
      </c>
      <c r="E1751" s="73">
        <v>12500</v>
      </c>
      <c r="F1751" s="114">
        <v>91500</v>
      </c>
      <c r="G1751" s="73">
        <v>19215</v>
      </c>
      <c r="H1751" s="73">
        <v>123215</v>
      </c>
      <c r="I1751" s="28" t="s">
        <v>19</v>
      </c>
      <c r="J1751" s="43"/>
    </row>
    <row r="1752" spans="1:10" customFormat="1" ht="15" hidden="1" customHeight="1" x14ac:dyDescent="0.25">
      <c r="A1752" s="37">
        <v>45156</v>
      </c>
      <c r="B1752" s="188" t="s">
        <v>4901</v>
      </c>
      <c r="C1752" s="18" t="s">
        <v>3014</v>
      </c>
      <c r="D1752" s="18" t="s">
        <v>3015</v>
      </c>
      <c r="E1752" s="73">
        <v>29200</v>
      </c>
      <c r="F1752" s="114">
        <v>461250</v>
      </c>
      <c r="G1752" s="73">
        <v>96862.5</v>
      </c>
      <c r="H1752" s="73">
        <v>587312.5</v>
      </c>
      <c r="I1752" s="28" t="s">
        <v>19</v>
      </c>
      <c r="J1752" s="43"/>
    </row>
    <row r="1753" spans="1:10" customFormat="1" ht="15" hidden="1" customHeight="1" x14ac:dyDescent="0.25">
      <c r="A1753" s="37">
        <v>45160</v>
      </c>
      <c r="B1753" s="188" t="s">
        <v>4902</v>
      </c>
      <c r="C1753" s="18" t="s">
        <v>3011</v>
      </c>
      <c r="D1753" s="18" t="s">
        <v>3012</v>
      </c>
      <c r="E1753" s="73">
        <v>0</v>
      </c>
      <c r="F1753" s="114">
        <v>61250</v>
      </c>
      <c r="G1753" s="73">
        <v>12862.5</v>
      </c>
      <c r="H1753" s="73">
        <v>74112.5</v>
      </c>
      <c r="I1753" s="28" t="s">
        <v>19</v>
      </c>
      <c r="J1753" s="43"/>
    </row>
    <row r="1754" spans="1:10" customFormat="1" ht="15" hidden="1" customHeight="1" x14ac:dyDescent="0.25">
      <c r="A1754" s="37">
        <v>45160</v>
      </c>
      <c r="B1754" s="188" t="s">
        <v>4903</v>
      </c>
      <c r="C1754" s="18" t="s">
        <v>3241</v>
      </c>
      <c r="D1754" s="18" t="s">
        <v>3242</v>
      </c>
      <c r="E1754" s="73">
        <v>0</v>
      </c>
      <c r="F1754" s="114">
        <v>61250</v>
      </c>
      <c r="G1754" s="73">
        <v>12862.5</v>
      </c>
      <c r="H1754" s="73">
        <v>74112.5</v>
      </c>
      <c r="I1754" s="28" t="s">
        <v>19</v>
      </c>
      <c r="J1754" s="43"/>
    </row>
    <row r="1755" spans="1:10" customFormat="1" ht="15" hidden="1" customHeight="1" x14ac:dyDescent="0.25">
      <c r="A1755" s="37">
        <v>45160</v>
      </c>
      <c r="B1755" s="188" t="s">
        <v>4904</v>
      </c>
      <c r="C1755" s="18" t="s">
        <v>4905</v>
      </c>
      <c r="D1755" s="18" t="s">
        <v>4906</v>
      </c>
      <c r="E1755" s="73">
        <v>7850</v>
      </c>
      <c r="F1755" s="114">
        <v>67500</v>
      </c>
      <c r="G1755" s="73">
        <v>14175</v>
      </c>
      <c r="H1755" s="73">
        <v>89525</v>
      </c>
      <c r="I1755" s="28" t="s">
        <v>19</v>
      </c>
      <c r="J1755" s="43"/>
    </row>
    <row r="1756" spans="1:10" customFormat="1" ht="15" hidden="1" customHeight="1" x14ac:dyDescent="0.25">
      <c r="A1756" s="37">
        <v>45160</v>
      </c>
      <c r="B1756" s="188" t="s">
        <v>4907</v>
      </c>
      <c r="C1756" s="18" t="s">
        <v>2856</v>
      </c>
      <c r="D1756" s="18" t="s">
        <v>2857</v>
      </c>
      <c r="E1756" s="73">
        <v>9400</v>
      </c>
      <c r="F1756" s="114">
        <v>102500</v>
      </c>
      <c r="G1756" s="73">
        <v>21525</v>
      </c>
      <c r="H1756" s="73">
        <v>133425</v>
      </c>
      <c r="I1756" s="28" t="s">
        <v>19</v>
      </c>
      <c r="J1756" s="43"/>
    </row>
    <row r="1757" spans="1:10" customFormat="1" ht="15" hidden="1" customHeight="1" x14ac:dyDescent="0.25">
      <c r="A1757" s="37">
        <v>45160</v>
      </c>
      <c r="B1757" s="188" t="s">
        <v>4908</v>
      </c>
      <c r="C1757" s="18" t="s">
        <v>2856</v>
      </c>
      <c r="D1757" s="18" t="s">
        <v>2857</v>
      </c>
      <c r="E1757" s="73">
        <v>9800</v>
      </c>
      <c r="F1757" s="114">
        <v>155000</v>
      </c>
      <c r="G1757" s="73">
        <v>32550</v>
      </c>
      <c r="H1757" s="73">
        <v>197350</v>
      </c>
      <c r="I1757" s="28" t="s">
        <v>19</v>
      </c>
      <c r="J1757" s="43"/>
    </row>
    <row r="1758" spans="1:10" customFormat="1" ht="15" hidden="1" customHeight="1" x14ac:dyDescent="0.25">
      <c r="A1758" s="37">
        <v>45160</v>
      </c>
      <c r="B1758" s="188" t="s">
        <v>4909</v>
      </c>
      <c r="C1758" s="18" t="s">
        <v>2909</v>
      </c>
      <c r="D1758" s="18" t="s">
        <v>2910</v>
      </c>
      <c r="E1758" s="73">
        <v>10900</v>
      </c>
      <c r="F1758" s="114">
        <v>205000</v>
      </c>
      <c r="G1758" s="73">
        <v>43050</v>
      </c>
      <c r="H1758" s="73">
        <v>258950</v>
      </c>
      <c r="I1758" s="28" t="s">
        <v>19</v>
      </c>
      <c r="J1758" s="43"/>
    </row>
    <row r="1759" spans="1:10" customFormat="1" ht="15" hidden="1" customHeight="1" x14ac:dyDescent="0.25">
      <c r="A1759" s="37">
        <v>45160</v>
      </c>
      <c r="B1759" s="188" t="s">
        <v>4910</v>
      </c>
      <c r="C1759" s="18" t="s">
        <v>2870</v>
      </c>
      <c r="D1759" s="18" t="s">
        <v>2871</v>
      </c>
      <c r="E1759" s="73">
        <v>10900</v>
      </c>
      <c r="F1759" s="114">
        <v>113400</v>
      </c>
      <c r="G1759" s="73">
        <v>23814</v>
      </c>
      <c r="H1759" s="73">
        <v>148114</v>
      </c>
      <c r="I1759" s="28" t="s">
        <v>19</v>
      </c>
      <c r="J1759" s="43"/>
    </row>
    <row r="1760" spans="1:10" customFormat="1" ht="15" hidden="1" customHeight="1" x14ac:dyDescent="0.25">
      <c r="A1760" s="37">
        <v>45161</v>
      </c>
      <c r="B1760" s="188" t="s">
        <v>4911</v>
      </c>
      <c r="C1760" s="18" t="s">
        <v>3014</v>
      </c>
      <c r="D1760" s="18" t="s">
        <v>3015</v>
      </c>
      <c r="E1760" s="73">
        <v>25000</v>
      </c>
      <c r="F1760" s="114">
        <v>369000</v>
      </c>
      <c r="G1760" s="73">
        <v>77490</v>
      </c>
      <c r="H1760" s="73">
        <v>471490</v>
      </c>
      <c r="I1760" s="28" t="s">
        <v>19</v>
      </c>
      <c r="J1760" s="43"/>
    </row>
    <row r="1761" spans="1:10" customFormat="1" ht="15" hidden="1" customHeight="1" x14ac:dyDescent="0.25">
      <c r="A1761" s="37">
        <v>45161</v>
      </c>
      <c r="B1761" s="188" t="s">
        <v>4912</v>
      </c>
      <c r="C1761" s="18" t="s">
        <v>2870</v>
      </c>
      <c r="D1761" s="18" t="s">
        <v>2871</v>
      </c>
      <c r="E1761" s="73">
        <v>2500</v>
      </c>
      <c r="F1761" s="114">
        <v>102500</v>
      </c>
      <c r="G1761" s="73">
        <v>21525</v>
      </c>
      <c r="H1761" s="73">
        <v>126525</v>
      </c>
      <c r="I1761" s="28" t="s">
        <v>19</v>
      </c>
      <c r="J1761" s="43"/>
    </row>
    <row r="1762" spans="1:10" customFormat="1" ht="15" hidden="1" customHeight="1" x14ac:dyDescent="0.25">
      <c r="A1762" s="37">
        <v>45161</v>
      </c>
      <c r="B1762" s="188" t="s">
        <v>4913</v>
      </c>
      <c r="C1762" s="18" t="s">
        <v>4827</v>
      </c>
      <c r="D1762" s="18" t="s">
        <v>4828</v>
      </c>
      <c r="E1762" s="73">
        <v>5000</v>
      </c>
      <c r="F1762" s="114">
        <v>138125</v>
      </c>
      <c r="G1762" s="73">
        <v>29006.25</v>
      </c>
      <c r="H1762" s="73">
        <v>172131.25</v>
      </c>
      <c r="I1762" s="28" t="s">
        <v>19</v>
      </c>
      <c r="J1762" s="43"/>
    </row>
    <row r="1763" spans="1:10" customFormat="1" ht="15" hidden="1" customHeight="1" x14ac:dyDescent="0.25">
      <c r="A1763" s="37">
        <v>45161</v>
      </c>
      <c r="B1763" s="188" t="s">
        <v>4914</v>
      </c>
      <c r="C1763" s="18" t="s">
        <v>2856</v>
      </c>
      <c r="D1763" s="18" t="s">
        <v>2857</v>
      </c>
      <c r="E1763" s="73">
        <v>18400</v>
      </c>
      <c r="F1763" s="114">
        <v>243000</v>
      </c>
      <c r="G1763" s="73">
        <v>51030</v>
      </c>
      <c r="H1763" s="73">
        <v>312430</v>
      </c>
      <c r="I1763" s="28" t="s">
        <v>19</v>
      </c>
      <c r="J1763" s="43"/>
    </row>
    <row r="1764" spans="1:10" customFormat="1" ht="15" hidden="1" customHeight="1" x14ac:dyDescent="0.25">
      <c r="A1764" s="37">
        <v>45161</v>
      </c>
      <c r="B1764" s="188" t="s">
        <v>4915</v>
      </c>
      <c r="C1764" s="18" t="s">
        <v>4916</v>
      </c>
      <c r="D1764" s="18" t="s">
        <v>4917</v>
      </c>
      <c r="E1764" s="73">
        <v>18400</v>
      </c>
      <c r="F1764" s="114">
        <v>243000</v>
      </c>
      <c r="G1764" s="73">
        <v>51030</v>
      </c>
      <c r="H1764" s="73">
        <v>312430</v>
      </c>
      <c r="I1764" s="28" t="s">
        <v>19</v>
      </c>
      <c r="J1764" s="43"/>
    </row>
    <row r="1765" spans="1:10" customFormat="1" ht="15" hidden="1" customHeight="1" x14ac:dyDescent="0.25">
      <c r="A1765" s="37">
        <v>45161</v>
      </c>
      <c r="B1765" s="188" t="s">
        <v>4918</v>
      </c>
      <c r="C1765" s="18" t="s">
        <v>2867</v>
      </c>
      <c r="D1765" s="18" t="s">
        <v>2868</v>
      </c>
      <c r="E1765" s="73">
        <v>41087</v>
      </c>
      <c r="F1765" s="114">
        <v>652500</v>
      </c>
      <c r="G1765" s="73">
        <v>137025</v>
      </c>
      <c r="H1765" s="73">
        <v>830612</v>
      </c>
      <c r="I1765" s="28" t="s">
        <v>19</v>
      </c>
      <c r="J1765" s="43"/>
    </row>
    <row r="1766" spans="1:10" customFormat="1" ht="15" hidden="1" customHeight="1" x14ac:dyDescent="0.25">
      <c r="A1766" s="40">
        <v>45161</v>
      </c>
      <c r="B1766" s="11" t="s">
        <v>4919</v>
      </c>
      <c r="C1766" s="74" t="s">
        <v>3272</v>
      </c>
      <c r="D1766" s="74" t="s">
        <v>3273</v>
      </c>
      <c r="E1766" s="73">
        <v>9200</v>
      </c>
      <c r="F1766" s="114">
        <v>112500</v>
      </c>
      <c r="G1766" s="73">
        <v>23625</v>
      </c>
      <c r="H1766" s="73">
        <v>145325</v>
      </c>
      <c r="I1766" s="41" t="s">
        <v>19</v>
      </c>
      <c r="J1766" s="49"/>
    </row>
    <row r="1767" spans="1:10" customFormat="1" ht="15" hidden="1" customHeight="1" x14ac:dyDescent="0.25">
      <c r="A1767" s="37">
        <v>45161</v>
      </c>
      <c r="B1767" s="188" t="s">
        <v>4920</v>
      </c>
      <c r="C1767" s="18" t="s">
        <v>2921</v>
      </c>
      <c r="D1767" s="18" t="s">
        <v>2922</v>
      </c>
      <c r="E1767" s="73">
        <v>27200</v>
      </c>
      <c r="F1767" s="114">
        <v>257500</v>
      </c>
      <c r="G1767" s="73">
        <v>54075</v>
      </c>
      <c r="H1767" s="73">
        <v>338775</v>
      </c>
      <c r="I1767" s="28" t="s">
        <v>19</v>
      </c>
      <c r="J1767" s="43"/>
    </row>
    <row r="1768" spans="1:10" customFormat="1" ht="15" hidden="1" customHeight="1" x14ac:dyDescent="0.25">
      <c r="A1768" s="37">
        <v>45161</v>
      </c>
      <c r="B1768" s="188" t="s">
        <v>4921</v>
      </c>
      <c r="C1768" s="18" t="s">
        <v>3559</v>
      </c>
      <c r="D1768" s="18" t="s">
        <v>3560</v>
      </c>
      <c r="E1768" s="73">
        <v>14000</v>
      </c>
      <c r="F1768" s="114">
        <v>102500</v>
      </c>
      <c r="G1768" s="73">
        <v>21525</v>
      </c>
      <c r="H1768" s="73">
        <v>138025</v>
      </c>
      <c r="I1768" s="28" t="s">
        <v>19</v>
      </c>
      <c r="J1768" s="43"/>
    </row>
    <row r="1769" spans="1:10" customFormat="1" ht="15" hidden="1" customHeight="1" x14ac:dyDescent="0.25">
      <c r="A1769" s="37">
        <v>45161</v>
      </c>
      <c r="B1769" s="188" t="s">
        <v>4922</v>
      </c>
      <c r="C1769" s="18" t="s">
        <v>4923</v>
      </c>
      <c r="D1769" s="18" t="s">
        <v>4924</v>
      </c>
      <c r="E1769" s="73">
        <v>15000</v>
      </c>
      <c r="F1769" s="114">
        <v>205000</v>
      </c>
      <c r="G1769" s="73">
        <v>43050</v>
      </c>
      <c r="H1769" s="73">
        <v>263050</v>
      </c>
      <c r="I1769" s="28" t="s">
        <v>19</v>
      </c>
      <c r="J1769" s="43"/>
    </row>
    <row r="1770" spans="1:10" customFormat="1" ht="15" hidden="1" customHeight="1" x14ac:dyDescent="0.25">
      <c r="A1770" s="37">
        <v>45161</v>
      </c>
      <c r="B1770" s="188" t="s">
        <v>4925</v>
      </c>
      <c r="C1770" s="18" t="s">
        <v>2867</v>
      </c>
      <c r="D1770" s="18" t="s">
        <v>2868</v>
      </c>
      <c r="E1770" s="73">
        <v>12500</v>
      </c>
      <c r="F1770" s="114">
        <v>118750</v>
      </c>
      <c r="G1770" s="73">
        <v>24937.5</v>
      </c>
      <c r="H1770" s="73">
        <v>156187.5</v>
      </c>
      <c r="I1770" s="28" t="s">
        <v>19</v>
      </c>
      <c r="J1770" s="43"/>
    </row>
    <row r="1771" spans="1:10" customFormat="1" ht="15" hidden="1" customHeight="1" x14ac:dyDescent="0.25">
      <c r="A1771" s="37">
        <v>45161</v>
      </c>
      <c r="B1771" s="188" t="s">
        <v>4926</v>
      </c>
      <c r="C1771" s="18" t="s">
        <v>4923</v>
      </c>
      <c r="D1771" s="18" t="s">
        <v>4924</v>
      </c>
      <c r="E1771" s="73">
        <v>6080</v>
      </c>
      <c r="F1771" s="114">
        <v>75000</v>
      </c>
      <c r="G1771" s="73">
        <v>15750</v>
      </c>
      <c r="H1771" s="73">
        <v>96830</v>
      </c>
      <c r="I1771" s="28" t="s">
        <v>19</v>
      </c>
      <c r="J1771" s="43"/>
    </row>
    <row r="1772" spans="1:10" customFormat="1" ht="15" hidden="1" customHeight="1" x14ac:dyDescent="0.25">
      <c r="A1772" s="37">
        <v>45161</v>
      </c>
      <c r="B1772" s="188" t="s">
        <v>4927</v>
      </c>
      <c r="C1772" s="18" t="s">
        <v>2851</v>
      </c>
      <c r="D1772" s="18" t="s">
        <v>2852</v>
      </c>
      <c r="E1772" s="73">
        <v>12160</v>
      </c>
      <c r="F1772" s="114">
        <v>225000</v>
      </c>
      <c r="G1772" s="73">
        <v>47250</v>
      </c>
      <c r="H1772" s="73">
        <v>284410</v>
      </c>
      <c r="I1772" s="28" t="s">
        <v>19</v>
      </c>
      <c r="J1772" s="43"/>
    </row>
    <row r="1773" spans="1:10" customFormat="1" ht="15" hidden="1" customHeight="1" x14ac:dyDescent="0.25">
      <c r="A1773" s="37">
        <v>45161</v>
      </c>
      <c r="B1773" s="188" t="s">
        <v>4928</v>
      </c>
      <c r="C1773" s="18" t="s">
        <v>2903</v>
      </c>
      <c r="D1773" s="18" t="s">
        <v>2904</v>
      </c>
      <c r="E1773" s="73">
        <v>6080</v>
      </c>
      <c r="F1773" s="114">
        <v>75000</v>
      </c>
      <c r="G1773" s="73">
        <v>15750</v>
      </c>
      <c r="H1773" s="73">
        <v>96830</v>
      </c>
      <c r="I1773" s="28" t="s">
        <v>19</v>
      </c>
      <c r="J1773" s="43"/>
    </row>
    <row r="1774" spans="1:10" customFormat="1" ht="15" hidden="1" customHeight="1" x14ac:dyDescent="0.25">
      <c r="A1774" s="37">
        <v>45161</v>
      </c>
      <c r="B1774" s="188" t="s">
        <v>4929</v>
      </c>
      <c r="C1774" s="18" t="s">
        <v>2903</v>
      </c>
      <c r="D1774" s="18" t="s">
        <v>2904</v>
      </c>
      <c r="E1774" s="73">
        <v>6080</v>
      </c>
      <c r="F1774" s="114">
        <v>75000</v>
      </c>
      <c r="G1774" s="73">
        <v>15750</v>
      </c>
      <c r="H1774" s="73">
        <v>96830</v>
      </c>
      <c r="I1774" s="28" t="s">
        <v>19</v>
      </c>
      <c r="J1774" s="43"/>
    </row>
    <row r="1775" spans="1:10" customFormat="1" ht="15" hidden="1" customHeight="1" x14ac:dyDescent="0.25">
      <c r="A1775" s="37">
        <v>45161</v>
      </c>
      <c r="B1775" s="188" t="s">
        <v>4930</v>
      </c>
      <c r="C1775" s="18" t="s">
        <v>2903</v>
      </c>
      <c r="D1775" s="18" t="s">
        <v>2904</v>
      </c>
      <c r="E1775" s="73">
        <v>6080</v>
      </c>
      <c r="F1775" s="114">
        <v>75000</v>
      </c>
      <c r="G1775" s="73">
        <v>15750</v>
      </c>
      <c r="H1775" s="73">
        <v>96830</v>
      </c>
      <c r="I1775" s="28" t="s">
        <v>19</v>
      </c>
      <c r="J1775" s="43"/>
    </row>
    <row r="1776" spans="1:10" customFormat="1" ht="15" hidden="1" customHeight="1" x14ac:dyDescent="0.25">
      <c r="A1776" s="37">
        <v>45161</v>
      </c>
      <c r="B1776" s="188" t="s">
        <v>4931</v>
      </c>
      <c r="C1776" s="18" t="s">
        <v>2903</v>
      </c>
      <c r="D1776" s="18" t="s">
        <v>2904</v>
      </c>
      <c r="E1776" s="73">
        <v>6080</v>
      </c>
      <c r="F1776" s="114">
        <v>75000</v>
      </c>
      <c r="G1776" s="73">
        <v>15750</v>
      </c>
      <c r="H1776" s="73">
        <v>96830</v>
      </c>
      <c r="I1776" s="28" t="s">
        <v>19</v>
      </c>
      <c r="J1776" s="43"/>
    </row>
    <row r="1777" spans="1:10" customFormat="1" ht="15" hidden="1" customHeight="1" x14ac:dyDescent="0.25">
      <c r="A1777" s="37">
        <v>45161</v>
      </c>
      <c r="B1777" s="188" t="s">
        <v>4932</v>
      </c>
      <c r="C1777" s="18" t="s">
        <v>2903</v>
      </c>
      <c r="D1777" s="18" t="s">
        <v>2904</v>
      </c>
      <c r="E1777" s="73">
        <v>6080</v>
      </c>
      <c r="F1777" s="114">
        <v>75000</v>
      </c>
      <c r="G1777" s="73">
        <v>15750</v>
      </c>
      <c r="H1777" s="73">
        <v>96830</v>
      </c>
      <c r="I1777" s="28" t="s">
        <v>19</v>
      </c>
      <c r="J1777" s="43"/>
    </row>
    <row r="1778" spans="1:10" customFormat="1" ht="15" hidden="1" customHeight="1" x14ac:dyDescent="0.25">
      <c r="A1778" s="37">
        <v>45161</v>
      </c>
      <c r="B1778" s="188" t="s">
        <v>4933</v>
      </c>
      <c r="C1778" s="18" t="s">
        <v>2921</v>
      </c>
      <c r="D1778" s="18" t="s">
        <v>2922</v>
      </c>
      <c r="E1778" s="73">
        <v>6080</v>
      </c>
      <c r="F1778" s="114">
        <v>75000</v>
      </c>
      <c r="G1778" s="73">
        <v>15750</v>
      </c>
      <c r="H1778" s="73">
        <v>96830</v>
      </c>
      <c r="I1778" s="28" t="s">
        <v>19</v>
      </c>
      <c r="J1778" s="43"/>
    </row>
    <row r="1779" spans="1:10" customFormat="1" ht="15" hidden="1" customHeight="1" x14ac:dyDescent="0.25">
      <c r="A1779" s="37">
        <v>45161</v>
      </c>
      <c r="B1779" s="188" t="s">
        <v>4934</v>
      </c>
      <c r="C1779" s="18" t="s">
        <v>3007</v>
      </c>
      <c r="D1779" s="18" t="s">
        <v>3008</v>
      </c>
      <c r="E1779" s="73">
        <v>6080</v>
      </c>
      <c r="F1779" s="114">
        <v>75000</v>
      </c>
      <c r="G1779" s="73">
        <v>15750</v>
      </c>
      <c r="H1779" s="73">
        <v>96830</v>
      </c>
      <c r="I1779" s="28" t="s">
        <v>19</v>
      </c>
      <c r="J1779" s="43"/>
    </row>
    <row r="1780" spans="1:10" customFormat="1" ht="15" hidden="1" customHeight="1" x14ac:dyDescent="0.25">
      <c r="A1780" s="37">
        <v>45161</v>
      </c>
      <c r="B1780" s="188" t="s">
        <v>4935</v>
      </c>
      <c r="C1780" s="18" t="s">
        <v>3007</v>
      </c>
      <c r="D1780" s="18" t="s">
        <v>3008</v>
      </c>
      <c r="E1780" s="73">
        <v>6080</v>
      </c>
      <c r="F1780" s="114">
        <v>75000</v>
      </c>
      <c r="G1780" s="73">
        <v>15750</v>
      </c>
      <c r="H1780" s="73">
        <v>96830</v>
      </c>
      <c r="I1780" s="28" t="s">
        <v>19</v>
      </c>
      <c r="J1780" s="43"/>
    </row>
    <row r="1781" spans="1:10" customFormat="1" ht="15" hidden="1" customHeight="1" x14ac:dyDescent="0.25">
      <c r="A1781" s="37">
        <v>45161</v>
      </c>
      <c r="B1781" s="188" t="s">
        <v>4936</v>
      </c>
      <c r="C1781" s="18" t="s">
        <v>3083</v>
      </c>
      <c r="D1781" s="18" t="s">
        <v>3084</v>
      </c>
      <c r="E1781" s="73">
        <v>18240</v>
      </c>
      <c r="F1781" s="114">
        <v>337500</v>
      </c>
      <c r="G1781" s="73">
        <v>70875</v>
      </c>
      <c r="H1781" s="73">
        <v>426615</v>
      </c>
      <c r="I1781" s="28" t="s">
        <v>19</v>
      </c>
      <c r="J1781" s="43"/>
    </row>
    <row r="1782" spans="1:10" customFormat="1" ht="15" hidden="1" customHeight="1" x14ac:dyDescent="0.25">
      <c r="A1782" s="37">
        <v>45161</v>
      </c>
      <c r="B1782" s="188" t="s">
        <v>4937</v>
      </c>
      <c r="C1782" s="18" t="s">
        <v>3029</v>
      </c>
      <c r="D1782" s="18" t="s">
        <v>3030</v>
      </c>
      <c r="E1782" s="73">
        <v>6080</v>
      </c>
      <c r="F1782" s="114">
        <v>75000</v>
      </c>
      <c r="G1782" s="73">
        <v>15750</v>
      </c>
      <c r="H1782" s="73">
        <v>96830</v>
      </c>
      <c r="I1782" s="28" t="s">
        <v>19</v>
      </c>
      <c r="J1782" s="43"/>
    </row>
    <row r="1783" spans="1:10" customFormat="1" ht="15" hidden="1" customHeight="1" x14ac:dyDescent="0.25">
      <c r="A1783" s="37">
        <v>45161</v>
      </c>
      <c r="B1783" s="188" t="s">
        <v>4938</v>
      </c>
      <c r="C1783" s="18" t="s">
        <v>4905</v>
      </c>
      <c r="D1783" s="18" t="s">
        <v>4906</v>
      </c>
      <c r="E1783" s="73">
        <v>6080</v>
      </c>
      <c r="F1783" s="114">
        <v>75000</v>
      </c>
      <c r="G1783" s="73">
        <v>15750</v>
      </c>
      <c r="H1783" s="73">
        <v>96830</v>
      </c>
      <c r="I1783" s="28" t="s">
        <v>19</v>
      </c>
      <c r="J1783" s="43"/>
    </row>
    <row r="1784" spans="1:10" customFormat="1" ht="15" hidden="1" customHeight="1" x14ac:dyDescent="0.25">
      <c r="A1784" s="37">
        <v>45161</v>
      </c>
      <c r="B1784" s="188" t="s">
        <v>4939</v>
      </c>
      <c r="C1784" s="18" t="s">
        <v>4558</v>
      </c>
      <c r="D1784" s="18" t="s">
        <v>4559</v>
      </c>
      <c r="E1784" s="73">
        <v>6080</v>
      </c>
      <c r="F1784" s="114">
        <v>75000</v>
      </c>
      <c r="G1784" s="73">
        <v>15750</v>
      </c>
      <c r="H1784" s="73">
        <v>96830</v>
      </c>
      <c r="I1784" s="28" t="s">
        <v>19</v>
      </c>
      <c r="J1784" s="43"/>
    </row>
    <row r="1785" spans="1:10" customFormat="1" ht="15" hidden="1" customHeight="1" x14ac:dyDescent="0.25">
      <c r="A1785" s="37">
        <v>45161</v>
      </c>
      <c r="B1785" s="188" t="s">
        <v>4940</v>
      </c>
      <c r="C1785" s="18" t="s">
        <v>3373</v>
      </c>
      <c r="D1785" s="18" t="s">
        <v>3374</v>
      </c>
      <c r="E1785" s="73">
        <v>8200</v>
      </c>
      <c r="F1785" s="114">
        <v>153750</v>
      </c>
      <c r="G1785" s="73">
        <v>32287.5</v>
      </c>
      <c r="H1785" s="73">
        <v>194237.5</v>
      </c>
      <c r="I1785" s="28" t="s">
        <v>19</v>
      </c>
      <c r="J1785" s="43"/>
    </row>
    <row r="1786" spans="1:10" customFormat="1" ht="15" hidden="1" customHeight="1" x14ac:dyDescent="0.25">
      <c r="A1786" s="37">
        <v>45161</v>
      </c>
      <c r="B1786" s="188" t="s">
        <v>4941</v>
      </c>
      <c r="C1786" s="18" t="s">
        <v>4749</v>
      </c>
      <c r="D1786" s="18" t="s">
        <v>4750</v>
      </c>
      <c r="E1786" s="73">
        <v>6080</v>
      </c>
      <c r="F1786" s="114">
        <v>112500</v>
      </c>
      <c r="G1786" s="73">
        <v>23625</v>
      </c>
      <c r="H1786" s="73">
        <v>142205</v>
      </c>
      <c r="I1786" s="28" t="s">
        <v>19</v>
      </c>
      <c r="J1786" s="43"/>
    </row>
    <row r="1787" spans="1:10" customFormat="1" ht="15" hidden="1" customHeight="1" x14ac:dyDescent="0.25">
      <c r="A1787" s="37">
        <v>45161</v>
      </c>
      <c r="B1787" s="188" t="s">
        <v>4942</v>
      </c>
      <c r="C1787" s="18" t="s">
        <v>3083</v>
      </c>
      <c r="D1787" s="18" t="s">
        <v>3084</v>
      </c>
      <c r="E1787" s="73">
        <v>16400</v>
      </c>
      <c r="F1787" s="114">
        <v>205000</v>
      </c>
      <c r="G1787" s="73">
        <v>43050</v>
      </c>
      <c r="H1787" s="73">
        <v>264450</v>
      </c>
      <c r="I1787" s="28" t="s">
        <v>19</v>
      </c>
      <c r="J1787" s="43"/>
    </row>
    <row r="1788" spans="1:10" customFormat="1" ht="15" hidden="1" customHeight="1" x14ac:dyDescent="0.25">
      <c r="A1788" s="37">
        <v>45161</v>
      </c>
      <c r="B1788" s="188" t="s">
        <v>4943</v>
      </c>
      <c r="C1788" s="18" t="s">
        <v>3011</v>
      </c>
      <c r="D1788" s="18" t="s">
        <v>3012</v>
      </c>
      <c r="E1788" s="73">
        <v>79680</v>
      </c>
      <c r="F1788" s="114">
        <v>1230000</v>
      </c>
      <c r="G1788" s="73">
        <v>258300</v>
      </c>
      <c r="H1788" s="73">
        <v>1567980</v>
      </c>
      <c r="I1788" s="28" t="s">
        <v>19</v>
      </c>
      <c r="J1788" s="43"/>
    </row>
    <row r="1789" spans="1:10" customFormat="1" ht="15" hidden="1" customHeight="1" x14ac:dyDescent="0.25">
      <c r="A1789" s="37">
        <v>45161</v>
      </c>
      <c r="B1789" s="188" t="s">
        <v>4944</v>
      </c>
      <c r="C1789" s="18" t="s">
        <v>2856</v>
      </c>
      <c r="D1789" s="18" t="s">
        <v>2857</v>
      </c>
      <c r="E1789" s="73">
        <v>9400</v>
      </c>
      <c r="F1789" s="114">
        <v>102500</v>
      </c>
      <c r="G1789" s="73">
        <v>21525</v>
      </c>
      <c r="H1789" s="73">
        <v>133425</v>
      </c>
      <c r="I1789" s="28" t="s">
        <v>19</v>
      </c>
      <c r="J1789" s="43"/>
    </row>
    <row r="1790" spans="1:10" customFormat="1" ht="15" hidden="1" customHeight="1" x14ac:dyDescent="0.25">
      <c r="A1790" s="37">
        <v>45161</v>
      </c>
      <c r="B1790" s="188" t="s">
        <v>4945</v>
      </c>
      <c r="C1790" s="18" t="s">
        <v>2856</v>
      </c>
      <c r="D1790" s="18" t="s">
        <v>2857</v>
      </c>
      <c r="E1790" s="73">
        <v>9400</v>
      </c>
      <c r="F1790" s="114">
        <v>205000</v>
      </c>
      <c r="G1790" s="73">
        <v>43050</v>
      </c>
      <c r="H1790" s="73">
        <v>257450</v>
      </c>
      <c r="I1790" s="28" t="s">
        <v>19</v>
      </c>
      <c r="J1790" s="43"/>
    </row>
    <row r="1791" spans="1:10" customFormat="1" ht="15" hidden="1" customHeight="1" x14ac:dyDescent="0.25">
      <c r="A1791" s="37">
        <v>45162</v>
      </c>
      <c r="B1791" s="188" t="s">
        <v>4946</v>
      </c>
      <c r="C1791" s="18" t="s">
        <v>3083</v>
      </c>
      <c r="D1791" s="18" t="s">
        <v>3084</v>
      </c>
      <c r="E1791" s="73">
        <v>30900</v>
      </c>
      <c r="F1791" s="114">
        <v>410000</v>
      </c>
      <c r="G1791" s="73">
        <v>86100</v>
      </c>
      <c r="H1791" s="73">
        <v>527000</v>
      </c>
      <c r="I1791" s="28" t="s">
        <v>19</v>
      </c>
      <c r="J1791" s="43"/>
    </row>
    <row r="1792" spans="1:10" customFormat="1" ht="15" hidden="1" customHeight="1" x14ac:dyDescent="0.25">
      <c r="A1792" s="37">
        <v>45162</v>
      </c>
      <c r="B1792" s="188" t="s">
        <v>4947</v>
      </c>
      <c r="C1792" s="18" t="s">
        <v>4749</v>
      </c>
      <c r="D1792" s="18" t="s">
        <v>4750</v>
      </c>
      <c r="E1792" s="73">
        <v>6080</v>
      </c>
      <c r="F1792" s="114">
        <v>112500</v>
      </c>
      <c r="G1792" s="73">
        <v>23625</v>
      </c>
      <c r="H1792" s="73">
        <v>142205</v>
      </c>
      <c r="I1792" s="28" t="s">
        <v>19</v>
      </c>
      <c r="J1792" s="43"/>
    </row>
    <row r="1793" spans="1:10" customFormat="1" ht="15" hidden="1" customHeight="1" x14ac:dyDescent="0.25">
      <c r="A1793" s="37">
        <v>45162</v>
      </c>
      <c r="B1793" s="188" t="s">
        <v>4948</v>
      </c>
      <c r="C1793" s="18" t="s">
        <v>3029</v>
      </c>
      <c r="D1793" s="18" t="s">
        <v>3030</v>
      </c>
      <c r="E1793" s="73">
        <v>6080</v>
      </c>
      <c r="F1793" s="114">
        <v>75000</v>
      </c>
      <c r="G1793" s="73">
        <v>15750</v>
      </c>
      <c r="H1793" s="73">
        <v>96830</v>
      </c>
      <c r="I1793" s="28" t="s">
        <v>19</v>
      </c>
      <c r="J1793" s="43"/>
    </row>
    <row r="1794" spans="1:10" customFormat="1" ht="15" hidden="1" customHeight="1" x14ac:dyDescent="0.25">
      <c r="A1794" s="37">
        <v>45162</v>
      </c>
      <c r="B1794" s="188" t="s">
        <v>4949</v>
      </c>
      <c r="C1794" s="18" t="s">
        <v>2906</v>
      </c>
      <c r="D1794" s="18" t="s">
        <v>2907</v>
      </c>
      <c r="E1794" s="73">
        <v>6080</v>
      </c>
      <c r="F1794" s="114">
        <v>75000</v>
      </c>
      <c r="G1794" s="73">
        <v>15750</v>
      </c>
      <c r="H1794" s="73">
        <v>96830</v>
      </c>
      <c r="I1794" s="28" t="s">
        <v>19</v>
      </c>
      <c r="J1794" s="43"/>
    </row>
    <row r="1795" spans="1:10" customFormat="1" ht="15" hidden="1" customHeight="1" x14ac:dyDescent="0.25">
      <c r="A1795" s="37">
        <v>45162</v>
      </c>
      <c r="B1795" s="188" t="s">
        <v>4950</v>
      </c>
      <c r="C1795" s="18" t="s">
        <v>3373</v>
      </c>
      <c r="D1795" s="18" t="s">
        <v>3374</v>
      </c>
      <c r="E1795" s="73">
        <v>11400</v>
      </c>
      <c r="F1795" s="114">
        <v>191250</v>
      </c>
      <c r="G1795" s="73">
        <v>40162.5</v>
      </c>
      <c r="H1795" s="73">
        <v>242812.5</v>
      </c>
      <c r="I1795" s="28" t="s">
        <v>19</v>
      </c>
      <c r="J1795" s="43"/>
    </row>
    <row r="1796" spans="1:10" customFormat="1" ht="15" hidden="1" customHeight="1" x14ac:dyDescent="0.25">
      <c r="A1796" s="37">
        <v>45162</v>
      </c>
      <c r="B1796" s="188" t="s">
        <v>4951</v>
      </c>
      <c r="C1796" s="18" t="s">
        <v>2921</v>
      </c>
      <c r="D1796" s="18" t="s">
        <v>2922</v>
      </c>
      <c r="E1796" s="73">
        <v>0</v>
      </c>
      <c r="F1796" s="114">
        <v>52500</v>
      </c>
      <c r="G1796" s="73">
        <v>11025</v>
      </c>
      <c r="H1796" s="73">
        <v>63525</v>
      </c>
      <c r="I1796" s="28" t="s">
        <v>19</v>
      </c>
      <c r="J1796" s="43"/>
    </row>
    <row r="1797" spans="1:10" customFormat="1" ht="15" hidden="1" customHeight="1" x14ac:dyDescent="0.25">
      <c r="A1797" s="37">
        <v>45162</v>
      </c>
      <c r="B1797" s="188" t="s">
        <v>4952</v>
      </c>
      <c r="C1797" s="18" t="s">
        <v>2909</v>
      </c>
      <c r="D1797" s="18" t="s">
        <v>2910</v>
      </c>
      <c r="E1797" s="73">
        <v>0</v>
      </c>
      <c r="F1797" s="114">
        <v>61250</v>
      </c>
      <c r="G1797" s="73">
        <v>12862.5</v>
      </c>
      <c r="H1797" s="73">
        <v>74112.5</v>
      </c>
      <c r="I1797" s="28" t="s">
        <v>19</v>
      </c>
      <c r="J1797" s="43"/>
    </row>
    <row r="1798" spans="1:10" customFormat="1" ht="15" hidden="1" customHeight="1" x14ac:dyDescent="0.25">
      <c r="A1798" s="37">
        <v>45162</v>
      </c>
      <c r="B1798" s="188" t="s">
        <v>4953</v>
      </c>
      <c r="C1798" s="18" t="s">
        <v>3358</v>
      </c>
      <c r="D1798" s="18" t="s">
        <v>3359</v>
      </c>
      <c r="E1798" s="73">
        <v>6300</v>
      </c>
      <c r="F1798" s="114">
        <v>77500</v>
      </c>
      <c r="G1798" s="73">
        <v>16275</v>
      </c>
      <c r="H1798" s="73">
        <v>100075</v>
      </c>
      <c r="I1798" s="28" t="s">
        <v>19</v>
      </c>
      <c r="J1798" s="43"/>
    </row>
    <row r="1799" spans="1:10" customFormat="1" ht="15" hidden="1" customHeight="1" x14ac:dyDescent="0.25">
      <c r="A1799" s="37">
        <v>45162</v>
      </c>
      <c r="B1799" s="188" t="s">
        <v>4954</v>
      </c>
      <c r="C1799" s="18" t="s">
        <v>2880</v>
      </c>
      <c r="D1799" s="18" t="s">
        <v>2881</v>
      </c>
      <c r="E1799" s="73">
        <v>30000</v>
      </c>
      <c r="F1799" s="114">
        <v>686250</v>
      </c>
      <c r="G1799" s="73">
        <v>144112.5</v>
      </c>
      <c r="H1799" s="73">
        <v>860362.5</v>
      </c>
      <c r="I1799" s="28" t="s">
        <v>19</v>
      </c>
      <c r="J1799" s="43"/>
    </row>
    <row r="1800" spans="1:10" customFormat="1" ht="15" hidden="1" customHeight="1" x14ac:dyDescent="0.25">
      <c r="A1800" s="37">
        <v>45163</v>
      </c>
      <c r="B1800" s="188" t="s">
        <v>4955</v>
      </c>
      <c r="C1800" s="18" t="s">
        <v>2892</v>
      </c>
      <c r="D1800" s="18" t="s">
        <v>2893</v>
      </c>
      <c r="E1800" s="73">
        <v>0</v>
      </c>
      <c r="F1800" s="114">
        <v>52500</v>
      </c>
      <c r="G1800" s="73">
        <v>11025</v>
      </c>
      <c r="H1800" s="73">
        <v>63525</v>
      </c>
      <c r="I1800" s="28" t="s">
        <v>19</v>
      </c>
      <c r="J1800" s="43"/>
    </row>
    <row r="1801" spans="1:10" customFormat="1" ht="15" hidden="1" customHeight="1" x14ac:dyDescent="0.25">
      <c r="A1801" s="37">
        <v>45163</v>
      </c>
      <c r="B1801" s="188" t="s">
        <v>4956</v>
      </c>
      <c r="C1801" s="18" t="s">
        <v>2921</v>
      </c>
      <c r="D1801" s="18" t="s">
        <v>2922</v>
      </c>
      <c r="E1801" s="73">
        <v>0</v>
      </c>
      <c r="F1801" s="114">
        <v>52500</v>
      </c>
      <c r="G1801" s="73">
        <v>11025</v>
      </c>
      <c r="H1801" s="73">
        <v>63525</v>
      </c>
      <c r="I1801" s="28" t="s">
        <v>19</v>
      </c>
      <c r="J1801" s="43"/>
    </row>
    <row r="1802" spans="1:10" customFormat="1" ht="15" hidden="1" customHeight="1" x14ac:dyDescent="0.25">
      <c r="A1802" s="37">
        <v>45163</v>
      </c>
      <c r="B1802" s="188" t="s">
        <v>4957</v>
      </c>
      <c r="C1802" s="18" t="s">
        <v>2909</v>
      </c>
      <c r="D1802" s="18" t="s">
        <v>2910</v>
      </c>
      <c r="E1802" s="73">
        <v>11000</v>
      </c>
      <c r="F1802" s="114">
        <v>242500</v>
      </c>
      <c r="G1802" s="73">
        <v>50925</v>
      </c>
      <c r="H1802" s="73">
        <v>304425</v>
      </c>
      <c r="I1802" s="28" t="s">
        <v>19</v>
      </c>
      <c r="J1802" s="43"/>
    </row>
    <row r="1803" spans="1:10" customFormat="1" ht="15" hidden="1" customHeight="1" x14ac:dyDescent="0.25">
      <c r="A1803" s="37">
        <v>45163</v>
      </c>
      <c r="B1803" s="188" t="s">
        <v>4958</v>
      </c>
      <c r="C1803" s="18" t="s">
        <v>2921</v>
      </c>
      <c r="D1803" s="18" t="s">
        <v>2922</v>
      </c>
      <c r="E1803" s="73">
        <v>24400</v>
      </c>
      <c r="F1803" s="114">
        <v>270000</v>
      </c>
      <c r="G1803" s="73">
        <v>56700</v>
      </c>
      <c r="H1803" s="73">
        <v>351100</v>
      </c>
      <c r="I1803" s="28" t="s">
        <v>19</v>
      </c>
      <c r="J1803" s="43"/>
    </row>
    <row r="1804" spans="1:10" customFormat="1" ht="15" hidden="1" customHeight="1" x14ac:dyDescent="0.25">
      <c r="A1804" s="37">
        <v>45163</v>
      </c>
      <c r="B1804" s="188" t="s">
        <v>4959</v>
      </c>
      <c r="C1804" s="18" t="s">
        <v>2945</v>
      </c>
      <c r="D1804" s="18" t="s">
        <v>2946</v>
      </c>
      <c r="E1804" s="73">
        <v>23760</v>
      </c>
      <c r="F1804" s="114">
        <v>307500</v>
      </c>
      <c r="G1804" s="73">
        <v>64575</v>
      </c>
      <c r="H1804" s="73">
        <v>395835</v>
      </c>
      <c r="I1804" s="28" t="s">
        <v>19</v>
      </c>
      <c r="J1804" s="43"/>
    </row>
    <row r="1805" spans="1:10" customFormat="1" ht="15" hidden="1" customHeight="1" x14ac:dyDescent="0.25">
      <c r="A1805" s="37">
        <v>45166</v>
      </c>
      <c r="B1805" s="188" t="s">
        <v>4960</v>
      </c>
      <c r="C1805" s="18" t="s">
        <v>4961</v>
      </c>
      <c r="D1805" s="18" t="s">
        <v>4962</v>
      </c>
      <c r="E1805" s="73">
        <v>3800</v>
      </c>
      <c r="F1805" s="114">
        <v>67500</v>
      </c>
      <c r="G1805" s="73">
        <v>14175</v>
      </c>
      <c r="H1805" s="73">
        <v>85475</v>
      </c>
      <c r="I1805" s="28" t="s">
        <v>19</v>
      </c>
      <c r="J1805" s="43"/>
    </row>
    <row r="1806" spans="1:10" customFormat="1" ht="15" hidden="1" customHeight="1" x14ac:dyDescent="0.25">
      <c r="A1806" s="37">
        <v>45166</v>
      </c>
      <c r="B1806" s="188" t="s">
        <v>4963</v>
      </c>
      <c r="C1806" s="18" t="s">
        <v>3083</v>
      </c>
      <c r="D1806" s="18" t="s">
        <v>3084</v>
      </c>
      <c r="E1806" s="73">
        <v>20760</v>
      </c>
      <c r="F1806" s="114">
        <v>307500</v>
      </c>
      <c r="G1806" s="73">
        <v>64575</v>
      </c>
      <c r="H1806" s="73">
        <v>392835</v>
      </c>
      <c r="I1806" s="28" t="s">
        <v>19</v>
      </c>
      <c r="J1806" s="43"/>
    </row>
    <row r="1807" spans="1:10" customFormat="1" ht="15" hidden="1" customHeight="1" x14ac:dyDescent="0.25">
      <c r="A1807" s="37">
        <v>45166</v>
      </c>
      <c r="B1807" s="188" t="s">
        <v>4964</v>
      </c>
      <c r="C1807" s="18" t="s">
        <v>2921</v>
      </c>
      <c r="D1807" s="18" t="s">
        <v>2922</v>
      </c>
      <c r="E1807" s="73">
        <v>12160</v>
      </c>
      <c r="F1807" s="114">
        <v>366000</v>
      </c>
      <c r="G1807" s="73">
        <v>76860</v>
      </c>
      <c r="H1807" s="73">
        <v>455020</v>
      </c>
      <c r="I1807" s="28" t="s">
        <v>19</v>
      </c>
      <c r="J1807" s="43"/>
    </row>
    <row r="1808" spans="1:10" customFormat="1" ht="15" hidden="1" customHeight="1" x14ac:dyDescent="0.25">
      <c r="A1808" s="37">
        <v>45166</v>
      </c>
      <c r="B1808" s="188" t="s">
        <v>4965</v>
      </c>
      <c r="C1808" s="18" t="s">
        <v>2880</v>
      </c>
      <c r="D1808" s="18" t="s">
        <v>2881</v>
      </c>
      <c r="E1808" s="73">
        <v>19840</v>
      </c>
      <c r="F1808" s="114">
        <v>807000</v>
      </c>
      <c r="G1808" s="73">
        <v>169470</v>
      </c>
      <c r="H1808" s="73">
        <v>996310</v>
      </c>
      <c r="I1808" s="28" t="s">
        <v>19</v>
      </c>
      <c r="J1808" s="43"/>
    </row>
    <row r="1809" spans="1:10" customFormat="1" ht="15" hidden="1" customHeight="1" x14ac:dyDescent="0.25">
      <c r="A1809" s="37">
        <v>45166</v>
      </c>
      <c r="B1809" s="188" t="s">
        <v>4966</v>
      </c>
      <c r="C1809" s="18" t="s">
        <v>2927</v>
      </c>
      <c r="D1809" s="18" t="s">
        <v>2928</v>
      </c>
      <c r="E1809" s="73">
        <v>10380</v>
      </c>
      <c r="F1809" s="114">
        <v>172500</v>
      </c>
      <c r="G1809" s="73">
        <v>36225</v>
      </c>
      <c r="H1809" s="73">
        <v>219105</v>
      </c>
      <c r="I1809" s="28" t="s">
        <v>19</v>
      </c>
      <c r="J1809" s="43"/>
    </row>
    <row r="1810" spans="1:10" customFormat="1" ht="15" hidden="1" customHeight="1" x14ac:dyDescent="0.25">
      <c r="A1810" s="37">
        <v>45166</v>
      </c>
      <c r="B1810" s="188" t="s">
        <v>4967</v>
      </c>
      <c r="C1810" s="18" t="s">
        <v>3007</v>
      </c>
      <c r="D1810" s="18" t="s">
        <v>3008</v>
      </c>
      <c r="E1810" s="73">
        <v>15000</v>
      </c>
      <c r="F1810" s="114">
        <v>172500</v>
      </c>
      <c r="G1810" s="73">
        <v>36225</v>
      </c>
      <c r="H1810" s="73">
        <v>223725</v>
      </c>
      <c r="I1810" s="28" t="s">
        <v>19</v>
      </c>
      <c r="J1810" s="43"/>
    </row>
    <row r="1811" spans="1:10" customFormat="1" ht="15" hidden="1" customHeight="1" x14ac:dyDescent="0.25">
      <c r="A1811" s="37">
        <v>45166</v>
      </c>
      <c r="B1811" s="188" t="s">
        <v>4968</v>
      </c>
      <c r="C1811" s="18" t="s">
        <v>3007</v>
      </c>
      <c r="D1811" s="18" t="s">
        <v>3008</v>
      </c>
      <c r="E1811" s="73">
        <v>30000</v>
      </c>
      <c r="F1811" s="114">
        <v>412500</v>
      </c>
      <c r="G1811" s="73">
        <v>86625</v>
      </c>
      <c r="H1811" s="73">
        <v>529125</v>
      </c>
      <c r="I1811" s="28" t="s">
        <v>19</v>
      </c>
      <c r="J1811" s="43"/>
    </row>
    <row r="1812" spans="1:10" customFormat="1" ht="15" hidden="1" customHeight="1" x14ac:dyDescent="0.25">
      <c r="A1812" s="37">
        <v>45167</v>
      </c>
      <c r="B1812" s="188" t="s">
        <v>4969</v>
      </c>
      <c r="C1812" s="18" t="s">
        <v>2921</v>
      </c>
      <c r="D1812" s="18" t="s">
        <v>2922</v>
      </c>
      <c r="E1812" s="73">
        <v>12000</v>
      </c>
      <c r="F1812" s="114">
        <v>150000</v>
      </c>
      <c r="G1812" s="73">
        <v>31500</v>
      </c>
      <c r="H1812" s="73">
        <v>193500</v>
      </c>
      <c r="I1812" s="28" t="s">
        <v>19</v>
      </c>
      <c r="J1812" s="43"/>
    </row>
    <row r="1813" spans="1:10" customFormat="1" ht="15" hidden="1" customHeight="1" x14ac:dyDescent="0.25">
      <c r="A1813" s="37">
        <v>45167</v>
      </c>
      <c r="B1813" s="188" t="s">
        <v>4970</v>
      </c>
      <c r="C1813" s="18" t="s">
        <v>2921</v>
      </c>
      <c r="D1813" s="18" t="s">
        <v>2922</v>
      </c>
      <c r="E1813" s="73">
        <v>12000</v>
      </c>
      <c r="F1813" s="114">
        <v>187500</v>
      </c>
      <c r="G1813" s="73">
        <v>39375</v>
      </c>
      <c r="H1813" s="73">
        <v>238875</v>
      </c>
      <c r="I1813" s="28" t="s">
        <v>19</v>
      </c>
      <c r="J1813" s="43"/>
    </row>
    <row r="1814" spans="1:10" customFormat="1" ht="15" hidden="1" customHeight="1" x14ac:dyDescent="0.25">
      <c r="A1814" s="37">
        <v>45167</v>
      </c>
      <c r="B1814" s="188" t="s">
        <v>4971</v>
      </c>
      <c r="C1814" s="18" t="s">
        <v>2867</v>
      </c>
      <c r="D1814" s="18" t="s">
        <v>2868</v>
      </c>
      <c r="E1814" s="73">
        <v>11000</v>
      </c>
      <c r="F1814" s="114">
        <v>193750</v>
      </c>
      <c r="G1814" s="73">
        <v>40687.5</v>
      </c>
      <c r="H1814" s="73">
        <v>245437.5</v>
      </c>
      <c r="I1814" s="28" t="s">
        <v>19</v>
      </c>
      <c r="J1814" s="43"/>
    </row>
    <row r="1815" spans="1:10" customFormat="1" ht="15" hidden="1" customHeight="1" x14ac:dyDescent="0.25">
      <c r="A1815" s="37">
        <v>45167</v>
      </c>
      <c r="B1815" s="188" t="s">
        <v>4972</v>
      </c>
      <c r="C1815" s="18" t="s">
        <v>3238</v>
      </c>
      <c r="D1815" s="18" t="s">
        <v>3239</v>
      </c>
      <c r="E1815" s="73">
        <v>6200</v>
      </c>
      <c r="F1815" s="114">
        <v>205000</v>
      </c>
      <c r="G1815" s="73">
        <v>43050</v>
      </c>
      <c r="H1815" s="73">
        <v>254250</v>
      </c>
      <c r="I1815" s="28" t="s">
        <v>19</v>
      </c>
      <c r="J1815" s="43"/>
    </row>
    <row r="1816" spans="1:10" customFormat="1" ht="15" hidden="1" customHeight="1" x14ac:dyDescent="0.25">
      <c r="A1816" s="37">
        <v>45167</v>
      </c>
      <c r="B1816" s="188" t="s">
        <v>4973</v>
      </c>
      <c r="C1816" s="18" t="s">
        <v>2867</v>
      </c>
      <c r="D1816" s="18" t="s">
        <v>2868</v>
      </c>
      <c r="E1816" s="73">
        <v>5840</v>
      </c>
      <c r="F1816" s="114">
        <v>91500</v>
      </c>
      <c r="G1816" s="73">
        <v>19215</v>
      </c>
      <c r="H1816" s="73">
        <v>116555</v>
      </c>
      <c r="I1816" s="28" t="s">
        <v>19</v>
      </c>
      <c r="J1816" s="43"/>
    </row>
    <row r="1817" spans="1:10" customFormat="1" ht="15" hidden="1" customHeight="1" x14ac:dyDescent="0.25">
      <c r="A1817" s="37">
        <v>45167</v>
      </c>
      <c r="B1817" s="188" t="s">
        <v>4974</v>
      </c>
      <c r="C1817" s="18" t="s">
        <v>3176</v>
      </c>
      <c r="D1817" s="18" t="s">
        <v>3177</v>
      </c>
      <c r="E1817" s="73">
        <v>4240</v>
      </c>
      <c r="F1817" s="114">
        <v>75000</v>
      </c>
      <c r="G1817" s="73">
        <v>15750</v>
      </c>
      <c r="H1817" s="73">
        <v>94990</v>
      </c>
      <c r="I1817" s="28" t="s">
        <v>19</v>
      </c>
      <c r="J1817" s="43"/>
    </row>
    <row r="1818" spans="1:10" customFormat="1" ht="15" hidden="1" customHeight="1" x14ac:dyDescent="0.25">
      <c r="A1818" s="37">
        <v>45167</v>
      </c>
      <c r="B1818" s="188" t="s">
        <v>4975</v>
      </c>
      <c r="C1818" s="18" t="s">
        <v>2867</v>
      </c>
      <c r="D1818" s="18" t="s">
        <v>2868</v>
      </c>
      <c r="E1818" s="73">
        <v>20000</v>
      </c>
      <c r="F1818" s="114">
        <v>412500</v>
      </c>
      <c r="G1818" s="73">
        <v>86625</v>
      </c>
      <c r="H1818" s="73">
        <v>519125</v>
      </c>
      <c r="I1818" s="28" t="s">
        <v>19</v>
      </c>
      <c r="J1818" s="43"/>
    </row>
    <row r="1819" spans="1:10" customFormat="1" ht="15" hidden="1" customHeight="1" x14ac:dyDescent="0.25">
      <c r="A1819" s="37">
        <v>45167</v>
      </c>
      <c r="B1819" s="188" t="s">
        <v>4976</v>
      </c>
      <c r="C1819" s="18" t="s">
        <v>4977</v>
      </c>
      <c r="D1819" s="18" t="s">
        <v>4978</v>
      </c>
      <c r="E1819" s="73">
        <v>9200</v>
      </c>
      <c r="F1819" s="114">
        <v>150000</v>
      </c>
      <c r="G1819" s="73">
        <v>31500</v>
      </c>
      <c r="H1819" s="73">
        <v>190700</v>
      </c>
      <c r="I1819" s="28" t="s">
        <v>19</v>
      </c>
      <c r="J1819" s="43"/>
    </row>
    <row r="1820" spans="1:10" customFormat="1" ht="15" hidden="1" customHeight="1" x14ac:dyDescent="0.25">
      <c r="A1820" s="37">
        <v>45167</v>
      </c>
      <c r="B1820" s="188" t="s">
        <v>4979</v>
      </c>
      <c r="C1820" s="18" t="s">
        <v>2909</v>
      </c>
      <c r="D1820" s="18" t="s">
        <v>2910</v>
      </c>
      <c r="E1820" s="73">
        <v>11000</v>
      </c>
      <c r="F1820" s="114">
        <v>153750</v>
      </c>
      <c r="G1820" s="73">
        <v>32287.5</v>
      </c>
      <c r="H1820" s="73">
        <v>197037.5</v>
      </c>
      <c r="I1820" s="28" t="s">
        <v>19</v>
      </c>
      <c r="J1820" s="43"/>
    </row>
    <row r="1821" spans="1:10" customFormat="1" ht="15" hidden="1" customHeight="1" x14ac:dyDescent="0.25">
      <c r="A1821" s="37">
        <v>45167</v>
      </c>
      <c r="B1821" s="188" t="s">
        <v>4980</v>
      </c>
      <c r="C1821" s="18" t="s">
        <v>2880</v>
      </c>
      <c r="D1821" s="18" t="s">
        <v>2881</v>
      </c>
      <c r="E1821" s="73">
        <v>47000</v>
      </c>
      <c r="F1821" s="114">
        <v>573750</v>
      </c>
      <c r="G1821" s="73">
        <v>120487.5</v>
      </c>
      <c r="H1821" s="73">
        <v>741237.5</v>
      </c>
      <c r="I1821" s="28" t="s">
        <v>19</v>
      </c>
      <c r="J1821" s="43"/>
    </row>
    <row r="1822" spans="1:10" customFormat="1" ht="15" hidden="1" customHeight="1" x14ac:dyDescent="0.25">
      <c r="A1822" s="37">
        <v>45167</v>
      </c>
      <c r="B1822" s="188" t="s">
        <v>4981</v>
      </c>
      <c r="C1822" s="18" t="s">
        <v>2964</v>
      </c>
      <c r="D1822" s="18" t="s">
        <v>2965</v>
      </c>
      <c r="E1822" s="73">
        <v>9200</v>
      </c>
      <c r="F1822" s="114">
        <v>67500</v>
      </c>
      <c r="G1822" s="73">
        <v>14175</v>
      </c>
      <c r="H1822" s="73">
        <v>90875</v>
      </c>
      <c r="I1822" s="28" t="s">
        <v>19</v>
      </c>
      <c r="J1822" s="43"/>
    </row>
    <row r="1823" spans="1:10" customFormat="1" ht="15" hidden="1" customHeight="1" x14ac:dyDescent="0.25">
      <c r="A1823" s="37">
        <v>45168</v>
      </c>
      <c r="B1823" s="188" t="s">
        <v>4982</v>
      </c>
      <c r="C1823" s="18" t="s">
        <v>2903</v>
      </c>
      <c r="D1823" s="18" t="s">
        <v>2904</v>
      </c>
      <c r="E1823" s="73">
        <v>11000</v>
      </c>
      <c r="F1823" s="114">
        <v>67500</v>
      </c>
      <c r="G1823" s="73">
        <v>14175</v>
      </c>
      <c r="H1823" s="73">
        <v>92675</v>
      </c>
      <c r="I1823" s="28" t="s">
        <v>19</v>
      </c>
      <c r="J1823" s="43"/>
    </row>
    <row r="1824" spans="1:10" customFormat="1" ht="15" hidden="1" customHeight="1" x14ac:dyDescent="0.25">
      <c r="A1824" s="37">
        <v>45168</v>
      </c>
      <c r="B1824" s="188" t="s">
        <v>4983</v>
      </c>
      <c r="C1824" s="18" t="s">
        <v>2903</v>
      </c>
      <c r="D1824" s="18" t="s">
        <v>2904</v>
      </c>
      <c r="E1824" s="73">
        <v>11000</v>
      </c>
      <c r="F1824" s="114">
        <v>67500</v>
      </c>
      <c r="G1824" s="73">
        <v>14175</v>
      </c>
      <c r="H1824" s="73">
        <v>92675</v>
      </c>
      <c r="I1824" s="28" t="s">
        <v>19</v>
      </c>
      <c r="J1824" s="43"/>
    </row>
    <row r="1825" spans="1:10" customFormat="1" ht="15" hidden="1" customHeight="1" x14ac:dyDescent="0.25">
      <c r="A1825" s="37">
        <v>45168</v>
      </c>
      <c r="B1825" s="188" t="s">
        <v>4984</v>
      </c>
      <c r="C1825" s="18" t="s">
        <v>2921</v>
      </c>
      <c r="D1825" s="18" t="s">
        <v>2922</v>
      </c>
      <c r="E1825" s="73">
        <v>17500</v>
      </c>
      <c r="F1825" s="114">
        <v>164750</v>
      </c>
      <c r="G1825" s="73">
        <v>34597.5</v>
      </c>
      <c r="H1825" s="73">
        <v>216847.5</v>
      </c>
      <c r="I1825" s="28" t="s">
        <v>19</v>
      </c>
      <c r="J1825" s="43"/>
    </row>
    <row r="1826" spans="1:10" customFormat="1" ht="15" hidden="1" customHeight="1" x14ac:dyDescent="0.25">
      <c r="A1826" s="37">
        <v>45168</v>
      </c>
      <c r="B1826" s="188" t="s">
        <v>4985</v>
      </c>
      <c r="C1826" s="18" t="s">
        <v>2954</v>
      </c>
      <c r="D1826" s="18" t="s">
        <v>2955</v>
      </c>
      <c r="E1826" s="73">
        <v>6280</v>
      </c>
      <c r="F1826" s="114">
        <v>118500</v>
      </c>
      <c r="G1826" s="73">
        <v>24885</v>
      </c>
      <c r="H1826" s="73">
        <v>149665</v>
      </c>
      <c r="I1826" s="28" t="s">
        <v>19</v>
      </c>
      <c r="J1826" s="43"/>
    </row>
    <row r="1827" spans="1:10" customFormat="1" ht="15" hidden="1" customHeight="1" x14ac:dyDescent="0.25">
      <c r="A1827" s="37">
        <v>45168</v>
      </c>
      <c r="B1827" s="188" t="s">
        <v>4986</v>
      </c>
      <c r="C1827" s="18" t="s">
        <v>2954</v>
      </c>
      <c r="D1827" s="18" t="s">
        <v>2955</v>
      </c>
      <c r="E1827" s="73">
        <v>6280</v>
      </c>
      <c r="F1827" s="114">
        <v>118500</v>
      </c>
      <c r="G1827" s="73">
        <v>24885</v>
      </c>
      <c r="H1827" s="73">
        <v>149665</v>
      </c>
      <c r="I1827" s="28" t="s">
        <v>19</v>
      </c>
      <c r="J1827" s="43"/>
    </row>
    <row r="1828" spans="1:10" customFormat="1" ht="15" hidden="1" customHeight="1" x14ac:dyDescent="0.25">
      <c r="A1828" s="37">
        <v>45168</v>
      </c>
      <c r="B1828" s="188" t="s">
        <v>4987</v>
      </c>
      <c r="C1828" s="18" t="s">
        <v>2903</v>
      </c>
      <c r="D1828" s="18" t="s">
        <v>2904</v>
      </c>
      <c r="E1828" s="73">
        <v>8900</v>
      </c>
      <c r="F1828" s="114">
        <v>67500</v>
      </c>
      <c r="G1828" s="73">
        <v>14175</v>
      </c>
      <c r="H1828" s="73">
        <v>90575</v>
      </c>
      <c r="I1828" s="28" t="s">
        <v>19</v>
      </c>
      <c r="J1828" s="43"/>
    </row>
    <row r="1829" spans="1:10" customFormat="1" ht="15" hidden="1" customHeight="1" x14ac:dyDescent="0.25">
      <c r="A1829" s="37">
        <v>45168</v>
      </c>
      <c r="B1829" s="188" t="s">
        <v>4988</v>
      </c>
      <c r="C1829" s="18" t="s">
        <v>3300</v>
      </c>
      <c r="D1829" s="18" t="s">
        <v>3301</v>
      </c>
      <c r="E1829" s="73">
        <v>0</v>
      </c>
      <c r="F1829" s="114">
        <v>76500</v>
      </c>
      <c r="G1829" s="73">
        <v>16065</v>
      </c>
      <c r="H1829" s="73">
        <v>92565</v>
      </c>
      <c r="I1829" s="28" t="s">
        <v>19</v>
      </c>
      <c r="J1829" s="43"/>
    </row>
    <row r="1830" spans="1:10" customFormat="1" ht="15" hidden="1" customHeight="1" x14ac:dyDescent="0.25">
      <c r="A1830" s="37">
        <v>45168</v>
      </c>
      <c r="B1830" s="188" t="s">
        <v>4989</v>
      </c>
      <c r="C1830" s="18" t="s">
        <v>2945</v>
      </c>
      <c r="D1830" s="18" t="s">
        <v>2946</v>
      </c>
      <c r="E1830" s="73">
        <v>23760</v>
      </c>
      <c r="F1830" s="114">
        <v>307500</v>
      </c>
      <c r="G1830" s="73">
        <v>64575</v>
      </c>
      <c r="H1830" s="73">
        <v>395835</v>
      </c>
      <c r="I1830" s="28" t="s">
        <v>19</v>
      </c>
      <c r="J1830" s="43"/>
    </row>
    <row r="1831" spans="1:10" customFormat="1" ht="15" hidden="1" customHeight="1" x14ac:dyDescent="0.25">
      <c r="A1831" s="37">
        <v>45168</v>
      </c>
      <c r="B1831" s="188" t="s">
        <v>4990</v>
      </c>
      <c r="C1831" s="18" t="s">
        <v>4059</v>
      </c>
      <c r="D1831" s="18" t="s">
        <v>4060</v>
      </c>
      <c r="E1831" s="73">
        <v>6280</v>
      </c>
      <c r="F1831" s="114">
        <v>75000</v>
      </c>
      <c r="G1831" s="73">
        <v>15750</v>
      </c>
      <c r="H1831" s="73">
        <v>97030</v>
      </c>
      <c r="I1831" s="28" t="s">
        <v>19</v>
      </c>
      <c r="J1831" s="43"/>
    </row>
    <row r="1832" spans="1:10" customFormat="1" ht="15" hidden="1" customHeight="1" x14ac:dyDescent="0.25">
      <c r="A1832" s="37">
        <v>45168</v>
      </c>
      <c r="B1832" s="188" t="s">
        <v>4991</v>
      </c>
      <c r="C1832" s="18" t="s">
        <v>3029</v>
      </c>
      <c r="D1832" s="18" t="s">
        <v>3030</v>
      </c>
      <c r="E1832" s="73">
        <v>6280</v>
      </c>
      <c r="F1832" s="114">
        <v>75000</v>
      </c>
      <c r="G1832" s="73">
        <v>15750</v>
      </c>
      <c r="H1832" s="73">
        <v>97030</v>
      </c>
      <c r="I1832" s="28" t="s">
        <v>19</v>
      </c>
      <c r="J1832" s="43"/>
    </row>
    <row r="1833" spans="1:10" customFormat="1" ht="15" hidden="1" customHeight="1" x14ac:dyDescent="0.25">
      <c r="A1833" s="37">
        <v>45168</v>
      </c>
      <c r="B1833" s="188" t="s">
        <v>4992</v>
      </c>
      <c r="C1833" s="18" t="s">
        <v>2997</v>
      </c>
      <c r="D1833" s="18" t="s">
        <v>2998</v>
      </c>
      <c r="E1833" s="73">
        <v>7920</v>
      </c>
      <c r="F1833" s="114">
        <v>102500</v>
      </c>
      <c r="G1833" s="73">
        <v>21525</v>
      </c>
      <c r="H1833" s="73">
        <v>131945</v>
      </c>
      <c r="I1833" s="28" t="s">
        <v>19</v>
      </c>
      <c r="J1833" s="43"/>
    </row>
    <row r="1834" spans="1:10" customFormat="1" ht="15" hidden="1" customHeight="1" x14ac:dyDescent="0.25">
      <c r="A1834" s="37">
        <v>45168</v>
      </c>
      <c r="B1834" s="188" t="s">
        <v>4993</v>
      </c>
      <c r="C1834" s="18" t="s">
        <v>2997</v>
      </c>
      <c r="D1834" s="18" t="s">
        <v>2998</v>
      </c>
      <c r="E1834" s="73">
        <v>7920</v>
      </c>
      <c r="F1834" s="114">
        <v>102500</v>
      </c>
      <c r="G1834" s="73">
        <v>21525</v>
      </c>
      <c r="H1834" s="73">
        <v>131945</v>
      </c>
      <c r="I1834" s="28" t="s">
        <v>19</v>
      </c>
      <c r="J1834" s="43"/>
    </row>
    <row r="1835" spans="1:10" customFormat="1" ht="15" hidden="1" customHeight="1" x14ac:dyDescent="0.25">
      <c r="A1835" s="37">
        <v>45168</v>
      </c>
      <c r="B1835" s="188" t="s">
        <v>4994</v>
      </c>
      <c r="C1835" s="18" t="s">
        <v>2997</v>
      </c>
      <c r="D1835" s="18" t="s">
        <v>2998</v>
      </c>
      <c r="E1835" s="73">
        <v>7920</v>
      </c>
      <c r="F1835" s="114">
        <v>102500</v>
      </c>
      <c r="G1835" s="73">
        <v>21525</v>
      </c>
      <c r="H1835" s="73">
        <v>131945</v>
      </c>
      <c r="I1835" s="28" t="s">
        <v>19</v>
      </c>
      <c r="J1835" s="43"/>
    </row>
    <row r="1836" spans="1:10" customFormat="1" ht="15" hidden="1" customHeight="1" x14ac:dyDescent="0.25">
      <c r="A1836" s="40">
        <v>45168</v>
      </c>
      <c r="B1836" s="11" t="s">
        <v>4995</v>
      </c>
      <c r="C1836" s="74" t="s">
        <v>3272</v>
      </c>
      <c r="D1836" s="74" t="s">
        <v>3273</v>
      </c>
      <c r="E1836" s="73">
        <v>16400</v>
      </c>
      <c r="F1836" s="114">
        <v>150000</v>
      </c>
      <c r="G1836" s="73">
        <v>31500</v>
      </c>
      <c r="H1836" s="73">
        <v>197900</v>
      </c>
      <c r="I1836" s="41" t="s">
        <v>19</v>
      </c>
      <c r="J1836" s="49"/>
    </row>
    <row r="1837" spans="1:10" customFormat="1" ht="15" hidden="1" customHeight="1" x14ac:dyDescent="0.25">
      <c r="A1837" s="37">
        <v>45168</v>
      </c>
      <c r="B1837" s="188" t="s">
        <v>4996</v>
      </c>
      <c r="C1837" s="18" t="s">
        <v>3041</v>
      </c>
      <c r="D1837" s="18" t="s">
        <v>3042</v>
      </c>
      <c r="E1837" s="73">
        <v>8200</v>
      </c>
      <c r="F1837" s="114">
        <v>112500</v>
      </c>
      <c r="G1837" s="73">
        <v>23625</v>
      </c>
      <c r="H1837" s="73">
        <v>144325</v>
      </c>
      <c r="I1837" s="28" t="s">
        <v>19</v>
      </c>
      <c r="J1837" s="43"/>
    </row>
    <row r="1838" spans="1:10" customFormat="1" ht="15" hidden="1" customHeight="1" x14ac:dyDescent="0.25">
      <c r="A1838" s="37">
        <v>45168</v>
      </c>
      <c r="B1838" s="188" t="s">
        <v>4997</v>
      </c>
      <c r="C1838" s="18" t="s">
        <v>3083</v>
      </c>
      <c r="D1838" s="18" t="s">
        <v>3084</v>
      </c>
      <c r="E1838" s="73">
        <v>12600</v>
      </c>
      <c r="F1838" s="114">
        <v>155000</v>
      </c>
      <c r="G1838" s="73">
        <v>32550</v>
      </c>
      <c r="H1838" s="73">
        <v>200150</v>
      </c>
      <c r="I1838" s="28" t="s">
        <v>19</v>
      </c>
      <c r="J1838" s="43"/>
    </row>
    <row r="1839" spans="1:10" customFormat="1" ht="15" hidden="1" customHeight="1" x14ac:dyDescent="0.25">
      <c r="A1839" s="37">
        <v>45168</v>
      </c>
      <c r="B1839" s="188" t="s">
        <v>4998</v>
      </c>
      <c r="C1839" s="18" t="s">
        <v>3083</v>
      </c>
      <c r="D1839" s="18" t="s">
        <v>3084</v>
      </c>
      <c r="E1839" s="73">
        <v>33400</v>
      </c>
      <c r="F1839" s="114">
        <v>307500</v>
      </c>
      <c r="G1839" s="73">
        <v>64575</v>
      </c>
      <c r="H1839" s="73">
        <v>405475</v>
      </c>
      <c r="I1839" s="28" t="s">
        <v>19</v>
      </c>
      <c r="J1839" s="43"/>
    </row>
    <row r="1840" spans="1:10" customFormat="1" ht="15" hidden="1" customHeight="1" x14ac:dyDescent="0.25">
      <c r="A1840" s="37">
        <v>45168</v>
      </c>
      <c r="B1840" s="188" t="s">
        <v>4999</v>
      </c>
      <c r="C1840" s="18" t="s">
        <v>2903</v>
      </c>
      <c r="D1840" s="18" t="s">
        <v>2904</v>
      </c>
      <c r="E1840" s="73">
        <v>6280</v>
      </c>
      <c r="F1840" s="114">
        <v>75000</v>
      </c>
      <c r="G1840" s="73">
        <v>15750</v>
      </c>
      <c r="H1840" s="73">
        <v>97030</v>
      </c>
      <c r="I1840" s="28" t="s">
        <v>19</v>
      </c>
      <c r="J1840" s="43"/>
    </row>
    <row r="1841" spans="1:10" customFormat="1" ht="15" hidden="1" customHeight="1" x14ac:dyDescent="0.25">
      <c r="A1841" s="37">
        <v>45168</v>
      </c>
      <c r="B1841" s="188" t="s">
        <v>5000</v>
      </c>
      <c r="C1841" s="18" t="s">
        <v>2903</v>
      </c>
      <c r="D1841" s="18" t="s">
        <v>2904</v>
      </c>
      <c r="E1841" s="73">
        <v>6280</v>
      </c>
      <c r="F1841" s="114">
        <v>75000</v>
      </c>
      <c r="G1841" s="73">
        <v>15750</v>
      </c>
      <c r="H1841" s="73">
        <v>97030</v>
      </c>
      <c r="I1841" s="28" t="s">
        <v>19</v>
      </c>
      <c r="J1841" s="43"/>
    </row>
    <row r="1842" spans="1:10" customFormat="1" ht="15" hidden="1" customHeight="1" x14ac:dyDescent="0.25">
      <c r="A1842" s="37">
        <v>45168</v>
      </c>
      <c r="B1842" s="188" t="s">
        <v>5001</v>
      </c>
      <c r="C1842" s="18" t="s">
        <v>4558</v>
      </c>
      <c r="D1842" s="18" t="s">
        <v>4559</v>
      </c>
      <c r="E1842" s="73">
        <v>8900</v>
      </c>
      <c r="F1842" s="114">
        <v>67500</v>
      </c>
      <c r="G1842" s="73">
        <v>14175</v>
      </c>
      <c r="H1842" s="73">
        <v>90575</v>
      </c>
      <c r="I1842" s="28" t="s">
        <v>19</v>
      </c>
      <c r="J1842" s="43"/>
    </row>
    <row r="1843" spans="1:10" customFormat="1" ht="15" hidden="1" customHeight="1" x14ac:dyDescent="0.25">
      <c r="A1843" s="37">
        <v>45168</v>
      </c>
      <c r="B1843" s="188" t="s">
        <v>5002</v>
      </c>
      <c r="C1843" s="18" t="s">
        <v>3029</v>
      </c>
      <c r="D1843" s="18" t="s">
        <v>3030</v>
      </c>
      <c r="E1843" s="73">
        <v>8900</v>
      </c>
      <c r="F1843" s="114">
        <v>67500</v>
      </c>
      <c r="G1843" s="73">
        <v>14175</v>
      </c>
      <c r="H1843" s="73">
        <v>90575</v>
      </c>
      <c r="I1843" s="28" t="s">
        <v>19</v>
      </c>
      <c r="J1843" s="43"/>
    </row>
    <row r="1844" spans="1:10" customFormat="1" ht="15" hidden="1" customHeight="1" x14ac:dyDescent="0.25">
      <c r="A1844" s="37">
        <v>45168</v>
      </c>
      <c r="B1844" s="188" t="s">
        <v>5003</v>
      </c>
      <c r="C1844" s="18" t="s">
        <v>2856</v>
      </c>
      <c r="D1844" s="18" t="s">
        <v>2857</v>
      </c>
      <c r="E1844" s="73">
        <v>7920</v>
      </c>
      <c r="F1844" s="114">
        <v>205000</v>
      </c>
      <c r="G1844" s="73">
        <v>43050</v>
      </c>
      <c r="H1844" s="73">
        <v>255970</v>
      </c>
      <c r="I1844" s="28" t="s">
        <v>19</v>
      </c>
      <c r="J1844" s="43"/>
    </row>
    <row r="1845" spans="1:10" customFormat="1" ht="15" hidden="1" customHeight="1" x14ac:dyDescent="0.25">
      <c r="A1845" s="37">
        <v>45168</v>
      </c>
      <c r="B1845" s="188" t="s">
        <v>5004</v>
      </c>
      <c r="C1845" s="18" t="s">
        <v>2867</v>
      </c>
      <c r="D1845" s="18" t="s">
        <v>2868</v>
      </c>
      <c r="E1845" s="73">
        <v>16000</v>
      </c>
      <c r="F1845" s="114">
        <v>242500</v>
      </c>
      <c r="G1845" s="73">
        <v>50925</v>
      </c>
      <c r="H1845" s="73">
        <v>309425</v>
      </c>
      <c r="I1845" s="28" t="s">
        <v>19</v>
      </c>
      <c r="J1845" s="43"/>
    </row>
    <row r="1846" spans="1:10" customFormat="1" ht="15" hidden="1" customHeight="1" x14ac:dyDescent="0.25">
      <c r="A1846" s="37">
        <v>45169</v>
      </c>
      <c r="B1846" s="188" t="s">
        <v>5005</v>
      </c>
      <c r="C1846" s="18" t="s">
        <v>2972</v>
      </c>
      <c r="D1846" s="18" t="s">
        <v>2973</v>
      </c>
      <c r="E1846" s="73">
        <v>7000</v>
      </c>
      <c r="F1846" s="114">
        <v>192500</v>
      </c>
      <c r="G1846" s="73">
        <v>40425</v>
      </c>
      <c r="H1846" s="73">
        <v>239925</v>
      </c>
      <c r="I1846" s="28" t="s">
        <v>19</v>
      </c>
      <c r="J1846" s="43"/>
    </row>
    <row r="1847" spans="1:10" customFormat="1" ht="15" hidden="1" customHeight="1" x14ac:dyDescent="0.25">
      <c r="A1847" s="37">
        <v>45169</v>
      </c>
      <c r="B1847" s="188" t="s">
        <v>5006</v>
      </c>
      <c r="C1847" s="18" t="s">
        <v>2972</v>
      </c>
      <c r="D1847" s="18" t="s">
        <v>2973</v>
      </c>
      <c r="E1847" s="73">
        <v>7000</v>
      </c>
      <c r="F1847" s="114">
        <v>192500</v>
      </c>
      <c r="G1847" s="73">
        <v>40425</v>
      </c>
      <c r="H1847" s="73">
        <v>239925</v>
      </c>
      <c r="I1847" s="28" t="s">
        <v>19</v>
      </c>
      <c r="J1847" s="43"/>
    </row>
    <row r="1848" spans="1:10" customFormat="1" ht="15" hidden="1" customHeight="1" x14ac:dyDescent="0.25">
      <c r="A1848" s="37">
        <v>45169</v>
      </c>
      <c r="B1848" s="188" t="s">
        <v>5007</v>
      </c>
      <c r="C1848" s="18" t="s">
        <v>2851</v>
      </c>
      <c r="D1848" s="18" t="s">
        <v>2852</v>
      </c>
      <c r="E1848" s="73">
        <v>32800</v>
      </c>
      <c r="F1848" s="114">
        <v>300000</v>
      </c>
      <c r="G1848" s="73">
        <v>63000</v>
      </c>
      <c r="H1848" s="73">
        <v>395800</v>
      </c>
      <c r="I1848" s="28" t="s">
        <v>19</v>
      </c>
      <c r="J1848" s="43"/>
    </row>
    <row r="1849" spans="1:10" customFormat="1" ht="15" hidden="1" customHeight="1" x14ac:dyDescent="0.25">
      <c r="A1849" s="37">
        <v>45169</v>
      </c>
      <c r="B1849" s="188" t="s">
        <v>5008</v>
      </c>
      <c r="C1849" s="18" t="s">
        <v>2851</v>
      </c>
      <c r="D1849" s="18" t="s">
        <v>2852</v>
      </c>
      <c r="E1849" s="73">
        <v>6800</v>
      </c>
      <c r="F1849" s="114">
        <v>177000</v>
      </c>
      <c r="G1849" s="73">
        <v>37170</v>
      </c>
      <c r="H1849" s="73">
        <v>220970</v>
      </c>
      <c r="I1849" s="28" t="s">
        <v>19</v>
      </c>
      <c r="J1849" s="43"/>
    </row>
    <row r="1850" spans="1:10" customFormat="1" ht="15" hidden="1" customHeight="1" x14ac:dyDescent="0.25">
      <c r="A1850" s="37">
        <v>45169</v>
      </c>
      <c r="B1850" s="188" t="s">
        <v>5009</v>
      </c>
      <c r="C1850" s="18" t="s">
        <v>2945</v>
      </c>
      <c r="D1850" s="18" t="s">
        <v>2946</v>
      </c>
      <c r="E1850" s="73">
        <v>15840</v>
      </c>
      <c r="F1850" s="114">
        <v>497000</v>
      </c>
      <c r="G1850" s="73">
        <v>104370</v>
      </c>
      <c r="H1850" s="73">
        <v>617210</v>
      </c>
      <c r="I1850" s="28" t="s">
        <v>19</v>
      </c>
      <c r="J1850" s="43"/>
    </row>
    <row r="1851" spans="1:10" customFormat="1" ht="15" hidden="1" customHeight="1" x14ac:dyDescent="0.25">
      <c r="A1851" s="37">
        <v>45169</v>
      </c>
      <c r="B1851" s="188" t="s">
        <v>5010</v>
      </c>
      <c r="C1851" s="18" t="s">
        <v>2945</v>
      </c>
      <c r="D1851" s="18" t="s">
        <v>2946</v>
      </c>
      <c r="E1851" s="73">
        <v>15840</v>
      </c>
      <c r="F1851" s="114">
        <v>497000</v>
      </c>
      <c r="G1851" s="73">
        <v>104370</v>
      </c>
      <c r="H1851" s="73">
        <v>617210</v>
      </c>
      <c r="I1851" s="28" t="s">
        <v>19</v>
      </c>
      <c r="J1851" s="43"/>
    </row>
    <row r="1852" spans="1:10" customFormat="1" ht="15" hidden="1" customHeight="1" x14ac:dyDescent="0.25">
      <c r="A1852" s="37">
        <v>45169</v>
      </c>
      <c r="B1852" s="188" t="s">
        <v>5011</v>
      </c>
      <c r="C1852" s="18" t="s">
        <v>2880</v>
      </c>
      <c r="D1852" s="18" t="s">
        <v>2881</v>
      </c>
      <c r="E1852" s="73">
        <v>19840</v>
      </c>
      <c r="F1852" s="114">
        <v>900000</v>
      </c>
      <c r="G1852" s="73">
        <v>189000</v>
      </c>
      <c r="H1852" s="73">
        <v>1108840</v>
      </c>
      <c r="I1852" s="28" t="s">
        <v>19</v>
      </c>
      <c r="J1852" s="43"/>
    </row>
    <row r="1853" spans="1:10" customFormat="1" ht="15" hidden="1" customHeight="1" x14ac:dyDescent="0.25">
      <c r="A1853" s="37">
        <v>45169</v>
      </c>
      <c r="B1853" s="188" t="s">
        <v>5012</v>
      </c>
      <c r="C1853" s="18" t="s">
        <v>4827</v>
      </c>
      <c r="D1853" s="18" t="s">
        <v>4828</v>
      </c>
      <c r="E1853" s="73">
        <v>2500</v>
      </c>
      <c r="F1853" s="114">
        <v>75000</v>
      </c>
      <c r="G1853" s="73">
        <v>15750</v>
      </c>
      <c r="H1853" s="73">
        <v>93250</v>
      </c>
      <c r="I1853" s="28" t="s">
        <v>19</v>
      </c>
      <c r="J1853" s="43"/>
    </row>
    <row r="1854" spans="1:10" customFormat="1" ht="15" hidden="1" customHeight="1" x14ac:dyDescent="0.25">
      <c r="A1854" s="37">
        <v>45169</v>
      </c>
      <c r="B1854" s="188" t="s">
        <v>5013</v>
      </c>
      <c r="C1854" s="18" t="s">
        <v>4109</v>
      </c>
      <c r="D1854" s="18" t="s">
        <v>4110</v>
      </c>
      <c r="E1854" s="73">
        <v>9200</v>
      </c>
      <c r="F1854" s="114">
        <v>101250</v>
      </c>
      <c r="G1854" s="73">
        <v>21262.5</v>
      </c>
      <c r="H1854" s="73">
        <v>131712.5</v>
      </c>
      <c r="I1854" s="28" t="s">
        <v>19</v>
      </c>
      <c r="J1854" s="43"/>
    </row>
    <row r="1855" spans="1:10" customFormat="1" ht="15" hidden="1" customHeight="1" x14ac:dyDescent="0.25">
      <c r="A1855" s="37">
        <v>45169</v>
      </c>
      <c r="B1855" s="188" t="s">
        <v>5014</v>
      </c>
      <c r="C1855" s="18" t="s">
        <v>3559</v>
      </c>
      <c r="D1855" s="18" t="s">
        <v>3560</v>
      </c>
      <c r="E1855" s="73">
        <v>6640</v>
      </c>
      <c r="F1855" s="114">
        <v>102500</v>
      </c>
      <c r="G1855" s="73">
        <v>21525</v>
      </c>
      <c r="H1855" s="73">
        <v>130665</v>
      </c>
      <c r="I1855" s="28" t="s">
        <v>19</v>
      </c>
      <c r="J1855" s="43"/>
    </row>
    <row r="1856" spans="1:10" customFormat="1" ht="15" hidden="1" customHeight="1" x14ac:dyDescent="0.25">
      <c r="A1856" s="37">
        <v>45169</v>
      </c>
      <c r="B1856" s="188" t="s">
        <v>5015</v>
      </c>
      <c r="C1856" s="18" t="s">
        <v>4827</v>
      </c>
      <c r="D1856" s="18" t="s">
        <v>4828</v>
      </c>
      <c r="E1856" s="73">
        <v>2500</v>
      </c>
      <c r="F1856" s="114">
        <v>75000</v>
      </c>
      <c r="G1856" s="73">
        <v>15750</v>
      </c>
      <c r="H1856" s="73">
        <v>93250</v>
      </c>
      <c r="I1856" s="28" t="s">
        <v>19</v>
      </c>
      <c r="J1856" s="43"/>
    </row>
    <row r="1857" spans="1:10" customFormat="1" ht="15" hidden="1" customHeight="1" x14ac:dyDescent="0.25">
      <c r="A1857" s="37">
        <v>45169</v>
      </c>
      <c r="B1857" s="188" t="s">
        <v>5016</v>
      </c>
      <c r="C1857" s="18" t="s">
        <v>2927</v>
      </c>
      <c r="D1857" s="18" t="s">
        <v>2928</v>
      </c>
      <c r="E1857" s="73">
        <v>6280</v>
      </c>
      <c r="F1857" s="114">
        <v>112500</v>
      </c>
      <c r="G1857" s="73">
        <v>23625</v>
      </c>
      <c r="H1857" s="73">
        <v>142405</v>
      </c>
      <c r="I1857" s="28" t="s">
        <v>19</v>
      </c>
      <c r="J1857" s="43"/>
    </row>
    <row r="1858" spans="1:10" customFormat="1" ht="15" hidden="1" customHeight="1" x14ac:dyDescent="0.25">
      <c r="A1858" s="37">
        <v>45169</v>
      </c>
      <c r="B1858" s="188" t="s">
        <v>5017</v>
      </c>
      <c r="C1858" s="18" t="s">
        <v>2997</v>
      </c>
      <c r="D1858" s="18" t="s">
        <v>2998</v>
      </c>
      <c r="E1858" s="73">
        <v>7920</v>
      </c>
      <c r="F1858" s="114">
        <v>102500</v>
      </c>
      <c r="G1858" s="73">
        <v>21525</v>
      </c>
      <c r="H1858" s="73">
        <v>131945</v>
      </c>
      <c r="I1858" s="28" t="s">
        <v>19</v>
      </c>
      <c r="J1858" s="43"/>
    </row>
    <row r="1859" spans="1:10" customFormat="1" ht="15" hidden="1" customHeight="1" x14ac:dyDescent="0.25">
      <c r="A1859" s="37">
        <v>45169</v>
      </c>
      <c r="B1859" s="188" t="s">
        <v>5018</v>
      </c>
      <c r="C1859" s="18" t="s">
        <v>2997</v>
      </c>
      <c r="D1859" s="18" t="s">
        <v>2998</v>
      </c>
      <c r="E1859" s="73">
        <v>7920</v>
      </c>
      <c r="F1859" s="114">
        <v>102500</v>
      </c>
      <c r="G1859" s="73">
        <v>21525</v>
      </c>
      <c r="H1859" s="73">
        <v>131945</v>
      </c>
      <c r="I1859" s="28" t="s">
        <v>19</v>
      </c>
      <c r="J1859" s="43"/>
    </row>
    <row r="1860" spans="1:10" customFormat="1" ht="15" hidden="1" customHeight="1" x14ac:dyDescent="0.25">
      <c r="A1860" s="37">
        <v>45169</v>
      </c>
      <c r="B1860" s="188" t="s">
        <v>5019</v>
      </c>
      <c r="C1860" s="18" t="s">
        <v>2997</v>
      </c>
      <c r="D1860" s="18" t="s">
        <v>2998</v>
      </c>
      <c r="E1860" s="73">
        <v>7920</v>
      </c>
      <c r="F1860" s="114">
        <v>102500</v>
      </c>
      <c r="G1860" s="73">
        <v>21525</v>
      </c>
      <c r="H1860" s="73">
        <v>131945</v>
      </c>
      <c r="I1860" s="28" t="s">
        <v>19</v>
      </c>
      <c r="J1860" s="43"/>
    </row>
    <row r="1861" spans="1:10" customFormat="1" ht="15" hidden="1" customHeight="1" x14ac:dyDescent="0.25">
      <c r="A1861" s="37">
        <v>45169</v>
      </c>
      <c r="B1861" s="188" t="s">
        <v>5020</v>
      </c>
      <c r="C1861" s="18" t="s">
        <v>3007</v>
      </c>
      <c r="D1861" s="18" t="s">
        <v>3008</v>
      </c>
      <c r="E1861" s="73">
        <v>11000</v>
      </c>
      <c r="F1861" s="114">
        <v>77500</v>
      </c>
      <c r="G1861" s="73">
        <v>16275</v>
      </c>
      <c r="H1861" s="73">
        <v>104775</v>
      </c>
      <c r="I1861" s="28" t="s">
        <v>19</v>
      </c>
      <c r="J1861" s="43"/>
    </row>
    <row r="1862" spans="1:10" customFormat="1" ht="15" hidden="1" customHeight="1" x14ac:dyDescent="0.25">
      <c r="A1862" s="37">
        <v>45169</v>
      </c>
      <c r="B1862" s="188" t="s">
        <v>5021</v>
      </c>
      <c r="C1862" s="18" t="s">
        <v>2945</v>
      </c>
      <c r="D1862" s="18" t="s">
        <v>2946</v>
      </c>
      <c r="E1862" s="73">
        <v>15840</v>
      </c>
      <c r="F1862" s="114">
        <v>410000</v>
      </c>
      <c r="G1862" s="73">
        <v>86100</v>
      </c>
      <c r="H1862" s="73">
        <v>511940</v>
      </c>
      <c r="I1862" s="28" t="s">
        <v>19</v>
      </c>
      <c r="J1862" s="43"/>
    </row>
    <row r="1863" spans="1:10" customFormat="1" ht="15" hidden="1" customHeight="1" x14ac:dyDescent="0.25">
      <c r="A1863" s="37">
        <v>45169</v>
      </c>
      <c r="B1863" s="188" t="s">
        <v>5022</v>
      </c>
      <c r="C1863" s="18" t="s">
        <v>3200</v>
      </c>
      <c r="D1863" s="18" t="s">
        <v>3201</v>
      </c>
      <c r="E1863" s="73">
        <v>22800</v>
      </c>
      <c r="F1863" s="114">
        <v>730750</v>
      </c>
      <c r="G1863" s="73">
        <v>153457.5</v>
      </c>
      <c r="H1863" s="73">
        <v>907007.5</v>
      </c>
      <c r="I1863" s="28" t="s">
        <v>19</v>
      </c>
      <c r="J1863" s="43"/>
    </row>
    <row r="1864" spans="1:10" customFormat="1" ht="15" hidden="1" customHeight="1" x14ac:dyDescent="0.25">
      <c r="A1864" s="37">
        <v>45169</v>
      </c>
      <c r="B1864" s="188" t="s">
        <v>5023</v>
      </c>
      <c r="C1864" s="18" t="s">
        <v>3450</v>
      </c>
      <c r="D1864" s="18" t="s">
        <v>3451</v>
      </c>
      <c r="E1864" s="73">
        <v>12000</v>
      </c>
      <c r="F1864" s="114">
        <v>67500</v>
      </c>
      <c r="G1864" s="73">
        <v>14175</v>
      </c>
      <c r="H1864" s="73">
        <v>93675</v>
      </c>
      <c r="I1864" s="28" t="s">
        <v>19</v>
      </c>
      <c r="J1864" s="43"/>
    </row>
    <row r="1865" spans="1:10" customFormat="1" ht="15" hidden="1" customHeight="1" x14ac:dyDescent="0.25">
      <c r="A1865" s="37">
        <v>45169</v>
      </c>
      <c r="B1865" s="188" t="s">
        <v>5024</v>
      </c>
      <c r="C1865" s="18" t="s">
        <v>2921</v>
      </c>
      <c r="D1865" s="18" t="s">
        <v>2922</v>
      </c>
      <c r="E1865" s="73">
        <v>30000</v>
      </c>
      <c r="F1865" s="114">
        <v>385000</v>
      </c>
      <c r="G1865" s="73">
        <v>80850</v>
      </c>
      <c r="H1865" s="73">
        <v>495850</v>
      </c>
      <c r="I1865" s="28" t="s">
        <v>19</v>
      </c>
      <c r="J1865" s="43"/>
    </row>
    <row r="1866" spans="1:10" customFormat="1" ht="15" hidden="1" customHeight="1" x14ac:dyDescent="0.25">
      <c r="A1866" s="37">
        <v>45169</v>
      </c>
      <c r="B1866" s="188" t="s">
        <v>5025</v>
      </c>
      <c r="C1866" s="18" t="s">
        <v>2851</v>
      </c>
      <c r="D1866" s="18" t="s">
        <v>2852</v>
      </c>
      <c r="E1866" s="73">
        <v>3180</v>
      </c>
      <c r="F1866" s="114">
        <v>102500</v>
      </c>
      <c r="G1866" s="73">
        <v>21525</v>
      </c>
      <c r="H1866" s="73">
        <v>127205</v>
      </c>
      <c r="I1866" s="28" t="s">
        <v>19</v>
      </c>
      <c r="J1866" s="43"/>
    </row>
    <row r="1867" spans="1:10" customFormat="1" ht="15" hidden="1" customHeight="1" x14ac:dyDescent="0.25">
      <c r="A1867" s="40">
        <v>45169</v>
      </c>
      <c r="B1867" s="11" t="s">
        <v>5026</v>
      </c>
      <c r="C1867" s="74" t="s">
        <v>3272</v>
      </c>
      <c r="D1867" s="74" t="s">
        <v>3273</v>
      </c>
      <c r="E1867" s="73">
        <v>22000</v>
      </c>
      <c r="F1867" s="114">
        <v>205000</v>
      </c>
      <c r="G1867" s="73">
        <v>43050</v>
      </c>
      <c r="H1867" s="73">
        <v>270050</v>
      </c>
      <c r="I1867" s="41" t="s">
        <v>19</v>
      </c>
      <c r="J1867" s="49"/>
    </row>
    <row r="1868" spans="1:10" customFormat="1" ht="15" hidden="1" customHeight="1" x14ac:dyDescent="0.25">
      <c r="A1868" s="37">
        <v>45169</v>
      </c>
      <c r="B1868" s="188" t="s">
        <v>5027</v>
      </c>
      <c r="C1868" s="18" t="s">
        <v>2892</v>
      </c>
      <c r="D1868" s="18" t="s">
        <v>2893</v>
      </c>
      <c r="E1868" s="73">
        <v>0</v>
      </c>
      <c r="F1868" s="114">
        <v>52500</v>
      </c>
      <c r="G1868" s="73">
        <v>11025</v>
      </c>
      <c r="H1868" s="73">
        <v>63525</v>
      </c>
      <c r="I1868" s="28" t="s">
        <v>19</v>
      </c>
      <c r="J1868" s="43"/>
    </row>
    <row r="1869" spans="1:10" customFormat="1" ht="15" hidden="1" customHeight="1" x14ac:dyDescent="0.25">
      <c r="A1869" s="37">
        <v>45169</v>
      </c>
      <c r="B1869" s="188" t="s">
        <v>5028</v>
      </c>
      <c r="C1869" s="18" t="s">
        <v>2903</v>
      </c>
      <c r="D1869" s="18" t="s">
        <v>2904</v>
      </c>
      <c r="E1869" s="73">
        <v>6280</v>
      </c>
      <c r="F1869" s="114">
        <v>75000</v>
      </c>
      <c r="G1869" s="73">
        <v>15750</v>
      </c>
      <c r="H1869" s="73">
        <v>97030</v>
      </c>
      <c r="I1869" s="28" t="s">
        <v>19</v>
      </c>
      <c r="J1869" s="43"/>
    </row>
    <row r="1870" spans="1:10" customFormat="1" ht="15" hidden="1" customHeight="1" x14ac:dyDescent="0.25">
      <c r="A1870" s="37">
        <v>45169</v>
      </c>
      <c r="B1870" s="188" t="s">
        <v>5029</v>
      </c>
      <c r="C1870" s="18" t="s">
        <v>2903</v>
      </c>
      <c r="D1870" s="18" t="s">
        <v>2904</v>
      </c>
      <c r="E1870" s="73">
        <v>11000</v>
      </c>
      <c r="F1870" s="114">
        <v>67500</v>
      </c>
      <c r="G1870" s="73">
        <v>14175</v>
      </c>
      <c r="H1870" s="73">
        <v>92675</v>
      </c>
      <c r="I1870" s="28" t="s">
        <v>19</v>
      </c>
      <c r="J1870" s="43"/>
    </row>
    <row r="1871" spans="1:10" customFormat="1" ht="15" hidden="1" customHeight="1" x14ac:dyDescent="0.25">
      <c r="A1871" s="37">
        <v>45169</v>
      </c>
      <c r="B1871" s="188" t="s">
        <v>5030</v>
      </c>
      <c r="C1871" s="18" t="s">
        <v>4749</v>
      </c>
      <c r="D1871" s="18" t="s">
        <v>4750</v>
      </c>
      <c r="E1871" s="73">
        <v>9200</v>
      </c>
      <c r="F1871" s="114">
        <v>101250</v>
      </c>
      <c r="G1871" s="73">
        <v>21262.5</v>
      </c>
      <c r="H1871" s="73">
        <v>131712.5</v>
      </c>
      <c r="I1871" s="28" t="s">
        <v>19</v>
      </c>
      <c r="J1871" s="43"/>
    </row>
    <row r="1872" spans="1:10" customFormat="1" ht="15" hidden="1" customHeight="1" x14ac:dyDescent="0.25">
      <c r="A1872" s="37">
        <v>45169</v>
      </c>
      <c r="B1872" s="188" t="s">
        <v>5031</v>
      </c>
      <c r="C1872" s="18" t="s">
        <v>3007</v>
      </c>
      <c r="D1872" s="18" t="s">
        <v>3008</v>
      </c>
      <c r="E1872" s="73">
        <v>18840</v>
      </c>
      <c r="F1872" s="114">
        <v>225000</v>
      </c>
      <c r="G1872" s="73">
        <v>47250</v>
      </c>
      <c r="H1872" s="73">
        <v>291090</v>
      </c>
      <c r="I1872" s="28" t="s">
        <v>19</v>
      </c>
      <c r="J1872" s="43"/>
    </row>
    <row r="1873" spans="1:10" customFormat="1" ht="15" hidden="1" customHeight="1" x14ac:dyDescent="0.25">
      <c r="A1873" s="37">
        <v>45169</v>
      </c>
      <c r="B1873" s="188" t="s">
        <v>5032</v>
      </c>
      <c r="C1873" s="18" t="s">
        <v>3007</v>
      </c>
      <c r="D1873" s="18" t="s">
        <v>3008</v>
      </c>
      <c r="E1873" s="73">
        <v>6280</v>
      </c>
      <c r="F1873" s="114">
        <v>75000</v>
      </c>
      <c r="G1873" s="73">
        <v>15750</v>
      </c>
      <c r="H1873" s="73">
        <v>97030</v>
      </c>
      <c r="I1873" s="28" t="s">
        <v>19</v>
      </c>
      <c r="J1873" s="43"/>
    </row>
    <row r="1874" spans="1:10" customFormat="1" ht="15" hidden="1" customHeight="1" x14ac:dyDescent="0.25">
      <c r="A1874" s="37">
        <v>45169</v>
      </c>
      <c r="B1874" s="188" t="s">
        <v>5033</v>
      </c>
      <c r="C1874" s="18" t="s">
        <v>3007</v>
      </c>
      <c r="D1874" s="18" t="s">
        <v>3008</v>
      </c>
      <c r="E1874" s="73">
        <v>12560</v>
      </c>
      <c r="F1874" s="114">
        <v>150000</v>
      </c>
      <c r="G1874" s="73">
        <v>31500</v>
      </c>
      <c r="H1874" s="73">
        <v>194060</v>
      </c>
      <c r="I1874" s="28" t="s">
        <v>19</v>
      </c>
      <c r="J1874" s="43"/>
    </row>
    <row r="1875" spans="1:10" customFormat="1" ht="15" hidden="1" customHeight="1" x14ac:dyDescent="0.25">
      <c r="A1875" s="37">
        <v>45169</v>
      </c>
      <c r="B1875" s="188" t="s">
        <v>5034</v>
      </c>
      <c r="C1875" s="18" t="s">
        <v>3007</v>
      </c>
      <c r="D1875" s="18" t="s">
        <v>3008</v>
      </c>
      <c r="E1875" s="73">
        <v>12560</v>
      </c>
      <c r="F1875" s="114">
        <v>150000</v>
      </c>
      <c r="G1875" s="73">
        <v>31500</v>
      </c>
      <c r="H1875" s="73">
        <v>194060</v>
      </c>
      <c r="I1875" s="28" t="s">
        <v>19</v>
      </c>
      <c r="J1875" s="43"/>
    </row>
    <row r="1876" spans="1:10" customFormat="1" ht="15" hidden="1" customHeight="1" x14ac:dyDescent="0.25">
      <c r="A1876" s="37">
        <v>45169</v>
      </c>
      <c r="B1876" s="188" t="s">
        <v>5035</v>
      </c>
      <c r="C1876" s="18" t="s">
        <v>2903</v>
      </c>
      <c r="D1876" s="18" t="s">
        <v>2904</v>
      </c>
      <c r="E1876" s="73">
        <v>6280</v>
      </c>
      <c r="F1876" s="114">
        <v>75000</v>
      </c>
      <c r="G1876" s="73">
        <v>15750</v>
      </c>
      <c r="H1876" s="73">
        <v>97030</v>
      </c>
      <c r="I1876" s="28" t="s">
        <v>19</v>
      </c>
      <c r="J1876" s="43"/>
    </row>
    <row r="1877" spans="1:10" customFormat="1" ht="15" hidden="1" customHeight="1" x14ac:dyDescent="0.25">
      <c r="A1877" s="37">
        <v>45169</v>
      </c>
      <c r="B1877" s="188" t="s">
        <v>5036</v>
      </c>
      <c r="C1877" s="18" t="s">
        <v>3007</v>
      </c>
      <c r="D1877" s="18" t="s">
        <v>3008</v>
      </c>
      <c r="E1877" s="73">
        <v>23560</v>
      </c>
      <c r="F1877" s="114">
        <v>304500</v>
      </c>
      <c r="G1877" s="73">
        <v>63945</v>
      </c>
      <c r="H1877" s="73">
        <v>392005</v>
      </c>
      <c r="I1877" s="28" t="s">
        <v>19</v>
      </c>
      <c r="J1877" s="43"/>
    </row>
    <row r="1878" spans="1:10" customFormat="1" ht="15" hidden="1" customHeight="1" x14ac:dyDescent="0.25">
      <c r="A1878" s="37">
        <v>45169</v>
      </c>
      <c r="B1878" s="188" t="s">
        <v>5037</v>
      </c>
      <c r="C1878" s="18" t="s">
        <v>2921</v>
      </c>
      <c r="D1878" s="18" t="s">
        <v>2922</v>
      </c>
      <c r="E1878" s="73">
        <v>6280</v>
      </c>
      <c r="F1878" s="114">
        <v>118500</v>
      </c>
      <c r="G1878" s="73">
        <v>24885</v>
      </c>
      <c r="H1878" s="73">
        <v>149665</v>
      </c>
      <c r="I1878" s="28" t="s">
        <v>19</v>
      </c>
      <c r="J1878" s="43"/>
    </row>
    <row r="1879" spans="1:10" customFormat="1" ht="15" hidden="1" customHeight="1" x14ac:dyDescent="0.25">
      <c r="A1879" s="37">
        <v>45169</v>
      </c>
      <c r="B1879" s="188" t="s">
        <v>5038</v>
      </c>
      <c r="C1879" s="18" t="s">
        <v>3241</v>
      </c>
      <c r="D1879" s="18" t="s">
        <v>3242</v>
      </c>
      <c r="E1879" s="73">
        <v>6280</v>
      </c>
      <c r="F1879" s="114">
        <v>75000</v>
      </c>
      <c r="G1879" s="73">
        <v>15750</v>
      </c>
      <c r="H1879" s="73">
        <v>97030</v>
      </c>
      <c r="I1879" s="28" t="s">
        <v>19</v>
      </c>
      <c r="J1879" s="43"/>
    </row>
    <row r="1880" spans="1:10" customFormat="1" ht="15" hidden="1" customHeight="1" x14ac:dyDescent="0.25">
      <c r="A1880" s="37">
        <v>45169</v>
      </c>
      <c r="B1880" s="188" t="s">
        <v>5039</v>
      </c>
      <c r="C1880" s="18" t="s">
        <v>2906</v>
      </c>
      <c r="D1880" s="18" t="s">
        <v>2907</v>
      </c>
      <c r="E1880" s="73">
        <v>6280</v>
      </c>
      <c r="F1880" s="114">
        <v>75000</v>
      </c>
      <c r="G1880" s="73">
        <v>15750</v>
      </c>
      <c r="H1880" s="73">
        <v>97030</v>
      </c>
      <c r="I1880" s="28" t="s">
        <v>19</v>
      </c>
      <c r="J1880" s="43"/>
    </row>
    <row r="1881" spans="1:10" customFormat="1" ht="15" hidden="1" customHeight="1" x14ac:dyDescent="0.25">
      <c r="A1881" s="37">
        <v>45169</v>
      </c>
      <c r="B1881" s="188" t="s">
        <v>5040</v>
      </c>
      <c r="C1881" s="18" t="s">
        <v>2903</v>
      </c>
      <c r="D1881" s="18" t="s">
        <v>2904</v>
      </c>
      <c r="E1881" s="73">
        <v>9200</v>
      </c>
      <c r="F1881" s="114">
        <v>67500</v>
      </c>
      <c r="G1881" s="73">
        <v>14175</v>
      </c>
      <c r="H1881" s="73">
        <v>90875</v>
      </c>
      <c r="I1881" s="28" t="s">
        <v>19</v>
      </c>
      <c r="J1881" s="43"/>
    </row>
    <row r="1882" spans="1:10" customFormat="1" ht="15" hidden="1" customHeight="1" x14ac:dyDescent="0.25">
      <c r="A1882" s="37">
        <v>45169</v>
      </c>
      <c r="B1882" s="188" t="s">
        <v>5041</v>
      </c>
      <c r="C1882" s="18" t="s">
        <v>3029</v>
      </c>
      <c r="D1882" s="18" t="s">
        <v>3030</v>
      </c>
      <c r="E1882" s="73">
        <v>9200</v>
      </c>
      <c r="F1882" s="114">
        <v>105000</v>
      </c>
      <c r="G1882" s="73">
        <v>22050</v>
      </c>
      <c r="H1882" s="73">
        <v>136250</v>
      </c>
      <c r="I1882" s="28" t="s">
        <v>19</v>
      </c>
      <c r="J1882" s="43"/>
    </row>
    <row r="1883" spans="1:10" customFormat="1" ht="15" hidden="1" customHeight="1" x14ac:dyDescent="0.25">
      <c r="A1883" s="37">
        <v>45169</v>
      </c>
      <c r="B1883" s="188" t="s">
        <v>5042</v>
      </c>
      <c r="C1883" s="18" t="s">
        <v>3029</v>
      </c>
      <c r="D1883" s="18" t="s">
        <v>3030</v>
      </c>
      <c r="E1883" s="73">
        <v>9200</v>
      </c>
      <c r="F1883" s="114">
        <v>67500</v>
      </c>
      <c r="G1883" s="73">
        <v>14175</v>
      </c>
      <c r="H1883" s="73">
        <v>90875</v>
      </c>
      <c r="I1883" s="28" t="s">
        <v>19</v>
      </c>
      <c r="J1883" s="43"/>
    </row>
    <row r="1884" spans="1:10" customFormat="1" ht="15" hidden="1" customHeight="1" x14ac:dyDescent="0.25">
      <c r="A1884" s="37">
        <v>45169</v>
      </c>
      <c r="B1884" s="188" t="s">
        <v>5043</v>
      </c>
      <c r="C1884" s="18" t="s">
        <v>3029</v>
      </c>
      <c r="D1884" s="18" t="s">
        <v>3030</v>
      </c>
      <c r="E1884" s="73">
        <v>6280</v>
      </c>
      <c r="F1884" s="114">
        <v>75000</v>
      </c>
      <c r="G1884" s="73">
        <v>15750</v>
      </c>
      <c r="H1884" s="73">
        <v>97030</v>
      </c>
      <c r="I1884" s="28" t="s">
        <v>19</v>
      </c>
      <c r="J1884" s="43"/>
    </row>
    <row r="1885" spans="1:10" customFormat="1" ht="15" hidden="1" customHeight="1" x14ac:dyDescent="0.25">
      <c r="A1885" s="37">
        <v>45169</v>
      </c>
      <c r="B1885" s="188" t="s">
        <v>5044</v>
      </c>
      <c r="C1885" s="18" t="s">
        <v>3029</v>
      </c>
      <c r="D1885" s="18" t="s">
        <v>3030</v>
      </c>
      <c r="E1885" s="73">
        <v>6280</v>
      </c>
      <c r="F1885" s="114">
        <v>75000</v>
      </c>
      <c r="G1885" s="73">
        <v>15750</v>
      </c>
      <c r="H1885" s="73">
        <v>97030</v>
      </c>
      <c r="I1885" s="28" t="s">
        <v>19</v>
      </c>
      <c r="J1885" s="43"/>
    </row>
    <row r="1886" spans="1:10" customFormat="1" ht="15" hidden="1" customHeight="1" x14ac:dyDescent="0.25">
      <c r="A1886" s="37">
        <v>45169</v>
      </c>
      <c r="B1886" s="188" t="s">
        <v>5045</v>
      </c>
      <c r="C1886" s="18" t="s">
        <v>2856</v>
      </c>
      <c r="D1886" s="18" t="s">
        <v>2857</v>
      </c>
      <c r="E1886" s="73">
        <v>4120</v>
      </c>
      <c r="F1886" s="114">
        <v>77500</v>
      </c>
      <c r="G1886" s="73">
        <v>16275</v>
      </c>
      <c r="H1886" s="73">
        <v>97895</v>
      </c>
      <c r="I1886" s="28" t="s">
        <v>19</v>
      </c>
      <c r="J1886" s="43"/>
    </row>
    <row r="1887" spans="1:10" customFormat="1" ht="15" hidden="1" customHeight="1" x14ac:dyDescent="0.25">
      <c r="A1887" s="37">
        <v>45169</v>
      </c>
      <c r="B1887" s="188" t="s">
        <v>5046</v>
      </c>
      <c r="C1887" s="18" t="s">
        <v>2909</v>
      </c>
      <c r="D1887" s="18" t="s">
        <v>2910</v>
      </c>
      <c r="E1887" s="73">
        <v>12500</v>
      </c>
      <c r="F1887" s="114">
        <v>153750</v>
      </c>
      <c r="G1887" s="73">
        <v>32287.5</v>
      </c>
      <c r="H1887" s="73">
        <v>198537.5</v>
      </c>
      <c r="I1887" s="28" t="s">
        <v>19</v>
      </c>
      <c r="J1887" s="43"/>
    </row>
    <row r="1888" spans="1:10" customFormat="1" ht="15" hidden="1" customHeight="1" x14ac:dyDescent="0.25">
      <c r="A1888" s="37">
        <v>45169</v>
      </c>
      <c r="B1888" s="188" t="s">
        <v>5047</v>
      </c>
      <c r="C1888" s="18" t="s">
        <v>2921</v>
      </c>
      <c r="D1888" s="18" t="s">
        <v>2922</v>
      </c>
      <c r="E1888" s="73">
        <v>7800</v>
      </c>
      <c r="F1888" s="114">
        <v>112500</v>
      </c>
      <c r="G1888" s="73">
        <v>23625</v>
      </c>
      <c r="H1888" s="73">
        <v>143925</v>
      </c>
      <c r="I1888" s="28" t="s">
        <v>19</v>
      </c>
      <c r="J1888" s="43"/>
    </row>
    <row r="1889" spans="1:10" customFormat="1" ht="15" hidden="1" customHeight="1" x14ac:dyDescent="0.25">
      <c r="A1889" s="37">
        <v>45169</v>
      </c>
      <c r="B1889" s="188" t="s">
        <v>5048</v>
      </c>
      <c r="C1889" s="18" t="s">
        <v>2921</v>
      </c>
      <c r="D1889" s="18" t="s">
        <v>2922</v>
      </c>
      <c r="E1889" s="73">
        <v>7800</v>
      </c>
      <c r="F1889" s="114">
        <v>112500</v>
      </c>
      <c r="G1889" s="73">
        <v>23625</v>
      </c>
      <c r="H1889" s="73">
        <v>143925</v>
      </c>
      <c r="I1889" s="28" t="s">
        <v>19</v>
      </c>
      <c r="J1889" s="43"/>
    </row>
    <row r="1890" spans="1:10" customFormat="1" ht="15" hidden="1" customHeight="1" x14ac:dyDescent="0.25">
      <c r="A1890" s="37">
        <v>45169</v>
      </c>
      <c r="B1890" s="188" t="s">
        <v>5049</v>
      </c>
      <c r="C1890" s="18" t="s">
        <v>2909</v>
      </c>
      <c r="D1890" s="18" t="s">
        <v>2910</v>
      </c>
      <c r="E1890" s="73">
        <v>12800</v>
      </c>
      <c r="F1890" s="114">
        <v>237500</v>
      </c>
      <c r="G1890" s="73">
        <v>49875</v>
      </c>
      <c r="H1890" s="73">
        <v>300175</v>
      </c>
      <c r="I1890" s="28" t="s">
        <v>19</v>
      </c>
      <c r="J1890" s="43"/>
    </row>
    <row r="1891" spans="1:10" customFormat="1" ht="15" hidden="1" customHeight="1" x14ac:dyDescent="0.25">
      <c r="A1891" s="40">
        <v>45169</v>
      </c>
      <c r="B1891" s="11" t="s">
        <v>5050</v>
      </c>
      <c r="C1891" s="74" t="s">
        <v>3272</v>
      </c>
      <c r="D1891" s="74" t="s">
        <v>3273</v>
      </c>
      <c r="E1891" s="73">
        <v>29600</v>
      </c>
      <c r="F1891" s="114">
        <v>356500</v>
      </c>
      <c r="G1891" s="73">
        <v>74865</v>
      </c>
      <c r="H1891" s="73">
        <v>460965</v>
      </c>
      <c r="I1891" s="41" t="s">
        <v>19</v>
      </c>
      <c r="J1891" s="49"/>
    </row>
    <row r="1892" spans="1:10" customFormat="1" ht="15" hidden="1" customHeight="1" x14ac:dyDescent="0.25">
      <c r="A1892" s="37">
        <v>45169</v>
      </c>
      <c r="B1892" s="188" t="s">
        <v>5051</v>
      </c>
      <c r="C1892" s="18" t="s">
        <v>3450</v>
      </c>
      <c r="D1892" s="18" t="s">
        <v>3451</v>
      </c>
      <c r="E1892" s="73">
        <v>5000</v>
      </c>
      <c r="F1892" s="114">
        <v>112500</v>
      </c>
      <c r="G1892" s="73">
        <v>23625</v>
      </c>
      <c r="H1892" s="73">
        <v>141125</v>
      </c>
      <c r="I1892" s="28" t="s">
        <v>19</v>
      </c>
      <c r="J1892" s="43"/>
    </row>
    <row r="1893" spans="1:10" customFormat="1" ht="15" hidden="1" customHeight="1" x14ac:dyDescent="0.25">
      <c r="A1893" s="37">
        <v>45169</v>
      </c>
      <c r="B1893" s="188" t="s">
        <v>5052</v>
      </c>
      <c r="C1893" s="18" t="s">
        <v>3176</v>
      </c>
      <c r="D1893" s="18" t="s">
        <v>3177</v>
      </c>
      <c r="E1893" s="73">
        <v>9200</v>
      </c>
      <c r="F1893" s="114">
        <v>112500</v>
      </c>
      <c r="G1893" s="73">
        <v>23625</v>
      </c>
      <c r="H1893" s="73">
        <v>145325</v>
      </c>
      <c r="I1893" s="28" t="s">
        <v>19</v>
      </c>
      <c r="J1893" s="43"/>
    </row>
    <row r="1894" spans="1:10" customFormat="1" ht="15" hidden="1" customHeight="1" x14ac:dyDescent="0.25">
      <c r="A1894" s="37">
        <v>45169</v>
      </c>
      <c r="B1894" s="188" t="s">
        <v>5053</v>
      </c>
      <c r="C1894" s="18" t="s">
        <v>2909</v>
      </c>
      <c r="D1894" s="18" t="s">
        <v>2910</v>
      </c>
      <c r="E1894" s="73">
        <v>11000</v>
      </c>
      <c r="F1894" s="114">
        <v>242500</v>
      </c>
      <c r="G1894" s="73">
        <v>50925</v>
      </c>
      <c r="H1894" s="73">
        <v>304425</v>
      </c>
      <c r="I1894" s="28" t="s">
        <v>19</v>
      </c>
      <c r="J1894" s="43"/>
    </row>
    <row r="1895" spans="1:10" customFormat="1" ht="15" hidden="1" customHeight="1" x14ac:dyDescent="0.25">
      <c r="A1895" s="37">
        <v>45169</v>
      </c>
      <c r="B1895" s="188" t="s">
        <v>5054</v>
      </c>
      <c r="C1895" s="18" t="s">
        <v>2867</v>
      </c>
      <c r="D1895" s="18" t="s">
        <v>2868</v>
      </c>
      <c r="E1895" s="73">
        <v>15000</v>
      </c>
      <c r="F1895" s="114">
        <v>153750</v>
      </c>
      <c r="G1895" s="73">
        <v>32287.5</v>
      </c>
      <c r="H1895" s="73">
        <v>201037.5</v>
      </c>
      <c r="I1895" s="28" t="s">
        <v>19</v>
      </c>
      <c r="J1895" s="43"/>
    </row>
    <row r="1896" spans="1:10" customFormat="1" ht="15" hidden="1" customHeight="1" x14ac:dyDescent="0.25">
      <c r="A1896" s="37">
        <v>45169</v>
      </c>
      <c r="B1896" s="188" t="s">
        <v>5055</v>
      </c>
      <c r="C1896" s="18" t="s">
        <v>3450</v>
      </c>
      <c r="D1896" s="18" t="s">
        <v>3451</v>
      </c>
      <c r="E1896" s="73">
        <v>16500</v>
      </c>
      <c r="F1896" s="114">
        <v>150000</v>
      </c>
      <c r="G1896" s="73">
        <v>31500</v>
      </c>
      <c r="H1896" s="73">
        <v>198000</v>
      </c>
      <c r="I1896" s="28" t="s">
        <v>19</v>
      </c>
      <c r="J1896" s="43"/>
    </row>
    <row r="1897" spans="1:10" customFormat="1" ht="15" hidden="1" customHeight="1" x14ac:dyDescent="0.25">
      <c r="A1897" s="37">
        <v>45169</v>
      </c>
      <c r="B1897" s="188" t="s">
        <v>5056</v>
      </c>
      <c r="C1897" s="18" t="s">
        <v>2867</v>
      </c>
      <c r="D1897" s="18" t="s">
        <v>2868</v>
      </c>
      <c r="E1897" s="73">
        <v>30000</v>
      </c>
      <c r="F1897" s="114">
        <v>356250</v>
      </c>
      <c r="G1897" s="73">
        <v>74812.5</v>
      </c>
      <c r="H1897" s="73">
        <v>461062.5</v>
      </c>
      <c r="I1897" s="28" t="s">
        <v>19</v>
      </c>
      <c r="J1897" s="43"/>
    </row>
    <row r="1898" spans="1:10" customFormat="1" ht="15" hidden="1" customHeight="1" x14ac:dyDescent="0.25">
      <c r="A1898" s="37">
        <v>45169</v>
      </c>
      <c r="B1898" s="188" t="s">
        <v>5057</v>
      </c>
      <c r="C1898" s="18" t="s">
        <v>3933</v>
      </c>
      <c r="D1898" s="18" t="s">
        <v>3934</v>
      </c>
      <c r="E1898" s="73">
        <v>13000</v>
      </c>
      <c r="F1898" s="114">
        <v>237500</v>
      </c>
      <c r="G1898" s="73">
        <v>49875</v>
      </c>
      <c r="H1898" s="73">
        <v>300375</v>
      </c>
      <c r="I1898" s="28" t="s">
        <v>19</v>
      </c>
      <c r="J1898" s="43"/>
    </row>
    <row r="1899" spans="1:10" customFormat="1" ht="15" hidden="1" customHeight="1" x14ac:dyDescent="0.25">
      <c r="A1899" s="37">
        <v>45169</v>
      </c>
      <c r="B1899" s="188" t="s">
        <v>5058</v>
      </c>
      <c r="C1899" s="18" t="s">
        <v>2921</v>
      </c>
      <c r="D1899" s="18" t="s">
        <v>2922</v>
      </c>
      <c r="E1899" s="73">
        <v>18400</v>
      </c>
      <c r="F1899" s="114">
        <v>150000</v>
      </c>
      <c r="G1899" s="73">
        <v>31500</v>
      </c>
      <c r="H1899" s="73">
        <v>199900</v>
      </c>
      <c r="I1899" s="28" t="s">
        <v>19</v>
      </c>
      <c r="J1899" s="43"/>
    </row>
    <row r="1900" spans="1:10" customFormat="1" ht="15" hidden="1" customHeight="1" x14ac:dyDescent="0.25">
      <c r="A1900" s="37">
        <v>45169</v>
      </c>
      <c r="B1900" s="188" t="s">
        <v>5059</v>
      </c>
      <c r="C1900" s="18" t="s">
        <v>2867</v>
      </c>
      <c r="D1900" s="18" t="s">
        <v>2868</v>
      </c>
      <c r="E1900" s="73">
        <v>28000</v>
      </c>
      <c r="F1900" s="114">
        <v>135000</v>
      </c>
      <c r="G1900" s="73">
        <v>28350</v>
      </c>
      <c r="H1900" s="73">
        <v>191350</v>
      </c>
      <c r="I1900" s="28" t="s">
        <v>19</v>
      </c>
      <c r="J1900" s="43"/>
    </row>
    <row r="1901" spans="1:10" customFormat="1" ht="15" hidden="1" customHeight="1" x14ac:dyDescent="0.25">
      <c r="A1901" s="37">
        <v>45169</v>
      </c>
      <c r="B1901" s="188" t="s">
        <v>5060</v>
      </c>
      <c r="C1901" s="18" t="s">
        <v>2867</v>
      </c>
      <c r="D1901" s="18" t="s">
        <v>2868</v>
      </c>
      <c r="E1901" s="73">
        <v>14000</v>
      </c>
      <c r="F1901" s="114">
        <v>67500</v>
      </c>
      <c r="G1901" s="73">
        <v>14175</v>
      </c>
      <c r="H1901" s="73">
        <v>95675</v>
      </c>
      <c r="I1901" s="28" t="s">
        <v>19</v>
      </c>
      <c r="J1901" s="43"/>
    </row>
    <row r="1902" spans="1:10" customFormat="1" ht="15" hidden="1" customHeight="1" x14ac:dyDescent="0.25">
      <c r="A1902" s="37">
        <v>45169</v>
      </c>
      <c r="B1902" s="188" t="s">
        <v>5061</v>
      </c>
      <c r="C1902" s="18" t="s">
        <v>5062</v>
      </c>
      <c r="D1902" s="18" t="s">
        <v>5063</v>
      </c>
      <c r="E1902" s="73">
        <v>0</v>
      </c>
      <c r="F1902" s="114">
        <v>65000</v>
      </c>
      <c r="G1902" s="73">
        <v>13650</v>
      </c>
      <c r="H1902" s="73">
        <v>78650</v>
      </c>
      <c r="I1902" s="28" t="s">
        <v>19</v>
      </c>
      <c r="J1902" s="43"/>
    </row>
    <row r="1903" spans="1:10" customFormat="1" ht="15" hidden="1" customHeight="1" x14ac:dyDescent="0.25">
      <c r="A1903" s="37">
        <v>45169</v>
      </c>
      <c r="B1903" s="188" t="s">
        <v>5064</v>
      </c>
      <c r="C1903" s="18" t="s">
        <v>3834</v>
      </c>
      <c r="D1903" s="18" t="s">
        <v>3835</v>
      </c>
      <c r="E1903" s="73">
        <v>7500</v>
      </c>
      <c r="F1903" s="114">
        <v>102500</v>
      </c>
      <c r="G1903" s="73">
        <v>21525</v>
      </c>
      <c r="H1903" s="73">
        <v>131525</v>
      </c>
      <c r="I1903" s="28" t="s">
        <v>19</v>
      </c>
      <c r="J1903" s="43"/>
    </row>
    <row r="1904" spans="1:10" customFormat="1" ht="15" hidden="1" customHeight="1" x14ac:dyDescent="0.25">
      <c r="A1904" s="37">
        <v>45169</v>
      </c>
      <c r="B1904" s="188" t="s">
        <v>5065</v>
      </c>
      <c r="C1904" s="18" t="s">
        <v>3450</v>
      </c>
      <c r="D1904" s="18" t="s">
        <v>3451</v>
      </c>
      <c r="E1904" s="73">
        <v>12000</v>
      </c>
      <c r="F1904" s="114">
        <v>101250</v>
      </c>
      <c r="G1904" s="73">
        <v>21262.5</v>
      </c>
      <c r="H1904" s="73">
        <v>134512.5</v>
      </c>
      <c r="I1904" s="28" t="s">
        <v>19</v>
      </c>
      <c r="J1904" s="43"/>
    </row>
    <row r="1905" spans="1:10" customFormat="1" ht="15" hidden="1" customHeight="1" x14ac:dyDescent="0.25">
      <c r="A1905" s="37">
        <v>45169</v>
      </c>
      <c r="B1905" s="188" t="s">
        <v>5066</v>
      </c>
      <c r="C1905" s="18" t="s">
        <v>3450</v>
      </c>
      <c r="D1905" s="18" t="s">
        <v>3451</v>
      </c>
      <c r="E1905" s="73">
        <v>12000</v>
      </c>
      <c r="F1905" s="114">
        <v>101250</v>
      </c>
      <c r="G1905" s="73">
        <v>21262.5</v>
      </c>
      <c r="H1905" s="73">
        <v>134512.5</v>
      </c>
      <c r="I1905" s="28" t="s">
        <v>19</v>
      </c>
      <c r="J1905" s="43"/>
    </row>
    <row r="1906" spans="1:10" customFormat="1" ht="15" hidden="1" customHeight="1" x14ac:dyDescent="0.25">
      <c r="A1906" s="37">
        <v>45169</v>
      </c>
      <c r="B1906" s="188" t="s">
        <v>5067</v>
      </c>
      <c r="C1906" s="18" t="s">
        <v>2903</v>
      </c>
      <c r="D1906" s="18" t="s">
        <v>2904</v>
      </c>
      <c r="E1906" s="73">
        <v>9200</v>
      </c>
      <c r="F1906" s="114">
        <v>67500</v>
      </c>
      <c r="G1906" s="73">
        <v>14175</v>
      </c>
      <c r="H1906" s="73">
        <v>90875</v>
      </c>
      <c r="I1906" s="28" t="s">
        <v>19</v>
      </c>
      <c r="J1906" s="43"/>
    </row>
    <row r="1907" spans="1:10" customFormat="1" ht="15" hidden="1" customHeight="1" x14ac:dyDescent="0.25">
      <c r="A1907" s="37">
        <v>45169</v>
      </c>
      <c r="B1907" s="188" t="s">
        <v>5068</v>
      </c>
      <c r="C1907" s="18" t="s">
        <v>4779</v>
      </c>
      <c r="D1907" s="18" t="s">
        <v>4780</v>
      </c>
      <c r="E1907" s="73">
        <v>0</v>
      </c>
      <c r="F1907" s="114">
        <v>62750</v>
      </c>
      <c r="G1907" s="73">
        <v>13177.5</v>
      </c>
      <c r="H1907" s="73">
        <v>75927.5</v>
      </c>
      <c r="I1907" s="28" t="s">
        <v>19</v>
      </c>
      <c r="J1907" s="43"/>
    </row>
    <row r="1908" spans="1:10" customFormat="1" ht="15" hidden="1" customHeight="1" x14ac:dyDescent="0.25">
      <c r="A1908" s="37">
        <v>45169</v>
      </c>
      <c r="B1908" s="188" t="s">
        <v>5069</v>
      </c>
      <c r="C1908" s="18" t="s">
        <v>2856</v>
      </c>
      <c r="D1908" s="18" t="s">
        <v>2857</v>
      </c>
      <c r="E1908" s="73">
        <v>6280</v>
      </c>
      <c r="F1908" s="114">
        <v>112500</v>
      </c>
      <c r="G1908" s="73">
        <v>23625</v>
      </c>
      <c r="H1908" s="73">
        <v>142405</v>
      </c>
      <c r="I1908" s="28" t="s">
        <v>19</v>
      </c>
      <c r="J1908" s="43"/>
    </row>
    <row r="1909" spans="1:10" customFormat="1" ht="15" hidden="1" customHeight="1" x14ac:dyDescent="0.25">
      <c r="A1909" s="37">
        <v>45169</v>
      </c>
      <c r="B1909" s="188" t="s">
        <v>5070</v>
      </c>
      <c r="C1909" s="18" t="s">
        <v>2867</v>
      </c>
      <c r="D1909" s="18" t="s">
        <v>2868</v>
      </c>
      <c r="E1909" s="73">
        <v>14000</v>
      </c>
      <c r="F1909" s="114">
        <v>118750</v>
      </c>
      <c r="G1909" s="73">
        <v>24937.5</v>
      </c>
      <c r="H1909" s="73">
        <v>157687.5</v>
      </c>
      <c r="I1909" s="28" t="s">
        <v>19</v>
      </c>
      <c r="J1909" s="43"/>
    </row>
    <row r="1910" spans="1:10" customFormat="1" ht="15" hidden="1" customHeight="1" x14ac:dyDescent="0.25">
      <c r="A1910" s="37">
        <v>45169</v>
      </c>
      <c r="B1910" s="188" t="s">
        <v>5071</v>
      </c>
      <c r="C1910" s="18" t="s">
        <v>3007</v>
      </c>
      <c r="D1910" s="18" t="s">
        <v>3008</v>
      </c>
      <c r="E1910" s="73">
        <v>12560</v>
      </c>
      <c r="F1910" s="114">
        <v>150000</v>
      </c>
      <c r="G1910" s="73">
        <v>31500</v>
      </c>
      <c r="H1910" s="73">
        <v>194060</v>
      </c>
      <c r="I1910" s="28" t="s">
        <v>19</v>
      </c>
      <c r="J1910" s="43"/>
    </row>
    <row r="1911" spans="1:10" customFormat="1" ht="15" hidden="1" customHeight="1" x14ac:dyDescent="0.25">
      <c r="A1911" s="37">
        <v>45169</v>
      </c>
      <c r="B1911" s="188" t="s">
        <v>5072</v>
      </c>
      <c r="C1911" s="18" t="s">
        <v>4109</v>
      </c>
      <c r="D1911" s="18" t="s">
        <v>4110</v>
      </c>
      <c r="E1911" s="73">
        <v>6280</v>
      </c>
      <c r="F1911" s="114">
        <v>156000</v>
      </c>
      <c r="G1911" s="73">
        <v>32760</v>
      </c>
      <c r="H1911" s="73">
        <v>195040</v>
      </c>
      <c r="I1911" s="28" t="s">
        <v>19</v>
      </c>
      <c r="J1911" s="43"/>
    </row>
    <row r="1912" spans="1:10" customFormat="1" ht="15" hidden="1" customHeight="1" x14ac:dyDescent="0.25">
      <c r="A1912" s="37">
        <v>45169</v>
      </c>
      <c r="B1912" s="188" t="s">
        <v>5073</v>
      </c>
      <c r="C1912" s="18" t="s">
        <v>4434</v>
      </c>
      <c r="D1912" s="18" t="s">
        <v>4435</v>
      </c>
      <c r="E1912" s="73">
        <v>2500</v>
      </c>
      <c r="F1912" s="114">
        <v>75000</v>
      </c>
      <c r="G1912" s="73">
        <v>15750</v>
      </c>
      <c r="H1912" s="73">
        <v>93250</v>
      </c>
      <c r="I1912" s="28" t="s">
        <v>19</v>
      </c>
      <c r="J1912" s="43"/>
    </row>
    <row r="1913" spans="1:10" customFormat="1" ht="15" hidden="1" customHeight="1" x14ac:dyDescent="0.25">
      <c r="A1913" s="37">
        <v>45169</v>
      </c>
      <c r="B1913" s="188" t="s">
        <v>5074</v>
      </c>
      <c r="C1913" s="18" t="s">
        <v>2954</v>
      </c>
      <c r="D1913" s="18" t="s">
        <v>2955</v>
      </c>
      <c r="E1913" s="73">
        <v>6280</v>
      </c>
      <c r="F1913" s="114">
        <v>75000</v>
      </c>
      <c r="G1913" s="73">
        <v>15750</v>
      </c>
      <c r="H1913" s="73">
        <v>97030</v>
      </c>
      <c r="I1913" s="28" t="s">
        <v>19</v>
      </c>
      <c r="J1913" s="43"/>
    </row>
    <row r="1914" spans="1:10" customFormat="1" ht="15" hidden="1" customHeight="1" x14ac:dyDescent="0.25">
      <c r="A1914" s="37">
        <v>45169</v>
      </c>
      <c r="B1914" s="188" t="s">
        <v>5075</v>
      </c>
      <c r="C1914" s="18" t="s">
        <v>2867</v>
      </c>
      <c r="D1914" s="18" t="s">
        <v>2868</v>
      </c>
      <c r="E1914" s="73">
        <v>16000</v>
      </c>
      <c r="F1914" s="114">
        <v>155000</v>
      </c>
      <c r="G1914" s="73">
        <v>32550</v>
      </c>
      <c r="H1914" s="73">
        <v>203550</v>
      </c>
      <c r="I1914" s="28" t="s">
        <v>19</v>
      </c>
      <c r="J1914" s="43"/>
    </row>
    <row r="1915" spans="1:10" customFormat="1" ht="15" hidden="1" customHeight="1" x14ac:dyDescent="0.25">
      <c r="A1915" s="37">
        <v>45169</v>
      </c>
      <c r="B1915" s="188" t="s">
        <v>5076</v>
      </c>
      <c r="C1915" s="18" t="s">
        <v>3703</v>
      </c>
      <c r="D1915" s="18" t="s">
        <v>3704</v>
      </c>
      <c r="E1915" s="73">
        <v>1800</v>
      </c>
      <c r="F1915" s="114">
        <v>65000</v>
      </c>
      <c r="G1915" s="73">
        <v>13650</v>
      </c>
      <c r="H1915" s="73">
        <v>80450</v>
      </c>
      <c r="I1915" s="28" t="s">
        <v>19</v>
      </c>
      <c r="J1915" s="43"/>
    </row>
    <row r="1916" spans="1:10" customFormat="1" ht="15" hidden="1" customHeight="1" x14ac:dyDescent="0.25">
      <c r="A1916" s="37">
        <v>45169</v>
      </c>
      <c r="B1916" s="188" t="s">
        <v>5077</v>
      </c>
      <c r="C1916" s="18" t="s">
        <v>3703</v>
      </c>
      <c r="D1916" s="18" t="s">
        <v>3704</v>
      </c>
      <c r="E1916" s="73">
        <v>5500</v>
      </c>
      <c r="F1916" s="114">
        <v>52500</v>
      </c>
      <c r="G1916" s="73">
        <v>11025</v>
      </c>
      <c r="H1916" s="73">
        <v>69025</v>
      </c>
      <c r="I1916" s="28" t="s">
        <v>19</v>
      </c>
      <c r="J1916" s="43"/>
    </row>
    <row r="1917" spans="1:10" customFormat="1" ht="15" hidden="1" customHeight="1" x14ac:dyDescent="0.25">
      <c r="A1917" s="37">
        <v>45169</v>
      </c>
      <c r="B1917" s="188" t="s">
        <v>5078</v>
      </c>
      <c r="C1917" s="18" t="s">
        <v>4240</v>
      </c>
      <c r="D1917" s="18" t="s">
        <v>4241</v>
      </c>
      <c r="E1917" s="73">
        <v>1800</v>
      </c>
      <c r="F1917" s="114">
        <v>52500</v>
      </c>
      <c r="G1917" s="73">
        <v>11025</v>
      </c>
      <c r="H1917" s="73">
        <v>65325</v>
      </c>
      <c r="I1917" s="28" t="s">
        <v>19</v>
      </c>
      <c r="J1917" s="43"/>
    </row>
    <row r="1918" spans="1:10" customFormat="1" ht="15" hidden="1" customHeight="1" x14ac:dyDescent="0.25">
      <c r="A1918" s="37">
        <v>45169</v>
      </c>
      <c r="B1918" s="188" t="s">
        <v>5079</v>
      </c>
      <c r="C1918" s="18" t="s">
        <v>4293</v>
      </c>
      <c r="D1918" s="18" t="s">
        <v>4294</v>
      </c>
      <c r="E1918" s="73">
        <v>28000</v>
      </c>
      <c r="F1918" s="114">
        <v>362500</v>
      </c>
      <c r="G1918" s="73">
        <v>76125</v>
      </c>
      <c r="H1918" s="73">
        <v>466625</v>
      </c>
      <c r="I1918" s="28" t="s">
        <v>19</v>
      </c>
      <c r="J1918" s="43"/>
    </row>
    <row r="1919" spans="1:10" customFormat="1" ht="15" hidden="1" customHeight="1" x14ac:dyDescent="0.25">
      <c r="A1919" s="37">
        <v>45169</v>
      </c>
      <c r="B1919" s="188" t="s">
        <v>5080</v>
      </c>
      <c r="C1919" s="18" t="s">
        <v>4779</v>
      </c>
      <c r="D1919" s="18" t="s">
        <v>4780</v>
      </c>
      <c r="E1919" s="73">
        <v>15380</v>
      </c>
      <c r="F1919" s="114">
        <v>320000</v>
      </c>
      <c r="G1919" s="73">
        <v>67200</v>
      </c>
      <c r="H1919" s="73">
        <v>402580</v>
      </c>
      <c r="I1919" s="28" t="s">
        <v>19</v>
      </c>
      <c r="J1919" s="43"/>
    </row>
    <row r="1920" spans="1:10" customFormat="1" ht="15" hidden="1" customHeight="1" x14ac:dyDescent="0.25">
      <c r="A1920" s="37">
        <v>45169</v>
      </c>
      <c r="B1920" s="188" t="s">
        <v>5081</v>
      </c>
      <c r="C1920" s="18" t="s">
        <v>2954</v>
      </c>
      <c r="D1920" s="18" t="s">
        <v>2955</v>
      </c>
      <c r="E1920" s="73">
        <v>14720</v>
      </c>
      <c r="F1920" s="114">
        <v>102500</v>
      </c>
      <c r="G1920" s="73">
        <v>21525</v>
      </c>
      <c r="H1920" s="73">
        <v>138745</v>
      </c>
      <c r="I1920" s="28" t="s">
        <v>19</v>
      </c>
      <c r="J1920" s="43"/>
    </row>
    <row r="1921" spans="1:10" customFormat="1" ht="15" hidden="1" customHeight="1" x14ac:dyDescent="0.25">
      <c r="A1921" s="37">
        <v>45169</v>
      </c>
      <c r="B1921" s="188" t="s">
        <v>5082</v>
      </c>
      <c r="C1921" s="18" t="s">
        <v>2954</v>
      </c>
      <c r="D1921" s="18" t="s">
        <v>2955</v>
      </c>
      <c r="E1921" s="73">
        <v>14720</v>
      </c>
      <c r="F1921" s="114">
        <v>102500</v>
      </c>
      <c r="G1921" s="73">
        <v>21525</v>
      </c>
      <c r="H1921" s="73">
        <v>138745</v>
      </c>
      <c r="I1921" s="28" t="s">
        <v>19</v>
      </c>
      <c r="J1921" s="43"/>
    </row>
    <row r="1922" spans="1:10" customFormat="1" ht="15" hidden="1" customHeight="1" x14ac:dyDescent="0.25">
      <c r="A1922" s="37">
        <v>45169</v>
      </c>
      <c r="B1922" s="188" t="s">
        <v>5083</v>
      </c>
      <c r="C1922" s="18" t="s">
        <v>3358</v>
      </c>
      <c r="D1922" s="18" t="s">
        <v>3359</v>
      </c>
      <c r="E1922" s="73">
        <v>8320</v>
      </c>
      <c r="F1922" s="114">
        <v>77500</v>
      </c>
      <c r="G1922" s="73">
        <v>16275</v>
      </c>
      <c r="H1922" s="73">
        <v>102095</v>
      </c>
      <c r="I1922" s="28" t="s">
        <v>19</v>
      </c>
      <c r="J1922" s="43"/>
    </row>
    <row r="1923" spans="1:10" customFormat="1" ht="15" hidden="1" customHeight="1" x14ac:dyDescent="0.25">
      <c r="A1923" s="37">
        <v>45169</v>
      </c>
      <c r="B1923" s="188" t="s">
        <v>5084</v>
      </c>
      <c r="C1923" s="18" t="s">
        <v>2867</v>
      </c>
      <c r="D1923" s="18" t="s">
        <v>2868</v>
      </c>
      <c r="E1923" s="73">
        <v>36320</v>
      </c>
      <c r="F1923" s="114">
        <v>458750</v>
      </c>
      <c r="G1923" s="73">
        <v>96337.5</v>
      </c>
      <c r="H1923" s="73">
        <v>591407.5</v>
      </c>
      <c r="I1923" s="28" t="s">
        <v>19</v>
      </c>
      <c r="J1923" s="43"/>
    </row>
    <row r="1924" spans="1:10" customFormat="1" ht="15" hidden="1" customHeight="1" x14ac:dyDescent="0.25">
      <c r="A1924" s="37">
        <v>45169</v>
      </c>
      <c r="B1924" s="188" t="s">
        <v>5085</v>
      </c>
      <c r="C1924" s="18" t="s">
        <v>2909</v>
      </c>
      <c r="D1924" s="18" t="s">
        <v>2910</v>
      </c>
      <c r="E1924" s="73">
        <v>8680</v>
      </c>
      <c r="F1924" s="114">
        <v>355000</v>
      </c>
      <c r="G1924" s="73">
        <v>74550</v>
      </c>
      <c r="H1924" s="73">
        <v>438230</v>
      </c>
      <c r="I1924" s="28" t="s">
        <v>19</v>
      </c>
      <c r="J1924" s="43"/>
    </row>
    <row r="1925" spans="1:10" customFormat="1" ht="15" hidden="1" customHeight="1" x14ac:dyDescent="0.25">
      <c r="A1925" s="37">
        <v>45169</v>
      </c>
      <c r="B1925" s="188" t="s">
        <v>5086</v>
      </c>
      <c r="C1925" s="18" t="s">
        <v>4916</v>
      </c>
      <c r="D1925" s="18" t="s">
        <v>4917</v>
      </c>
      <c r="E1925" s="73">
        <v>35360</v>
      </c>
      <c r="F1925" s="114">
        <v>1500000</v>
      </c>
      <c r="G1925" s="73">
        <v>315000</v>
      </c>
      <c r="H1925" s="73">
        <v>1850360</v>
      </c>
      <c r="I1925" s="28" t="s">
        <v>19</v>
      </c>
      <c r="J1925" s="43"/>
    </row>
    <row r="1926" spans="1:10" customFormat="1" ht="15" hidden="1" customHeight="1" x14ac:dyDescent="0.25">
      <c r="A1926" s="37">
        <v>45169</v>
      </c>
      <c r="B1926" s="188" t="s">
        <v>5087</v>
      </c>
      <c r="C1926" s="18" t="s">
        <v>3559</v>
      </c>
      <c r="D1926" s="18" t="s">
        <v>3560</v>
      </c>
      <c r="E1926" s="73">
        <v>7000</v>
      </c>
      <c r="F1926" s="114">
        <v>102500</v>
      </c>
      <c r="G1926" s="73">
        <v>21525</v>
      </c>
      <c r="H1926" s="73">
        <v>131025</v>
      </c>
      <c r="I1926" s="28" t="s">
        <v>19</v>
      </c>
      <c r="J1926" s="43"/>
    </row>
    <row r="1927" spans="1:10" customFormat="1" ht="15" hidden="1" customHeight="1" x14ac:dyDescent="0.25">
      <c r="A1927" s="37">
        <v>45169</v>
      </c>
      <c r="B1927" s="188" t="s">
        <v>5088</v>
      </c>
      <c r="C1927" s="18" t="s">
        <v>3460</v>
      </c>
      <c r="D1927" s="18" t="s">
        <v>3461</v>
      </c>
      <c r="E1927" s="73">
        <v>8680</v>
      </c>
      <c r="F1927" s="114">
        <v>153750</v>
      </c>
      <c r="G1927" s="73">
        <v>32287.5</v>
      </c>
      <c r="H1927" s="73">
        <v>194717.5</v>
      </c>
      <c r="I1927" s="28" t="s">
        <v>19</v>
      </c>
      <c r="J1927" s="43"/>
    </row>
    <row r="1928" spans="1:10" customFormat="1" ht="15" hidden="1" customHeight="1" x14ac:dyDescent="0.25">
      <c r="A1928" s="37">
        <v>45169</v>
      </c>
      <c r="B1928" s="188" t="s">
        <v>5089</v>
      </c>
      <c r="C1928" s="18" t="s">
        <v>2886</v>
      </c>
      <c r="D1928" s="18" t="s">
        <v>2887</v>
      </c>
      <c r="E1928" s="73">
        <v>12560</v>
      </c>
      <c r="F1928" s="114">
        <v>237000</v>
      </c>
      <c r="G1928" s="73">
        <v>49770</v>
      </c>
      <c r="H1928" s="73">
        <v>299330</v>
      </c>
      <c r="I1928" s="28" t="s">
        <v>19</v>
      </c>
      <c r="J1928" s="43"/>
    </row>
    <row r="1929" spans="1:10" customFormat="1" ht="15" hidden="1" customHeight="1" x14ac:dyDescent="0.25">
      <c r="A1929" s="37">
        <v>45169</v>
      </c>
      <c r="B1929" s="188" t="s">
        <v>5090</v>
      </c>
      <c r="C1929" s="18" t="s">
        <v>2954</v>
      </c>
      <c r="D1929" s="18" t="s">
        <v>2955</v>
      </c>
      <c r="E1929" s="73">
        <v>6280</v>
      </c>
      <c r="F1929" s="114">
        <v>75000</v>
      </c>
      <c r="G1929" s="73">
        <v>15750</v>
      </c>
      <c r="H1929" s="73">
        <v>97030</v>
      </c>
      <c r="I1929" s="28" t="s">
        <v>19</v>
      </c>
      <c r="J1929" s="43"/>
    </row>
    <row r="1930" spans="1:10" customFormat="1" ht="15" hidden="1" customHeight="1" x14ac:dyDescent="0.25">
      <c r="A1930" s="37">
        <v>45169</v>
      </c>
      <c r="B1930" s="188" t="s">
        <v>5091</v>
      </c>
      <c r="C1930" s="18" t="s">
        <v>2964</v>
      </c>
      <c r="D1930" s="18" t="s">
        <v>2965</v>
      </c>
      <c r="E1930" s="73">
        <v>6280</v>
      </c>
      <c r="F1930" s="114">
        <v>118500</v>
      </c>
      <c r="G1930" s="73">
        <v>24885</v>
      </c>
      <c r="H1930" s="73">
        <v>149665</v>
      </c>
      <c r="I1930" s="28" t="s">
        <v>19</v>
      </c>
      <c r="J1930" s="43"/>
    </row>
    <row r="1931" spans="1:10" customFormat="1" ht="15" hidden="1" customHeight="1" x14ac:dyDescent="0.25">
      <c r="A1931" s="37">
        <v>45169</v>
      </c>
      <c r="B1931" s="188" t="s">
        <v>5092</v>
      </c>
      <c r="C1931" s="18" t="s">
        <v>2921</v>
      </c>
      <c r="D1931" s="18" t="s">
        <v>2922</v>
      </c>
      <c r="E1931" s="73">
        <v>6280</v>
      </c>
      <c r="F1931" s="114">
        <v>118500</v>
      </c>
      <c r="G1931" s="73">
        <v>24885</v>
      </c>
      <c r="H1931" s="73">
        <v>149665</v>
      </c>
      <c r="I1931" s="28" t="s">
        <v>19</v>
      </c>
      <c r="J1931" s="43"/>
    </row>
    <row r="1932" spans="1:10" customFormat="1" ht="15" hidden="1" customHeight="1" x14ac:dyDescent="0.25">
      <c r="A1932" s="37">
        <v>45169</v>
      </c>
      <c r="B1932" s="188" t="s">
        <v>5093</v>
      </c>
      <c r="C1932" s="18" t="s">
        <v>2921</v>
      </c>
      <c r="D1932" s="18" t="s">
        <v>2922</v>
      </c>
      <c r="E1932" s="73">
        <v>6280</v>
      </c>
      <c r="F1932" s="114">
        <v>118500</v>
      </c>
      <c r="G1932" s="73">
        <v>24885</v>
      </c>
      <c r="H1932" s="73">
        <v>149665</v>
      </c>
      <c r="I1932" s="28" t="s">
        <v>19</v>
      </c>
      <c r="J1932" s="43"/>
    </row>
    <row r="1933" spans="1:10" customFormat="1" ht="15" hidden="1" customHeight="1" x14ac:dyDescent="0.25">
      <c r="A1933" s="37">
        <v>45169</v>
      </c>
      <c r="B1933" s="188" t="s">
        <v>5094</v>
      </c>
      <c r="C1933" s="18" t="s">
        <v>2927</v>
      </c>
      <c r="D1933" s="18" t="s">
        <v>2928</v>
      </c>
      <c r="E1933" s="73">
        <v>6280</v>
      </c>
      <c r="F1933" s="114">
        <v>118500</v>
      </c>
      <c r="G1933" s="73">
        <v>24885</v>
      </c>
      <c r="H1933" s="73">
        <v>149665</v>
      </c>
      <c r="I1933" s="28" t="s">
        <v>19</v>
      </c>
      <c r="J1933" s="43"/>
    </row>
    <row r="1934" spans="1:10" customFormat="1" ht="15" hidden="1" customHeight="1" x14ac:dyDescent="0.25">
      <c r="A1934" s="40">
        <v>45169</v>
      </c>
      <c r="B1934" s="11" t="s">
        <v>5095</v>
      </c>
      <c r="C1934" s="74" t="s">
        <v>3272</v>
      </c>
      <c r="D1934" s="74" t="s">
        <v>3273</v>
      </c>
      <c r="E1934" s="73">
        <v>6280</v>
      </c>
      <c r="F1934" s="114">
        <v>118500</v>
      </c>
      <c r="G1934" s="73">
        <v>24885</v>
      </c>
      <c r="H1934" s="73">
        <v>149665</v>
      </c>
      <c r="I1934" s="41" t="s">
        <v>19</v>
      </c>
      <c r="J1934" s="49"/>
    </row>
    <row r="1935" spans="1:10" customFormat="1" ht="15" hidden="1" customHeight="1" x14ac:dyDescent="0.25">
      <c r="A1935" s="40">
        <v>45169</v>
      </c>
      <c r="B1935" s="11" t="s">
        <v>5096</v>
      </c>
      <c r="C1935" s="74" t="s">
        <v>3272</v>
      </c>
      <c r="D1935" s="74" t="s">
        <v>3273</v>
      </c>
      <c r="E1935" s="73">
        <v>31400</v>
      </c>
      <c r="F1935" s="114">
        <v>592500</v>
      </c>
      <c r="G1935" s="73">
        <v>124425</v>
      </c>
      <c r="H1935" s="73">
        <v>748325</v>
      </c>
      <c r="I1935" s="41" t="s">
        <v>19</v>
      </c>
      <c r="J1935" s="49"/>
    </row>
    <row r="1936" spans="1:10" customFormat="1" ht="15" hidden="1" customHeight="1" x14ac:dyDescent="0.25">
      <c r="A1936" s="37">
        <v>45169</v>
      </c>
      <c r="B1936" s="188" t="s">
        <v>5097</v>
      </c>
      <c r="C1936" s="18" t="s">
        <v>2870</v>
      </c>
      <c r="D1936" s="18" t="s">
        <v>2871</v>
      </c>
      <c r="E1936" s="73">
        <v>6280</v>
      </c>
      <c r="F1936" s="114">
        <v>118500</v>
      </c>
      <c r="G1936" s="73">
        <v>24885</v>
      </c>
      <c r="H1936" s="73">
        <v>149665</v>
      </c>
      <c r="I1936" s="28" t="s">
        <v>19</v>
      </c>
      <c r="J1936" s="43"/>
    </row>
    <row r="1937" spans="1:10" customFormat="1" ht="15" hidden="1" customHeight="1" x14ac:dyDescent="0.25">
      <c r="A1937" s="37">
        <v>45169</v>
      </c>
      <c r="B1937" s="188" t="s">
        <v>5098</v>
      </c>
      <c r="C1937" s="18" t="s">
        <v>2870</v>
      </c>
      <c r="D1937" s="18" t="s">
        <v>2871</v>
      </c>
      <c r="E1937" s="73">
        <v>6280</v>
      </c>
      <c r="F1937" s="114">
        <v>118500</v>
      </c>
      <c r="G1937" s="73">
        <v>24885</v>
      </c>
      <c r="H1937" s="73">
        <v>149665</v>
      </c>
      <c r="I1937" s="28" t="s">
        <v>19</v>
      </c>
      <c r="J1937" s="43"/>
    </row>
    <row r="1938" spans="1:10" customFormat="1" ht="15" hidden="1" customHeight="1" x14ac:dyDescent="0.25">
      <c r="A1938" s="37">
        <v>45169</v>
      </c>
      <c r="B1938" s="188" t="s">
        <v>5099</v>
      </c>
      <c r="C1938" s="18" t="s">
        <v>3831</v>
      </c>
      <c r="D1938" s="18" t="s">
        <v>3832</v>
      </c>
      <c r="E1938" s="73">
        <v>6280</v>
      </c>
      <c r="F1938" s="114">
        <v>118500</v>
      </c>
      <c r="G1938" s="73">
        <v>24885</v>
      </c>
      <c r="H1938" s="73">
        <v>149665</v>
      </c>
      <c r="I1938" s="28" t="s">
        <v>19</v>
      </c>
      <c r="J1938" s="43"/>
    </row>
    <row r="1939" spans="1:10" customFormat="1" ht="15" hidden="1" customHeight="1" x14ac:dyDescent="0.25">
      <c r="A1939" s="37">
        <v>45169</v>
      </c>
      <c r="B1939" s="188" t="s">
        <v>5100</v>
      </c>
      <c r="C1939" s="18" t="s">
        <v>3831</v>
      </c>
      <c r="D1939" s="18" t="s">
        <v>3832</v>
      </c>
      <c r="E1939" s="73">
        <v>6280</v>
      </c>
      <c r="F1939" s="114">
        <v>118500</v>
      </c>
      <c r="G1939" s="73">
        <v>24885</v>
      </c>
      <c r="H1939" s="73">
        <v>149665</v>
      </c>
      <c r="I1939" s="28" t="s">
        <v>19</v>
      </c>
      <c r="J1939" s="43"/>
    </row>
    <row r="1940" spans="1:10" customFormat="1" ht="15" hidden="1" customHeight="1" x14ac:dyDescent="0.25">
      <c r="A1940" s="37">
        <v>45169</v>
      </c>
      <c r="B1940" s="188" t="s">
        <v>5101</v>
      </c>
      <c r="C1940" s="18" t="s">
        <v>4420</v>
      </c>
      <c r="D1940" s="18" t="s">
        <v>4421</v>
      </c>
      <c r="E1940" s="73">
        <v>9200</v>
      </c>
      <c r="F1940" s="114">
        <v>75000</v>
      </c>
      <c r="G1940" s="73">
        <v>15750</v>
      </c>
      <c r="H1940" s="73">
        <v>99950</v>
      </c>
      <c r="I1940" s="28" t="s">
        <v>19</v>
      </c>
      <c r="J1940" s="43"/>
    </row>
    <row r="1941" spans="1:10" customFormat="1" ht="15" hidden="1" customHeight="1" x14ac:dyDescent="0.25">
      <c r="A1941" s="37">
        <v>45169</v>
      </c>
      <c r="B1941" s="188" t="s">
        <v>5102</v>
      </c>
      <c r="C1941" s="18" t="s">
        <v>2921</v>
      </c>
      <c r="D1941" s="18" t="s">
        <v>2922</v>
      </c>
      <c r="E1941" s="73">
        <v>8320</v>
      </c>
      <c r="F1941" s="114">
        <v>77500</v>
      </c>
      <c r="G1941" s="73">
        <v>16275</v>
      </c>
      <c r="H1941" s="73">
        <v>102095</v>
      </c>
      <c r="I1941" s="28" t="s">
        <v>19</v>
      </c>
      <c r="J1941" s="43"/>
    </row>
    <row r="1942" spans="1:10" customFormat="1" ht="15" hidden="1" customHeight="1" x14ac:dyDescent="0.25">
      <c r="A1942" s="37">
        <v>45169</v>
      </c>
      <c r="B1942" s="188" t="s">
        <v>5103</v>
      </c>
      <c r="C1942" s="18" t="s">
        <v>2921</v>
      </c>
      <c r="D1942" s="18" t="s">
        <v>2922</v>
      </c>
      <c r="E1942" s="73">
        <v>8320</v>
      </c>
      <c r="F1942" s="114">
        <v>77500</v>
      </c>
      <c r="G1942" s="73">
        <v>16275</v>
      </c>
      <c r="H1942" s="73">
        <v>102095</v>
      </c>
      <c r="I1942" s="28" t="s">
        <v>19</v>
      </c>
      <c r="J1942" s="43"/>
    </row>
    <row r="1943" spans="1:10" customFormat="1" ht="15" hidden="1" customHeight="1" x14ac:dyDescent="0.25">
      <c r="A1943" s="37">
        <v>45169</v>
      </c>
      <c r="B1943" s="188" t="s">
        <v>5104</v>
      </c>
      <c r="C1943" s="18" t="s">
        <v>2921</v>
      </c>
      <c r="D1943" s="18" t="s">
        <v>2922</v>
      </c>
      <c r="E1943" s="73">
        <v>16640</v>
      </c>
      <c r="F1943" s="114">
        <v>193750</v>
      </c>
      <c r="G1943" s="73">
        <v>40687.5</v>
      </c>
      <c r="H1943" s="73">
        <v>251077.5</v>
      </c>
      <c r="I1943" s="28" t="s">
        <v>19</v>
      </c>
      <c r="J1943" s="43"/>
    </row>
    <row r="1944" spans="1:10" customFormat="1" ht="15" hidden="1" customHeight="1" x14ac:dyDescent="0.25">
      <c r="A1944" s="37">
        <v>45169</v>
      </c>
      <c r="B1944" s="188" t="s">
        <v>5105</v>
      </c>
      <c r="C1944" s="18" t="s">
        <v>2909</v>
      </c>
      <c r="D1944" s="18" t="s">
        <v>2910</v>
      </c>
      <c r="E1944" s="73">
        <v>6200</v>
      </c>
      <c r="F1944" s="114">
        <v>102500</v>
      </c>
      <c r="G1944" s="73">
        <v>21525</v>
      </c>
      <c r="H1944" s="73">
        <v>130225</v>
      </c>
      <c r="I1944" s="28" t="s">
        <v>19</v>
      </c>
      <c r="J1944" s="43"/>
    </row>
    <row r="1945" spans="1:10" customFormat="1" ht="15" hidden="1" customHeight="1" x14ac:dyDescent="0.25">
      <c r="A1945" s="37">
        <v>45169</v>
      </c>
      <c r="B1945" s="188" t="s">
        <v>5106</v>
      </c>
      <c r="C1945" s="18" t="s">
        <v>2921</v>
      </c>
      <c r="D1945" s="18" t="s">
        <v>2922</v>
      </c>
      <c r="E1945" s="73">
        <v>8320</v>
      </c>
      <c r="F1945" s="114">
        <v>77500</v>
      </c>
      <c r="G1945" s="73">
        <v>16275</v>
      </c>
      <c r="H1945" s="73">
        <v>102095</v>
      </c>
      <c r="I1945" s="28" t="s">
        <v>19</v>
      </c>
      <c r="J1945" s="43"/>
    </row>
    <row r="1946" spans="1:10" customFormat="1" ht="15" hidden="1" customHeight="1" x14ac:dyDescent="0.25">
      <c r="A1946" s="37">
        <v>45169</v>
      </c>
      <c r="B1946" s="188" t="s">
        <v>5107</v>
      </c>
      <c r="C1946" s="18" t="s">
        <v>2921</v>
      </c>
      <c r="D1946" s="18" t="s">
        <v>2922</v>
      </c>
      <c r="E1946" s="73">
        <v>8320</v>
      </c>
      <c r="F1946" s="114">
        <v>77500</v>
      </c>
      <c r="G1946" s="73">
        <v>16275</v>
      </c>
      <c r="H1946" s="73">
        <v>102095</v>
      </c>
      <c r="I1946" s="28" t="s">
        <v>19</v>
      </c>
      <c r="J1946" s="43"/>
    </row>
    <row r="1947" spans="1:10" customFormat="1" ht="15" hidden="1" customHeight="1" x14ac:dyDescent="0.25">
      <c r="A1947" s="37">
        <v>45169</v>
      </c>
      <c r="B1947" s="188" t="s">
        <v>5108</v>
      </c>
      <c r="C1947" s="18" t="s">
        <v>5109</v>
      </c>
      <c r="D1947" s="18" t="s">
        <v>5110</v>
      </c>
      <c r="E1947" s="73">
        <v>16000</v>
      </c>
      <c r="F1947" s="114">
        <v>248500</v>
      </c>
      <c r="G1947" s="73">
        <v>52185</v>
      </c>
      <c r="H1947" s="73">
        <v>316685</v>
      </c>
      <c r="I1947" s="28" t="s">
        <v>19</v>
      </c>
      <c r="J1947" s="43"/>
    </row>
    <row r="1948" spans="1:10" customFormat="1" ht="15" hidden="1" customHeight="1" x14ac:dyDescent="0.25">
      <c r="A1948" s="37">
        <v>45169</v>
      </c>
      <c r="B1948" s="188" t="s">
        <v>5111</v>
      </c>
      <c r="C1948" s="18" t="s">
        <v>2997</v>
      </c>
      <c r="D1948" s="18" t="s">
        <v>2998</v>
      </c>
      <c r="E1948" s="73">
        <v>24000</v>
      </c>
      <c r="F1948" s="114">
        <v>410000</v>
      </c>
      <c r="G1948" s="73">
        <v>86100</v>
      </c>
      <c r="H1948" s="73">
        <v>520100</v>
      </c>
      <c r="I1948" s="28" t="s">
        <v>19</v>
      </c>
      <c r="J1948" s="43"/>
    </row>
    <row r="1949" spans="1:10" customFormat="1" ht="15" hidden="1" customHeight="1" x14ac:dyDescent="0.25">
      <c r="A1949" s="37">
        <v>45169</v>
      </c>
      <c r="B1949" s="188" t="s">
        <v>5112</v>
      </c>
      <c r="C1949" s="18" t="s">
        <v>2856</v>
      </c>
      <c r="D1949" s="18" t="s">
        <v>2857</v>
      </c>
      <c r="E1949" s="73">
        <v>11000</v>
      </c>
      <c r="F1949" s="114">
        <v>155000</v>
      </c>
      <c r="G1949" s="73">
        <v>32550</v>
      </c>
      <c r="H1949" s="73">
        <v>198550</v>
      </c>
      <c r="I1949" s="28" t="s">
        <v>19</v>
      </c>
      <c r="J1949" s="43"/>
    </row>
    <row r="1950" spans="1:10" customFormat="1" ht="15" hidden="1" customHeight="1" x14ac:dyDescent="0.25">
      <c r="A1950" s="37">
        <v>45169</v>
      </c>
      <c r="B1950" s="188" t="s">
        <v>5113</v>
      </c>
      <c r="C1950" s="18" t="s">
        <v>5114</v>
      </c>
      <c r="D1950" s="18" t="s">
        <v>5115</v>
      </c>
      <c r="E1950" s="73">
        <v>6280</v>
      </c>
      <c r="F1950" s="114">
        <v>118500</v>
      </c>
      <c r="G1950" s="73">
        <v>24885</v>
      </c>
      <c r="H1950" s="73">
        <v>149665</v>
      </c>
      <c r="I1950" s="28" t="s">
        <v>19</v>
      </c>
      <c r="J1950" s="43"/>
    </row>
    <row r="1951" spans="1:10" customFormat="1" ht="15" hidden="1" customHeight="1" x14ac:dyDescent="0.25">
      <c r="A1951" s="37">
        <v>45169</v>
      </c>
      <c r="B1951" s="188" t="s">
        <v>5116</v>
      </c>
      <c r="C1951" s="18" t="s">
        <v>3373</v>
      </c>
      <c r="D1951" s="18" t="s">
        <v>3374</v>
      </c>
      <c r="E1951" s="73">
        <v>14000</v>
      </c>
      <c r="F1951" s="114">
        <v>145312.5</v>
      </c>
      <c r="G1951" s="73">
        <v>30515.63</v>
      </c>
      <c r="H1951" s="73">
        <v>189828.13</v>
      </c>
      <c r="I1951" s="28" t="s">
        <v>19</v>
      </c>
      <c r="J1951" s="43"/>
    </row>
    <row r="1952" spans="1:10" customFormat="1" ht="15" hidden="1" customHeight="1" x14ac:dyDescent="0.25">
      <c r="A1952" s="37">
        <v>45169</v>
      </c>
      <c r="B1952" s="188" t="s">
        <v>5117</v>
      </c>
      <c r="C1952" s="18" t="s">
        <v>3200</v>
      </c>
      <c r="D1952" s="18" t="s">
        <v>3201</v>
      </c>
      <c r="E1952" s="73">
        <v>1800</v>
      </c>
      <c r="F1952" s="114">
        <v>65625</v>
      </c>
      <c r="G1952" s="73">
        <v>13781.25</v>
      </c>
      <c r="H1952" s="73">
        <v>81206.25</v>
      </c>
      <c r="I1952" s="28" t="s">
        <v>19</v>
      </c>
      <c r="J1952" s="43"/>
    </row>
    <row r="1953" spans="1:10" customFormat="1" ht="15" hidden="1" customHeight="1" x14ac:dyDescent="0.25">
      <c r="A1953" s="57">
        <v>45169</v>
      </c>
      <c r="B1953" s="190" t="s">
        <v>5118</v>
      </c>
      <c r="C1953" s="123" t="s">
        <v>3346</v>
      </c>
      <c r="D1953" s="123" t="s">
        <v>3347</v>
      </c>
      <c r="E1953" s="124">
        <v>7000</v>
      </c>
      <c r="F1953" s="125">
        <v>168750</v>
      </c>
      <c r="G1953" s="124">
        <v>35437.5</v>
      </c>
      <c r="H1953" s="124">
        <v>211187.5</v>
      </c>
      <c r="I1953" s="59" t="s">
        <v>19</v>
      </c>
      <c r="J1953" s="43"/>
    </row>
    <row r="1954" spans="1:10" customFormat="1" ht="15" hidden="1" customHeight="1" x14ac:dyDescent="0.25">
      <c r="A1954" s="147">
        <v>45169</v>
      </c>
      <c r="B1954" s="148" t="s">
        <v>5119</v>
      </c>
      <c r="C1954" s="148" t="s">
        <v>3132</v>
      </c>
      <c r="D1954" s="148" t="s">
        <v>3133</v>
      </c>
      <c r="E1954" s="149">
        <v>0</v>
      </c>
      <c r="F1954" s="152">
        <v>931104</v>
      </c>
      <c r="G1954" s="149">
        <v>195531.84</v>
      </c>
      <c r="H1954" s="149">
        <v>1126635.8400000001</v>
      </c>
      <c r="I1954" s="151" t="s">
        <v>103</v>
      </c>
      <c r="J1954" s="43"/>
    </row>
    <row r="1955" spans="1:10" ht="15" hidden="1" customHeight="1" x14ac:dyDescent="0.25">
      <c r="A1955" s="127">
        <v>45169</v>
      </c>
      <c r="B1955" s="191" t="s">
        <v>5120</v>
      </c>
      <c r="C1955" s="128" t="s">
        <v>2895</v>
      </c>
      <c r="D1955" s="128" t="s">
        <v>2896</v>
      </c>
      <c r="E1955" s="129">
        <v>-7.4505805969238296E-11</v>
      </c>
      <c r="F1955" s="131">
        <v>497208</v>
      </c>
      <c r="G1955" s="129">
        <v>104413.68</v>
      </c>
      <c r="H1955" s="129">
        <v>601621.67999999993</v>
      </c>
      <c r="I1955" s="121" t="s">
        <v>103</v>
      </c>
      <c r="J1955" s="43"/>
    </row>
    <row r="1956" spans="1:10" customFormat="1" ht="15" hidden="1" customHeight="1" x14ac:dyDescent="0.25">
      <c r="A1956" s="126">
        <v>45169</v>
      </c>
      <c r="B1956" s="190" t="s">
        <v>5121</v>
      </c>
      <c r="C1956" s="123" t="s">
        <v>2856</v>
      </c>
      <c r="D1956" s="123" t="s">
        <v>2857</v>
      </c>
      <c r="E1956" s="124">
        <v>0</v>
      </c>
      <c r="F1956" s="125">
        <v>7091846.6900000004</v>
      </c>
      <c r="G1956" s="124">
        <v>1489287.8</v>
      </c>
      <c r="H1956" s="124">
        <v>8581134.4900000002</v>
      </c>
      <c r="I1956" s="55" t="s">
        <v>103</v>
      </c>
      <c r="J1956" s="43"/>
    </row>
    <row r="1957" spans="1:10" customFormat="1" ht="15" hidden="1" customHeight="1" x14ac:dyDescent="0.25">
      <c r="A1957" s="37">
        <v>45169</v>
      </c>
      <c r="B1957" s="188" t="s">
        <v>5122</v>
      </c>
      <c r="C1957" s="18" t="s">
        <v>3290</v>
      </c>
      <c r="D1957" s="18" t="s">
        <v>3291</v>
      </c>
      <c r="E1957" s="73">
        <v>0</v>
      </c>
      <c r="F1957" s="114">
        <v>323660</v>
      </c>
      <c r="G1957" s="73">
        <v>67968.600000000006</v>
      </c>
      <c r="H1957" s="73">
        <v>391628.6</v>
      </c>
      <c r="I1957" s="28" t="s">
        <v>19</v>
      </c>
      <c r="J1957" s="43"/>
    </row>
    <row r="1958" spans="1:10" customFormat="1" ht="15" hidden="1" customHeight="1" x14ac:dyDescent="0.25">
      <c r="A1958" s="37">
        <v>45169</v>
      </c>
      <c r="B1958" s="188" t="s">
        <v>5123</v>
      </c>
      <c r="C1958" s="18" t="s">
        <v>3722</v>
      </c>
      <c r="D1958" s="18" t="s">
        <v>3723</v>
      </c>
      <c r="E1958" s="73">
        <v>0</v>
      </c>
      <c r="F1958" s="114">
        <v>439366</v>
      </c>
      <c r="G1958" s="73">
        <v>92266.86</v>
      </c>
      <c r="H1958" s="73">
        <v>531632.86</v>
      </c>
      <c r="I1958" s="28" t="s">
        <v>103</v>
      </c>
      <c r="J1958" s="43"/>
    </row>
    <row r="1959" spans="1:10" customFormat="1" ht="15" hidden="1" customHeight="1" x14ac:dyDescent="0.25">
      <c r="A1959" s="37">
        <v>45169</v>
      </c>
      <c r="B1959" s="188" t="s">
        <v>5124</v>
      </c>
      <c r="C1959" s="18" t="s">
        <v>2921</v>
      </c>
      <c r="D1959" s="18" t="s">
        <v>2922</v>
      </c>
      <c r="E1959" s="73">
        <v>0</v>
      </c>
      <c r="F1959" s="114">
        <v>3976550</v>
      </c>
      <c r="G1959" s="73">
        <v>835075.5</v>
      </c>
      <c r="H1959" s="73">
        <v>4811625.5</v>
      </c>
      <c r="I1959" s="28" t="s">
        <v>103</v>
      </c>
      <c r="J1959" s="43"/>
    </row>
    <row r="1960" spans="1:10" customFormat="1" ht="15" hidden="1" customHeight="1" x14ac:dyDescent="0.25">
      <c r="A1960" s="37">
        <v>45169</v>
      </c>
      <c r="B1960" s="188" t="s">
        <v>5125</v>
      </c>
      <c r="C1960" s="18" t="s">
        <v>1140</v>
      </c>
      <c r="D1960" s="18" t="s">
        <v>1141</v>
      </c>
      <c r="E1960" s="73">
        <v>0</v>
      </c>
      <c r="F1960" s="114">
        <v>1011534</v>
      </c>
      <c r="G1960" s="73">
        <v>212422.14</v>
      </c>
      <c r="H1960" s="73">
        <v>1223956.1399999999</v>
      </c>
      <c r="I1960" s="28" t="s">
        <v>103</v>
      </c>
      <c r="J1960" s="43"/>
    </row>
    <row r="1961" spans="1:10" customFormat="1" ht="15" hidden="1" customHeight="1" x14ac:dyDescent="0.25">
      <c r="A1961" s="37">
        <v>45169</v>
      </c>
      <c r="B1961" s="188" t="s">
        <v>5126</v>
      </c>
      <c r="C1961" s="18" t="s">
        <v>3007</v>
      </c>
      <c r="D1961" s="18" t="s">
        <v>3008</v>
      </c>
      <c r="E1961" s="73">
        <v>0</v>
      </c>
      <c r="F1961" s="114">
        <v>1238700</v>
      </c>
      <c r="G1961" s="73">
        <v>260127</v>
      </c>
      <c r="H1961" s="73">
        <v>1498827</v>
      </c>
      <c r="I1961" s="28" t="s">
        <v>103</v>
      </c>
      <c r="J1961" s="43"/>
    </row>
    <row r="1962" spans="1:10" customFormat="1" ht="15" hidden="1" customHeight="1" x14ac:dyDescent="0.25">
      <c r="A1962" s="37">
        <v>45169</v>
      </c>
      <c r="B1962" s="188" t="s">
        <v>5127</v>
      </c>
      <c r="C1962" s="18" t="s">
        <v>2892</v>
      </c>
      <c r="D1962" s="18" t="s">
        <v>2893</v>
      </c>
      <c r="E1962" s="73">
        <v>0</v>
      </c>
      <c r="F1962" s="114">
        <v>252471</v>
      </c>
      <c r="G1962" s="73">
        <v>53018.91</v>
      </c>
      <c r="H1962" s="73">
        <v>305489.90999999997</v>
      </c>
      <c r="I1962" s="28" t="s">
        <v>103</v>
      </c>
      <c r="J1962" s="43"/>
    </row>
    <row r="1963" spans="1:10" customFormat="1" ht="15" hidden="1" customHeight="1" x14ac:dyDescent="0.25">
      <c r="A1963" s="37">
        <v>45169</v>
      </c>
      <c r="B1963" s="188" t="s">
        <v>5128</v>
      </c>
      <c r="C1963" s="18" t="s">
        <v>3140</v>
      </c>
      <c r="D1963" s="18" t="s">
        <v>3141</v>
      </c>
      <c r="E1963" s="73">
        <v>0</v>
      </c>
      <c r="F1963" s="114">
        <v>71176</v>
      </c>
      <c r="G1963" s="73">
        <v>14946.96</v>
      </c>
      <c r="H1963" s="73">
        <v>86122.96</v>
      </c>
      <c r="I1963" s="28" t="s">
        <v>103</v>
      </c>
      <c r="J1963" s="43"/>
    </row>
    <row r="1964" spans="1:10" customFormat="1" ht="15" hidden="1" customHeight="1" x14ac:dyDescent="0.25">
      <c r="A1964" s="37">
        <v>45169</v>
      </c>
      <c r="B1964" s="188" t="s">
        <v>5129</v>
      </c>
      <c r="C1964" s="18" t="s">
        <v>3346</v>
      </c>
      <c r="D1964" s="18" t="s">
        <v>3347</v>
      </c>
      <c r="E1964" s="73">
        <v>0</v>
      </c>
      <c r="F1964" s="114">
        <v>561760</v>
      </c>
      <c r="G1964" s="73">
        <v>117969.60000000001</v>
      </c>
      <c r="H1964" s="73">
        <v>679729.6</v>
      </c>
      <c r="I1964" s="28" t="s">
        <v>103</v>
      </c>
      <c r="J1964" s="43"/>
    </row>
    <row r="1965" spans="1:10" customFormat="1" ht="15" hidden="1" customHeight="1" x14ac:dyDescent="0.25">
      <c r="A1965" s="37">
        <v>45169</v>
      </c>
      <c r="B1965" s="188" t="s">
        <v>5130</v>
      </c>
      <c r="C1965" s="18" t="s">
        <v>2909</v>
      </c>
      <c r="D1965" s="18" t="s">
        <v>2910</v>
      </c>
      <c r="E1965" s="73">
        <v>15000</v>
      </c>
      <c r="F1965" s="114">
        <v>192187.5</v>
      </c>
      <c r="G1965" s="73">
        <v>40359.370000000003</v>
      </c>
      <c r="H1965" s="73">
        <v>247546.87</v>
      </c>
      <c r="I1965" s="28" t="s">
        <v>19</v>
      </c>
      <c r="J1965" s="43"/>
    </row>
    <row r="1966" spans="1:10" customFormat="1" ht="15" hidden="1" customHeight="1" x14ac:dyDescent="0.25">
      <c r="A1966" s="37">
        <v>45169</v>
      </c>
      <c r="B1966" s="188" t="s">
        <v>5131</v>
      </c>
      <c r="C1966" s="18" t="s">
        <v>4243</v>
      </c>
      <c r="D1966" s="18" t="s">
        <v>4244</v>
      </c>
      <c r="E1966" s="73">
        <v>0</v>
      </c>
      <c r="F1966" s="114">
        <v>303054</v>
      </c>
      <c r="G1966" s="73">
        <v>63641.34</v>
      </c>
      <c r="H1966" s="73">
        <v>366695.34</v>
      </c>
      <c r="I1966" s="28" t="s">
        <v>19</v>
      </c>
      <c r="J1966" s="43"/>
    </row>
    <row r="1967" spans="1:10" customFormat="1" ht="15" hidden="1" customHeight="1" x14ac:dyDescent="0.25">
      <c r="A1967" s="37">
        <v>45146</v>
      </c>
      <c r="B1967" s="188" t="s">
        <v>5132</v>
      </c>
      <c r="C1967" s="18" t="s">
        <v>2851</v>
      </c>
      <c r="D1967" s="18" t="s">
        <v>2852</v>
      </c>
      <c r="E1967" s="73">
        <v>0</v>
      </c>
      <c r="F1967" s="114">
        <v>668394</v>
      </c>
      <c r="G1967" s="73">
        <v>140362.74</v>
      </c>
      <c r="H1967" s="73">
        <v>808756.74</v>
      </c>
      <c r="I1967" s="28" t="s">
        <v>19</v>
      </c>
      <c r="J1967" s="43"/>
    </row>
    <row r="1968" spans="1:10" customFormat="1" ht="15" hidden="1" customHeight="1" x14ac:dyDescent="0.25">
      <c r="A1968" s="37">
        <v>45152</v>
      </c>
      <c r="B1968" s="188" t="s">
        <v>5133</v>
      </c>
      <c r="C1968" s="18" t="s">
        <v>3539</v>
      </c>
      <c r="D1968" s="18" t="s">
        <v>3540</v>
      </c>
      <c r="E1968" s="73">
        <v>0</v>
      </c>
      <c r="F1968" s="114">
        <v>-1225000</v>
      </c>
      <c r="G1968" s="73">
        <v>-257250</v>
      </c>
      <c r="H1968" s="73">
        <v>-1482250</v>
      </c>
      <c r="I1968" s="28" t="s">
        <v>19</v>
      </c>
      <c r="J1968" s="43"/>
    </row>
    <row r="1969" spans="1:10" customFormat="1" ht="15" hidden="1" customHeight="1" x14ac:dyDescent="0.25">
      <c r="A1969" s="37">
        <v>45152</v>
      </c>
      <c r="B1969" s="188" t="s">
        <v>5134</v>
      </c>
      <c r="C1969" s="18" t="s">
        <v>3539</v>
      </c>
      <c r="D1969" s="18" t="s">
        <v>3540</v>
      </c>
      <c r="E1969" s="73">
        <v>0</v>
      </c>
      <c r="F1969" s="114">
        <v>-1082500</v>
      </c>
      <c r="G1969" s="73">
        <v>-227325</v>
      </c>
      <c r="H1969" s="73">
        <v>-1309825</v>
      </c>
      <c r="I1969" s="28" t="s">
        <v>19</v>
      </c>
      <c r="J1969" s="43"/>
    </row>
    <row r="1970" spans="1:10" customFormat="1" ht="15" hidden="1" customHeight="1" x14ac:dyDescent="0.25">
      <c r="A1970" s="37">
        <v>45152</v>
      </c>
      <c r="B1970" s="188" t="s">
        <v>5135</v>
      </c>
      <c r="C1970" s="18" t="s">
        <v>3539</v>
      </c>
      <c r="D1970" s="18" t="s">
        <v>3540</v>
      </c>
      <c r="E1970" s="73">
        <v>0</v>
      </c>
      <c r="F1970" s="114">
        <v>-206500</v>
      </c>
      <c r="G1970" s="73">
        <v>-43365</v>
      </c>
      <c r="H1970" s="73">
        <v>-249865</v>
      </c>
      <c r="I1970" s="28" t="s">
        <v>19</v>
      </c>
      <c r="J1970" s="43"/>
    </row>
    <row r="1971" spans="1:10" customFormat="1" ht="15" hidden="1" customHeight="1" x14ac:dyDescent="0.25">
      <c r="A1971" s="37">
        <v>45152</v>
      </c>
      <c r="B1971" s="188" t="s">
        <v>5136</v>
      </c>
      <c r="C1971" s="18" t="s">
        <v>2898</v>
      </c>
      <c r="D1971" s="18" t="s">
        <v>2899</v>
      </c>
      <c r="E1971" s="73">
        <v>0</v>
      </c>
      <c r="F1971" s="114">
        <v>-206500</v>
      </c>
      <c r="G1971" s="73">
        <v>-43365</v>
      </c>
      <c r="H1971" s="73">
        <v>-249865</v>
      </c>
      <c r="I1971" s="28" t="s">
        <v>19</v>
      </c>
      <c r="J1971" s="43"/>
    </row>
    <row r="1972" spans="1:10" customFormat="1" ht="15" hidden="1" customHeight="1" x14ac:dyDescent="0.25">
      <c r="A1972" s="37">
        <v>45152</v>
      </c>
      <c r="B1972" s="188" t="s">
        <v>5137</v>
      </c>
      <c r="C1972" s="18" t="s">
        <v>3539</v>
      </c>
      <c r="D1972" s="18" t="s">
        <v>3540</v>
      </c>
      <c r="E1972" s="73">
        <v>0</v>
      </c>
      <c r="F1972" s="114">
        <v>-206500</v>
      </c>
      <c r="G1972" s="73">
        <v>-43365</v>
      </c>
      <c r="H1972" s="73">
        <v>-249865</v>
      </c>
      <c r="I1972" s="28" t="s">
        <v>19</v>
      </c>
      <c r="J1972" s="43"/>
    </row>
    <row r="1973" spans="1:10" customFormat="1" ht="15" hidden="1" customHeight="1" x14ac:dyDescent="0.25">
      <c r="A1973" s="57">
        <v>45152</v>
      </c>
      <c r="B1973" s="188" t="s">
        <v>5138</v>
      </c>
      <c r="C1973" s="18" t="s">
        <v>3539</v>
      </c>
      <c r="D1973" s="18" t="s">
        <v>3540</v>
      </c>
      <c r="E1973" s="73">
        <v>0</v>
      </c>
      <c r="F1973" s="114">
        <v>-176769</v>
      </c>
      <c r="G1973" s="73">
        <v>-37121.49</v>
      </c>
      <c r="H1973" s="73">
        <v>-213890.49</v>
      </c>
      <c r="I1973" s="28" t="s">
        <v>19</v>
      </c>
      <c r="J1973" s="43"/>
    </row>
    <row r="1974" spans="1:10" customFormat="1" ht="15" hidden="1" customHeight="1" x14ac:dyDescent="0.25">
      <c r="A1974" s="37">
        <v>45152</v>
      </c>
      <c r="B1974" s="78" t="s">
        <v>5139</v>
      </c>
      <c r="C1974" s="68" t="s">
        <v>2898</v>
      </c>
      <c r="D1974" s="68" t="s">
        <v>2899</v>
      </c>
      <c r="E1974" s="48">
        <v>0</v>
      </c>
      <c r="F1974" s="107">
        <v>-153334.5</v>
      </c>
      <c r="G1974" s="48">
        <v>-32200.240000000002</v>
      </c>
      <c r="H1974" s="48">
        <v>-185534.74</v>
      </c>
      <c r="I1974" s="28" t="s">
        <v>19</v>
      </c>
      <c r="J1974" s="43"/>
    </row>
    <row r="1975" spans="1:10" customFormat="1" ht="15" hidden="1" customHeight="1" x14ac:dyDescent="0.25">
      <c r="A1975" s="52">
        <v>45152</v>
      </c>
      <c r="B1975" s="36" t="s">
        <v>3981</v>
      </c>
      <c r="C1975" s="28" t="s">
        <v>5140</v>
      </c>
      <c r="D1975" s="28">
        <v>0</v>
      </c>
      <c r="E1975" s="38">
        <v>0</v>
      </c>
      <c r="F1975" s="67">
        <v>700828</v>
      </c>
      <c r="G1975" s="38">
        <v>147173.88</v>
      </c>
      <c r="H1975" s="56">
        <v>848001.88</v>
      </c>
      <c r="I1975" s="28" t="s">
        <v>103</v>
      </c>
      <c r="J1975" s="43"/>
    </row>
    <row r="1976" spans="1:10" customFormat="1" ht="15" hidden="1" customHeight="1" x14ac:dyDescent="0.25">
      <c r="A1976" s="99">
        <v>45152</v>
      </c>
      <c r="B1976" s="58" t="s">
        <v>3981</v>
      </c>
      <c r="C1976" s="59" t="s">
        <v>5141</v>
      </c>
      <c r="D1976" s="59">
        <v>0</v>
      </c>
      <c r="E1976" s="60">
        <v>0</v>
      </c>
      <c r="F1976" s="115">
        <v>667424</v>
      </c>
      <c r="G1976" s="60">
        <v>140159.04000000001</v>
      </c>
      <c r="H1976" s="61">
        <v>807583.04</v>
      </c>
      <c r="I1976" s="59" t="s">
        <v>103</v>
      </c>
      <c r="J1976" s="43"/>
    </row>
    <row r="1977" spans="1:10" customFormat="1" ht="15" hidden="1" customHeight="1" x14ac:dyDescent="0.25">
      <c r="A1977" s="37">
        <v>45177</v>
      </c>
      <c r="B1977" s="18" t="s">
        <v>5142</v>
      </c>
      <c r="C1977" s="18" t="s">
        <v>2892</v>
      </c>
      <c r="D1977" s="18" t="s">
        <v>2893</v>
      </c>
      <c r="E1977" s="73">
        <v>4000</v>
      </c>
      <c r="F1977" s="114">
        <v>81250</v>
      </c>
      <c r="G1977" s="73">
        <v>17062.5</v>
      </c>
      <c r="H1977" s="73">
        <v>102312.5</v>
      </c>
      <c r="I1977" s="28" t="s">
        <v>19</v>
      </c>
      <c r="J1977" s="43"/>
    </row>
    <row r="1978" spans="1:10" customFormat="1" ht="15" hidden="1" customHeight="1" x14ac:dyDescent="0.25">
      <c r="A1978" s="37">
        <v>45177</v>
      </c>
      <c r="B1978" s="18" t="s">
        <v>5143</v>
      </c>
      <c r="C1978" s="18" t="s">
        <v>4109</v>
      </c>
      <c r="D1978" s="18" t="s">
        <v>4110</v>
      </c>
      <c r="E1978" s="73">
        <v>3800</v>
      </c>
      <c r="F1978" s="114">
        <v>81250</v>
      </c>
      <c r="G1978" s="73">
        <v>17062.5</v>
      </c>
      <c r="H1978" s="73">
        <v>102112.5</v>
      </c>
      <c r="I1978" s="28" t="s">
        <v>19</v>
      </c>
      <c r="J1978" s="43"/>
    </row>
    <row r="1979" spans="1:10" customFormat="1" ht="15" hidden="1" customHeight="1" x14ac:dyDescent="0.25">
      <c r="A1979" s="37">
        <v>45177</v>
      </c>
      <c r="B1979" s="18" t="s">
        <v>5144</v>
      </c>
      <c r="C1979" s="18" t="s">
        <v>2945</v>
      </c>
      <c r="D1979" s="18" t="s">
        <v>2946</v>
      </c>
      <c r="E1979" s="73">
        <v>7500</v>
      </c>
      <c r="F1979" s="114">
        <v>128125</v>
      </c>
      <c r="G1979" s="73">
        <v>26906.25</v>
      </c>
      <c r="H1979" s="73">
        <v>162531.25</v>
      </c>
      <c r="I1979" s="28" t="s">
        <v>19</v>
      </c>
      <c r="J1979" s="43"/>
    </row>
    <row r="1980" spans="1:10" customFormat="1" ht="15" hidden="1" customHeight="1" x14ac:dyDescent="0.25">
      <c r="A1980" s="37">
        <v>45177</v>
      </c>
      <c r="B1980" s="18" t="s">
        <v>5145</v>
      </c>
      <c r="C1980" s="18" t="s">
        <v>3603</v>
      </c>
      <c r="D1980" s="18" t="s">
        <v>3604</v>
      </c>
      <c r="E1980" s="73">
        <v>15000</v>
      </c>
      <c r="F1980" s="114">
        <v>215625</v>
      </c>
      <c r="G1980" s="73">
        <v>45281.25</v>
      </c>
      <c r="H1980" s="73">
        <v>275906.25</v>
      </c>
      <c r="I1980" s="28" t="s">
        <v>19</v>
      </c>
      <c r="J1980" s="43"/>
    </row>
    <row r="1981" spans="1:10" customFormat="1" ht="15" hidden="1" customHeight="1" x14ac:dyDescent="0.25">
      <c r="A1981" s="37">
        <v>45177</v>
      </c>
      <c r="B1981" s="18" t="s">
        <v>5146</v>
      </c>
      <c r="C1981" s="18" t="s">
        <v>2851</v>
      </c>
      <c r="D1981" s="18" t="s">
        <v>2852</v>
      </c>
      <c r="E1981" s="73">
        <v>36800</v>
      </c>
      <c r="F1981" s="114">
        <v>416250</v>
      </c>
      <c r="G1981" s="73">
        <v>87412.5</v>
      </c>
      <c r="H1981" s="73">
        <v>540462.5</v>
      </c>
      <c r="I1981" s="28" t="s">
        <v>19</v>
      </c>
      <c r="J1981" s="43"/>
    </row>
    <row r="1982" spans="1:10" customFormat="1" ht="15" hidden="1" customHeight="1" x14ac:dyDescent="0.25">
      <c r="A1982" s="37">
        <v>45177</v>
      </c>
      <c r="B1982" s="18" t="s">
        <v>5147</v>
      </c>
      <c r="C1982" s="18" t="s">
        <v>2945</v>
      </c>
      <c r="D1982" s="18" t="s">
        <v>2946</v>
      </c>
      <c r="E1982" s="73">
        <v>0</v>
      </c>
      <c r="F1982" s="114">
        <v>52500</v>
      </c>
      <c r="G1982" s="73">
        <v>11025</v>
      </c>
      <c r="H1982" s="73">
        <v>63525</v>
      </c>
      <c r="I1982" s="28" t="s">
        <v>19</v>
      </c>
      <c r="J1982" s="43"/>
    </row>
    <row r="1983" spans="1:10" customFormat="1" ht="15" hidden="1" customHeight="1" x14ac:dyDescent="0.25">
      <c r="A1983" s="37">
        <v>45177</v>
      </c>
      <c r="B1983" s="18" t="s">
        <v>5148</v>
      </c>
      <c r="C1983" s="18" t="s">
        <v>3007</v>
      </c>
      <c r="D1983" s="18" t="s">
        <v>3008</v>
      </c>
      <c r="E1983" s="73">
        <v>0</v>
      </c>
      <c r="F1983" s="114">
        <v>52500</v>
      </c>
      <c r="G1983" s="73">
        <v>11025</v>
      </c>
      <c r="H1983" s="73">
        <v>63525</v>
      </c>
      <c r="I1983" s="28" t="s">
        <v>19</v>
      </c>
      <c r="J1983" s="43"/>
    </row>
    <row r="1984" spans="1:10" customFormat="1" ht="15" hidden="1" customHeight="1" x14ac:dyDescent="0.25">
      <c r="A1984" s="37">
        <v>45177</v>
      </c>
      <c r="B1984" s="18" t="s">
        <v>5149</v>
      </c>
      <c r="C1984" s="18" t="s">
        <v>3450</v>
      </c>
      <c r="D1984" s="18" t="s">
        <v>3451</v>
      </c>
      <c r="E1984" s="73">
        <v>0</v>
      </c>
      <c r="F1984" s="114">
        <v>52500</v>
      </c>
      <c r="G1984" s="73">
        <v>11025</v>
      </c>
      <c r="H1984" s="73">
        <v>63525</v>
      </c>
      <c r="I1984" s="28" t="s">
        <v>19</v>
      </c>
      <c r="J1984" s="43"/>
    </row>
    <row r="1985" spans="1:10" customFormat="1" ht="15" hidden="1" customHeight="1" x14ac:dyDescent="0.25">
      <c r="A1985" s="37">
        <v>45177</v>
      </c>
      <c r="B1985" s="18" t="s">
        <v>5150</v>
      </c>
      <c r="C1985" s="18" t="s">
        <v>2921</v>
      </c>
      <c r="D1985" s="18" t="s">
        <v>2922</v>
      </c>
      <c r="E1985" s="73">
        <v>0</v>
      </c>
      <c r="F1985" s="114">
        <v>52500</v>
      </c>
      <c r="G1985" s="73">
        <v>11025</v>
      </c>
      <c r="H1985" s="73">
        <v>63525</v>
      </c>
      <c r="I1985" s="28" t="s">
        <v>19</v>
      </c>
      <c r="J1985" s="43"/>
    </row>
    <row r="1986" spans="1:10" customFormat="1" ht="15" hidden="1" customHeight="1" x14ac:dyDescent="0.25">
      <c r="A1986" s="37">
        <v>45177</v>
      </c>
      <c r="B1986" s="18" t="s">
        <v>5151</v>
      </c>
      <c r="C1986" s="18" t="s">
        <v>2921</v>
      </c>
      <c r="D1986" s="18" t="s">
        <v>2922</v>
      </c>
      <c r="E1986" s="73">
        <v>0</v>
      </c>
      <c r="F1986" s="114">
        <v>52500</v>
      </c>
      <c r="G1986" s="73">
        <v>11025</v>
      </c>
      <c r="H1986" s="73">
        <v>63525</v>
      </c>
      <c r="I1986" s="28" t="s">
        <v>19</v>
      </c>
      <c r="J1986" s="43"/>
    </row>
    <row r="1987" spans="1:10" customFormat="1" ht="15" hidden="1" customHeight="1" x14ac:dyDescent="0.25">
      <c r="A1987" s="37">
        <v>45177</v>
      </c>
      <c r="B1987" s="18" t="s">
        <v>5152</v>
      </c>
      <c r="C1987" s="18" t="s">
        <v>3007</v>
      </c>
      <c r="D1987" s="18" t="s">
        <v>3008</v>
      </c>
      <c r="E1987" s="73">
        <v>0</v>
      </c>
      <c r="F1987" s="114">
        <v>65625</v>
      </c>
      <c r="G1987" s="73">
        <v>13781.25</v>
      </c>
      <c r="H1987" s="73">
        <v>79406.25</v>
      </c>
      <c r="I1987" s="28" t="s">
        <v>19</v>
      </c>
      <c r="J1987" s="43"/>
    </row>
    <row r="1988" spans="1:10" customFormat="1" ht="15" hidden="1" customHeight="1" x14ac:dyDescent="0.25">
      <c r="A1988" s="37">
        <v>45177</v>
      </c>
      <c r="B1988" s="18" t="s">
        <v>5153</v>
      </c>
      <c r="C1988" s="18" t="s">
        <v>3450</v>
      </c>
      <c r="D1988" s="18" t="s">
        <v>3451</v>
      </c>
      <c r="E1988" s="73">
        <v>0</v>
      </c>
      <c r="F1988" s="114">
        <v>65625</v>
      </c>
      <c r="G1988" s="73">
        <v>13781.25</v>
      </c>
      <c r="H1988" s="73">
        <v>79406.25</v>
      </c>
      <c r="I1988" s="28" t="s">
        <v>19</v>
      </c>
      <c r="J1988" s="43"/>
    </row>
    <row r="1989" spans="1:10" customFormat="1" ht="15" hidden="1" customHeight="1" x14ac:dyDescent="0.25">
      <c r="A1989" s="37">
        <v>45177</v>
      </c>
      <c r="B1989" s="18" t="s">
        <v>5154</v>
      </c>
      <c r="C1989" s="18" t="s">
        <v>3241</v>
      </c>
      <c r="D1989" s="18" t="s">
        <v>3242</v>
      </c>
      <c r="E1989" s="73">
        <v>0</v>
      </c>
      <c r="F1989" s="114">
        <v>65625</v>
      </c>
      <c r="G1989" s="73">
        <v>13781.25</v>
      </c>
      <c r="H1989" s="73">
        <v>79406.25</v>
      </c>
      <c r="I1989" s="28" t="s">
        <v>19</v>
      </c>
      <c r="J1989" s="43"/>
    </row>
    <row r="1990" spans="1:10" customFormat="1" ht="15" hidden="1" customHeight="1" x14ac:dyDescent="0.25">
      <c r="A1990" s="37">
        <v>45177</v>
      </c>
      <c r="B1990" s="18" t="s">
        <v>5155</v>
      </c>
      <c r="C1990" s="18" t="s">
        <v>4565</v>
      </c>
      <c r="D1990" s="18" t="s">
        <v>4566</v>
      </c>
      <c r="E1990" s="73">
        <v>0</v>
      </c>
      <c r="F1990" s="114">
        <v>76562</v>
      </c>
      <c r="G1990" s="73">
        <v>16078.02</v>
      </c>
      <c r="H1990" s="73">
        <v>92640.02</v>
      </c>
      <c r="I1990" s="28" t="s">
        <v>19</v>
      </c>
      <c r="J1990" s="43"/>
    </row>
    <row r="1991" spans="1:10" customFormat="1" ht="15" hidden="1" customHeight="1" x14ac:dyDescent="0.25">
      <c r="A1991" s="37">
        <v>45177</v>
      </c>
      <c r="B1991" s="18" t="s">
        <v>5156</v>
      </c>
      <c r="C1991" s="18" t="s">
        <v>4869</v>
      </c>
      <c r="D1991" s="18" t="s">
        <v>4870</v>
      </c>
      <c r="E1991" s="73">
        <v>0</v>
      </c>
      <c r="F1991" s="114">
        <v>65625</v>
      </c>
      <c r="G1991" s="73">
        <v>13781.25</v>
      </c>
      <c r="H1991" s="73">
        <v>79406.25</v>
      </c>
      <c r="I1991" s="28" t="s">
        <v>19</v>
      </c>
      <c r="J1991" s="43"/>
    </row>
    <row r="1992" spans="1:10" customFormat="1" ht="15" hidden="1" customHeight="1" x14ac:dyDescent="0.25">
      <c r="A1992" s="37">
        <v>45180</v>
      </c>
      <c r="B1992" s="18" t="s">
        <v>5157</v>
      </c>
      <c r="C1992" s="18" t="s">
        <v>2909</v>
      </c>
      <c r="D1992" s="18" t="s">
        <v>2910</v>
      </c>
      <c r="E1992" s="73">
        <v>15000</v>
      </c>
      <c r="F1992" s="114">
        <v>256250</v>
      </c>
      <c r="G1992" s="73">
        <v>53812.5</v>
      </c>
      <c r="H1992" s="73">
        <v>325062.5</v>
      </c>
      <c r="I1992" s="28" t="s">
        <v>19</v>
      </c>
      <c r="J1992" s="43"/>
    </row>
    <row r="1993" spans="1:10" customFormat="1" ht="15" hidden="1" customHeight="1" x14ac:dyDescent="0.25">
      <c r="A1993" s="37">
        <v>45180</v>
      </c>
      <c r="B1993" s="18" t="s">
        <v>5158</v>
      </c>
      <c r="C1993" s="18" t="s">
        <v>2909</v>
      </c>
      <c r="D1993" s="18" t="s">
        <v>2910</v>
      </c>
      <c r="E1993" s="73">
        <v>15000</v>
      </c>
      <c r="F1993" s="114">
        <v>192187.5</v>
      </c>
      <c r="G1993" s="73">
        <v>40359.370000000003</v>
      </c>
      <c r="H1993" s="73">
        <v>247546.87</v>
      </c>
      <c r="I1993" s="28" t="s">
        <v>19</v>
      </c>
      <c r="J1993" s="43"/>
    </row>
    <row r="1994" spans="1:10" customFormat="1" ht="15" hidden="1" customHeight="1" x14ac:dyDescent="0.25">
      <c r="A1994" s="37">
        <v>45180</v>
      </c>
      <c r="B1994" s="18" t="s">
        <v>5159</v>
      </c>
      <c r="C1994" s="18" t="s">
        <v>2909</v>
      </c>
      <c r="D1994" s="18" t="s">
        <v>2910</v>
      </c>
      <c r="E1994" s="73">
        <v>15000</v>
      </c>
      <c r="F1994" s="114">
        <v>303125</v>
      </c>
      <c r="G1994" s="73">
        <v>63656.25</v>
      </c>
      <c r="H1994" s="73">
        <v>381781.25</v>
      </c>
      <c r="I1994" s="28" t="s">
        <v>19</v>
      </c>
      <c r="J1994" s="43"/>
    </row>
    <row r="1995" spans="1:10" customFormat="1" ht="15" hidden="1" customHeight="1" x14ac:dyDescent="0.25">
      <c r="A1995" s="37">
        <v>45180</v>
      </c>
      <c r="B1995" s="18" t="s">
        <v>5160</v>
      </c>
      <c r="C1995" s="18" t="s">
        <v>4144</v>
      </c>
      <c r="D1995" s="18" t="s">
        <v>4145</v>
      </c>
      <c r="E1995" s="73">
        <v>15000</v>
      </c>
      <c r="F1995" s="114">
        <v>126562.5</v>
      </c>
      <c r="G1995" s="73">
        <v>26578.13</v>
      </c>
      <c r="H1995" s="73">
        <v>168140.63</v>
      </c>
      <c r="I1995" s="28" t="s">
        <v>19</v>
      </c>
      <c r="J1995" s="43"/>
    </row>
    <row r="1996" spans="1:10" customFormat="1" ht="15" hidden="1" customHeight="1" x14ac:dyDescent="0.25">
      <c r="A1996" s="37">
        <v>45180</v>
      </c>
      <c r="B1996" s="18" t="s">
        <v>5161</v>
      </c>
      <c r="C1996" s="18" t="s">
        <v>2909</v>
      </c>
      <c r="D1996" s="18" t="s">
        <v>2910</v>
      </c>
      <c r="E1996" s="73">
        <v>15000</v>
      </c>
      <c r="F1996" s="114">
        <v>172187.5</v>
      </c>
      <c r="G1996" s="73">
        <v>36159.370000000003</v>
      </c>
      <c r="H1996" s="73">
        <v>223346.87</v>
      </c>
      <c r="I1996" s="28" t="s">
        <v>19</v>
      </c>
      <c r="J1996" s="43"/>
    </row>
    <row r="1997" spans="1:10" customFormat="1" ht="15" hidden="1" customHeight="1" x14ac:dyDescent="0.25">
      <c r="A1997" s="37">
        <v>45181</v>
      </c>
      <c r="B1997" s="18" t="s">
        <v>5162</v>
      </c>
      <c r="C1997" s="18" t="s">
        <v>2867</v>
      </c>
      <c r="D1997" s="18" t="s">
        <v>2868</v>
      </c>
      <c r="E1997" s="73">
        <v>40000</v>
      </c>
      <c r="F1997" s="114">
        <v>495000</v>
      </c>
      <c r="G1997" s="73">
        <v>103950</v>
      </c>
      <c r="H1997" s="73">
        <v>638950</v>
      </c>
      <c r="I1997" s="28" t="s">
        <v>19</v>
      </c>
      <c r="J1997" s="43"/>
    </row>
    <row r="1998" spans="1:10" customFormat="1" ht="15" hidden="1" customHeight="1" x14ac:dyDescent="0.25">
      <c r="A1998" s="37">
        <v>45181</v>
      </c>
      <c r="B1998" s="18" t="s">
        <v>5163</v>
      </c>
      <c r="C1998" s="18" t="s">
        <v>3346</v>
      </c>
      <c r="D1998" s="18" t="s">
        <v>3347</v>
      </c>
      <c r="E1998" s="73">
        <v>18400</v>
      </c>
      <c r="F1998" s="114">
        <v>468750</v>
      </c>
      <c r="G1998" s="73">
        <v>98437.5</v>
      </c>
      <c r="H1998" s="73">
        <v>585587.5</v>
      </c>
      <c r="I1998" s="28" t="s">
        <v>19</v>
      </c>
      <c r="J1998" s="43"/>
    </row>
    <row r="1999" spans="1:10" customFormat="1" ht="15" hidden="1" customHeight="1" x14ac:dyDescent="0.25">
      <c r="A1999" s="37">
        <v>45181</v>
      </c>
      <c r="B1999" s="18" t="s">
        <v>5164</v>
      </c>
      <c r="C1999" s="18" t="s">
        <v>2880</v>
      </c>
      <c r="D1999" s="18" t="s">
        <v>2881</v>
      </c>
      <c r="E1999" s="73">
        <v>25500</v>
      </c>
      <c r="F1999" s="114">
        <v>787250</v>
      </c>
      <c r="G1999" s="73">
        <v>165322.5</v>
      </c>
      <c r="H1999" s="73">
        <v>978072.5</v>
      </c>
      <c r="I1999" s="28" t="s">
        <v>19</v>
      </c>
      <c r="J1999" s="43"/>
    </row>
    <row r="2000" spans="1:10" customFormat="1" ht="15" hidden="1" customHeight="1" x14ac:dyDescent="0.25">
      <c r="A2000" s="37">
        <v>45181</v>
      </c>
      <c r="B2000" s="18" t="s">
        <v>5165</v>
      </c>
      <c r="C2000" s="18" t="s">
        <v>4827</v>
      </c>
      <c r="D2000" s="18" t="s">
        <v>4828</v>
      </c>
      <c r="E2000" s="73">
        <v>9200</v>
      </c>
      <c r="F2000" s="114">
        <v>187500</v>
      </c>
      <c r="G2000" s="73">
        <v>39375</v>
      </c>
      <c r="H2000" s="73">
        <v>236075</v>
      </c>
      <c r="I2000" s="28" t="s">
        <v>19</v>
      </c>
      <c r="J2000" s="43"/>
    </row>
    <row r="2001" spans="1:10" customFormat="1" ht="15" hidden="1" customHeight="1" x14ac:dyDescent="0.25">
      <c r="A2001" s="37">
        <v>45181</v>
      </c>
      <c r="B2001" s="18" t="s">
        <v>5166</v>
      </c>
      <c r="C2001" s="18" t="s">
        <v>3241</v>
      </c>
      <c r="D2001" s="18" t="s">
        <v>3242</v>
      </c>
      <c r="E2001" s="73">
        <v>15200</v>
      </c>
      <c r="F2001" s="114">
        <v>242188</v>
      </c>
      <c r="G2001" s="73">
        <v>50859.48</v>
      </c>
      <c r="H2001" s="73">
        <v>308247.48</v>
      </c>
      <c r="I2001" s="28" t="s">
        <v>19</v>
      </c>
      <c r="J2001" s="43"/>
    </row>
    <row r="2002" spans="1:10" customFormat="1" ht="15" hidden="1" customHeight="1" x14ac:dyDescent="0.25">
      <c r="A2002" s="37">
        <v>45181</v>
      </c>
      <c r="B2002" s="18" t="s">
        <v>5167</v>
      </c>
      <c r="C2002" s="18" t="s">
        <v>4752</v>
      </c>
      <c r="D2002" s="18" t="s">
        <v>4753</v>
      </c>
      <c r="E2002" s="73">
        <v>34400</v>
      </c>
      <c r="F2002" s="114">
        <v>593752</v>
      </c>
      <c r="G2002" s="73">
        <v>124687.92</v>
      </c>
      <c r="H2002" s="73">
        <v>752839.92</v>
      </c>
      <c r="I2002" s="28" t="s">
        <v>19</v>
      </c>
      <c r="J2002" s="43"/>
    </row>
    <row r="2003" spans="1:10" customFormat="1" ht="15" hidden="1" customHeight="1" x14ac:dyDescent="0.25">
      <c r="A2003" s="37">
        <v>45181</v>
      </c>
      <c r="B2003" s="18" t="s">
        <v>5168</v>
      </c>
      <c r="C2003" s="18" t="s">
        <v>2909</v>
      </c>
      <c r="D2003" s="18" t="s">
        <v>2910</v>
      </c>
      <c r="E2003" s="73">
        <v>12500</v>
      </c>
      <c r="F2003" s="114">
        <v>222657</v>
      </c>
      <c r="G2003" s="73">
        <v>46757.97</v>
      </c>
      <c r="H2003" s="73">
        <v>281914.96999999997</v>
      </c>
      <c r="I2003" s="28" t="s">
        <v>19</v>
      </c>
      <c r="J2003" s="43"/>
    </row>
    <row r="2004" spans="1:10" customFormat="1" ht="15" hidden="1" customHeight="1" x14ac:dyDescent="0.25">
      <c r="A2004" s="37">
        <v>45182</v>
      </c>
      <c r="B2004" s="18" t="s">
        <v>5169</v>
      </c>
      <c r="C2004" s="18" t="s">
        <v>2851</v>
      </c>
      <c r="D2004" s="18" t="s">
        <v>2852</v>
      </c>
      <c r="E2004" s="73">
        <v>3305.56</v>
      </c>
      <c r="F2004" s="114">
        <v>98438</v>
      </c>
      <c r="G2004" s="73">
        <v>20671.98</v>
      </c>
      <c r="H2004" s="73">
        <v>122415.54</v>
      </c>
      <c r="I2004" s="28" t="s">
        <v>19</v>
      </c>
      <c r="J2004" s="43"/>
    </row>
    <row r="2005" spans="1:10" customFormat="1" ht="15" hidden="1" customHeight="1" x14ac:dyDescent="0.25">
      <c r="A2005" s="37">
        <v>45182</v>
      </c>
      <c r="B2005" s="18" t="s">
        <v>5170</v>
      </c>
      <c r="C2005" s="18" t="s">
        <v>2856</v>
      </c>
      <c r="D2005" s="18" t="s">
        <v>2857</v>
      </c>
      <c r="E2005" s="73">
        <v>0</v>
      </c>
      <c r="F2005" s="114">
        <v>65625</v>
      </c>
      <c r="G2005" s="73">
        <v>13781.25</v>
      </c>
      <c r="H2005" s="73">
        <v>79406.25</v>
      </c>
      <c r="I2005" s="28" t="s">
        <v>19</v>
      </c>
      <c r="J2005" s="43"/>
    </row>
    <row r="2006" spans="1:10" customFormat="1" ht="15" hidden="1" customHeight="1" x14ac:dyDescent="0.25">
      <c r="A2006" s="37">
        <v>45182</v>
      </c>
      <c r="B2006" s="18" t="s">
        <v>5171</v>
      </c>
      <c r="C2006" s="18" t="s">
        <v>3241</v>
      </c>
      <c r="D2006" s="18" t="s">
        <v>3242</v>
      </c>
      <c r="E2006" s="73">
        <v>6828.32</v>
      </c>
      <c r="F2006" s="114">
        <v>212250</v>
      </c>
      <c r="G2006" s="73">
        <v>44572.5</v>
      </c>
      <c r="H2006" s="73">
        <v>263650.82</v>
      </c>
      <c r="I2006" s="28" t="s">
        <v>19</v>
      </c>
      <c r="J2006" s="43"/>
    </row>
    <row r="2007" spans="1:10" customFormat="1" ht="15" hidden="1" customHeight="1" x14ac:dyDescent="0.25">
      <c r="A2007" s="37">
        <v>45187</v>
      </c>
      <c r="B2007" s="18" t="s">
        <v>5172</v>
      </c>
      <c r="C2007" s="18" t="s">
        <v>2927</v>
      </c>
      <c r="D2007" s="18" t="s">
        <v>2928</v>
      </c>
      <c r="E2007" s="73">
        <v>0</v>
      </c>
      <c r="F2007" s="114">
        <v>104875</v>
      </c>
      <c r="G2007" s="73">
        <v>22023.75</v>
      </c>
      <c r="H2007" s="73">
        <v>126898.75</v>
      </c>
      <c r="I2007" s="28" t="s">
        <v>19</v>
      </c>
      <c r="J2007" s="43"/>
    </row>
    <row r="2008" spans="1:10" customFormat="1" ht="15" hidden="1" customHeight="1" x14ac:dyDescent="0.25">
      <c r="A2008" s="37">
        <v>45187</v>
      </c>
      <c r="B2008" s="18" t="s">
        <v>5173</v>
      </c>
      <c r="C2008" s="18" t="s">
        <v>2851</v>
      </c>
      <c r="D2008" s="18" t="s">
        <v>2852</v>
      </c>
      <c r="E2008" s="73">
        <v>6000</v>
      </c>
      <c r="F2008" s="114">
        <v>387500</v>
      </c>
      <c r="G2008" s="73">
        <v>81375</v>
      </c>
      <c r="H2008" s="73">
        <v>474875</v>
      </c>
      <c r="I2008" s="28" t="s">
        <v>19</v>
      </c>
      <c r="J2008" s="43"/>
    </row>
    <row r="2009" spans="1:10" customFormat="1" ht="15" hidden="1" customHeight="1" x14ac:dyDescent="0.25">
      <c r="A2009" s="37">
        <v>45187</v>
      </c>
      <c r="B2009" s="18" t="s">
        <v>5174</v>
      </c>
      <c r="C2009" s="18" t="s">
        <v>2927</v>
      </c>
      <c r="D2009" s="18" t="s">
        <v>2928</v>
      </c>
      <c r="E2009" s="73">
        <v>11423.67</v>
      </c>
      <c r="F2009" s="114">
        <v>126562.5</v>
      </c>
      <c r="G2009" s="73">
        <v>26578.13</v>
      </c>
      <c r="H2009" s="73">
        <v>164564.29999999999</v>
      </c>
      <c r="I2009" s="28" t="s">
        <v>19</v>
      </c>
      <c r="J2009" s="43"/>
    </row>
    <row r="2010" spans="1:10" customFormat="1" ht="15" hidden="1" customHeight="1" x14ac:dyDescent="0.25">
      <c r="A2010" s="37">
        <v>45187</v>
      </c>
      <c r="B2010" s="18" t="s">
        <v>5175</v>
      </c>
      <c r="C2010" s="18" t="s">
        <v>2851</v>
      </c>
      <c r="D2010" s="18" t="s">
        <v>2852</v>
      </c>
      <c r="E2010" s="73">
        <v>10123.48</v>
      </c>
      <c r="F2010" s="114">
        <v>145312.5</v>
      </c>
      <c r="G2010" s="73">
        <v>30515.63</v>
      </c>
      <c r="H2010" s="73">
        <v>185951.61</v>
      </c>
      <c r="I2010" s="28" t="s">
        <v>19</v>
      </c>
      <c r="J2010" s="43"/>
    </row>
    <row r="2011" spans="1:10" customFormat="1" ht="15" hidden="1" customHeight="1" x14ac:dyDescent="0.25">
      <c r="A2011" s="37">
        <v>45187</v>
      </c>
      <c r="B2011" s="18" t="s">
        <v>5176</v>
      </c>
      <c r="C2011" s="18" t="s">
        <v>3036</v>
      </c>
      <c r="D2011" s="18" t="s">
        <v>3037</v>
      </c>
      <c r="E2011" s="73">
        <v>14386.96</v>
      </c>
      <c r="F2011" s="114">
        <v>192187.5</v>
      </c>
      <c r="G2011" s="73">
        <v>40359.370000000003</v>
      </c>
      <c r="H2011" s="73">
        <v>246933.83</v>
      </c>
      <c r="I2011" s="28" t="s">
        <v>19</v>
      </c>
      <c r="J2011" s="43"/>
    </row>
    <row r="2012" spans="1:10" customFormat="1" ht="15" hidden="1" customHeight="1" x14ac:dyDescent="0.25">
      <c r="A2012" s="37">
        <v>45187</v>
      </c>
      <c r="B2012" s="18" t="s">
        <v>5177</v>
      </c>
      <c r="C2012" s="18" t="s">
        <v>2954</v>
      </c>
      <c r="D2012" s="18" t="s">
        <v>2955</v>
      </c>
      <c r="E2012" s="73">
        <v>22000</v>
      </c>
      <c r="F2012" s="114">
        <v>222657</v>
      </c>
      <c r="G2012" s="73">
        <v>46757.97</v>
      </c>
      <c r="H2012" s="73">
        <v>291414.96999999997</v>
      </c>
      <c r="I2012" s="28" t="s">
        <v>19</v>
      </c>
      <c r="J2012" s="43"/>
    </row>
    <row r="2013" spans="1:10" customFormat="1" ht="15" hidden="1" customHeight="1" x14ac:dyDescent="0.25">
      <c r="A2013" s="37">
        <v>45187</v>
      </c>
      <c r="B2013" s="18" t="s">
        <v>5178</v>
      </c>
      <c r="C2013" s="18" t="s">
        <v>2954</v>
      </c>
      <c r="D2013" s="18" t="s">
        <v>2955</v>
      </c>
      <c r="E2013" s="73">
        <v>18500</v>
      </c>
      <c r="F2013" s="114">
        <v>222657</v>
      </c>
      <c r="G2013" s="73">
        <v>46757.97</v>
      </c>
      <c r="H2013" s="73">
        <v>287914.96999999997</v>
      </c>
      <c r="I2013" s="28" t="s">
        <v>19</v>
      </c>
      <c r="J2013" s="43"/>
    </row>
    <row r="2014" spans="1:10" customFormat="1" ht="15" hidden="1" customHeight="1" x14ac:dyDescent="0.25">
      <c r="A2014" s="37">
        <v>45187</v>
      </c>
      <c r="B2014" s="18" t="s">
        <v>5179</v>
      </c>
      <c r="C2014" s="18" t="s">
        <v>2856</v>
      </c>
      <c r="D2014" s="18" t="s">
        <v>2857</v>
      </c>
      <c r="E2014" s="73">
        <v>5440</v>
      </c>
      <c r="F2014" s="114">
        <v>256250</v>
      </c>
      <c r="G2014" s="73">
        <v>53812.5</v>
      </c>
      <c r="H2014" s="73">
        <v>315502.5</v>
      </c>
      <c r="I2014" s="28" t="s">
        <v>19</v>
      </c>
      <c r="J2014" s="43"/>
    </row>
    <row r="2015" spans="1:10" customFormat="1" ht="15" hidden="1" customHeight="1" x14ac:dyDescent="0.25">
      <c r="A2015" s="37">
        <v>45187</v>
      </c>
      <c r="B2015" s="18" t="s">
        <v>5180</v>
      </c>
      <c r="C2015" s="18" t="s">
        <v>2957</v>
      </c>
      <c r="D2015" s="18" t="s">
        <v>2958</v>
      </c>
      <c r="E2015" s="73">
        <v>17607.72</v>
      </c>
      <c r="F2015" s="114">
        <v>168750</v>
      </c>
      <c r="G2015" s="73">
        <v>35437.5</v>
      </c>
      <c r="H2015" s="73">
        <v>221795.22</v>
      </c>
      <c r="I2015" s="28" t="s">
        <v>19</v>
      </c>
      <c r="J2015" s="43"/>
    </row>
    <row r="2016" spans="1:10" customFormat="1" ht="15" hidden="1" customHeight="1" x14ac:dyDescent="0.25">
      <c r="A2016" s="37">
        <v>45188</v>
      </c>
      <c r="B2016" s="18" t="s">
        <v>5181</v>
      </c>
      <c r="C2016" s="18" t="s">
        <v>4162</v>
      </c>
      <c r="D2016" s="18" t="s">
        <v>4163</v>
      </c>
      <c r="E2016" s="73">
        <v>7500</v>
      </c>
      <c r="F2016" s="114">
        <v>703125</v>
      </c>
      <c r="G2016" s="73">
        <v>147656.25</v>
      </c>
      <c r="H2016" s="73">
        <v>858281.25</v>
      </c>
      <c r="I2016" s="28" t="s">
        <v>19</v>
      </c>
      <c r="J2016" s="43"/>
    </row>
    <row r="2017" spans="1:10" customFormat="1" ht="15" hidden="1" customHeight="1" x14ac:dyDescent="0.25">
      <c r="A2017" s="37">
        <v>45188</v>
      </c>
      <c r="B2017" s="18" t="s">
        <v>5182</v>
      </c>
      <c r="C2017" s="18" t="s">
        <v>4162</v>
      </c>
      <c r="D2017" s="18" t="s">
        <v>4163</v>
      </c>
      <c r="E2017" s="73">
        <v>25000</v>
      </c>
      <c r="F2017" s="114">
        <v>296876</v>
      </c>
      <c r="G2017" s="73">
        <v>62343.96</v>
      </c>
      <c r="H2017" s="73">
        <v>384219.96</v>
      </c>
      <c r="I2017" s="28" t="s">
        <v>19</v>
      </c>
      <c r="J2017" s="43"/>
    </row>
    <row r="2018" spans="1:10" customFormat="1" ht="15" hidden="1" customHeight="1" x14ac:dyDescent="0.25">
      <c r="A2018" s="37">
        <v>45188</v>
      </c>
      <c r="B2018" s="18" t="s">
        <v>5183</v>
      </c>
      <c r="C2018" s="18" t="s">
        <v>3033</v>
      </c>
      <c r="D2018" s="18" t="s">
        <v>3034</v>
      </c>
      <c r="E2018" s="73">
        <v>14200</v>
      </c>
      <c r="F2018" s="114">
        <v>212500</v>
      </c>
      <c r="G2018" s="73">
        <v>44625</v>
      </c>
      <c r="H2018" s="73">
        <v>271325</v>
      </c>
      <c r="I2018" s="28" t="s">
        <v>19</v>
      </c>
      <c r="J2018" s="43"/>
    </row>
    <row r="2019" spans="1:10" customFormat="1" ht="15" hidden="1" customHeight="1" x14ac:dyDescent="0.25">
      <c r="A2019" s="37">
        <v>45188</v>
      </c>
      <c r="B2019" s="18" t="s">
        <v>5184</v>
      </c>
      <c r="C2019" s="18" t="s">
        <v>1140</v>
      </c>
      <c r="D2019" s="18" t="s">
        <v>1141</v>
      </c>
      <c r="E2019" s="73">
        <v>10123.48</v>
      </c>
      <c r="F2019" s="114">
        <v>256250</v>
      </c>
      <c r="G2019" s="73">
        <v>53812.5</v>
      </c>
      <c r="H2019" s="73">
        <v>320185.98</v>
      </c>
      <c r="I2019" s="28" t="s">
        <v>19</v>
      </c>
      <c r="J2019" s="43"/>
    </row>
    <row r="2020" spans="1:10" customFormat="1" ht="15" hidden="1" customHeight="1" x14ac:dyDescent="0.25">
      <c r="A2020" s="37">
        <v>45188</v>
      </c>
      <c r="B2020" s="18" t="s">
        <v>5185</v>
      </c>
      <c r="C2020" s="18" t="s">
        <v>4961</v>
      </c>
      <c r="D2020" s="18" t="s">
        <v>4962</v>
      </c>
      <c r="E2020" s="73">
        <v>9200</v>
      </c>
      <c r="F2020" s="114">
        <v>84375</v>
      </c>
      <c r="G2020" s="73">
        <v>17718.75</v>
      </c>
      <c r="H2020" s="73">
        <v>111293.75</v>
      </c>
      <c r="I2020" s="28" t="s">
        <v>19</v>
      </c>
      <c r="J2020" s="43"/>
    </row>
    <row r="2021" spans="1:10" customFormat="1" ht="15" hidden="1" customHeight="1" x14ac:dyDescent="0.25">
      <c r="A2021" s="37">
        <v>45188</v>
      </c>
      <c r="B2021" s="18" t="s">
        <v>5186</v>
      </c>
      <c r="C2021" s="18" t="s">
        <v>2851</v>
      </c>
      <c r="D2021" s="18" t="s">
        <v>2852</v>
      </c>
      <c r="E2021" s="73">
        <v>10123.48</v>
      </c>
      <c r="F2021" s="114">
        <v>145312.5</v>
      </c>
      <c r="G2021" s="73">
        <v>30515.63</v>
      </c>
      <c r="H2021" s="73">
        <v>185951.61</v>
      </c>
      <c r="I2021" s="28" t="s">
        <v>19</v>
      </c>
      <c r="J2021" s="43"/>
    </row>
    <row r="2022" spans="1:10" customFormat="1" ht="15" hidden="1" customHeight="1" x14ac:dyDescent="0.25">
      <c r="A2022" s="37">
        <v>45188</v>
      </c>
      <c r="B2022" s="18" t="s">
        <v>5187</v>
      </c>
      <c r="C2022" s="18" t="s">
        <v>3241</v>
      </c>
      <c r="D2022" s="18" t="s">
        <v>3242</v>
      </c>
      <c r="E2022" s="73">
        <v>8803.86</v>
      </c>
      <c r="F2022" s="114">
        <v>84375</v>
      </c>
      <c r="G2022" s="73">
        <v>17718.75</v>
      </c>
      <c r="H2022" s="73">
        <v>110897.61</v>
      </c>
      <c r="I2022" s="28" t="s">
        <v>19</v>
      </c>
      <c r="J2022" s="43"/>
    </row>
    <row r="2023" spans="1:10" customFormat="1" ht="15" hidden="1" customHeight="1" x14ac:dyDescent="0.25">
      <c r="A2023" s="37">
        <v>45188</v>
      </c>
      <c r="B2023" s="18" t="s">
        <v>5188</v>
      </c>
      <c r="C2023" s="18" t="s">
        <v>4059</v>
      </c>
      <c r="D2023" s="18" t="s">
        <v>4060</v>
      </c>
      <c r="E2023" s="73">
        <v>7960.05</v>
      </c>
      <c r="F2023" s="114">
        <v>96875</v>
      </c>
      <c r="G2023" s="73">
        <v>20343.75</v>
      </c>
      <c r="H2023" s="73">
        <v>125178.8</v>
      </c>
      <c r="I2023" s="28" t="s">
        <v>19</v>
      </c>
      <c r="J2023" s="43"/>
    </row>
    <row r="2024" spans="1:10" customFormat="1" ht="15" hidden="1" customHeight="1" x14ac:dyDescent="0.25">
      <c r="A2024" s="37">
        <v>45188</v>
      </c>
      <c r="B2024" s="18" t="s">
        <v>5189</v>
      </c>
      <c r="C2024" s="18" t="s">
        <v>2945</v>
      </c>
      <c r="D2024" s="18" t="s">
        <v>2946</v>
      </c>
      <c r="E2024" s="73">
        <v>9357.64</v>
      </c>
      <c r="F2024" s="114">
        <v>256250</v>
      </c>
      <c r="G2024" s="73">
        <v>53812.5</v>
      </c>
      <c r="H2024" s="73">
        <v>319420.14</v>
      </c>
      <c r="I2024" s="28" t="s">
        <v>19</v>
      </c>
      <c r="J2024" s="43"/>
    </row>
    <row r="2025" spans="1:10" customFormat="1" ht="15" hidden="1" customHeight="1" x14ac:dyDescent="0.25">
      <c r="A2025" s="37">
        <v>45188</v>
      </c>
      <c r="B2025" s="18" t="s">
        <v>5190</v>
      </c>
      <c r="C2025" s="18" t="s">
        <v>4779</v>
      </c>
      <c r="D2025" s="18" t="s">
        <v>4780</v>
      </c>
      <c r="E2025" s="73">
        <v>28773.919999999998</v>
      </c>
      <c r="F2025" s="114">
        <v>337500</v>
      </c>
      <c r="G2025" s="73">
        <v>70875</v>
      </c>
      <c r="H2025" s="73">
        <v>437148.92</v>
      </c>
      <c r="I2025" s="28" t="s">
        <v>19</v>
      </c>
      <c r="J2025" s="43"/>
    </row>
    <row r="2026" spans="1:10" customFormat="1" ht="15" hidden="1" customHeight="1" x14ac:dyDescent="0.25">
      <c r="A2026" s="37">
        <v>45188</v>
      </c>
      <c r="B2026" s="18" t="s">
        <v>5191</v>
      </c>
      <c r="C2026" s="18" t="s">
        <v>4109</v>
      </c>
      <c r="D2026" s="18" t="s">
        <v>4110</v>
      </c>
      <c r="E2026" s="73">
        <v>11623.48</v>
      </c>
      <c r="F2026" s="114">
        <v>193750</v>
      </c>
      <c r="G2026" s="73">
        <v>40687.5</v>
      </c>
      <c r="H2026" s="73">
        <v>246060.98</v>
      </c>
      <c r="I2026" s="28" t="s">
        <v>19</v>
      </c>
      <c r="J2026" s="43"/>
    </row>
    <row r="2027" spans="1:10" customFormat="1" ht="15" hidden="1" customHeight="1" x14ac:dyDescent="0.25">
      <c r="A2027" s="37">
        <v>45188</v>
      </c>
      <c r="B2027" s="18" t="s">
        <v>5192</v>
      </c>
      <c r="C2027" s="18" t="s">
        <v>2927</v>
      </c>
      <c r="D2027" s="18" t="s">
        <v>2928</v>
      </c>
      <c r="E2027" s="73">
        <v>8000</v>
      </c>
      <c r="F2027" s="114">
        <v>0</v>
      </c>
      <c r="G2027" s="73">
        <v>0</v>
      </c>
      <c r="H2027" s="73">
        <v>8000</v>
      </c>
      <c r="I2027" s="28" t="s">
        <v>19</v>
      </c>
      <c r="J2027" s="43"/>
    </row>
    <row r="2028" spans="1:10" customFormat="1" ht="15" hidden="1" customHeight="1" x14ac:dyDescent="0.25">
      <c r="A2028" s="37">
        <v>45189</v>
      </c>
      <c r="B2028" s="18" t="s">
        <v>5193</v>
      </c>
      <c r="C2028" s="18" t="s">
        <v>2921</v>
      </c>
      <c r="D2028" s="18" t="s">
        <v>2922</v>
      </c>
      <c r="E2028" s="73">
        <v>12500</v>
      </c>
      <c r="F2028" s="114">
        <v>166072.5</v>
      </c>
      <c r="G2028" s="73">
        <v>34875.230000000003</v>
      </c>
      <c r="H2028" s="73">
        <v>213447.73</v>
      </c>
      <c r="I2028" s="28" t="s">
        <v>19</v>
      </c>
      <c r="J2028" s="43"/>
    </row>
    <row r="2029" spans="1:10" customFormat="1" ht="15" hidden="1" customHeight="1" x14ac:dyDescent="0.25">
      <c r="A2029" s="37">
        <v>45189</v>
      </c>
      <c r="B2029" s="18" t="s">
        <v>5194</v>
      </c>
      <c r="C2029" s="18" t="s">
        <v>2921</v>
      </c>
      <c r="D2029" s="18" t="s">
        <v>2922</v>
      </c>
      <c r="E2029" s="73">
        <v>13563.48</v>
      </c>
      <c r="F2029" s="114">
        <v>168750</v>
      </c>
      <c r="G2029" s="73">
        <v>35437.5</v>
      </c>
      <c r="H2029" s="73">
        <v>217750.98</v>
      </c>
      <c r="I2029" s="28" t="s">
        <v>19</v>
      </c>
      <c r="J2029" s="43"/>
    </row>
    <row r="2030" spans="1:10" customFormat="1" ht="15" hidden="1" customHeight="1" x14ac:dyDescent="0.25">
      <c r="A2030" s="37">
        <v>45189</v>
      </c>
      <c r="B2030" s="18" t="s">
        <v>5195</v>
      </c>
      <c r="C2030" s="18" t="s">
        <v>3373</v>
      </c>
      <c r="D2030" s="18" t="s">
        <v>3374</v>
      </c>
      <c r="E2030" s="73">
        <v>8771.7999999999993</v>
      </c>
      <c r="F2030" s="114">
        <v>170062.5</v>
      </c>
      <c r="G2030" s="73">
        <v>35713.129999999997</v>
      </c>
      <c r="H2030" s="73">
        <v>214547.43</v>
      </c>
      <c r="I2030" s="28" t="s">
        <v>19</v>
      </c>
      <c r="J2030" s="43"/>
    </row>
    <row r="2031" spans="1:10" customFormat="1" ht="15" hidden="1" customHeight="1" x14ac:dyDescent="0.25">
      <c r="A2031" s="37">
        <v>45189</v>
      </c>
      <c r="B2031" s="18" t="s">
        <v>5196</v>
      </c>
      <c r="C2031" s="18" t="s">
        <v>2851</v>
      </c>
      <c r="D2031" s="18" t="s">
        <v>2852</v>
      </c>
      <c r="E2031" s="73">
        <v>9200</v>
      </c>
      <c r="F2031" s="114">
        <v>93750</v>
      </c>
      <c r="G2031" s="73">
        <v>19687.5</v>
      </c>
      <c r="H2031" s="73">
        <v>122637.5</v>
      </c>
      <c r="I2031" s="28" t="s">
        <v>19</v>
      </c>
      <c r="J2031" s="43"/>
    </row>
    <row r="2032" spans="1:10" customFormat="1" ht="15" hidden="1" customHeight="1" x14ac:dyDescent="0.25">
      <c r="A2032" s="37">
        <v>45189</v>
      </c>
      <c r="B2032" s="18" t="s">
        <v>5197</v>
      </c>
      <c r="C2032" s="18" t="s">
        <v>3011</v>
      </c>
      <c r="D2032" s="18" t="s">
        <v>3012</v>
      </c>
      <c r="E2032" s="73">
        <v>27600</v>
      </c>
      <c r="F2032" s="114">
        <v>421625</v>
      </c>
      <c r="G2032" s="73">
        <v>88541.25</v>
      </c>
      <c r="H2032" s="73">
        <v>537766.25</v>
      </c>
      <c r="I2032" s="28" t="s">
        <v>19</v>
      </c>
      <c r="J2032" s="43"/>
    </row>
    <row r="2033" spans="1:10" customFormat="1" ht="15" hidden="1" customHeight="1" x14ac:dyDescent="0.25">
      <c r="A2033" s="37">
        <v>45189</v>
      </c>
      <c r="B2033" s="18" t="s">
        <v>5198</v>
      </c>
      <c r="C2033" s="18" t="s">
        <v>3011</v>
      </c>
      <c r="D2033" s="18" t="s">
        <v>3012</v>
      </c>
      <c r="E2033" s="73">
        <v>9200</v>
      </c>
      <c r="F2033" s="114">
        <v>93750</v>
      </c>
      <c r="G2033" s="73">
        <v>19687.5</v>
      </c>
      <c r="H2033" s="73">
        <v>122637.5</v>
      </c>
      <c r="I2033" s="28" t="s">
        <v>19</v>
      </c>
      <c r="J2033" s="43"/>
    </row>
    <row r="2034" spans="1:10" customFormat="1" ht="15" hidden="1" customHeight="1" x14ac:dyDescent="0.25">
      <c r="A2034" s="37">
        <v>45189</v>
      </c>
      <c r="B2034" s="18" t="s">
        <v>5199</v>
      </c>
      <c r="C2034" s="18" t="s">
        <v>1140</v>
      </c>
      <c r="D2034" s="18" t="s">
        <v>1141</v>
      </c>
      <c r="E2034" s="73">
        <v>9200</v>
      </c>
      <c r="F2034" s="114">
        <v>93750</v>
      </c>
      <c r="G2034" s="73">
        <v>19687.5</v>
      </c>
      <c r="H2034" s="73">
        <v>122637.5</v>
      </c>
      <c r="I2034" s="28" t="s">
        <v>19</v>
      </c>
      <c r="J2034" s="43"/>
    </row>
    <row r="2035" spans="1:10" customFormat="1" ht="15" hidden="1" customHeight="1" x14ac:dyDescent="0.25">
      <c r="A2035" s="37">
        <v>45189</v>
      </c>
      <c r="B2035" s="18" t="s">
        <v>5200</v>
      </c>
      <c r="C2035" s="18" t="s">
        <v>3007</v>
      </c>
      <c r="D2035" s="18" t="s">
        <v>3008</v>
      </c>
      <c r="E2035" s="73">
        <v>9200</v>
      </c>
      <c r="F2035" s="114">
        <v>93750</v>
      </c>
      <c r="G2035" s="73">
        <v>19687.5</v>
      </c>
      <c r="H2035" s="73">
        <v>122637.5</v>
      </c>
      <c r="I2035" s="28" t="s">
        <v>19</v>
      </c>
      <c r="J2035" s="43"/>
    </row>
    <row r="2036" spans="1:10" customFormat="1" ht="15" hidden="1" customHeight="1" x14ac:dyDescent="0.25">
      <c r="A2036" s="37">
        <v>45189</v>
      </c>
      <c r="B2036" s="18" t="s">
        <v>5201</v>
      </c>
      <c r="C2036" s="18" t="s">
        <v>3014</v>
      </c>
      <c r="D2036" s="18" t="s">
        <v>3015</v>
      </c>
      <c r="E2036" s="73">
        <v>18400</v>
      </c>
      <c r="F2036" s="114">
        <v>281250</v>
      </c>
      <c r="G2036" s="73">
        <v>59062.5</v>
      </c>
      <c r="H2036" s="73">
        <v>358712.5</v>
      </c>
      <c r="I2036" s="28" t="s">
        <v>19</v>
      </c>
      <c r="J2036" s="43"/>
    </row>
    <row r="2037" spans="1:10" customFormat="1" ht="15" hidden="1" customHeight="1" x14ac:dyDescent="0.25">
      <c r="A2037" s="37">
        <v>45189</v>
      </c>
      <c r="B2037" s="18" t="s">
        <v>5202</v>
      </c>
      <c r="C2037" s="18" t="s">
        <v>4916</v>
      </c>
      <c r="D2037" s="18" t="s">
        <v>4917</v>
      </c>
      <c r="E2037" s="73">
        <v>18400</v>
      </c>
      <c r="F2037" s="114">
        <v>187500</v>
      </c>
      <c r="G2037" s="73">
        <v>39375</v>
      </c>
      <c r="H2037" s="73">
        <v>245275</v>
      </c>
      <c r="I2037" s="28" t="s">
        <v>19</v>
      </c>
      <c r="J2037" s="43"/>
    </row>
    <row r="2038" spans="1:10" customFormat="1" ht="15" hidden="1" customHeight="1" x14ac:dyDescent="0.25">
      <c r="A2038" s="37">
        <v>45189</v>
      </c>
      <c r="B2038" s="18" t="s">
        <v>5203</v>
      </c>
      <c r="C2038" s="18" t="s">
        <v>3036</v>
      </c>
      <c r="D2038" s="18" t="s">
        <v>3037</v>
      </c>
      <c r="E2038" s="73">
        <v>10500</v>
      </c>
      <c r="F2038" s="114">
        <v>84375</v>
      </c>
      <c r="G2038" s="73">
        <v>17718.75</v>
      </c>
      <c r="H2038" s="73">
        <v>112593.75</v>
      </c>
      <c r="I2038" s="28" t="s">
        <v>19</v>
      </c>
      <c r="J2038" s="43"/>
    </row>
    <row r="2039" spans="1:10" customFormat="1" ht="15" hidden="1" customHeight="1" x14ac:dyDescent="0.25">
      <c r="A2039" s="37">
        <v>45189</v>
      </c>
      <c r="B2039" s="18" t="s">
        <v>5204</v>
      </c>
      <c r="C2039" s="18" t="s">
        <v>3007</v>
      </c>
      <c r="D2039" s="18" t="s">
        <v>3008</v>
      </c>
      <c r="E2039" s="73">
        <v>27600</v>
      </c>
      <c r="F2039" s="114">
        <v>281250</v>
      </c>
      <c r="G2039" s="73">
        <v>59062.5</v>
      </c>
      <c r="H2039" s="73">
        <v>367912.5</v>
      </c>
      <c r="I2039" s="28" t="s">
        <v>19</v>
      </c>
      <c r="J2039" s="43"/>
    </row>
    <row r="2040" spans="1:10" customFormat="1" ht="15" hidden="1" customHeight="1" x14ac:dyDescent="0.25">
      <c r="A2040" s="37">
        <v>45189</v>
      </c>
      <c r="B2040" s="18" t="s">
        <v>5205</v>
      </c>
      <c r="C2040" s="18" t="s">
        <v>3831</v>
      </c>
      <c r="D2040" s="18" t="s">
        <v>3832</v>
      </c>
      <c r="E2040" s="73">
        <v>9200</v>
      </c>
      <c r="F2040" s="114">
        <v>93750</v>
      </c>
      <c r="G2040" s="73">
        <v>19687.5</v>
      </c>
      <c r="H2040" s="73">
        <v>122637.5</v>
      </c>
      <c r="I2040" s="28" t="s">
        <v>19</v>
      </c>
      <c r="J2040" s="43"/>
    </row>
    <row r="2041" spans="1:10" customFormat="1" ht="15" hidden="1" customHeight="1" x14ac:dyDescent="0.25">
      <c r="A2041" s="37">
        <v>45189</v>
      </c>
      <c r="B2041" s="18" t="s">
        <v>5206</v>
      </c>
      <c r="C2041" s="18" t="s">
        <v>2927</v>
      </c>
      <c r="D2041" s="18" t="s">
        <v>2928</v>
      </c>
      <c r="E2041" s="73">
        <v>9200</v>
      </c>
      <c r="F2041" s="114">
        <v>93750</v>
      </c>
      <c r="G2041" s="73">
        <v>19687.5</v>
      </c>
      <c r="H2041" s="73">
        <v>122637.5</v>
      </c>
      <c r="I2041" s="28" t="s">
        <v>19</v>
      </c>
      <c r="J2041" s="43"/>
    </row>
    <row r="2042" spans="1:10" customFormat="1" ht="15" hidden="1" customHeight="1" x14ac:dyDescent="0.25">
      <c r="A2042" s="37">
        <v>45189</v>
      </c>
      <c r="B2042" s="18" t="s">
        <v>5207</v>
      </c>
      <c r="C2042" s="18" t="s">
        <v>3014</v>
      </c>
      <c r="D2042" s="18" t="s">
        <v>3015</v>
      </c>
      <c r="E2042" s="73">
        <v>18200</v>
      </c>
      <c r="F2042" s="114">
        <v>187500</v>
      </c>
      <c r="G2042" s="73">
        <v>39375</v>
      </c>
      <c r="H2042" s="73">
        <v>245075</v>
      </c>
      <c r="I2042" s="28" t="s">
        <v>19</v>
      </c>
      <c r="J2042" s="43"/>
    </row>
    <row r="2043" spans="1:10" customFormat="1" ht="15" hidden="1" customHeight="1" x14ac:dyDescent="0.25">
      <c r="A2043" s="37">
        <v>45189</v>
      </c>
      <c r="B2043" s="18" t="s">
        <v>5208</v>
      </c>
      <c r="C2043" s="18" t="s">
        <v>2921</v>
      </c>
      <c r="D2043" s="18" t="s">
        <v>2922</v>
      </c>
      <c r="E2043" s="73">
        <v>18400</v>
      </c>
      <c r="F2043" s="114">
        <v>187500</v>
      </c>
      <c r="G2043" s="73">
        <v>39375</v>
      </c>
      <c r="H2043" s="73">
        <v>245275</v>
      </c>
      <c r="I2043" s="28" t="s">
        <v>19</v>
      </c>
      <c r="J2043" s="43"/>
    </row>
    <row r="2044" spans="1:10" customFormat="1" ht="15" hidden="1" customHeight="1" x14ac:dyDescent="0.25">
      <c r="A2044" s="37">
        <v>45189</v>
      </c>
      <c r="B2044" s="18" t="s">
        <v>5209</v>
      </c>
      <c r="C2044" s="18" t="s">
        <v>2851</v>
      </c>
      <c r="D2044" s="18" t="s">
        <v>2852</v>
      </c>
      <c r="E2044" s="73">
        <v>9200</v>
      </c>
      <c r="F2044" s="114">
        <v>93750</v>
      </c>
      <c r="G2044" s="73">
        <v>19687.5</v>
      </c>
      <c r="H2044" s="73">
        <v>122637.5</v>
      </c>
      <c r="I2044" s="28" t="s">
        <v>19</v>
      </c>
      <c r="J2044" s="43"/>
    </row>
    <row r="2045" spans="1:10" customFormat="1" ht="15" hidden="1" customHeight="1" x14ac:dyDescent="0.25">
      <c r="A2045" s="37">
        <v>45189</v>
      </c>
      <c r="B2045" s="18" t="s">
        <v>5210</v>
      </c>
      <c r="C2045" s="18" t="s">
        <v>2903</v>
      </c>
      <c r="D2045" s="18" t="s">
        <v>2904</v>
      </c>
      <c r="E2045" s="73">
        <v>9200</v>
      </c>
      <c r="F2045" s="114">
        <v>93750</v>
      </c>
      <c r="G2045" s="73">
        <v>19687.5</v>
      </c>
      <c r="H2045" s="73">
        <v>122637.5</v>
      </c>
      <c r="I2045" s="28" t="s">
        <v>19</v>
      </c>
      <c r="J2045" s="43"/>
    </row>
    <row r="2046" spans="1:10" customFormat="1" ht="15" hidden="1" customHeight="1" x14ac:dyDescent="0.25">
      <c r="A2046" s="37">
        <v>45189</v>
      </c>
      <c r="B2046" s="18" t="s">
        <v>5211</v>
      </c>
      <c r="C2046" s="18" t="s">
        <v>3241</v>
      </c>
      <c r="D2046" s="18" t="s">
        <v>3242</v>
      </c>
      <c r="E2046" s="73">
        <v>8803.86</v>
      </c>
      <c r="F2046" s="114">
        <v>84375</v>
      </c>
      <c r="G2046" s="73">
        <v>17718.75</v>
      </c>
      <c r="H2046" s="73">
        <v>110897.61</v>
      </c>
      <c r="I2046" s="28" t="s">
        <v>19</v>
      </c>
      <c r="J2046" s="43"/>
    </row>
    <row r="2047" spans="1:10" customFormat="1" ht="15" hidden="1" customHeight="1" x14ac:dyDescent="0.25">
      <c r="A2047" s="37">
        <v>45189</v>
      </c>
      <c r="B2047" s="18" t="s">
        <v>5212</v>
      </c>
      <c r="C2047" s="18" t="s">
        <v>2903</v>
      </c>
      <c r="D2047" s="18" t="s">
        <v>2904</v>
      </c>
      <c r="E2047" s="73">
        <v>20007.72</v>
      </c>
      <c r="F2047" s="114">
        <v>168750</v>
      </c>
      <c r="G2047" s="73">
        <v>35437.5</v>
      </c>
      <c r="H2047" s="73">
        <v>224195.22</v>
      </c>
      <c r="I2047" s="28" t="s">
        <v>19</v>
      </c>
      <c r="J2047" s="43"/>
    </row>
    <row r="2048" spans="1:10" customFormat="1" ht="15" hidden="1" customHeight="1" x14ac:dyDescent="0.25">
      <c r="A2048" s="37">
        <v>45190</v>
      </c>
      <c r="B2048" s="18" t="s">
        <v>5213</v>
      </c>
      <c r="C2048" s="18" t="s">
        <v>2921</v>
      </c>
      <c r="D2048" s="18" t="s">
        <v>2922</v>
      </c>
      <c r="E2048" s="73">
        <v>1</v>
      </c>
      <c r="F2048" s="114">
        <v>1</v>
      </c>
      <c r="G2048" s="73">
        <v>0.21</v>
      </c>
      <c r="H2048" s="73">
        <v>2.21</v>
      </c>
      <c r="I2048" s="28" t="s">
        <v>19</v>
      </c>
      <c r="J2048" s="43"/>
    </row>
    <row r="2049" spans="1:10" customFormat="1" ht="15" hidden="1" customHeight="1" x14ac:dyDescent="0.25">
      <c r="A2049" s="37">
        <v>45190</v>
      </c>
      <c r="B2049" s="18" t="s">
        <v>5214</v>
      </c>
      <c r="C2049" s="18" t="s">
        <v>3007</v>
      </c>
      <c r="D2049" s="18" t="s">
        <v>3008</v>
      </c>
      <c r="E2049" s="73">
        <v>19000</v>
      </c>
      <c r="F2049" s="114">
        <v>460000</v>
      </c>
      <c r="G2049" s="73">
        <v>96600</v>
      </c>
      <c r="H2049" s="73">
        <v>575600</v>
      </c>
      <c r="I2049" s="28" t="s">
        <v>19</v>
      </c>
      <c r="J2049" s="43"/>
    </row>
    <row r="2050" spans="1:10" customFormat="1" ht="15" hidden="1" customHeight="1" x14ac:dyDescent="0.25">
      <c r="A2050" s="37">
        <v>45190</v>
      </c>
      <c r="B2050" s="18" t="s">
        <v>5215</v>
      </c>
      <c r="C2050" s="18" t="s">
        <v>3007</v>
      </c>
      <c r="D2050" s="18" t="s">
        <v>3008</v>
      </c>
      <c r="E2050" s="73">
        <v>9500</v>
      </c>
      <c r="F2050" s="114">
        <v>230000</v>
      </c>
      <c r="G2050" s="73">
        <v>48300</v>
      </c>
      <c r="H2050" s="73">
        <v>287800</v>
      </c>
      <c r="I2050" s="28" t="s">
        <v>19</v>
      </c>
      <c r="J2050" s="43"/>
    </row>
    <row r="2051" spans="1:10" customFormat="1" ht="15" hidden="1" customHeight="1" x14ac:dyDescent="0.25">
      <c r="A2051" s="37">
        <v>45190</v>
      </c>
      <c r="B2051" s="18" t="s">
        <v>5216</v>
      </c>
      <c r="C2051" s="18" t="s">
        <v>4059</v>
      </c>
      <c r="D2051" s="18" t="s">
        <v>4060</v>
      </c>
      <c r="E2051" s="73">
        <v>12500</v>
      </c>
      <c r="F2051" s="114">
        <v>91500</v>
      </c>
      <c r="G2051" s="73">
        <v>19215</v>
      </c>
      <c r="H2051" s="73">
        <v>123215</v>
      </c>
      <c r="I2051" s="28" t="s">
        <v>19</v>
      </c>
      <c r="J2051" s="43"/>
    </row>
    <row r="2052" spans="1:10" customFormat="1" ht="15" hidden="1" customHeight="1" x14ac:dyDescent="0.25">
      <c r="A2052" s="37">
        <v>45190</v>
      </c>
      <c r="B2052" s="18" t="s">
        <v>5217</v>
      </c>
      <c r="C2052" s="18" t="s">
        <v>3241</v>
      </c>
      <c r="D2052" s="18" t="s">
        <v>3242</v>
      </c>
      <c r="E2052" s="73">
        <v>5000</v>
      </c>
      <c r="F2052" s="114">
        <v>309375</v>
      </c>
      <c r="G2052" s="73">
        <v>64968.74</v>
      </c>
      <c r="H2052" s="73">
        <v>379343.74</v>
      </c>
      <c r="I2052" s="28" t="s">
        <v>19</v>
      </c>
      <c r="J2052" s="43"/>
    </row>
    <row r="2053" spans="1:10" customFormat="1" ht="15" hidden="1" customHeight="1" x14ac:dyDescent="0.25">
      <c r="A2053" s="40">
        <v>45190</v>
      </c>
      <c r="B2053" s="74" t="s">
        <v>5218</v>
      </c>
      <c r="C2053" s="74" t="s">
        <v>3272</v>
      </c>
      <c r="D2053" s="74" t="s">
        <v>3273</v>
      </c>
      <c r="E2053" s="73">
        <v>5840</v>
      </c>
      <c r="F2053" s="114">
        <v>128125</v>
      </c>
      <c r="G2053" s="73">
        <v>26906.25</v>
      </c>
      <c r="H2053" s="73">
        <v>160871.25</v>
      </c>
      <c r="I2053" s="41" t="s">
        <v>19</v>
      </c>
      <c r="J2053" s="49"/>
    </row>
    <row r="2054" spans="1:10" customFormat="1" ht="15" hidden="1" customHeight="1" x14ac:dyDescent="0.25">
      <c r="A2054" s="37">
        <v>45190</v>
      </c>
      <c r="B2054" s="18" t="s">
        <v>5219</v>
      </c>
      <c r="C2054" s="18" t="s">
        <v>3450</v>
      </c>
      <c r="D2054" s="18" t="s">
        <v>3451</v>
      </c>
      <c r="E2054" s="73">
        <v>11178.02</v>
      </c>
      <c r="F2054" s="114">
        <v>126562.5</v>
      </c>
      <c r="G2054" s="73">
        <v>26578.13</v>
      </c>
      <c r="H2054" s="73">
        <v>164318.65</v>
      </c>
      <c r="I2054" s="28" t="s">
        <v>19</v>
      </c>
      <c r="J2054" s="43"/>
    </row>
    <row r="2055" spans="1:10" customFormat="1" ht="15" hidden="1" customHeight="1" x14ac:dyDescent="0.25">
      <c r="A2055" s="37">
        <v>45190</v>
      </c>
      <c r="B2055" s="18" t="s">
        <v>5220</v>
      </c>
      <c r="C2055" s="18" t="s">
        <v>3450</v>
      </c>
      <c r="D2055" s="18" t="s">
        <v>3451</v>
      </c>
      <c r="E2055" s="73">
        <v>11178.02</v>
      </c>
      <c r="F2055" s="114">
        <v>126562.5</v>
      </c>
      <c r="G2055" s="73">
        <v>26578.13</v>
      </c>
      <c r="H2055" s="73">
        <v>164318.65</v>
      </c>
      <c r="I2055" s="28" t="s">
        <v>19</v>
      </c>
      <c r="J2055" s="43"/>
    </row>
    <row r="2056" spans="1:10" customFormat="1" ht="15" hidden="1" customHeight="1" x14ac:dyDescent="0.25">
      <c r="A2056" s="37">
        <v>45190</v>
      </c>
      <c r="B2056" s="18" t="s">
        <v>5221</v>
      </c>
      <c r="C2056" s="18" t="s">
        <v>3241</v>
      </c>
      <c r="D2056" s="18" t="s">
        <v>3242</v>
      </c>
      <c r="E2056" s="73">
        <v>18400</v>
      </c>
      <c r="F2056" s="114">
        <v>168750</v>
      </c>
      <c r="G2056" s="73">
        <v>35437.5</v>
      </c>
      <c r="H2056" s="73">
        <v>222587.5</v>
      </c>
      <c r="I2056" s="28" t="s">
        <v>19</v>
      </c>
      <c r="J2056" s="43"/>
    </row>
    <row r="2057" spans="1:10" customFormat="1" ht="15" hidden="1" customHeight="1" x14ac:dyDescent="0.25">
      <c r="A2057" s="37">
        <v>45190</v>
      </c>
      <c r="B2057" s="18" t="s">
        <v>5222</v>
      </c>
      <c r="C2057" s="18" t="s">
        <v>3007</v>
      </c>
      <c r="D2057" s="18" t="s">
        <v>3008</v>
      </c>
      <c r="E2057" s="73">
        <v>25000</v>
      </c>
      <c r="F2057" s="114">
        <v>221430</v>
      </c>
      <c r="G2057" s="73">
        <v>46500.3</v>
      </c>
      <c r="H2057" s="73">
        <v>292930.3</v>
      </c>
      <c r="I2057" s="28" t="s">
        <v>19</v>
      </c>
      <c r="J2057" s="43"/>
    </row>
    <row r="2058" spans="1:10" customFormat="1" ht="15" hidden="1" customHeight="1" x14ac:dyDescent="0.25">
      <c r="A2058" s="37">
        <v>45190</v>
      </c>
      <c r="B2058" s="18" t="s">
        <v>5223</v>
      </c>
      <c r="C2058" s="18" t="s">
        <v>2867</v>
      </c>
      <c r="D2058" s="18" t="s">
        <v>2868</v>
      </c>
      <c r="E2058" s="73">
        <v>15000</v>
      </c>
      <c r="F2058" s="114">
        <v>464062.5</v>
      </c>
      <c r="G2058" s="73">
        <v>97453.11</v>
      </c>
      <c r="H2058" s="73">
        <v>576515.61</v>
      </c>
      <c r="I2058" s="28" t="s">
        <v>19</v>
      </c>
      <c r="J2058" s="43"/>
    </row>
    <row r="2059" spans="1:10" customFormat="1" ht="15" hidden="1" customHeight="1" x14ac:dyDescent="0.25">
      <c r="A2059" s="37">
        <v>45190</v>
      </c>
      <c r="B2059" s="18" t="s">
        <v>5224</v>
      </c>
      <c r="C2059" s="18" t="s">
        <v>2851</v>
      </c>
      <c r="D2059" s="18" t="s">
        <v>2852</v>
      </c>
      <c r="E2059" s="73">
        <v>9200</v>
      </c>
      <c r="F2059" s="114">
        <v>140625</v>
      </c>
      <c r="G2059" s="73">
        <v>29531.25</v>
      </c>
      <c r="H2059" s="73">
        <v>179356.25</v>
      </c>
      <c r="I2059" s="28" t="s">
        <v>19</v>
      </c>
      <c r="J2059" s="43"/>
    </row>
    <row r="2060" spans="1:10" customFormat="1" ht="15" hidden="1" customHeight="1" x14ac:dyDescent="0.25">
      <c r="A2060" s="37">
        <v>45190</v>
      </c>
      <c r="B2060" s="18" t="s">
        <v>5225</v>
      </c>
      <c r="C2060" s="18" t="s">
        <v>2964</v>
      </c>
      <c r="D2060" s="18" t="s">
        <v>2965</v>
      </c>
      <c r="E2060" s="73">
        <v>9200</v>
      </c>
      <c r="F2060" s="114">
        <v>140625</v>
      </c>
      <c r="G2060" s="73">
        <v>29531.25</v>
      </c>
      <c r="H2060" s="73">
        <v>179356.25</v>
      </c>
      <c r="I2060" s="28" t="s">
        <v>19</v>
      </c>
      <c r="J2060" s="43"/>
    </row>
    <row r="2061" spans="1:10" customFormat="1" ht="15" hidden="1" customHeight="1" x14ac:dyDescent="0.25">
      <c r="A2061" s="37">
        <v>45190</v>
      </c>
      <c r="B2061" s="18" t="s">
        <v>5226</v>
      </c>
      <c r="C2061" s="18" t="s">
        <v>3007</v>
      </c>
      <c r="D2061" s="18" t="s">
        <v>3008</v>
      </c>
      <c r="E2061" s="73">
        <v>13600</v>
      </c>
      <c r="F2061" s="114">
        <v>193750</v>
      </c>
      <c r="G2061" s="73">
        <v>40687.5</v>
      </c>
      <c r="H2061" s="73">
        <v>248037.5</v>
      </c>
      <c r="I2061" s="28" t="s">
        <v>19</v>
      </c>
      <c r="J2061" s="43"/>
    </row>
    <row r="2062" spans="1:10" customFormat="1" ht="15" hidden="1" customHeight="1" x14ac:dyDescent="0.25">
      <c r="A2062" s="37">
        <v>45190</v>
      </c>
      <c r="B2062" s="18" t="s">
        <v>5227</v>
      </c>
      <c r="C2062" s="18" t="s">
        <v>2912</v>
      </c>
      <c r="D2062" s="18" t="s">
        <v>2913</v>
      </c>
      <c r="E2062" s="73">
        <v>14000</v>
      </c>
      <c r="F2062" s="114">
        <v>128125</v>
      </c>
      <c r="G2062" s="73">
        <v>26906.25</v>
      </c>
      <c r="H2062" s="73">
        <v>169031.25</v>
      </c>
      <c r="I2062" s="28" t="s">
        <v>19</v>
      </c>
      <c r="J2062" s="43"/>
    </row>
    <row r="2063" spans="1:10" customFormat="1" ht="15" hidden="1" customHeight="1" x14ac:dyDescent="0.25">
      <c r="A2063" s="37">
        <v>45190</v>
      </c>
      <c r="B2063" s="18" t="s">
        <v>5228</v>
      </c>
      <c r="C2063" s="18" t="s">
        <v>2903</v>
      </c>
      <c r="D2063" s="18" t="s">
        <v>2904</v>
      </c>
      <c r="E2063" s="73">
        <v>9200</v>
      </c>
      <c r="F2063" s="114">
        <v>84375</v>
      </c>
      <c r="G2063" s="73">
        <v>17718.75</v>
      </c>
      <c r="H2063" s="73">
        <v>111293.75</v>
      </c>
      <c r="I2063" s="28" t="s">
        <v>19</v>
      </c>
      <c r="J2063" s="43"/>
    </row>
    <row r="2064" spans="1:10" customFormat="1" ht="15" hidden="1" customHeight="1" x14ac:dyDescent="0.25">
      <c r="A2064" s="37">
        <v>45190</v>
      </c>
      <c r="B2064" s="18" t="s">
        <v>5229</v>
      </c>
      <c r="C2064" s="18" t="s">
        <v>2903</v>
      </c>
      <c r="D2064" s="18" t="s">
        <v>2904</v>
      </c>
      <c r="E2064" s="73">
        <v>9200</v>
      </c>
      <c r="F2064" s="114">
        <v>84375</v>
      </c>
      <c r="G2064" s="73">
        <v>17718.75</v>
      </c>
      <c r="H2064" s="73">
        <v>111293.75</v>
      </c>
      <c r="I2064" s="28" t="s">
        <v>19</v>
      </c>
      <c r="J2064" s="43"/>
    </row>
    <row r="2065" spans="1:10" customFormat="1" ht="15" hidden="1" customHeight="1" x14ac:dyDescent="0.25">
      <c r="A2065" s="37">
        <v>45190</v>
      </c>
      <c r="B2065" s="18" t="s">
        <v>5230</v>
      </c>
      <c r="C2065" s="18" t="s">
        <v>2903</v>
      </c>
      <c r="D2065" s="18" t="s">
        <v>2904</v>
      </c>
      <c r="E2065" s="73">
        <v>9200</v>
      </c>
      <c r="F2065" s="114">
        <v>84375</v>
      </c>
      <c r="G2065" s="73">
        <v>17718.75</v>
      </c>
      <c r="H2065" s="73">
        <v>111293.75</v>
      </c>
      <c r="I2065" s="28" t="s">
        <v>19</v>
      </c>
      <c r="J2065" s="43"/>
    </row>
    <row r="2066" spans="1:10" customFormat="1" ht="15" hidden="1" customHeight="1" x14ac:dyDescent="0.25">
      <c r="A2066" s="37">
        <v>45190</v>
      </c>
      <c r="B2066" s="18" t="s">
        <v>5231</v>
      </c>
      <c r="C2066" s="18" t="s">
        <v>2903</v>
      </c>
      <c r="D2066" s="18" t="s">
        <v>2904</v>
      </c>
      <c r="E2066" s="73">
        <v>9200</v>
      </c>
      <c r="F2066" s="114">
        <v>84375</v>
      </c>
      <c r="G2066" s="73">
        <v>17718.75</v>
      </c>
      <c r="H2066" s="73">
        <v>111293.75</v>
      </c>
      <c r="I2066" s="28" t="s">
        <v>19</v>
      </c>
      <c r="J2066" s="43"/>
    </row>
    <row r="2067" spans="1:10" customFormat="1" ht="15" hidden="1" customHeight="1" x14ac:dyDescent="0.25">
      <c r="A2067" s="37">
        <v>45190</v>
      </c>
      <c r="B2067" s="18" t="s">
        <v>5232</v>
      </c>
      <c r="C2067" s="18" t="s">
        <v>4162</v>
      </c>
      <c r="D2067" s="18" t="s">
        <v>4163</v>
      </c>
      <c r="E2067" s="73">
        <v>4500</v>
      </c>
      <c r="F2067" s="114">
        <v>379687.5</v>
      </c>
      <c r="G2067" s="73">
        <v>79734.39</v>
      </c>
      <c r="H2067" s="73">
        <v>463921.89</v>
      </c>
      <c r="I2067" s="28" t="s">
        <v>19</v>
      </c>
      <c r="J2067" s="43"/>
    </row>
    <row r="2068" spans="1:10" customFormat="1" ht="15" hidden="1" customHeight="1" x14ac:dyDescent="0.25">
      <c r="A2068" s="37">
        <v>45190</v>
      </c>
      <c r="B2068" s="18" t="s">
        <v>5233</v>
      </c>
      <c r="C2068" s="18" t="s">
        <v>3007</v>
      </c>
      <c r="D2068" s="18" t="s">
        <v>3008</v>
      </c>
      <c r="E2068" s="73">
        <v>18400</v>
      </c>
      <c r="F2068" s="114">
        <v>262500</v>
      </c>
      <c r="G2068" s="73">
        <v>55125</v>
      </c>
      <c r="H2068" s="73">
        <v>336025</v>
      </c>
      <c r="I2068" s="28" t="s">
        <v>19</v>
      </c>
      <c r="J2068" s="43"/>
    </row>
    <row r="2069" spans="1:10" customFormat="1" ht="15" hidden="1" customHeight="1" x14ac:dyDescent="0.25">
      <c r="A2069" s="37">
        <v>45190</v>
      </c>
      <c r="B2069" s="18" t="s">
        <v>5234</v>
      </c>
      <c r="C2069" s="18" t="s">
        <v>2870</v>
      </c>
      <c r="D2069" s="18" t="s">
        <v>2871</v>
      </c>
      <c r="E2069" s="73">
        <v>9200</v>
      </c>
      <c r="F2069" s="114">
        <v>93750</v>
      </c>
      <c r="G2069" s="73">
        <v>19687.5</v>
      </c>
      <c r="H2069" s="73">
        <v>122637.5</v>
      </c>
      <c r="I2069" s="28" t="s">
        <v>19</v>
      </c>
      <c r="J2069" s="43"/>
    </row>
    <row r="2070" spans="1:10" customFormat="1" ht="15" hidden="1" customHeight="1" x14ac:dyDescent="0.25">
      <c r="A2070" s="37">
        <v>45190</v>
      </c>
      <c r="B2070" s="18" t="s">
        <v>5235</v>
      </c>
      <c r="C2070" s="18" t="s">
        <v>2870</v>
      </c>
      <c r="D2070" s="18" t="s">
        <v>2871</v>
      </c>
      <c r="E2070" s="73">
        <v>9200</v>
      </c>
      <c r="F2070" s="114">
        <v>93750</v>
      </c>
      <c r="G2070" s="73">
        <v>19687.5</v>
      </c>
      <c r="H2070" s="73">
        <v>122637.5</v>
      </c>
      <c r="I2070" s="28" t="s">
        <v>19</v>
      </c>
      <c r="J2070" s="43"/>
    </row>
    <row r="2071" spans="1:10" customFormat="1" ht="15" hidden="1" customHeight="1" x14ac:dyDescent="0.25">
      <c r="A2071" s="37">
        <v>45190</v>
      </c>
      <c r="B2071" s="18" t="s">
        <v>5236</v>
      </c>
      <c r="C2071" s="18" t="s">
        <v>2903</v>
      </c>
      <c r="D2071" s="18" t="s">
        <v>2904</v>
      </c>
      <c r="E2071" s="73">
        <v>9200</v>
      </c>
      <c r="F2071" s="114">
        <v>93750</v>
      </c>
      <c r="G2071" s="73">
        <v>19687.5</v>
      </c>
      <c r="H2071" s="73">
        <v>122637.5</v>
      </c>
      <c r="I2071" s="28" t="s">
        <v>19</v>
      </c>
      <c r="J2071" s="43"/>
    </row>
    <row r="2072" spans="1:10" customFormat="1" ht="15" hidden="1" customHeight="1" x14ac:dyDescent="0.25">
      <c r="A2072" s="37">
        <v>45190</v>
      </c>
      <c r="B2072" s="18" t="s">
        <v>5237</v>
      </c>
      <c r="C2072" s="18" t="s">
        <v>3241</v>
      </c>
      <c r="D2072" s="18" t="s">
        <v>3242</v>
      </c>
      <c r="E2072" s="73">
        <v>18400</v>
      </c>
      <c r="F2072" s="114">
        <v>187500</v>
      </c>
      <c r="G2072" s="73">
        <v>39375</v>
      </c>
      <c r="H2072" s="73">
        <v>245275</v>
      </c>
      <c r="I2072" s="28" t="s">
        <v>19</v>
      </c>
      <c r="J2072" s="43"/>
    </row>
    <row r="2073" spans="1:10" customFormat="1" ht="15" hidden="1" customHeight="1" x14ac:dyDescent="0.25">
      <c r="A2073" s="37">
        <v>45190</v>
      </c>
      <c r="B2073" s="18" t="s">
        <v>5238</v>
      </c>
      <c r="C2073" s="18" t="s">
        <v>3029</v>
      </c>
      <c r="D2073" s="18" t="s">
        <v>3030</v>
      </c>
      <c r="E2073" s="73">
        <v>9200</v>
      </c>
      <c r="F2073" s="114">
        <v>93750</v>
      </c>
      <c r="G2073" s="73">
        <v>19687.5</v>
      </c>
      <c r="H2073" s="73">
        <v>122637.5</v>
      </c>
      <c r="I2073" s="28" t="s">
        <v>19</v>
      </c>
      <c r="J2073" s="43"/>
    </row>
    <row r="2074" spans="1:10" customFormat="1" ht="15" hidden="1" customHeight="1" x14ac:dyDescent="0.25">
      <c r="A2074" s="37">
        <v>45190</v>
      </c>
      <c r="B2074" s="18" t="s">
        <v>5239</v>
      </c>
      <c r="C2074" s="18" t="s">
        <v>2851</v>
      </c>
      <c r="D2074" s="18" t="s">
        <v>2852</v>
      </c>
      <c r="E2074" s="73">
        <v>6000</v>
      </c>
      <c r="F2074" s="114">
        <v>65625</v>
      </c>
      <c r="G2074" s="73">
        <v>13781.25</v>
      </c>
      <c r="H2074" s="73">
        <v>85406.25</v>
      </c>
      <c r="I2074" s="28" t="s">
        <v>19</v>
      </c>
      <c r="J2074" s="43"/>
    </row>
    <row r="2075" spans="1:10" customFormat="1" ht="15" hidden="1" customHeight="1" x14ac:dyDescent="0.25">
      <c r="A2075" s="37">
        <v>45190</v>
      </c>
      <c r="B2075" s="18" t="s">
        <v>5240</v>
      </c>
      <c r="C2075" s="18" t="s">
        <v>4681</v>
      </c>
      <c r="D2075" s="18" t="s">
        <v>4682</v>
      </c>
      <c r="E2075" s="73">
        <v>15000</v>
      </c>
      <c r="F2075" s="114">
        <v>193750</v>
      </c>
      <c r="G2075" s="73">
        <v>40687.5</v>
      </c>
      <c r="H2075" s="73">
        <v>249437.5</v>
      </c>
      <c r="I2075" s="28" t="s">
        <v>19</v>
      </c>
      <c r="J2075" s="43"/>
    </row>
    <row r="2076" spans="1:10" customFormat="1" ht="15" hidden="1" customHeight="1" x14ac:dyDescent="0.25">
      <c r="A2076" s="37">
        <v>45190</v>
      </c>
      <c r="B2076" s="18" t="s">
        <v>5241</v>
      </c>
      <c r="C2076" s="18" t="s">
        <v>3241</v>
      </c>
      <c r="D2076" s="18" t="s">
        <v>3242</v>
      </c>
      <c r="E2076" s="73">
        <v>12000</v>
      </c>
      <c r="F2076" s="114">
        <v>193750</v>
      </c>
      <c r="G2076" s="73">
        <v>40687.5</v>
      </c>
      <c r="H2076" s="73">
        <v>246437.5</v>
      </c>
      <c r="I2076" s="28" t="s">
        <v>19</v>
      </c>
      <c r="J2076" s="43"/>
    </row>
    <row r="2077" spans="1:10" customFormat="1" ht="15" hidden="1" customHeight="1" x14ac:dyDescent="0.25">
      <c r="A2077" s="37">
        <v>45190</v>
      </c>
      <c r="B2077" s="18" t="s">
        <v>5242</v>
      </c>
      <c r="C2077" s="18" t="s">
        <v>4977</v>
      </c>
      <c r="D2077" s="18" t="s">
        <v>4978</v>
      </c>
      <c r="E2077" s="73">
        <v>11500</v>
      </c>
      <c r="F2077" s="114">
        <v>84375</v>
      </c>
      <c r="G2077" s="73">
        <v>17718.75</v>
      </c>
      <c r="H2077" s="73">
        <v>113593.75</v>
      </c>
      <c r="I2077" s="28" t="s">
        <v>19</v>
      </c>
      <c r="J2077" s="43"/>
    </row>
    <row r="2078" spans="1:10" customFormat="1" ht="15" hidden="1" customHeight="1" x14ac:dyDescent="0.25">
      <c r="A2078" s="37">
        <v>45190</v>
      </c>
      <c r="B2078" s="18" t="s">
        <v>5243</v>
      </c>
      <c r="C2078" s="18" t="s">
        <v>1140</v>
      </c>
      <c r="D2078" s="18" t="s">
        <v>1141</v>
      </c>
      <c r="E2078" s="73">
        <v>11500</v>
      </c>
      <c r="F2078" s="114">
        <v>84375</v>
      </c>
      <c r="G2078" s="73">
        <v>17718.75</v>
      </c>
      <c r="H2078" s="73">
        <v>113593.75</v>
      </c>
      <c r="I2078" s="28" t="s">
        <v>19</v>
      </c>
      <c r="J2078" s="43"/>
    </row>
    <row r="2079" spans="1:10" customFormat="1" ht="15" hidden="1" customHeight="1" x14ac:dyDescent="0.25">
      <c r="A2079" s="37">
        <v>45190</v>
      </c>
      <c r="B2079" s="18" t="s">
        <v>5244</v>
      </c>
      <c r="C2079" s="18" t="s">
        <v>1140</v>
      </c>
      <c r="D2079" s="18" t="s">
        <v>1141</v>
      </c>
      <c r="E2079" s="73">
        <v>23000</v>
      </c>
      <c r="F2079" s="114">
        <v>168750</v>
      </c>
      <c r="G2079" s="73">
        <v>35437.5</v>
      </c>
      <c r="H2079" s="73">
        <v>227187.5</v>
      </c>
      <c r="I2079" s="28" t="s">
        <v>19</v>
      </c>
      <c r="J2079" s="43"/>
    </row>
    <row r="2080" spans="1:10" customFormat="1" ht="15" hidden="1" customHeight="1" x14ac:dyDescent="0.25">
      <c r="A2080" s="37">
        <v>45190</v>
      </c>
      <c r="B2080" s="18" t="s">
        <v>5245</v>
      </c>
      <c r="C2080" s="18" t="s">
        <v>2867</v>
      </c>
      <c r="D2080" s="18" t="s">
        <v>2868</v>
      </c>
      <c r="E2080" s="73">
        <v>44000</v>
      </c>
      <c r="F2080" s="114">
        <v>295312.5</v>
      </c>
      <c r="G2080" s="73">
        <v>62015.63</v>
      </c>
      <c r="H2080" s="73">
        <v>401328.13</v>
      </c>
      <c r="I2080" s="28" t="s">
        <v>19</v>
      </c>
      <c r="J2080" s="43"/>
    </row>
    <row r="2081" spans="1:10" customFormat="1" ht="15" hidden="1" customHeight="1" x14ac:dyDescent="0.25">
      <c r="A2081" s="37">
        <v>45191</v>
      </c>
      <c r="B2081" s="18" t="s">
        <v>5246</v>
      </c>
      <c r="C2081" s="18" t="s">
        <v>4892</v>
      </c>
      <c r="D2081" s="18" t="s">
        <v>4893</v>
      </c>
      <c r="E2081" s="73">
        <v>4000</v>
      </c>
      <c r="F2081" s="114">
        <v>98438</v>
      </c>
      <c r="G2081" s="73">
        <v>20671.98</v>
      </c>
      <c r="H2081" s="73">
        <v>123109.98</v>
      </c>
      <c r="I2081" s="28" t="s">
        <v>19</v>
      </c>
      <c r="J2081" s="43"/>
    </row>
    <row r="2082" spans="1:10" customFormat="1" ht="15" hidden="1" customHeight="1" x14ac:dyDescent="0.25">
      <c r="A2082" s="37">
        <v>45191</v>
      </c>
      <c r="B2082" s="18" t="s">
        <v>5247</v>
      </c>
      <c r="C2082" s="18" t="s">
        <v>2912</v>
      </c>
      <c r="D2082" s="18" t="s">
        <v>2913</v>
      </c>
      <c r="E2082" s="73">
        <v>14000</v>
      </c>
      <c r="F2082" s="114">
        <v>84375</v>
      </c>
      <c r="G2082" s="73">
        <v>17718.75</v>
      </c>
      <c r="H2082" s="73">
        <v>116093.75</v>
      </c>
      <c r="I2082" s="28" t="s">
        <v>19</v>
      </c>
      <c r="J2082" s="43"/>
    </row>
    <row r="2083" spans="1:10" customFormat="1" ht="15" hidden="1" customHeight="1" x14ac:dyDescent="0.25">
      <c r="A2083" s="37">
        <v>45191</v>
      </c>
      <c r="B2083" s="18" t="s">
        <v>5248</v>
      </c>
      <c r="C2083" s="18" t="s">
        <v>2892</v>
      </c>
      <c r="D2083" s="18" t="s">
        <v>2893</v>
      </c>
      <c r="E2083" s="73">
        <v>4000</v>
      </c>
      <c r="F2083" s="114">
        <v>65625</v>
      </c>
      <c r="G2083" s="73">
        <v>13781.25</v>
      </c>
      <c r="H2083" s="73">
        <v>83406.25</v>
      </c>
      <c r="I2083" s="28" t="s">
        <v>19</v>
      </c>
      <c r="J2083" s="43"/>
    </row>
    <row r="2084" spans="1:10" customFormat="1" ht="15" hidden="1" customHeight="1" x14ac:dyDescent="0.25">
      <c r="A2084" s="37">
        <v>45191</v>
      </c>
      <c r="B2084" s="18" t="s">
        <v>5249</v>
      </c>
      <c r="C2084" s="18" t="s">
        <v>2909</v>
      </c>
      <c r="D2084" s="18" t="s">
        <v>2910</v>
      </c>
      <c r="E2084" s="73">
        <v>0</v>
      </c>
      <c r="F2084" s="114">
        <v>256250</v>
      </c>
      <c r="G2084" s="73">
        <v>53812.5</v>
      </c>
      <c r="H2084" s="73">
        <v>310062.5</v>
      </c>
      <c r="I2084" s="28" t="s">
        <v>19</v>
      </c>
      <c r="J2084" s="43"/>
    </row>
    <row r="2085" spans="1:10" customFormat="1" ht="15" hidden="1" customHeight="1" x14ac:dyDescent="0.25">
      <c r="A2085" s="37">
        <v>45191</v>
      </c>
      <c r="B2085" s="18" t="s">
        <v>5250</v>
      </c>
      <c r="C2085" s="18" t="s">
        <v>4465</v>
      </c>
      <c r="D2085" s="18" t="s">
        <v>4466</v>
      </c>
      <c r="E2085" s="73">
        <v>0</v>
      </c>
      <c r="F2085" s="114">
        <v>65625</v>
      </c>
      <c r="G2085" s="73">
        <v>13781.25</v>
      </c>
      <c r="H2085" s="73">
        <v>79406.25</v>
      </c>
      <c r="I2085" s="28" t="s">
        <v>19</v>
      </c>
      <c r="J2085" s="43"/>
    </row>
    <row r="2086" spans="1:10" customFormat="1" ht="15" hidden="1" customHeight="1" x14ac:dyDescent="0.25">
      <c r="A2086" s="37">
        <v>45191</v>
      </c>
      <c r="B2086" s="18" t="s">
        <v>5251</v>
      </c>
      <c r="C2086" s="18" t="s">
        <v>5252</v>
      </c>
      <c r="D2086" s="18" t="s">
        <v>5253</v>
      </c>
      <c r="E2086" s="73">
        <v>0</v>
      </c>
      <c r="F2086" s="114">
        <v>65625</v>
      </c>
      <c r="G2086" s="73">
        <v>13781.25</v>
      </c>
      <c r="H2086" s="73">
        <v>79406.25</v>
      </c>
      <c r="I2086" s="28" t="s">
        <v>19</v>
      </c>
      <c r="J2086" s="43"/>
    </row>
    <row r="2087" spans="1:10" customFormat="1" ht="15" hidden="1" customHeight="1" x14ac:dyDescent="0.25">
      <c r="A2087" s="37">
        <v>45191</v>
      </c>
      <c r="B2087" s="18" t="s">
        <v>5254</v>
      </c>
      <c r="C2087" s="18" t="s">
        <v>2876</v>
      </c>
      <c r="D2087" s="18" t="s">
        <v>2877</v>
      </c>
      <c r="E2087" s="73">
        <v>0</v>
      </c>
      <c r="F2087" s="114">
        <v>65625</v>
      </c>
      <c r="G2087" s="73">
        <v>13781.25</v>
      </c>
      <c r="H2087" s="73">
        <v>79406.25</v>
      </c>
      <c r="I2087" s="28" t="s">
        <v>19</v>
      </c>
      <c r="J2087" s="43"/>
    </row>
    <row r="2088" spans="1:10" customFormat="1" ht="15" hidden="1" customHeight="1" x14ac:dyDescent="0.25">
      <c r="A2088" s="37">
        <v>45191</v>
      </c>
      <c r="B2088" s="18" t="s">
        <v>5255</v>
      </c>
      <c r="C2088" s="18" t="s">
        <v>2909</v>
      </c>
      <c r="D2088" s="18" t="s">
        <v>2910</v>
      </c>
      <c r="E2088" s="73">
        <v>0</v>
      </c>
      <c r="F2088" s="114">
        <v>76562</v>
      </c>
      <c r="G2088" s="73">
        <v>16078.02</v>
      </c>
      <c r="H2088" s="73">
        <v>92640.02</v>
      </c>
      <c r="I2088" s="28" t="s">
        <v>19</v>
      </c>
      <c r="J2088" s="43"/>
    </row>
    <row r="2089" spans="1:10" customFormat="1" ht="15" hidden="1" customHeight="1" x14ac:dyDescent="0.25">
      <c r="A2089" s="37">
        <v>45191</v>
      </c>
      <c r="B2089" s="18" t="s">
        <v>5256</v>
      </c>
      <c r="C2089" s="18" t="s">
        <v>2921</v>
      </c>
      <c r="D2089" s="18" t="s">
        <v>2922</v>
      </c>
      <c r="E2089" s="73">
        <v>0</v>
      </c>
      <c r="F2089" s="114">
        <v>65625</v>
      </c>
      <c r="G2089" s="73">
        <v>13781.25</v>
      </c>
      <c r="H2089" s="73">
        <v>79406.25</v>
      </c>
      <c r="I2089" s="28" t="s">
        <v>19</v>
      </c>
      <c r="J2089" s="43"/>
    </row>
    <row r="2090" spans="1:10" customFormat="1" ht="15" hidden="1" customHeight="1" x14ac:dyDescent="0.25">
      <c r="A2090" s="37">
        <v>45191</v>
      </c>
      <c r="B2090" s="18" t="s">
        <v>5257</v>
      </c>
      <c r="C2090" s="18" t="s">
        <v>5258</v>
      </c>
      <c r="D2090" s="18" t="s">
        <v>5259</v>
      </c>
      <c r="E2090" s="73">
        <v>0</v>
      </c>
      <c r="F2090" s="114">
        <v>65625</v>
      </c>
      <c r="G2090" s="73">
        <v>13781.25</v>
      </c>
      <c r="H2090" s="73">
        <v>79406.25</v>
      </c>
      <c r="I2090" s="28" t="s">
        <v>19</v>
      </c>
      <c r="J2090" s="43"/>
    </row>
    <row r="2091" spans="1:10" customFormat="1" ht="15" hidden="1" customHeight="1" x14ac:dyDescent="0.25">
      <c r="A2091" s="37">
        <v>45191</v>
      </c>
      <c r="B2091" s="18" t="s">
        <v>5260</v>
      </c>
      <c r="C2091" s="18" t="s">
        <v>2945</v>
      </c>
      <c r="D2091" s="18" t="s">
        <v>2946</v>
      </c>
      <c r="E2091" s="73">
        <v>0</v>
      </c>
      <c r="F2091" s="114">
        <v>65625</v>
      </c>
      <c r="G2091" s="73">
        <v>13781.25</v>
      </c>
      <c r="H2091" s="73">
        <v>79406.25</v>
      </c>
      <c r="I2091" s="28" t="s">
        <v>19</v>
      </c>
      <c r="J2091" s="43"/>
    </row>
    <row r="2092" spans="1:10" customFormat="1" ht="15" hidden="1" customHeight="1" x14ac:dyDescent="0.25">
      <c r="A2092" s="37">
        <v>45191</v>
      </c>
      <c r="B2092" s="18" t="s">
        <v>5261</v>
      </c>
      <c r="C2092" s="18" t="s">
        <v>3241</v>
      </c>
      <c r="D2092" s="18" t="s">
        <v>3242</v>
      </c>
      <c r="E2092" s="73">
        <v>14000</v>
      </c>
      <c r="F2092" s="114">
        <v>96875</v>
      </c>
      <c r="G2092" s="73">
        <v>20343.75</v>
      </c>
      <c r="H2092" s="73">
        <v>131218.75</v>
      </c>
      <c r="I2092" s="28" t="s">
        <v>19</v>
      </c>
      <c r="J2092" s="43"/>
    </row>
    <row r="2093" spans="1:10" customFormat="1" ht="15" hidden="1" customHeight="1" x14ac:dyDescent="0.25">
      <c r="A2093" s="37">
        <v>45191</v>
      </c>
      <c r="B2093" s="18" t="s">
        <v>5262</v>
      </c>
      <c r="C2093" s="18" t="s">
        <v>3450</v>
      </c>
      <c r="D2093" s="18" t="s">
        <v>3451</v>
      </c>
      <c r="E2093" s="73">
        <v>12000</v>
      </c>
      <c r="F2093" s="114">
        <v>126562.5</v>
      </c>
      <c r="G2093" s="73">
        <v>26578.13</v>
      </c>
      <c r="H2093" s="73">
        <v>165140.63</v>
      </c>
      <c r="I2093" s="28" t="s">
        <v>19</v>
      </c>
      <c r="J2093" s="43"/>
    </row>
    <row r="2094" spans="1:10" customFormat="1" ht="15" hidden="1" customHeight="1" x14ac:dyDescent="0.25">
      <c r="A2094" s="37">
        <v>45191</v>
      </c>
      <c r="B2094" s="18" t="s">
        <v>5263</v>
      </c>
      <c r="C2094" s="18" t="s">
        <v>2870</v>
      </c>
      <c r="D2094" s="18" t="s">
        <v>2871</v>
      </c>
      <c r="E2094" s="73">
        <v>11000</v>
      </c>
      <c r="F2094" s="114">
        <v>96875</v>
      </c>
      <c r="G2094" s="73">
        <v>20343.75</v>
      </c>
      <c r="H2094" s="73">
        <v>128218.75</v>
      </c>
      <c r="I2094" s="28" t="s">
        <v>19</v>
      </c>
      <c r="J2094" s="43"/>
    </row>
    <row r="2095" spans="1:10" customFormat="1" ht="15" hidden="1" customHeight="1" x14ac:dyDescent="0.25">
      <c r="A2095" s="37">
        <v>45191</v>
      </c>
      <c r="B2095" s="18" t="s">
        <v>5264</v>
      </c>
      <c r="C2095" s="18" t="s">
        <v>3703</v>
      </c>
      <c r="D2095" s="18" t="s">
        <v>3704</v>
      </c>
      <c r="E2095" s="73">
        <v>5100</v>
      </c>
      <c r="F2095" s="114">
        <v>65625</v>
      </c>
      <c r="G2095" s="73">
        <v>13781.25</v>
      </c>
      <c r="H2095" s="73">
        <v>84506.25</v>
      </c>
      <c r="I2095" s="28" t="s">
        <v>19</v>
      </c>
      <c r="J2095" s="43"/>
    </row>
    <row r="2096" spans="1:10" customFormat="1" ht="15" hidden="1" customHeight="1" x14ac:dyDescent="0.25">
      <c r="A2096" s="37">
        <v>45191</v>
      </c>
      <c r="B2096" s="18" t="s">
        <v>5265</v>
      </c>
      <c r="C2096" s="18" t="s">
        <v>2964</v>
      </c>
      <c r="D2096" s="18" t="s">
        <v>2965</v>
      </c>
      <c r="E2096" s="73">
        <v>9200</v>
      </c>
      <c r="F2096" s="114">
        <v>93750</v>
      </c>
      <c r="G2096" s="73">
        <v>19687.5</v>
      </c>
      <c r="H2096" s="73">
        <v>122637.5</v>
      </c>
      <c r="I2096" s="28" t="s">
        <v>19</v>
      </c>
      <c r="J2096" s="43"/>
    </row>
    <row r="2097" spans="1:10" customFormat="1" ht="15" hidden="1" customHeight="1" x14ac:dyDescent="0.25">
      <c r="A2097" s="40">
        <v>45194</v>
      </c>
      <c r="B2097" s="74" t="s">
        <v>5266</v>
      </c>
      <c r="C2097" s="74" t="s">
        <v>3272</v>
      </c>
      <c r="D2097" s="74" t="s">
        <v>3273</v>
      </c>
      <c r="E2097" s="73">
        <v>9720</v>
      </c>
      <c r="F2097" s="114">
        <v>128125</v>
      </c>
      <c r="G2097" s="73">
        <v>26906.25</v>
      </c>
      <c r="H2097" s="73">
        <v>164751.25</v>
      </c>
      <c r="I2097" s="41" t="s">
        <v>19</v>
      </c>
      <c r="J2097" s="49"/>
    </row>
    <row r="2098" spans="1:10" customFormat="1" ht="15" hidden="1" customHeight="1" x14ac:dyDescent="0.25">
      <c r="A2098" s="37">
        <v>45194</v>
      </c>
      <c r="B2098" s="18" t="s">
        <v>5267</v>
      </c>
      <c r="C2098" s="18" t="s">
        <v>4109</v>
      </c>
      <c r="D2098" s="18" t="s">
        <v>4110</v>
      </c>
      <c r="E2098" s="73">
        <v>8480</v>
      </c>
      <c r="F2098" s="114">
        <v>148438</v>
      </c>
      <c r="G2098" s="73">
        <v>31171.98</v>
      </c>
      <c r="H2098" s="73">
        <v>188089.98</v>
      </c>
      <c r="I2098" s="28" t="s">
        <v>19</v>
      </c>
      <c r="J2098" s="43"/>
    </row>
    <row r="2099" spans="1:10" customFormat="1" ht="15" hidden="1" customHeight="1" x14ac:dyDescent="0.25">
      <c r="A2099" s="37">
        <v>45194</v>
      </c>
      <c r="B2099" s="18" t="s">
        <v>5268</v>
      </c>
      <c r="C2099" s="18" t="s">
        <v>3241</v>
      </c>
      <c r="D2099" s="18" t="s">
        <v>3242</v>
      </c>
      <c r="E2099" s="73">
        <v>14720</v>
      </c>
      <c r="F2099" s="114">
        <v>110715</v>
      </c>
      <c r="G2099" s="73">
        <v>23250.15</v>
      </c>
      <c r="H2099" s="73">
        <v>148685.15</v>
      </c>
      <c r="I2099" s="28" t="s">
        <v>19</v>
      </c>
      <c r="J2099" s="43"/>
    </row>
    <row r="2100" spans="1:10" customFormat="1" ht="15" hidden="1" customHeight="1" x14ac:dyDescent="0.25">
      <c r="A2100" s="37">
        <v>45194</v>
      </c>
      <c r="B2100" s="18" t="s">
        <v>5269</v>
      </c>
      <c r="C2100" s="18" t="s">
        <v>2921</v>
      </c>
      <c r="D2100" s="18" t="s">
        <v>2922</v>
      </c>
      <c r="E2100" s="73">
        <v>11680</v>
      </c>
      <c r="F2100" s="114">
        <v>575000</v>
      </c>
      <c r="G2100" s="73">
        <v>120750</v>
      </c>
      <c r="H2100" s="73">
        <v>707430</v>
      </c>
      <c r="I2100" s="28" t="s">
        <v>19</v>
      </c>
      <c r="J2100" s="43"/>
    </row>
    <row r="2101" spans="1:10" customFormat="1" ht="15" hidden="1" customHeight="1" x14ac:dyDescent="0.25">
      <c r="A2101" s="37">
        <v>45194</v>
      </c>
      <c r="B2101" s="18" t="s">
        <v>5270</v>
      </c>
      <c r="C2101" s="18" t="s">
        <v>3007</v>
      </c>
      <c r="D2101" s="18" t="s">
        <v>3008</v>
      </c>
      <c r="E2101" s="73">
        <v>17520</v>
      </c>
      <c r="F2101" s="114">
        <v>664290</v>
      </c>
      <c r="G2101" s="73">
        <v>139500.9</v>
      </c>
      <c r="H2101" s="73">
        <v>821310.9</v>
      </c>
      <c r="I2101" s="28" t="s">
        <v>19</v>
      </c>
      <c r="J2101" s="43"/>
    </row>
    <row r="2102" spans="1:10" customFormat="1" ht="15" hidden="1" customHeight="1" x14ac:dyDescent="0.25">
      <c r="A2102" s="37">
        <v>45194</v>
      </c>
      <c r="B2102" s="18" t="s">
        <v>5271</v>
      </c>
      <c r="C2102" s="18" t="s">
        <v>2954</v>
      </c>
      <c r="D2102" s="18" t="s">
        <v>2955</v>
      </c>
      <c r="E2102" s="73">
        <v>8000</v>
      </c>
      <c r="F2102" s="114">
        <v>166072.5</v>
      </c>
      <c r="G2102" s="73">
        <v>34875.230000000003</v>
      </c>
      <c r="H2102" s="73">
        <v>208947.73</v>
      </c>
      <c r="I2102" s="28" t="s">
        <v>19</v>
      </c>
      <c r="J2102" s="43"/>
    </row>
    <row r="2103" spans="1:10" customFormat="1" ht="15" hidden="1" customHeight="1" x14ac:dyDescent="0.25">
      <c r="A2103" s="37">
        <v>45194</v>
      </c>
      <c r="B2103" s="18" t="s">
        <v>5272</v>
      </c>
      <c r="C2103" s="18" t="s">
        <v>2870</v>
      </c>
      <c r="D2103" s="18" t="s">
        <v>2871</v>
      </c>
      <c r="E2103" s="73">
        <v>7900</v>
      </c>
      <c r="F2103" s="114">
        <v>128125</v>
      </c>
      <c r="G2103" s="73">
        <v>26906.25</v>
      </c>
      <c r="H2103" s="73">
        <v>162931.25</v>
      </c>
      <c r="I2103" s="28" t="s">
        <v>19</v>
      </c>
      <c r="J2103" s="43"/>
    </row>
    <row r="2104" spans="1:10" customFormat="1" ht="15" hidden="1" customHeight="1" x14ac:dyDescent="0.25">
      <c r="A2104" s="40">
        <v>45195</v>
      </c>
      <c r="B2104" s="74" t="s">
        <v>5273</v>
      </c>
      <c r="C2104" s="74" t="s">
        <v>3272</v>
      </c>
      <c r="D2104" s="74" t="s">
        <v>3273</v>
      </c>
      <c r="E2104" s="73">
        <v>16400</v>
      </c>
      <c r="F2104" s="114">
        <v>266157</v>
      </c>
      <c r="G2104" s="73">
        <v>55892.97</v>
      </c>
      <c r="H2104" s="73">
        <v>338449.97</v>
      </c>
      <c r="I2104" s="41" t="s">
        <v>19</v>
      </c>
      <c r="J2104" s="49"/>
    </row>
    <row r="2105" spans="1:10" customFormat="1" ht="15" hidden="1" customHeight="1" x14ac:dyDescent="0.25">
      <c r="A2105" s="37">
        <v>45195</v>
      </c>
      <c r="B2105" s="18" t="s">
        <v>5274</v>
      </c>
      <c r="C2105" s="18" t="s">
        <v>2870</v>
      </c>
      <c r="D2105" s="18" t="s">
        <v>2871</v>
      </c>
      <c r="E2105" s="73">
        <v>12500</v>
      </c>
      <c r="F2105" s="114">
        <v>128125</v>
      </c>
      <c r="G2105" s="73">
        <v>26906.25</v>
      </c>
      <c r="H2105" s="73">
        <v>167531.25</v>
      </c>
      <c r="I2105" s="28" t="s">
        <v>19</v>
      </c>
      <c r="J2105" s="43"/>
    </row>
    <row r="2106" spans="1:10" customFormat="1" ht="15" hidden="1" customHeight="1" x14ac:dyDescent="0.25">
      <c r="A2106" s="37">
        <v>45195</v>
      </c>
      <c r="B2106" s="18" t="s">
        <v>5275</v>
      </c>
      <c r="C2106" s="18" t="s">
        <v>3663</v>
      </c>
      <c r="D2106" s="18" t="s">
        <v>3664</v>
      </c>
      <c r="E2106" s="73">
        <v>10500</v>
      </c>
      <c r="F2106" s="114">
        <v>264930</v>
      </c>
      <c r="G2106" s="73">
        <v>55635.3</v>
      </c>
      <c r="H2106" s="73">
        <v>331065.3</v>
      </c>
      <c r="I2106" s="28" t="s">
        <v>19</v>
      </c>
      <c r="J2106" s="43"/>
    </row>
    <row r="2107" spans="1:10" customFormat="1" ht="15" hidden="1" customHeight="1" x14ac:dyDescent="0.25">
      <c r="A2107" s="37">
        <v>45195</v>
      </c>
      <c r="B2107" s="18" t="s">
        <v>5276</v>
      </c>
      <c r="C2107" s="18" t="s">
        <v>3888</v>
      </c>
      <c r="D2107" s="18" t="s">
        <v>3889</v>
      </c>
      <c r="E2107" s="73">
        <v>13500</v>
      </c>
      <c r="F2107" s="114">
        <v>303125</v>
      </c>
      <c r="G2107" s="73">
        <v>63656.25</v>
      </c>
      <c r="H2107" s="73">
        <v>380281.25</v>
      </c>
      <c r="I2107" s="28" t="s">
        <v>19</v>
      </c>
      <c r="J2107" s="43"/>
    </row>
    <row r="2108" spans="1:10" customFormat="1" ht="15" hidden="1" customHeight="1" x14ac:dyDescent="0.25">
      <c r="A2108" s="37">
        <v>45195</v>
      </c>
      <c r="B2108" s="18" t="s">
        <v>5277</v>
      </c>
      <c r="C2108" s="18" t="s">
        <v>3200</v>
      </c>
      <c r="D2108" s="18" t="s">
        <v>3201</v>
      </c>
      <c r="E2108" s="73">
        <v>3500</v>
      </c>
      <c r="F2108" s="114">
        <v>69532</v>
      </c>
      <c r="G2108" s="73">
        <v>14601.72</v>
      </c>
      <c r="H2108" s="73">
        <v>87633.72</v>
      </c>
      <c r="I2108" s="28" t="s">
        <v>19</v>
      </c>
      <c r="J2108" s="43"/>
    </row>
    <row r="2109" spans="1:10" customFormat="1" ht="15" hidden="1" customHeight="1" x14ac:dyDescent="0.25">
      <c r="A2109" s="37">
        <v>45195</v>
      </c>
      <c r="B2109" s="18" t="s">
        <v>5278</v>
      </c>
      <c r="C2109" s="18" t="s">
        <v>2909</v>
      </c>
      <c r="D2109" s="18" t="s">
        <v>2910</v>
      </c>
      <c r="E2109" s="73">
        <v>0</v>
      </c>
      <c r="F2109" s="114">
        <v>16000</v>
      </c>
      <c r="G2109" s="73">
        <v>3360</v>
      </c>
      <c r="H2109" s="73">
        <v>19360</v>
      </c>
      <c r="I2109" s="28" t="s">
        <v>19</v>
      </c>
      <c r="J2109" s="43"/>
    </row>
    <row r="2110" spans="1:10" customFormat="1" ht="15" hidden="1" customHeight="1" x14ac:dyDescent="0.25">
      <c r="A2110" s="37">
        <v>45195</v>
      </c>
      <c r="B2110" s="18" t="s">
        <v>5279</v>
      </c>
      <c r="C2110" s="18" t="s">
        <v>4961</v>
      </c>
      <c r="D2110" s="18" t="s">
        <v>4962</v>
      </c>
      <c r="E2110" s="73">
        <v>7900</v>
      </c>
      <c r="F2110" s="114">
        <v>96875</v>
      </c>
      <c r="G2110" s="73">
        <v>20343.75</v>
      </c>
      <c r="H2110" s="73">
        <v>125118.75</v>
      </c>
      <c r="I2110" s="28" t="s">
        <v>19</v>
      </c>
      <c r="J2110" s="43"/>
    </row>
    <row r="2111" spans="1:10" customFormat="1" ht="15" hidden="1" customHeight="1" x14ac:dyDescent="0.25">
      <c r="A2111" s="37">
        <v>45195</v>
      </c>
      <c r="B2111" s="18" t="s">
        <v>5280</v>
      </c>
      <c r="C2111" s="18" t="s">
        <v>2909</v>
      </c>
      <c r="D2111" s="18" t="s">
        <v>2910</v>
      </c>
      <c r="E2111" s="73">
        <v>11000</v>
      </c>
      <c r="F2111" s="114">
        <v>192187.5</v>
      </c>
      <c r="G2111" s="73">
        <v>40359.370000000003</v>
      </c>
      <c r="H2111" s="73">
        <v>243546.87</v>
      </c>
      <c r="I2111" s="28" t="s">
        <v>19</v>
      </c>
      <c r="J2111" s="43"/>
    </row>
    <row r="2112" spans="1:10" customFormat="1" ht="15" hidden="1" customHeight="1" x14ac:dyDescent="0.25">
      <c r="A2112" s="37">
        <v>45195</v>
      </c>
      <c r="B2112" s="18" t="s">
        <v>5281</v>
      </c>
      <c r="C2112" s="18" t="s">
        <v>2909</v>
      </c>
      <c r="D2112" s="18" t="s">
        <v>2910</v>
      </c>
      <c r="E2112" s="73">
        <v>11000</v>
      </c>
      <c r="F2112" s="114">
        <v>192187.5</v>
      </c>
      <c r="G2112" s="73">
        <v>40359.370000000003</v>
      </c>
      <c r="H2112" s="73">
        <v>243546.87</v>
      </c>
      <c r="I2112" s="28" t="s">
        <v>19</v>
      </c>
      <c r="J2112" s="43"/>
    </row>
    <row r="2113" spans="1:10" customFormat="1" ht="15" hidden="1" customHeight="1" x14ac:dyDescent="0.25">
      <c r="A2113" s="37">
        <v>45195</v>
      </c>
      <c r="B2113" s="18" t="s">
        <v>5282</v>
      </c>
      <c r="C2113" s="18" t="s">
        <v>5283</v>
      </c>
      <c r="D2113" s="18" t="s">
        <v>5284</v>
      </c>
      <c r="E2113" s="73">
        <v>35560</v>
      </c>
      <c r="F2113" s="114">
        <v>2608000</v>
      </c>
      <c r="G2113" s="73">
        <v>547680</v>
      </c>
      <c r="H2113" s="73">
        <v>3191240</v>
      </c>
      <c r="I2113" s="28" t="s">
        <v>19</v>
      </c>
      <c r="J2113" s="43"/>
    </row>
    <row r="2114" spans="1:10" customFormat="1" ht="15" hidden="1" customHeight="1" x14ac:dyDescent="0.25">
      <c r="A2114" s="37">
        <v>45195</v>
      </c>
      <c r="B2114" s="18" t="s">
        <v>5285</v>
      </c>
      <c r="C2114" s="18" t="s">
        <v>3007</v>
      </c>
      <c r="D2114" s="18" t="s">
        <v>3008</v>
      </c>
      <c r="E2114" s="73">
        <v>0</v>
      </c>
      <c r="F2114" s="114">
        <v>65625</v>
      </c>
      <c r="G2114" s="73">
        <v>13781.25</v>
      </c>
      <c r="H2114" s="73">
        <v>79406.25</v>
      </c>
      <c r="I2114" s="28" t="s">
        <v>19</v>
      </c>
      <c r="J2114" s="43"/>
    </row>
    <row r="2115" spans="1:10" customFormat="1" ht="15" hidden="1" customHeight="1" x14ac:dyDescent="0.25">
      <c r="A2115" s="37">
        <v>45195</v>
      </c>
      <c r="B2115" s="18" t="s">
        <v>5286</v>
      </c>
      <c r="C2115" s="18" t="s">
        <v>4923</v>
      </c>
      <c r="D2115" s="18" t="s">
        <v>4924</v>
      </c>
      <c r="E2115" s="73">
        <v>3300</v>
      </c>
      <c r="F2115" s="114">
        <v>81250</v>
      </c>
      <c r="G2115" s="73">
        <v>17062.5</v>
      </c>
      <c r="H2115" s="73">
        <v>101612.5</v>
      </c>
      <c r="I2115" s="28" t="s">
        <v>19</v>
      </c>
      <c r="J2115" s="43"/>
    </row>
    <row r="2116" spans="1:10" customFormat="1" ht="15" hidden="1" customHeight="1" x14ac:dyDescent="0.25">
      <c r="A2116" s="37">
        <v>45195</v>
      </c>
      <c r="B2116" s="18" t="s">
        <v>5287</v>
      </c>
      <c r="C2116" s="18" t="s">
        <v>2886</v>
      </c>
      <c r="D2116" s="18" t="s">
        <v>2887</v>
      </c>
      <c r="E2116" s="73">
        <v>15500</v>
      </c>
      <c r="F2116" s="114">
        <v>250000</v>
      </c>
      <c r="G2116" s="73">
        <v>52500</v>
      </c>
      <c r="H2116" s="73">
        <v>318000</v>
      </c>
      <c r="I2116" s="28" t="s">
        <v>19</v>
      </c>
      <c r="J2116" s="43"/>
    </row>
    <row r="2117" spans="1:10" customFormat="1" ht="15" hidden="1" customHeight="1" x14ac:dyDescent="0.25">
      <c r="A2117" s="37">
        <v>45195</v>
      </c>
      <c r="B2117" s="18" t="s">
        <v>5288</v>
      </c>
      <c r="C2117" s="18" t="s">
        <v>2867</v>
      </c>
      <c r="D2117" s="18" t="s">
        <v>2868</v>
      </c>
      <c r="E2117" s="73">
        <v>15500</v>
      </c>
      <c r="F2117" s="114">
        <v>193750</v>
      </c>
      <c r="G2117" s="73">
        <v>40687.5</v>
      </c>
      <c r="H2117" s="73">
        <v>249937.5</v>
      </c>
      <c r="I2117" s="28" t="s">
        <v>19</v>
      </c>
      <c r="J2117" s="43"/>
    </row>
    <row r="2118" spans="1:10" customFormat="1" ht="15" hidden="1" customHeight="1" x14ac:dyDescent="0.25">
      <c r="A2118" s="37">
        <v>45196</v>
      </c>
      <c r="B2118" s="18" t="s">
        <v>5289</v>
      </c>
      <c r="C2118" s="18" t="s">
        <v>2921</v>
      </c>
      <c r="D2118" s="18" t="s">
        <v>2922</v>
      </c>
      <c r="E2118" s="73">
        <v>4300</v>
      </c>
      <c r="F2118" s="114">
        <v>96875</v>
      </c>
      <c r="G2118" s="73">
        <v>20343.75</v>
      </c>
      <c r="H2118" s="73">
        <v>121518.75</v>
      </c>
      <c r="I2118" s="28" t="s">
        <v>19</v>
      </c>
      <c r="J2118" s="43"/>
    </row>
    <row r="2119" spans="1:10" customFormat="1" ht="15" hidden="1" customHeight="1" x14ac:dyDescent="0.25">
      <c r="A2119" s="37">
        <v>45196</v>
      </c>
      <c r="B2119" s="18" t="s">
        <v>5290</v>
      </c>
      <c r="C2119" s="18" t="s">
        <v>2927</v>
      </c>
      <c r="D2119" s="18" t="s">
        <v>2928</v>
      </c>
      <c r="E2119" s="73">
        <v>8000</v>
      </c>
      <c r="F2119" s="114">
        <v>96875</v>
      </c>
      <c r="G2119" s="73">
        <v>20343.75</v>
      </c>
      <c r="H2119" s="73">
        <v>125218.75</v>
      </c>
      <c r="I2119" s="28" t="s">
        <v>19</v>
      </c>
      <c r="J2119" s="43"/>
    </row>
    <row r="2120" spans="1:10" customFormat="1" ht="15" hidden="1" customHeight="1" x14ac:dyDescent="0.25">
      <c r="A2120" s="37">
        <v>45196</v>
      </c>
      <c r="B2120" s="18" t="s">
        <v>5291</v>
      </c>
      <c r="C2120" s="18" t="s">
        <v>2957</v>
      </c>
      <c r="D2120" s="18" t="s">
        <v>2958</v>
      </c>
      <c r="E2120" s="73">
        <v>8500</v>
      </c>
      <c r="F2120" s="114">
        <v>126562.5</v>
      </c>
      <c r="G2120" s="73">
        <v>26578.13</v>
      </c>
      <c r="H2120" s="73">
        <v>161640.63</v>
      </c>
      <c r="I2120" s="28" t="s">
        <v>19</v>
      </c>
      <c r="J2120" s="43"/>
    </row>
    <row r="2121" spans="1:10" customFormat="1" ht="15" hidden="1" customHeight="1" x14ac:dyDescent="0.25">
      <c r="A2121" s="37">
        <v>45197</v>
      </c>
      <c r="B2121" s="18" t="s">
        <v>5292</v>
      </c>
      <c r="C2121" s="18" t="s">
        <v>3241</v>
      </c>
      <c r="D2121" s="18" t="s">
        <v>3242</v>
      </c>
      <c r="E2121" s="73">
        <v>27600</v>
      </c>
      <c r="F2121" s="114">
        <v>281250</v>
      </c>
      <c r="G2121" s="73">
        <v>59062.5</v>
      </c>
      <c r="H2121" s="73">
        <v>367912.5</v>
      </c>
      <c r="I2121" s="28" t="s">
        <v>19</v>
      </c>
      <c r="J2121" s="43"/>
    </row>
    <row r="2122" spans="1:10" customFormat="1" ht="15" hidden="1" customHeight="1" x14ac:dyDescent="0.25">
      <c r="A2122" s="37">
        <v>45197</v>
      </c>
      <c r="B2122" s="18" t="s">
        <v>5293</v>
      </c>
      <c r="C2122" s="18" t="s">
        <v>3235</v>
      </c>
      <c r="D2122" s="18" t="s">
        <v>3236</v>
      </c>
      <c r="E2122" s="73">
        <v>9200</v>
      </c>
      <c r="F2122" s="114">
        <v>93750</v>
      </c>
      <c r="G2122" s="73">
        <v>19687.5</v>
      </c>
      <c r="H2122" s="73">
        <v>122637.5</v>
      </c>
      <c r="I2122" s="28" t="s">
        <v>19</v>
      </c>
      <c r="J2122" s="43"/>
    </row>
    <row r="2123" spans="1:10" customFormat="1" ht="15" hidden="1" customHeight="1" x14ac:dyDescent="0.25">
      <c r="A2123" s="37">
        <v>45197</v>
      </c>
      <c r="B2123" s="18" t="s">
        <v>5294</v>
      </c>
      <c r="C2123" s="18" t="s">
        <v>2912</v>
      </c>
      <c r="D2123" s="18" t="s">
        <v>2913</v>
      </c>
      <c r="E2123" s="73">
        <v>25000</v>
      </c>
      <c r="F2123" s="114">
        <v>1303125</v>
      </c>
      <c r="G2123" s="73">
        <v>273656.25</v>
      </c>
      <c r="H2123" s="73">
        <v>1601781.25</v>
      </c>
      <c r="I2123" s="28" t="s">
        <v>19</v>
      </c>
      <c r="J2123" s="43"/>
    </row>
    <row r="2124" spans="1:10" customFormat="1" ht="15" hidden="1" customHeight="1" x14ac:dyDescent="0.25">
      <c r="A2124" s="37">
        <v>45197</v>
      </c>
      <c r="B2124" s="18" t="s">
        <v>5295</v>
      </c>
      <c r="C2124" s="18" t="s">
        <v>3241</v>
      </c>
      <c r="D2124" s="18" t="s">
        <v>3242</v>
      </c>
      <c r="E2124" s="73">
        <v>41000</v>
      </c>
      <c r="F2124" s="114">
        <v>477457.5</v>
      </c>
      <c r="G2124" s="73">
        <v>100266.09</v>
      </c>
      <c r="H2124" s="73">
        <v>618723.59</v>
      </c>
      <c r="I2124" s="28" t="s">
        <v>19</v>
      </c>
      <c r="J2124" s="43"/>
    </row>
    <row r="2125" spans="1:10" customFormat="1" ht="15" hidden="1" customHeight="1" x14ac:dyDescent="0.25">
      <c r="A2125" s="37">
        <v>45197</v>
      </c>
      <c r="B2125" s="18" t="s">
        <v>5296</v>
      </c>
      <c r="C2125" s="18" t="s">
        <v>3165</v>
      </c>
      <c r="D2125" s="18" t="s">
        <v>3166</v>
      </c>
      <c r="E2125" s="73">
        <v>52000</v>
      </c>
      <c r="F2125" s="114">
        <v>807794</v>
      </c>
      <c r="G2125" s="73">
        <v>169636.74</v>
      </c>
      <c r="H2125" s="73">
        <v>1029430.74</v>
      </c>
      <c r="I2125" s="28" t="s">
        <v>19</v>
      </c>
      <c r="J2125" s="43"/>
    </row>
    <row r="2126" spans="1:10" customFormat="1" ht="15" hidden="1" customHeight="1" x14ac:dyDescent="0.25">
      <c r="A2126" s="37">
        <v>45197</v>
      </c>
      <c r="B2126" s="18" t="s">
        <v>5297</v>
      </c>
      <c r="C2126" s="18" t="s">
        <v>3241</v>
      </c>
      <c r="D2126" s="18" t="s">
        <v>3242</v>
      </c>
      <c r="E2126" s="73">
        <v>30000</v>
      </c>
      <c r="F2126" s="114">
        <v>387502.5</v>
      </c>
      <c r="G2126" s="73">
        <v>81375.53</v>
      </c>
      <c r="H2126" s="73">
        <v>498878.03</v>
      </c>
      <c r="I2126" s="28" t="s">
        <v>19</v>
      </c>
      <c r="J2126" s="43"/>
    </row>
    <row r="2127" spans="1:10" customFormat="1" ht="15" hidden="1" customHeight="1" x14ac:dyDescent="0.25">
      <c r="A2127" s="37">
        <v>45197</v>
      </c>
      <c r="B2127" s="18" t="s">
        <v>5298</v>
      </c>
      <c r="C2127" s="18" t="s">
        <v>2867</v>
      </c>
      <c r="D2127" s="18" t="s">
        <v>2868</v>
      </c>
      <c r="E2127" s="73">
        <v>5000</v>
      </c>
      <c r="F2127" s="114">
        <v>260625</v>
      </c>
      <c r="G2127" s="73">
        <v>54731.25</v>
      </c>
      <c r="H2127" s="73">
        <v>320356.25</v>
      </c>
      <c r="I2127" s="28" t="s">
        <v>19</v>
      </c>
      <c r="J2127" s="43"/>
    </row>
    <row r="2128" spans="1:10" customFormat="1" ht="15" hidden="1" customHeight="1" x14ac:dyDescent="0.25">
      <c r="A2128" s="37">
        <v>45197</v>
      </c>
      <c r="B2128" s="18" t="s">
        <v>5299</v>
      </c>
      <c r="C2128" s="18" t="s">
        <v>4892</v>
      </c>
      <c r="D2128" s="18" t="s">
        <v>4893</v>
      </c>
      <c r="E2128" s="73">
        <v>11500</v>
      </c>
      <c r="F2128" s="114">
        <v>162500</v>
      </c>
      <c r="G2128" s="73">
        <v>34125</v>
      </c>
      <c r="H2128" s="73">
        <v>208125</v>
      </c>
      <c r="I2128" s="28" t="s">
        <v>19</v>
      </c>
      <c r="J2128" s="43"/>
    </row>
    <row r="2129" spans="1:10" customFormat="1" ht="15" hidden="1" customHeight="1" x14ac:dyDescent="0.25">
      <c r="A2129" s="37">
        <v>45197</v>
      </c>
      <c r="B2129" s="18" t="s">
        <v>5300</v>
      </c>
      <c r="C2129" s="18" t="s">
        <v>3460</v>
      </c>
      <c r="D2129" s="18" t="s">
        <v>3461</v>
      </c>
      <c r="E2129" s="73">
        <v>7000</v>
      </c>
      <c r="F2129" s="114">
        <v>192187.5</v>
      </c>
      <c r="G2129" s="73">
        <v>40359.370000000003</v>
      </c>
      <c r="H2129" s="73">
        <v>239546.87</v>
      </c>
      <c r="I2129" s="28" t="s">
        <v>19</v>
      </c>
      <c r="J2129" s="43"/>
    </row>
    <row r="2130" spans="1:10" customFormat="1" ht="15" hidden="1" customHeight="1" x14ac:dyDescent="0.25">
      <c r="A2130" s="37">
        <v>45197</v>
      </c>
      <c r="B2130" s="18" t="s">
        <v>5301</v>
      </c>
      <c r="C2130" s="18" t="s">
        <v>2997</v>
      </c>
      <c r="D2130" s="18" t="s">
        <v>2998</v>
      </c>
      <c r="E2130" s="73">
        <v>11500</v>
      </c>
      <c r="F2130" s="114">
        <v>256250</v>
      </c>
      <c r="G2130" s="73">
        <v>53812.5</v>
      </c>
      <c r="H2130" s="73">
        <v>321562.5</v>
      </c>
      <c r="I2130" s="28" t="s">
        <v>19</v>
      </c>
      <c r="J2130" s="43"/>
    </row>
    <row r="2131" spans="1:10" customFormat="1" ht="15" hidden="1" customHeight="1" x14ac:dyDescent="0.25">
      <c r="A2131" s="37">
        <v>45197</v>
      </c>
      <c r="B2131" s="18" t="s">
        <v>5302</v>
      </c>
      <c r="C2131" s="18" t="s">
        <v>4172</v>
      </c>
      <c r="D2131" s="18" t="s">
        <v>4173</v>
      </c>
      <c r="E2131" s="73">
        <v>4000</v>
      </c>
      <c r="F2131" s="114">
        <v>98438</v>
      </c>
      <c r="G2131" s="73">
        <v>20671.98</v>
      </c>
      <c r="H2131" s="73">
        <v>123109.98</v>
      </c>
      <c r="I2131" s="28" t="s">
        <v>19</v>
      </c>
      <c r="J2131" s="43"/>
    </row>
    <row r="2132" spans="1:10" customFormat="1" ht="15" hidden="1" customHeight="1" x14ac:dyDescent="0.25">
      <c r="A2132" s="37">
        <v>45197</v>
      </c>
      <c r="B2132" s="18" t="s">
        <v>5303</v>
      </c>
      <c r="C2132" s="18" t="s">
        <v>2972</v>
      </c>
      <c r="D2132" s="18" t="s">
        <v>2973</v>
      </c>
      <c r="E2132" s="73">
        <v>9200</v>
      </c>
      <c r="F2132" s="114">
        <v>84375</v>
      </c>
      <c r="G2132" s="73">
        <v>17718.75</v>
      </c>
      <c r="H2132" s="73">
        <v>111293.75</v>
      </c>
      <c r="I2132" s="28" t="s">
        <v>19</v>
      </c>
      <c r="J2132" s="43"/>
    </row>
    <row r="2133" spans="1:10" customFormat="1" ht="15" hidden="1" customHeight="1" x14ac:dyDescent="0.25">
      <c r="A2133" s="37">
        <v>45197</v>
      </c>
      <c r="B2133" s="18" t="s">
        <v>5304</v>
      </c>
      <c r="C2133" s="18" t="s">
        <v>3014</v>
      </c>
      <c r="D2133" s="18" t="s">
        <v>3015</v>
      </c>
      <c r="E2133" s="73">
        <v>16000</v>
      </c>
      <c r="F2133" s="114">
        <v>256250</v>
      </c>
      <c r="G2133" s="73">
        <v>53812.5</v>
      </c>
      <c r="H2133" s="73">
        <v>326062.5</v>
      </c>
      <c r="I2133" s="28" t="s">
        <v>19</v>
      </c>
      <c r="J2133" s="43"/>
    </row>
    <row r="2134" spans="1:10" customFormat="1" ht="15" hidden="1" customHeight="1" x14ac:dyDescent="0.25">
      <c r="A2134" s="37">
        <v>45197</v>
      </c>
      <c r="B2134" s="18" t="s">
        <v>5305</v>
      </c>
      <c r="C2134" s="18" t="s">
        <v>3326</v>
      </c>
      <c r="D2134" s="18" t="s">
        <v>3327</v>
      </c>
      <c r="E2134" s="73">
        <v>12000</v>
      </c>
      <c r="F2134" s="114">
        <v>126562.5</v>
      </c>
      <c r="G2134" s="73">
        <v>26578.13</v>
      </c>
      <c r="H2134" s="73">
        <v>165140.63</v>
      </c>
      <c r="I2134" s="28" t="s">
        <v>19</v>
      </c>
      <c r="J2134" s="43"/>
    </row>
    <row r="2135" spans="1:10" customFormat="1" ht="15" hidden="1" customHeight="1" x14ac:dyDescent="0.25">
      <c r="A2135" s="37">
        <v>45198</v>
      </c>
      <c r="B2135" s="18" t="s">
        <v>5306</v>
      </c>
      <c r="C2135" s="18" t="s">
        <v>2921</v>
      </c>
      <c r="D2135" s="18" t="s">
        <v>2922</v>
      </c>
      <c r="E2135" s="73">
        <v>0</v>
      </c>
      <c r="F2135" s="114">
        <v>35000</v>
      </c>
      <c r="G2135" s="73">
        <v>7350</v>
      </c>
      <c r="H2135" s="73">
        <v>42350</v>
      </c>
      <c r="I2135" s="28" t="s">
        <v>19</v>
      </c>
      <c r="J2135" s="43"/>
    </row>
    <row r="2136" spans="1:10" customFormat="1" ht="15" hidden="1" customHeight="1" x14ac:dyDescent="0.25">
      <c r="A2136" s="37">
        <v>45198</v>
      </c>
      <c r="B2136" s="18" t="s">
        <v>5307</v>
      </c>
      <c r="C2136" s="18" t="s">
        <v>2972</v>
      </c>
      <c r="D2136" s="18" t="s">
        <v>2973</v>
      </c>
      <c r="E2136" s="73">
        <v>7000</v>
      </c>
      <c r="F2136" s="114">
        <v>145312.5</v>
      </c>
      <c r="G2136" s="73">
        <v>30515.63</v>
      </c>
      <c r="H2136" s="73">
        <v>182828.13</v>
      </c>
      <c r="I2136" s="28" t="s">
        <v>19</v>
      </c>
      <c r="J2136" s="43"/>
    </row>
    <row r="2137" spans="1:10" customFormat="1" ht="15" hidden="1" customHeight="1" x14ac:dyDescent="0.25">
      <c r="A2137" s="37">
        <v>45198</v>
      </c>
      <c r="B2137" s="18" t="s">
        <v>5308</v>
      </c>
      <c r="C2137" s="18" t="s">
        <v>2945</v>
      </c>
      <c r="D2137" s="18" t="s">
        <v>2946</v>
      </c>
      <c r="E2137" s="73">
        <v>9500</v>
      </c>
      <c r="F2137" s="114">
        <v>128125</v>
      </c>
      <c r="G2137" s="73">
        <v>26906.25</v>
      </c>
      <c r="H2137" s="73">
        <v>164531.25</v>
      </c>
      <c r="I2137" s="28" t="s">
        <v>19</v>
      </c>
      <c r="J2137" s="43"/>
    </row>
    <row r="2138" spans="1:10" customFormat="1" ht="15" hidden="1" customHeight="1" x14ac:dyDescent="0.25">
      <c r="A2138" s="37">
        <v>45198</v>
      </c>
      <c r="B2138" s="18" t="s">
        <v>5309</v>
      </c>
      <c r="C2138" s="18" t="s">
        <v>3033</v>
      </c>
      <c r="D2138" s="18" t="s">
        <v>3034</v>
      </c>
      <c r="E2138" s="73">
        <v>7000</v>
      </c>
      <c r="F2138" s="114">
        <v>215625</v>
      </c>
      <c r="G2138" s="73">
        <v>45281.25</v>
      </c>
      <c r="H2138" s="73">
        <v>267906.25</v>
      </c>
      <c r="I2138" s="28" t="s">
        <v>19</v>
      </c>
      <c r="J2138" s="43"/>
    </row>
    <row r="2139" spans="1:10" customFormat="1" ht="15" hidden="1" customHeight="1" x14ac:dyDescent="0.25">
      <c r="A2139" s="37">
        <v>45198</v>
      </c>
      <c r="B2139" s="18" t="s">
        <v>5310</v>
      </c>
      <c r="C2139" s="18" t="s">
        <v>2921</v>
      </c>
      <c r="D2139" s="18" t="s">
        <v>2922</v>
      </c>
      <c r="E2139" s="73">
        <v>0</v>
      </c>
      <c r="F2139" s="114">
        <v>35000</v>
      </c>
      <c r="G2139" s="73">
        <v>7350</v>
      </c>
      <c r="H2139" s="73">
        <v>42350</v>
      </c>
      <c r="I2139" s="28" t="s">
        <v>19</v>
      </c>
      <c r="J2139" s="43"/>
    </row>
    <row r="2140" spans="1:10" customFormat="1" ht="15" hidden="1" customHeight="1" x14ac:dyDescent="0.25">
      <c r="A2140" s="37">
        <v>45198</v>
      </c>
      <c r="B2140" s="18" t="s">
        <v>5311</v>
      </c>
      <c r="C2140" s="18" t="s">
        <v>4363</v>
      </c>
      <c r="D2140" s="18" t="s">
        <v>4364</v>
      </c>
      <c r="E2140" s="73">
        <v>14000</v>
      </c>
      <c r="F2140" s="114">
        <v>192187.5</v>
      </c>
      <c r="G2140" s="73">
        <v>40359.370000000003</v>
      </c>
      <c r="H2140" s="73">
        <v>246546.87</v>
      </c>
      <c r="I2140" s="28" t="s">
        <v>19</v>
      </c>
      <c r="J2140" s="43"/>
    </row>
    <row r="2141" spans="1:10" customFormat="1" ht="15" hidden="1" customHeight="1" x14ac:dyDescent="0.25">
      <c r="A2141" s="37">
        <v>45198</v>
      </c>
      <c r="B2141" s="18" t="s">
        <v>5312</v>
      </c>
      <c r="C2141" s="18" t="s">
        <v>3346</v>
      </c>
      <c r="D2141" s="18" t="s">
        <v>3347</v>
      </c>
      <c r="E2141" s="73">
        <v>44000</v>
      </c>
      <c r="F2141" s="114">
        <v>1012500</v>
      </c>
      <c r="G2141" s="73">
        <v>212625</v>
      </c>
      <c r="H2141" s="73">
        <v>1269125</v>
      </c>
      <c r="I2141" s="28" t="s">
        <v>19</v>
      </c>
      <c r="J2141" s="43"/>
    </row>
    <row r="2142" spans="1:10" customFormat="1" ht="15" hidden="1" customHeight="1" x14ac:dyDescent="0.25">
      <c r="A2142" s="37">
        <v>45198</v>
      </c>
      <c r="B2142" s="18" t="s">
        <v>5313</v>
      </c>
      <c r="C2142" s="18" t="s">
        <v>2921</v>
      </c>
      <c r="D2142" s="18" t="s">
        <v>2922</v>
      </c>
      <c r="E2142" s="73">
        <v>0</v>
      </c>
      <c r="F2142" s="114">
        <v>42000</v>
      </c>
      <c r="G2142" s="73">
        <v>8820</v>
      </c>
      <c r="H2142" s="73">
        <v>50820</v>
      </c>
      <c r="I2142" s="28" t="s">
        <v>19</v>
      </c>
      <c r="J2142" s="43"/>
    </row>
    <row r="2143" spans="1:10" customFormat="1" ht="15" hidden="1" customHeight="1" x14ac:dyDescent="0.25">
      <c r="A2143" s="37">
        <v>45198</v>
      </c>
      <c r="B2143" s="18" t="s">
        <v>5314</v>
      </c>
      <c r="C2143" s="18" t="s">
        <v>2921</v>
      </c>
      <c r="D2143" s="18" t="s">
        <v>2922</v>
      </c>
      <c r="E2143" s="73">
        <v>11000</v>
      </c>
      <c r="F2143" s="114">
        <v>84375</v>
      </c>
      <c r="G2143" s="73">
        <v>17718.75</v>
      </c>
      <c r="H2143" s="73">
        <v>113093.75</v>
      </c>
      <c r="I2143" s="28" t="s">
        <v>19</v>
      </c>
      <c r="J2143" s="43"/>
    </row>
    <row r="2144" spans="1:10" customFormat="1" ht="15" hidden="1" customHeight="1" x14ac:dyDescent="0.25">
      <c r="A2144" s="37">
        <v>45198</v>
      </c>
      <c r="B2144" s="18" t="s">
        <v>5315</v>
      </c>
      <c r="C2144" s="18" t="s">
        <v>5258</v>
      </c>
      <c r="D2144" s="18" t="s">
        <v>5259</v>
      </c>
      <c r="E2144" s="73">
        <v>1100</v>
      </c>
      <c r="F2144" s="114">
        <v>84375</v>
      </c>
      <c r="G2144" s="73">
        <v>17718.75</v>
      </c>
      <c r="H2144" s="73">
        <v>103193.75</v>
      </c>
      <c r="I2144" s="28" t="s">
        <v>19</v>
      </c>
      <c r="J2144" s="43"/>
    </row>
    <row r="2145" spans="1:10" customFormat="1" ht="15" hidden="1" customHeight="1" x14ac:dyDescent="0.25">
      <c r="A2145" s="37">
        <v>45198</v>
      </c>
      <c r="B2145" s="18" t="s">
        <v>5316</v>
      </c>
      <c r="C2145" s="18" t="s">
        <v>4977</v>
      </c>
      <c r="D2145" s="18" t="s">
        <v>4978</v>
      </c>
      <c r="E2145" s="73">
        <v>7000</v>
      </c>
      <c r="F2145" s="114">
        <v>128125</v>
      </c>
      <c r="G2145" s="73">
        <v>26906.25</v>
      </c>
      <c r="H2145" s="73">
        <v>162031.25</v>
      </c>
      <c r="I2145" s="28" t="s">
        <v>19</v>
      </c>
      <c r="J2145" s="43"/>
    </row>
    <row r="2146" spans="1:10" customFormat="1" ht="15" hidden="1" customHeight="1" x14ac:dyDescent="0.25">
      <c r="A2146" s="37">
        <v>45198</v>
      </c>
      <c r="B2146" s="18" t="s">
        <v>5317</v>
      </c>
      <c r="C2146" s="18" t="s">
        <v>3235</v>
      </c>
      <c r="D2146" s="18" t="s">
        <v>3236</v>
      </c>
      <c r="E2146" s="73">
        <v>6000</v>
      </c>
      <c r="F2146" s="114">
        <v>96875</v>
      </c>
      <c r="G2146" s="73">
        <v>20343.75</v>
      </c>
      <c r="H2146" s="73">
        <v>123218.75</v>
      </c>
      <c r="I2146" s="28" t="s">
        <v>19</v>
      </c>
      <c r="J2146" s="43"/>
    </row>
    <row r="2147" spans="1:10" customFormat="1" ht="15" hidden="1" customHeight="1" x14ac:dyDescent="0.25">
      <c r="A2147" s="37">
        <v>45198</v>
      </c>
      <c r="B2147" s="18" t="s">
        <v>5318</v>
      </c>
      <c r="C2147" s="18" t="s">
        <v>3241</v>
      </c>
      <c r="D2147" s="18" t="s">
        <v>3242</v>
      </c>
      <c r="E2147" s="73">
        <v>27500</v>
      </c>
      <c r="F2147" s="114">
        <v>276787.5</v>
      </c>
      <c r="G2147" s="73">
        <v>58125.38</v>
      </c>
      <c r="H2147" s="73">
        <v>362412.88</v>
      </c>
      <c r="I2147" s="28" t="s">
        <v>19</v>
      </c>
      <c r="J2147" s="43"/>
    </row>
    <row r="2148" spans="1:10" customFormat="1" ht="15" hidden="1" customHeight="1" x14ac:dyDescent="0.25">
      <c r="A2148" s="37">
        <v>45198</v>
      </c>
      <c r="B2148" s="18" t="s">
        <v>5319</v>
      </c>
      <c r="C2148" s="18" t="s">
        <v>2856</v>
      </c>
      <c r="D2148" s="18" t="s">
        <v>2857</v>
      </c>
      <c r="E2148" s="73">
        <v>5000</v>
      </c>
      <c r="F2148" s="114">
        <v>128125</v>
      </c>
      <c r="G2148" s="73">
        <v>26906.25</v>
      </c>
      <c r="H2148" s="73">
        <v>160031.25</v>
      </c>
      <c r="I2148" s="28" t="s">
        <v>19</v>
      </c>
      <c r="J2148" s="43"/>
    </row>
    <row r="2149" spans="1:10" customFormat="1" ht="15" hidden="1" customHeight="1" x14ac:dyDescent="0.25">
      <c r="A2149" s="37">
        <v>45198</v>
      </c>
      <c r="B2149" s="18" t="s">
        <v>5320</v>
      </c>
      <c r="C2149" s="18" t="s">
        <v>2870</v>
      </c>
      <c r="D2149" s="18" t="s">
        <v>2871</v>
      </c>
      <c r="E2149" s="73">
        <v>12500</v>
      </c>
      <c r="F2149" s="114">
        <v>128125</v>
      </c>
      <c r="G2149" s="73">
        <v>26906.25</v>
      </c>
      <c r="H2149" s="73">
        <v>167531.25</v>
      </c>
      <c r="I2149" s="28" t="s">
        <v>19</v>
      </c>
      <c r="J2149" s="43"/>
    </row>
    <row r="2150" spans="1:10" customFormat="1" ht="15" hidden="1" customHeight="1" x14ac:dyDescent="0.25">
      <c r="A2150" s="37">
        <v>45198</v>
      </c>
      <c r="B2150" s="18" t="s">
        <v>5321</v>
      </c>
      <c r="C2150" s="18" t="s">
        <v>2870</v>
      </c>
      <c r="D2150" s="18" t="s">
        <v>2871</v>
      </c>
      <c r="E2150" s="73">
        <v>9200</v>
      </c>
      <c r="F2150" s="114">
        <v>93750</v>
      </c>
      <c r="G2150" s="73">
        <v>19687.5</v>
      </c>
      <c r="H2150" s="73">
        <v>122637.5</v>
      </c>
      <c r="I2150" s="28" t="s">
        <v>19</v>
      </c>
      <c r="J2150" s="43"/>
    </row>
    <row r="2151" spans="1:10" customFormat="1" ht="15" hidden="1" customHeight="1" x14ac:dyDescent="0.25">
      <c r="A2151" s="37">
        <v>45198</v>
      </c>
      <c r="B2151" s="18" t="s">
        <v>5322</v>
      </c>
      <c r="C2151" s="18" t="s">
        <v>3559</v>
      </c>
      <c r="D2151" s="18" t="s">
        <v>3560</v>
      </c>
      <c r="E2151" s="73">
        <v>9200</v>
      </c>
      <c r="F2151" s="114">
        <v>140625</v>
      </c>
      <c r="G2151" s="73">
        <v>29531.25</v>
      </c>
      <c r="H2151" s="73">
        <v>179356.25</v>
      </c>
      <c r="I2151" s="28" t="s">
        <v>19</v>
      </c>
      <c r="J2151" s="43"/>
    </row>
    <row r="2152" spans="1:10" customFormat="1" ht="15" hidden="1" customHeight="1" x14ac:dyDescent="0.25">
      <c r="A2152" s="37">
        <v>45198</v>
      </c>
      <c r="B2152" s="18" t="s">
        <v>5323</v>
      </c>
      <c r="C2152" s="18" t="s">
        <v>2927</v>
      </c>
      <c r="D2152" s="18" t="s">
        <v>2928</v>
      </c>
      <c r="E2152" s="73">
        <v>9200</v>
      </c>
      <c r="F2152" s="114">
        <v>93750</v>
      </c>
      <c r="G2152" s="73">
        <v>19687.5</v>
      </c>
      <c r="H2152" s="73">
        <v>122637.5</v>
      </c>
      <c r="I2152" s="28" t="s">
        <v>19</v>
      </c>
      <c r="J2152" s="43"/>
    </row>
    <row r="2153" spans="1:10" customFormat="1" ht="15" hidden="1" customHeight="1" x14ac:dyDescent="0.25">
      <c r="A2153" s="37">
        <v>45198</v>
      </c>
      <c r="B2153" s="18" t="s">
        <v>5324</v>
      </c>
      <c r="C2153" s="18" t="s">
        <v>3011</v>
      </c>
      <c r="D2153" s="18" t="s">
        <v>3012</v>
      </c>
      <c r="E2153" s="73">
        <v>82800</v>
      </c>
      <c r="F2153" s="114">
        <v>1265625</v>
      </c>
      <c r="G2153" s="73">
        <v>265781.25</v>
      </c>
      <c r="H2153" s="73">
        <v>1614206.25</v>
      </c>
      <c r="I2153" s="28" t="s">
        <v>19</v>
      </c>
      <c r="J2153" s="43"/>
    </row>
    <row r="2154" spans="1:10" customFormat="1" ht="15" hidden="1" customHeight="1" x14ac:dyDescent="0.25">
      <c r="A2154" s="37">
        <v>45198</v>
      </c>
      <c r="B2154" s="18" t="s">
        <v>5325</v>
      </c>
      <c r="C2154" s="18" t="s">
        <v>2851</v>
      </c>
      <c r="D2154" s="18" t="s">
        <v>2852</v>
      </c>
      <c r="E2154" s="73">
        <v>14300</v>
      </c>
      <c r="F2154" s="114">
        <v>126562.5</v>
      </c>
      <c r="G2154" s="73">
        <v>26578.13</v>
      </c>
      <c r="H2154" s="73">
        <v>167440.63</v>
      </c>
      <c r="I2154" s="28" t="s">
        <v>19</v>
      </c>
      <c r="J2154" s="43"/>
    </row>
    <row r="2155" spans="1:10" customFormat="1" ht="15" hidden="1" customHeight="1" x14ac:dyDescent="0.25">
      <c r="A2155" s="37">
        <v>45198</v>
      </c>
      <c r="B2155" s="18" t="s">
        <v>5326</v>
      </c>
      <c r="C2155" s="18" t="s">
        <v>2851</v>
      </c>
      <c r="D2155" s="18" t="s">
        <v>2852</v>
      </c>
      <c r="E2155" s="73">
        <v>2720</v>
      </c>
      <c r="F2155" s="114">
        <v>96875</v>
      </c>
      <c r="G2155" s="73">
        <v>20343.75</v>
      </c>
      <c r="H2155" s="73">
        <v>119938.75</v>
      </c>
      <c r="I2155" s="28" t="s">
        <v>19</v>
      </c>
      <c r="J2155" s="43"/>
    </row>
    <row r="2156" spans="1:10" customFormat="1" ht="15" hidden="1" customHeight="1" x14ac:dyDescent="0.25">
      <c r="A2156" s="37">
        <v>45198</v>
      </c>
      <c r="B2156" s="18" t="s">
        <v>5327</v>
      </c>
      <c r="C2156" s="18" t="s">
        <v>3041</v>
      </c>
      <c r="D2156" s="18" t="s">
        <v>3042</v>
      </c>
      <c r="E2156" s="73">
        <v>13800</v>
      </c>
      <c r="F2156" s="114">
        <v>195000</v>
      </c>
      <c r="G2156" s="73">
        <v>40950</v>
      </c>
      <c r="H2156" s="73">
        <v>249750</v>
      </c>
      <c r="I2156" s="28" t="s">
        <v>19</v>
      </c>
      <c r="J2156" s="43"/>
    </row>
    <row r="2157" spans="1:10" customFormat="1" ht="15" hidden="1" customHeight="1" x14ac:dyDescent="0.25">
      <c r="A2157" s="37">
        <v>45198</v>
      </c>
      <c r="B2157" s="18" t="s">
        <v>5328</v>
      </c>
      <c r="C2157" s="18" t="s">
        <v>2870</v>
      </c>
      <c r="D2157" s="18" t="s">
        <v>2871</v>
      </c>
      <c r="E2157" s="73">
        <v>9200</v>
      </c>
      <c r="F2157" s="114">
        <v>140625</v>
      </c>
      <c r="G2157" s="73">
        <v>29531.25</v>
      </c>
      <c r="H2157" s="73">
        <v>179356.25</v>
      </c>
      <c r="I2157" s="28" t="s">
        <v>19</v>
      </c>
      <c r="J2157" s="43"/>
    </row>
    <row r="2158" spans="1:10" customFormat="1" ht="15" hidden="1" customHeight="1" x14ac:dyDescent="0.25">
      <c r="A2158" s="37">
        <v>45198</v>
      </c>
      <c r="B2158" s="18" t="s">
        <v>5329</v>
      </c>
      <c r="C2158" s="18" t="s">
        <v>2856</v>
      </c>
      <c r="D2158" s="18" t="s">
        <v>2857</v>
      </c>
      <c r="E2158" s="73">
        <v>23400</v>
      </c>
      <c r="F2158" s="114">
        <v>281250</v>
      </c>
      <c r="G2158" s="73">
        <v>59062.5</v>
      </c>
      <c r="H2158" s="73">
        <v>363712.5</v>
      </c>
      <c r="I2158" s="28" t="s">
        <v>19</v>
      </c>
      <c r="J2158" s="43"/>
    </row>
    <row r="2159" spans="1:10" customFormat="1" ht="15" hidden="1" customHeight="1" x14ac:dyDescent="0.25">
      <c r="A2159" s="37">
        <v>45198</v>
      </c>
      <c r="B2159" s="18" t="s">
        <v>5330</v>
      </c>
      <c r="C2159" s="18" t="s">
        <v>3703</v>
      </c>
      <c r="D2159" s="18" t="s">
        <v>3704</v>
      </c>
      <c r="E2159" s="73">
        <v>31500</v>
      </c>
      <c r="F2159" s="114">
        <v>343750</v>
      </c>
      <c r="G2159" s="73">
        <v>72187.490000000005</v>
      </c>
      <c r="H2159" s="73">
        <v>447437.49</v>
      </c>
      <c r="I2159" s="28" t="s">
        <v>19</v>
      </c>
      <c r="J2159" s="43"/>
    </row>
    <row r="2160" spans="1:10" customFormat="1" ht="15" hidden="1" customHeight="1" x14ac:dyDescent="0.25">
      <c r="A2160" s="37">
        <v>45198</v>
      </c>
      <c r="B2160" s="18" t="s">
        <v>5331</v>
      </c>
      <c r="C2160" s="18" t="s">
        <v>2856</v>
      </c>
      <c r="D2160" s="18" t="s">
        <v>2857</v>
      </c>
      <c r="E2160" s="73">
        <v>10700</v>
      </c>
      <c r="F2160" s="114">
        <v>140625</v>
      </c>
      <c r="G2160" s="73">
        <v>29531.25</v>
      </c>
      <c r="H2160" s="73">
        <v>180856.25</v>
      </c>
      <c r="I2160" s="28" t="s">
        <v>19</v>
      </c>
      <c r="J2160" s="43"/>
    </row>
    <row r="2161" spans="1:10" customFormat="1" ht="15" hidden="1" customHeight="1" x14ac:dyDescent="0.25">
      <c r="A2161" s="37">
        <v>45198</v>
      </c>
      <c r="B2161" s="18" t="s">
        <v>5332</v>
      </c>
      <c r="C2161" s="18" t="s">
        <v>3383</v>
      </c>
      <c r="D2161" s="18" t="s">
        <v>3384</v>
      </c>
      <c r="E2161" s="73">
        <v>3800</v>
      </c>
      <c r="F2161" s="114">
        <v>98438</v>
      </c>
      <c r="G2161" s="73">
        <v>20671.98</v>
      </c>
      <c r="H2161" s="73">
        <v>122909.98</v>
      </c>
      <c r="I2161" s="28" t="s">
        <v>19</v>
      </c>
      <c r="J2161" s="43"/>
    </row>
    <row r="2162" spans="1:10" customFormat="1" ht="15" hidden="1" customHeight="1" x14ac:dyDescent="0.25">
      <c r="A2162" s="37">
        <v>45198</v>
      </c>
      <c r="B2162" s="18" t="s">
        <v>5333</v>
      </c>
      <c r="C2162" s="18" t="s">
        <v>3200</v>
      </c>
      <c r="D2162" s="18" t="s">
        <v>3201</v>
      </c>
      <c r="E2162" s="73">
        <v>3500</v>
      </c>
      <c r="F2162" s="114">
        <v>81250</v>
      </c>
      <c r="G2162" s="73">
        <v>17062.5</v>
      </c>
      <c r="H2162" s="73">
        <v>101812.5</v>
      </c>
      <c r="I2162" s="28" t="s">
        <v>19</v>
      </c>
      <c r="J2162" s="43"/>
    </row>
    <row r="2163" spans="1:10" customFormat="1" ht="15" hidden="1" customHeight="1" x14ac:dyDescent="0.25">
      <c r="A2163" s="37">
        <v>45198</v>
      </c>
      <c r="B2163" s="18" t="s">
        <v>5334</v>
      </c>
      <c r="C2163" s="18" t="s">
        <v>3079</v>
      </c>
      <c r="D2163" s="18" t="s">
        <v>3080</v>
      </c>
      <c r="E2163" s="73">
        <v>3500</v>
      </c>
      <c r="F2163" s="114">
        <v>78438</v>
      </c>
      <c r="G2163" s="73">
        <v>16471.98</v>
      </c>
      <c r="H2163" s="73">
        <v>98409.98</v>
      </c>
      <c r="I2163" s="28" t="s">
        <v>19</v>
      </c>
      <c r="J2163" s="43"/>
    </row>
    <row r="2164" spans="1:10" customFormat="1" ht="15" hidden="1" customHeight="1" x14ac:dyDescent="0.25">
      <c r="A2164" s="37">
        <v>45198</v>
      </c>
      <c r="B2164" s="18" t="s">
        <v>5335</v>
      </c>
      <c r="C2164" s="18" t="s">
        <v>2851</v>
      </c>
      <c r="D2164" s="18" t="s">
        <v>2852</v>
      </c>
      <c r="E2164" s="73">
        <v>10200</v>
      </c>
      <c r="F2164" s="114">
        <v>110625</v>
      </c>
      <c r="G2164" s="73">
        <v>23231.25</v>
      </c>
      <c r="H2164" s="73">
        <v>144056.25</v>
      </c>
      <c r="I2164" s="28" t="s">
        <v>19</v>
      </c>
      <c r="J2164" s="43"/>
    </row>
    <row r="2165" spans="1:10" customFormat="1" ht="15" hidden="1" customHeight="1" x14ac:dyDescent="0.25">
      <c r="A2165" s="37">
        <v>45198</v>
      </c>
      <c r="B2165" s="18" t="s">
        <v>5336</v>
      </c>
      <c r="C2165" s="18" t="s">
        <v>4109</v>
      </c>
      <c r="D2165" s="18" t="s">
        <v>4110</v>
      </c>
      <c r="E2165" s="73">
        <v>3500</v>
      </c>
      <c r="F2165" s="114">
        <v>96875</v>
      </c>
      <c r="G2165" s="73">
        <v>20343.75</v>
      </c>
      <c r="H2165" s="73">
        <v>120718.75</v>
      </c>
      <c r="I2165" s="28" t="s">
        <v>19</v>
      </c>
      <c r="J2165" s="43"/>
    </row>
    <row r="2166" spans="1:10" customFormat="1" ht="15" hidden="1" customHeight="1" x14ac:dyDescent="0.25">
      <c r="A2166" s="37">
        <v>45198</v>
      </c>
      <c r="B2166" s="18" t="s">
        <v>5337</v>
      </c>
      <c r="C2166" s="18" t="s">
        <v>3748</v>
      </c>
      <c r="D2166" s="18" t="s">
        <v>3749</v>
      </c>
      <c r="E2166" s="73">
        <v>6000</v>
      </c>
      <c r="F2166" s="114">
        <v>110715</v>
      </c>
      <c r="G2166" s="73">
        <v>23250.15</v>
      </c>
      <c r="H2166" s="73">
        <v>139965.15</v>
      </c>
      <c r="I2166" s="28" t="s">
        <v>19</v>
      </c>
      <c r="J2166" s="43"/>
    </row>
    <row r="2167" spans="1:10" customFormat="1" ht="15" hidden="1" customHeight="1" x14ac:dyDescent="0.25">
      <c r="A2167" s="37">
        <v>45198</v>
      </c>
      <c r="B2167" s="18" t="s">
        <v>5338</v>
      </c>
      <c r="C2167" s="18" t="s">
        <v>3014</v>
      </c>
      <c r="D2167" s="18" t="s">
        <v>3015</v>
      </c>
      <c r="E2167" s="73">
        <v>18400</v>
      </c>
      <c r="F2167" s="114">
        <v>281250</v>
      </c>
      <c r="G2167" s="73">
        <v>59062.5</v>
      </c>
      <c r="H2167" s="73">
        <v>358712.5</v>
      </c>
      <c r="I2167" s="28" t="s">
        <v>19</v>
      </c>
      <c r="J2167" s="43"/>
    </row>
    <row r="2168" spans="1:10" customFormat="1" ht="15" hidden="1" customHeight="1" x14ac:dyDescent="0.25">
      <c r="A2168" s="37">
        <v>45198</v>
      </c>
      <c r="B2168" s="18" t="s">
        <v>5339</v>
      </c>
      <c r="C2168" s="18" t="s">
        <v>3014</v>
      </c>
      <c r="D2168" s="18" t="s">
        <v>3015</v>
      </c>
      <c r="E2168" s="73">
        <v>18400</v>
      </c>
      <c r="F2168" s="114">
        <v>281250</v>
      </c>
      <c r="G2168" s="73">
        <v>59062.5</v>
      </c>
      <c r="H2168" s="73">
        <v>358712.5</v>
      </c>
      <c r="I2168" s="28" t="s">
        <v>19</v>
      </c>
      <c r="J2168" s="43"/>
    </row>
    <row r="2169" spans="1:10" customFormat="1" ht="15" hidden="1" customHeight="1" x14ac:dyDescent="0.25">
      <c r="A2169" s="37">
        <v>45198</v>
      </c>
      <c r="B2169" s="18" t="s">
        <v>5340</v>
      </c>
      <c r="C2169" s="18" t="s">
        <v>3703</v>
      </c>
      <c r="D2169" s="18" t="s">
        <v>3704</v>
      </c>
      <c r="E2169" s="73">
        <v>18400</v>
      </c>
      <c r="F2169" s="114">
        <v>187500</v>
      </c>
      <c r="G2169" s="73">
        <v>39375</v>
      </c>
      <c r="H2169" s="73">
        <v>245275</v>
      </c>
      <c r="I2169" s="28" t="s">
        <v>19</v>
      </c>
      <c r="J2169" s="43"/>
    </row>
    <row r="2170" spans="1:10" customFormat="1" ht="15" hidden="1" customHeight="1" x14ac:dyDescent="0.25">
      <c r="A2170" s="37">
        <v>45198</v>
      </c>
      <c r="B2170" s="18" t="s">
        <v>5341</v>
      </c>
      <c r="C2170" s="18" t="s">
        <v>5258</v>
      </c>
      <c r="D2170" s="18" t="s">
        <v>5259</v>
      </c>
      <c r="E2170" s="73">
        <v>18400</v>
      </c>
      <c r="F2170" s="114">
        <v>187500</v>
      </c>
      <c r="G2170" s="73">
        <v>39375</v>
      </c>
      <c r="H2170" s="73">
        <v>245275</v>
      </c>
      <c r="I2170" s="28" t="s">
        <v>19</v>
      </c>
      <c r="J2170" s="43"/>
    </row>
    <row r="2171" spans="1:10" customFormat="1" ht="15" hidden="1" customHeight="1" x14ac:dyDescent="0.25">
      <c r="A2171" s="37">
        <v>45198</v>
      </c>
      <c r="B2171" s="18" t="s">
        <v>5342</v>
      </c>
      <c r="C2171" s="18" t="s">
        <v>2921</v>
      </c>
      <c r="D2171" s="18" t="s">
        <v>2922</v>
      </c>
      <c r="E2171" s="73">
        <v>9200</v>
      </c>
      <c r="F2171" s="114">
        <v>93750</v>
      </c>
      <c r="G2171" s="73">
        <v>19687.5</v>
      </c>
      <c r="H2171" s="73">
        <v>122637.5</v>
      </c>
      <c r="I2171" s="28" t="s">
        <v>19</v>
      </c>
      <c r="J2171" s="43"/>
    </row>
    <row r="2172" spans="1:10" customFormat="1" ht="15" hidden="1" customHeight="1" x14ac:dyDescent="0.25">
      <c r="A2172" s="37">
        <v>45198</v>
      </c>
      <c r="B2172" s="18" t="s">
        <v>5343</v>
      </c>
      <c r="C2172" s="18" t="s">
        <v>2921</v>
      </c>
      <c r="D2172" s="18" t="s">
        <v>2922</v>
      </c>
      <c r="E2172" s="73">
        <v>18400</v>
      </c>
      <c r="F2172" s="114">
        <v>187500</v>
      </c>
      <c r="G2172" s="73">
        <v>39375</v>
      </c>
      <c r="H2172" s="73">
        <v>245275</v>
      </c>
      <c r="I2172" s="28" t="s">
        <v>19</v>
      </c>
      <c r="J2172" s="43"/>
    </row>
    <row r="2173" spans="1:10" customFormat="1" ht="15" hidden="1" customHeight="1" x14ac:dyDescent="0.25">
      <c r="A2173" s="37">
        <v>45198</v>
      </c>
      <c r="B2173" s="18" t="s">
        <v>5344</v>
      </c>
      <c r="C2173" s="18" t="s">
        <v>3627</v>
      </c>
      <c r="D2173" s="18" t="s">
        <v>3628</v>
      </c>
      <c r="E2173" s="73">
        <v>6640</v>
      </c>
      <c r="F2173" s="114">
        <v>148438</v>
      </c>
      <c r="G2173" s="73">
        <v>31171.98</v>
      </c>
      <c r="H2173" s="73">
        <v>186249.98</v>
      </c>
      <c r="I2173" s="28" t="s">
        <v>19</v>
      </c>
      <c r="J2173" s="43"/>
    </row>
    <row r="2174" spans="1:10" customFormat="1" ht="15" hidden="1" customHeight="1" x14ac:dyDescent="0.25">
      <c r="A2174" s="37">
        <v>45198</v>
      </c>
      <c r="B2174" s="18" t="s">
        <v>5345</v>
      </c>
      <c r="C2174" s="18" t="s">
        <v>5346</v>
      </c>
      <c r="D2174" s="18" t="s">
        <v>5347</v>
      </c>
      <c r="E2174" s="73">
        <v>0</v>
      </c>
      <c r="F2174" s="114">
        <v>65625</v>
      </c>
      <c r="G2174" s="73">
        <v>13781.25</v>
      </c>
      <c r="H2174" s="73">
        <v>79406.25</v>
      </c>
      <c r="I2174" s="28" t="s">
        <v>19</v>
      </c>
      <c r="J2174" s="43"/>
    </row>
    <row r="2175" spans="1:10" customFormat="1" ht="15" hidden="1" customHeight="1" x14ac:dyDescent="0.25">
      <c r="A2175" s="37">
        <v>45198</v>
      </c>
      <c r="B2175" s="18" t="s">
        <v>5348</v>
      </c>
      <c r="C2175" s="18" t="s">
        <v>1140</v>
      </c>
      <c r="D2175" s="18" t="s">
        <v>1141</v>
      </c>
      <c r="E2175" s="73">
        <v>10500</v>
      </c>
      <c r="F2175" s="114">
        <v>193750</v>
      </c>
      <c r="G2175" s="73">
        <v>40687.5</v>
      </c>
      <c r="H2175" s="73">
        <v>244937.5</v>
      </c>
      <c r="I2175" s="28" t="s">
        <v>19</v>
      </c>
      <c r="J2175" s="43"/>
    </row>
    <row r="2176" spans="1:10" customFormat="1" ht="15" hidden="1" customHeight="1" x14ac:dyDescent="0.25">
      <c r="A2176" s="37">
        <v>45198</v>
      </c>
      <c r="B2176" s="18" t="s">
        <v>5349</v>
      </c>
      <c r="C2176" s="18" t="s">
        <v>2921</v>
      </c>
      <c r="D2176" s="18" t="s">
        <v>2922</v>
      </c>
      <c r="E2176" s="73">
        <v>12500</v>
      </c>
      <c r="F2176" s="114">
        <v>221430</v>
      </c>
      <c r="G2176" s="73">
        <v>46500.3</v>
      </c>
      <c r="H2176" s="73">
        <v>280430.3</v>
      </c>
      <c r="I2176" s="28" t="s">
        <v>19</v>
      </c>
      <c r="J2176" s="43"/>
    </row>
    <row r="2177" spans="1:10" customFormat="1" ht="15" hidden="1" customHeight="1" x14ac:dyDescent="0.25">
      <c r="A2177" s="37">
        <v>45198</v>
      </c>
      <c r="B2177" s="18" t="s">
        <v>5350</v>
      </c>
      <c r="C2177" s="18" t="s">
        <v>2921</v>
      </c>
      <c r="D2177" s="18" t="s">
        <v>2922</v>
      </c>
      <c r="E2177" s="73">
        <v>12500</v>
      </c>
      <c r="F2177" s="114">
        <v>221430</v>
      </c>
      <c r="G2177" s="73">
        <v>46500.3</v>
      </c>
      <c r="H2177" s="73">
        <v>280430.3</v>
      </c>
      <c r="I2177" s="28" t="s">
        <v>19</v>
      </c>
      <c r="J2177" s="43"/>
    </row>
    <row r="2178" spans="1:10" customFormat="1" ht="15" hidden="1" customHeight="1" x14ac:dyDescent="0.25">
      <c r="A2178" s="37">
        <v>45198</v>
      </c>
      <c r="B2178" s="18" t="s">
        <v>5351</v>
      </c>
      <c r="C2178" s="18" t="s">
        <v>3011</v>
      </c>
      <c r="D2178" s="18" t="s">
        <v>3012</v>
      </c>
      <c r="E2178" s="73">
        <v>42000</v>
      </c>
      <c r="F2178" s="114">
        <v>640625</v>
      </c>
      <c r="G2178" s="73">
        <v>134531.25</v>
      </c>
      <c r="H2178" s="73">
        <v>817156.25</v>
      </c>
      <c r="I2178" s="28" t="s">
        <v>19</v>
      </c>
      <c r="J2178" s="43"/>
    </row>
    <row r="2179" spans="1:10" customFormat="1" ht="15" hidden="1" customHeight="1" x14ac:dyDescent="0.25">
      <c r="A2179" s="37">
        <v>45198</v>
      </c>
      <c r="B2179" s="18" t="s">
        <v>5352</v>
      </c>
      <c r="C2179" s="18" t="s">
        <v>2909</v>
      </c>
      <c r="D2179" s="18" t="s">
        <v>2910</v>
      </c>
      <c r="E2179" s="73">
        <v>8000</v>
      </c>
      <c r="F2179" s="114">
        <v>192187.5</v>
      </c>
      <c r="G2179" s="73">
        <v>40359.370000000003</v>
      </c>
      <c r="H2179" s="73">
        <v>240546.87</v>
      </c>
      <c r="I2179" s="28" t="s">
        <v>19</v>
      </c>
      <c r="J2179" s="43"/>
    </row>
    <row r="2180" spans="1:10" customFormat="1" ht="15" hidden="1" customHeight="1" x14ac:dyDescent="0.25">
      <c r="A2180" s="37">
        <v>45198</v>
      </c>
      <c r="B2180" s="18" t="s">
        <v>5353</v>
      </c>
      <c r="C2180" s="18" t="s">
        <v>3335</v>
      </c>
      <c r="D2180" s="18" t="s">
        <v>3336</v>
      </c>
      <c r="E2180" s="73">
        <v>0</v>
      </c>
      <c r="F2180" s="114">
        <v>76562</v>
      </c>
      <c r="G2180" s="73">
        <v>16078.02</v>
      </c>
      <c r="H2180" s="73">
        <v>92640.02</v>
      </c>
      <c r="I2180" s="28" t="s">
        <v>19</v>
      </c>
      <c r="J2180" s="43"/>
    </row>
    <row r="2181" spans="1:10" customFormat="1" ht="15" hidden="1" customHeight="1" x14ac:dyDescent="0.25">
      <c r="A2181" s="37">
        <v>45198</v>
      </c>
      <c r="B2181" s="18" t="s">
        <v>5354</v>
      </c>
      <c r="C2181" s="18" t="s">
        <v>2903</v>
      </c>
      <c r="D2181" s="18" t="s">
        <v>2904</v>
      </c>
      <c r="E2181" s="73">
        <v>0</v>
      </c>
      <c r="F2181" s="114">
        <v>45000</v>
      </c>
      <c r="G2181" s="73">
        <v>9450</v>
      </c>
      <c r="H2181" s="73">
        <v>54450</v>
      </c>
      <c r="I2181" s="28" t="s">
        <v>19</v>
      </c>
      <c r="J2181" s="43"/>
    </row>
    <row r="2182" spans="1:10" customFormat="1" ht="15" hidden="1" customHeight="1" x14ac:dyDescent="0.25">
      <c r="A2182" s="37">
        <v>45198</v>
      </c>
      <c r="B2182" s="18" t="s">
        <v>5355</v>
      </c>
      <c r="C2182" s="18" t="s">
        <v>2921</v>
      </c>
      <c r="D2182" s="18" t="s">
        <v>2922</v>
      </c>
      <c r="E2182" s="73">
        <v>0</v>
      </c>
      <c r="F2182" s="114">
        <v>35000</v>
      </c>
      <c r="G2182" s="73">
        <v>7350</v>
      </c>
      <c r="H2182" s="73">
        <v>42350</v>
      </c>
      <c r="I2182" s="28" t="s">
        <v>19</v>
      </c>
      <c r="J2182" s="43"/>
    </row>
    <row r="2183" spans="1:10" customFormat="1" ht="15" hidden="1" customHeight="1" x14ac:dyDescent="0.25">
      <c r="A2183" s="37">
        <v>45198</v>
      </c>
      <c r="B2183" s="18" t="s">
        <v>5356</v>
      </c>
      <c r="C2183" s="18" t="s">
        <v>3029</v>
      </c>
      <c r="D2183" s="18" t="s">
        <v>3030</v>
      </c>
      <c r="E2183" s="73">
        <v>9200</v>
      </c>
      <c r="F2183" s="114">
        <v>84375</v>
      </c>
      <c r="G2183" s="73">
        <v>17718.75</v>
      </c>
      <c r="H2183" s="73">
        <v>111293.75</v>
      </c>
      <c r="I2183" s="28" t="s">
        <v>19</v>
      </c>
      <c r="J2183" s="43"/>
    </row>
    <row r="2184" spans="1:10" customFormat="1" ht="15" hidden="1" customHeight="1" x14ac:dyDescent="0.25">
      <c r="A2184" s="37">
        <v>45198</v>
      </c>
      <c r="B2184" s="18" t="s">
        <v>5357</v>
      </c>
      <c r="C2184" s="18" t="s">
        <v>3029</v>
      </c>
      <c r="D2184" s="18" t="s">
        <v>3030</v>
      </c>
      <c r="E2184" s="73">
        <v>9200</v>
      </c>
      <c r="F2184" s="114">
        <v>84375</v>
      </c>
      <c r="G2184" s="73">
        <v>17718.75</v>
      </c>
      <c r="H2184" s="73">
        <v>111293.75</v>
      </c>
      <c r="I2184" s="28" t="s">
        <v>19</v>
      </c>
      <c r="J2184" s="43"/>
    </row>
    <row r="2185" spans="1:10" customFormat="1" ht="15" hidden="1" customHeight="1" x14ac:dyDescent="0.25">
      <c r="A2185" s="37">
        <v>45198</v>
      </c>
      <c r="B2185" s="18" t="s">
        <v>5358</v>
      </c>
      <c r="C2185" s="18" t="s">
        <v>5359</v>
      </c>
      <c r="D2185" s="18" t="s">
        <v>5360</v>
      </c>
      <c r="E2185" s="73">
        <v>34800</v>
      </c>
      <c r="F2185" s="114">
        <v>281250</v>
      </c>
      <c r="G2185" s="73">
        <v>59062.5</v>
      </c>
      <c r="H2185" s="73">
        <v>375112.5</v>
      </c>
      <c r="I2185" s="28" t="s">
        <v>19</v>
      </c>
      <c r="J2185" s="43"/>
    </row>
    <row r="2186" spans="1:10" customFormat="1" ht="15" hidden="1" customHeight="1" x14ac:dyDescent="0.25">
      <c r="A2186" s="37">
        <v>45198</v>
      </c>
      <c r="B2186" s="18" t="s">
        <v>5361</v>
      </c>
      <c r="C2186" s="18" t="s">
        <v>2954</v>
      </c>
      <c r="D2186" s="18" t="s">
        <v>2955</v>
      </c>
      <c r="E2186" s="73">
        <v>6000</v>
      </c>
      <c r="F2186" s="114">
        <v>192187.5</v>
      </c>
      <c r="G2186" s="73">
        <v>40359.370000000003</v>
      </c>
      <c r="H2186" s="73">
        <v>238546.87</v>
      </c>
      <c r="I2186" s="28" t="s">
        <v>19</v>
      </c>
      <c r="J2186" s="43"/>
    </row>
    <row r="2187" spans="1:10" customFormat="1" ht="15" hidden="1" customHeight="1" x14ac:dyDescent="0.25">
      <c r="A2187" s="37">
        <v>45198</v>
      </c>
      <c r="B2187" s="18" t="s">
        <v>5362</v>
      </c>
      <c r="C2187" s="18" t="s">
        <v>2909</v>
      </c>
      <c r="D2187" s="18" t="s">
        <v>2910</v>
      </c>
      <c r="E2187" s="73">
        <v>9200</v>
      </c>
      <c r="F2187" s="114">
        <v>256250</v>
      </c>
      <c r="G2187" s="73">
        <v>53812.5</v>
      </c>
      <c r="H2187" s="73">
        <v>319262.5</v>
      </c>
      <c r="I2187" s="28" t="s">
        <v>19</v>
      </c>
      <c r="J2187" s="43"/>
    </row>
    <row r="2188" spans="1:10" customFormat="1" ht="15" hidden="1" customHeight="1" x14ac:dyDescent="0.25">
      <c r="A2188" s="37">
        <v>45198</v>
      </c>
      <c r="B2188" s="18" t="s">
        <v>5363</v>
      </c>
      <c r="C2188" s="18" t="s">
        <v>2909</v>
      </c>
      <c r="D2188" s="18" t="s">
        <v>2910</v>
      </c>
      <c r="E2188" s="73">
        <v>11000</v>
      </c>
      <c r="F2188" s="114">
        <v>256250</v>
      </c>
      <c r="G2188" s="73">
        <v>53812.5</v>
      </c>
      <c r="H2188" s="73">
        <v>321062.5</v>
      </c>
      <c r="I2188" s="28" t="s">
        <v>19</v>
      </c>
      <c r="J2188" s="43"/>
    </row>
    <row r="2189" spans="1:10" customFormat="1" ht="15" hidden="1" customHeight="1" x14ac:dyDescent="0.25">
      <c r="A2189" s="37">
        <v>45198</v>
      </c>
      <c r="B2189" s="18" t="s">
        <v>5364</v>
      </c>
      <c r="C2189" s="18" t="s">
        <v>2909</v>
      </c>
      <c r="D2189" s="18" t="s">
        <v>2910</v>
      </c>
      <c r="E2189" s="73">
        <v>14500</v>
      </c>
      <c r="F2189" s="114">
        <v>256250</v>
      </c>
      <c r="G2189" s="73">
        <v>53812.5</v>
      </c>
      <c r="H2189" s="73">
        <v>324562.5</v>
      </c>
      <c r="I2189" s="28" t="s">
        <v>19</v>
      </c>
      <c r="J2189" s="43"/>
    </row>
    <row r="2190" spans="1:10" customFormat="1" ht="15" hidden="1" customHeight="1" x14ac:dyDescent="0.25">
      <c r="A2190" s="37">
        <v>45198</v>
      </c>
      <c r="B2190" s="18" t="s">
        <v>5365</v>
      </c>
      <c r="C2190" s="18" t="s">
        <v>2903</v>
      </c>
      <c r="D2190" s="18" t="s">
        <v>2904</v>
      </c>
      <c r="E2190" s="73">
        <v>9200</v>
      </c>
      <c r="F2190" s="114">
        <v>93750</v>
      </c>
      <c r="G2190" s="73">
        <v>19687.5</v>
      </c>
      <c r="H2190" s="73">
        <v>122637.5</v>
      </c>
      <c r="I2190" s="28" t="s">
        <v>19</v>
      </c>
      <c r="J2190" s="43"/>
    </row>
    <row r="2191" spans="1:10" customFormat="1" ht="15" hidden="1" customHeight="1" x14ac:dyDescent="0.25">
      <c r="A2191" s="37">
        <v>45198</v>
      </c>
      <c r="B2191" s="18" t="s">
        <v>5366</v>
      </c>
      <c r="C2191" s="18" t="s">
        <v>5258</v>
      </c>
      <c r="D2191" s="18" t="s">
        <v>5259</v>
      </c>
      <c r="E2191" s="73">
        <v>18400</v>
      </c>
      <c r="F2191" s="114">
        <v>187500</v>
      </c>
      <c r="G2191" s="73">
        <v>39375</v>
      </c>
      <c r="H2191" s="73">
        <v>245275</v>
      </c>
      <c r="I2191" s="28" t="s">
        <v>19</v>
      </c>
      <c r="J2191" s="43"/>
    </row>
    <row r="2192" spans="1:10" customFormat="1" ht="15" hidden="1" customHeight="1" x14ac:dyDescent="0.25">
      <c r="A2192" s="37">
        <v>45198</v>
      </c>
      <c r="B2192" s="18" t="s">
        <v>5367</v>
      </c>
      <c r="C2192" s="18" t="s">
        <v>2954</v>
      </c>
      <c r="D2192" s="18" t="s">
        <v>2955</v>
      </c>
      <c r="E2192" s="73">
        <v>9200</v>
      </c>
      <c r="F2192" s="114">
        <v>84375</v>
      </c>
      <c r="G2192" s="73">
        <v>17718.75</v>
      </c>
      <c r="H2192" s="73">
        <v>111293.75</v>
      </c>
      <c r="I2192" s="28" t="s">
        <v>19</v>
      </c>
      <c r="J2192" s="43"/>
    </row>
    <row r="2193" spans="1:10" customFormat="1" ht="15" hidden="1" customHeight="1" x14ac:dyDescent="0.25">
      <c r="A2193" s="37">
        <v>45198</v>
      </c>
      <c r="B2193" s="18" t="s">
        <v>5368</v>
      </c>
      <c r="C2193" s="18" t="s">
        <v>2927</v>
      </c>
      <c r="D2193" s="18" t="s">
        <v>2928</v>
      </c>
      <c r="E2193" s="73">
        <v>9200</v>
      </c>
      <c r="F2193" s="114">
        <v>93750</v>
      </c>
      <c r="G2193" s="73">
        <v>19687.5</v>
      </c>
      <c r="H2193" s="73">
        <v>122637.5</v>
      </c>
      <c r="I2193" s="28" t="s">
        <v>19</v>
      </c>
      <c r="J2193" s="43"/>
    </row>
    <row r="2194" spans="1:10" customFormat="1" ht="15" hidden="1" customHeight="1" x14ac:dyDescent="0.25">
      <c r="A2194" s="37">
        <v>45198</v>
      </c>
      <c r="B2194" s="18" t="s">
        <v>5369</v>
      </c>
      <c r="C2194" s="18" t="s">
        <v>1140</v>
      </c>
      <c r="D2194" s="18" t="s">
        <v>1141</v>
      </c>
      <c r="E2194" s="73">
        <v>18400</v>
      </c>
      <c r="F2194" s="114">
        <v>187500</v>
      </c>
      <c r="G2194" s="73">
        <v>39375</v>
      </c>
      <c r="H2194" s="73">
        <v>245275</v>
      </c>
      <c r="I2194" s="28" t="s">
        <v>19</v>
      </c>
      <c r="J2194" s="43"/>
    </row>
    <row r="2195" spans="1:10" customFormat="1" ht="15" hidden="1" customHeight="1" x14ac:dyDescent="0.25">
      <c r="A2195" s="37">
        <v>45198</v>
      </c>
      <c r="B2195" s="18" t="s">
        <v>5370</v>
      </c>
      <c r="C2195" s="18" t="s">
        <v>2851</v>
      </c>
      <c r="D2195" s="18" t="s">
        <v>2852</v>
      </c>
      <c r="E2195" s="73">
        <v>9200</v>
      </c>
      <c r="F2195" s="114">
        <v>140625</v>
      </c>
      <c r="G2195" s="73">
        <v>29531.25</v>
      </c>
      <c r="H2195" s="73">
        <v>179356.25</v>
      </c>
      <c r="I2195" s="28" t="s">
        <v>19</v>
      </c>
      <c r="J2195" s="43"/>
    </row>
    <row r="2196" spans="1:10" customFormat="1" ht="15" hidden="1" customHeight="1" x14ac:dyDescent="0.25">
      <c r="A2196" s="37">
        <v>45198</v>
      </c>
      <c r="B2196" s="18" t="s">
        <v>5371</v>
      </c>
      <c r="C2196" s="18" t="s">
        <v>2851</v>
      </c>
      <c r="D2196" s="18" t="s">
        <v>2852</v>
      </c>
      <c r="E2196" s="73">
        <v>6000</v>
      </c>
      <c r="F2196" s="114">
        <v>387500</v>
      </c>
      <c r="G2196" s="73">
        <v>81375</v>
      </c>
      <c r="H2196" s="73">
        <v>474875</v>
      </c>
      <c r="I2196" s="28" t="s">
        <v>19</v>
      </c>
      <c r="J2196" s="43"/>
    </row>
    <row r="2197" spans="1:10" customFormat="1" ht="15" hidden="1" customHeight="1" x14ac:dyDescent="0.25">
      <c r="A2197" s="37">
        <v>45198</v>
      </c>
      <c r="B2197" s="18" t="s">
        <v>5372</v>
      </c>
      <c r="C2197" s="18" t="s">
        <v>2927</v>
      </c>
      <c r="D2197" s="18" t="s">
        <v>2928</v>
      </c>
      <c r="E2197" s="73">
        <v>9200</v>
      </c>
      <c r="F2197" s="114">
        <v>93750</v>
      </c>
      <c r="G2197" s="73">
        <v>19687.5</v>
      </c>
      <c r="H2197" s="73">
        <v>122637.5</v>
      </c>
      <c r="I2197" s="28" t="s">
        <v>19</v>
      </c>
      <c r="J2197" s="43"/>
    </row>
    <row r="2198" spans="1:10" customFormat="1" ht="15" hidden="1" customHeight="1" x14ac:dyDescent="0.25">
      <c r="A2198" s="57">
        <v>45198</v>
      </c>
      <c r="B2198" s="123" t="s">
        <v>5373</v>
      </c>
      <c r="C2198" s="123" t="s">
        <v>2927</v>
      </c>
      <c r="D2198" s="123" t="s">
        <v>2928</v>
      </c>
      <c r="E2198" s="124">
        <v>9200</v>
      </c>
      <c r="F2198" s="125">
        <v>93750</v>
      </c>
      <c r="G2198" s="124">
        <v>19687.5</v>
      </c>
      <c r="H2198" s="124">
        <v>122637.5</v>
      </c>
      <c r="I2198" s="59" t="s">
        <v>19</v>
      </c>
      <c r="J2198" s="43"/>
    </row>
    <row r="2199" spans="1:10" ht="15" hidden="1" customHeight="1" x14ac:dyDescent="0.25">
      <c r="A2199" s="127">
        <v>45198</v>
      </c>
      <c r="B2199" s="128" t="s">
        <v>5374</v>
      </c>
      <c r="C2199" s="128" t="s">
        <v>2895</v>
      </c>
      <c r="D2199" s="128" t="s">
        <v>2896</v>
      </c>
      <c r="E2199" s="129">
        <v>9200</v>
      </c>
      <c r="F2199" s="130">
        <v>84375</v>
      </c>
      <c r="G2199" s="129">
        <v>17718.75</v>
      </c>
      <c r="H2199" s="129">
        <v>111293.75</v>
      </c>
      <c r="I2199" s="121" t="s">
        <v>19</v>
      </c>
      <c r="J2199" s="43"/>
    </row>
    <row r="2200" spans="1:10" customFormat="1" ht="15" hidden="1" customHeight="1" x14ac:dyDescent="0.25">
      <c r="A2200" s="126">
        <v>45198</v>
      </c>
      <c r="B2200" s="123" t="s">
        <v>5375</v>
      </c>
      <c r="C2200" s="123" t="s">
        <v>3079</v>
      </c>
      <c r="D2200" s="123" t="s">
        <v>3080</v>
      </c>
      <c r="E2200" s="124">
        <v>3000</v>
      </c>
      <c r="F2200" s="125">
        <v>65625</v>
      </c>
      <c r="G2200" s="124">
        <v>13781.25</v>
      </c>
      <c r="H2200" s="124">
        <v>82406.25</v>
      </c>
      <c r="I2200" s="55" t="s">
        <v>19</v>
      </c>
      <c r="J2200" s="43"/>
    </row>
    <row r="2201" spans="1:10" customFormat="1" ht="15" hidden="1" customHeight="1" x14ac:dyDescent="0.25">
      <c r="A2201" s="37">
        <v>45198</v>
      </c>
      <c r="B2201" s="18" t="s">
        <v>5376</v>
      </c>
      <c r="C2201" s="18" t="s">
        <v>2942</v>
      </c>
      <c r="D2201" s="18" t="s">
        <v>2943</v>
      </c>
      <c r="E2201" s="73">
        <v>9200</v>
      </c>
      <c r="F2201" s="114">
        <v>84375</v>
      </c>
      <c r="G2201" s="73">
        <v>17718.75</v>
      </c>
      <c r="H2201" s="73">
        <v>111293.75</v>
      </c>
      <c r="I2201" s="28" t="s">
        <v>19</v>
      </c>
      <c r="J2201" s="43"/>
    </row>
    <row r="2202" spans="1:10" customFormat="1" ht="15" hidden="1" customHeight="1" x14ac:dyDescent="0.25">
      <c r="A2202" s="37">
        <v>45198</v>
      </c>
      <c r="B2202" s="18" t="s">
        <v>5377</v>
      </c>
      <c r="C2202" s="18" t="s">
        <v>5359</v>
      </c>
      <c r="D2202" s="18" t="s">
        <v>5360</v>
      </c>
      <c r="E2202" s="73">
        <v>18400</v>
      </c>
      <c r="F2202" s="114">
        <v>168750</v>
      </c>
      <c r="G2202" s="73">
        <v>35437.5</v>
      </c>
      <c r="H2202" s="73">
        <v>222587.5</v>
      </c>
      <c r="I2202" s="28" t="s">
        <v>19</v>
      </c>
      <c r="J2202" s="43"/>
    </row>
    <row r="2203" spans="1:10" customFormat="1" ht="15" hidden="1" customHeight="1" x14ac:dyDescent="0.25">
      <c r="A2203" s="37">
        <v>45198</v>
      </c>
      <c r="B2203" s="18" t="s">
        <v>5378</v>
      </c>
      <c r="C2203" s="18" t="s">
        <v>3014</v>
      </c>
      <c r="D2203" s="18" t="s">
        <v>3015</v>
      </c>
      <c r="E2203" s="73">
        <v>18400</v>
      </c>
      <c r="F2203" s="114">
        <v>168750</v>
      </c>
      <c r="G2203" s="73">
        <v>35437.5</v>
      </c>
      <c r="H2203" s="73">
        <v>222587.5</v>
      </c>
      <c r="I2203" s="28" t="s">
        <v>19</v>
      </c>
      <c r="J2203" s="43"/>
    </row>
    <row r="2204" spans="1:10" customFormat="1" ht="15" hidden="1" customHeight="1" x14ac:dyDescent="0.25">
      <c r="A2204" s="37">
        <v>45198</v>
      </c>
      <c r="B2204" s="18" t="s">
        <v>5379</v>
      </c>
      <c r="C2204" s="18" t="s">
        <v>3326</v>
      </c>
      <c r="D2204" s="18" t="s">
        <v>3327</v>
      </c>
      <c r="E2204" s="73">
        <v>0</v>
      </c>
      <c r="F2204" s="114">
        <v>215625</v>
      </c>
      <c r="G2204" s="73">
        <v>45281.25</v>
      </c>
      <c r="H2204" s="73">
        <v>260906.25</v>
      </c>
      <c r="I2204" s="28" t="s">
        <v>19</v>
      </c>
      <c r="J2204" s="43"/>
    </row>
    <row r="2205" spans="1:10" customFormat="1" ht="15" hidden="1" customHeight="1" x14ac:dyDescent="0.25">
      <c r="A2205" s="37">
        <v>45198</v>
      </c>
      <c r="B2205" s="18" t="s">
        <v>5380</v>
      </c>
      <c r="C2205" s="18" t="s">
        <v>2972</v>
      </c>
      <c r="D2205" s="18" t="s">
        <v>2973</v>
      </c>
      <c r="E2205" s="73">
        <v>7000</v>
      </c>
      <c r="F2205" s="114">
        <v>240625</v>
      </c>
      <c r="G2205" s="73">
        <v>50531.25</v>
      </c>
      <c r="H2205" s="73">
        <v>298156.25</v>
      </c>
      <c r="I2205" s="28" t="s">
        <v>19</v>
      </c>
      <c r="J2205" s="43"/>
    </row>
    <row r="2206" spans="1:10" customFormat="1" ht="15" hidden="1" customHeight="1" x14ac:dyDescent="0.25">
      <c r="A2206" s="37">
        <v>45198</v>
      </c>
      <c r="B2206" s="18" t="s">
        <v>5381</v>
      </c>
      <c r="C2206" s="18" t="s">
        <v>2964</v>
      </c>
      <c r="D2206" s="18" t="s">
        <v>2965</v>
      </c>
      <c r="E2206" s="73">
        <v>9200</v>
      </c>
      <c r="F2206" s="114">
        <v>148125</v>
      </c>
      <c r="G2206" s="73">
        <v>31106.25</v>
      </c>
      <c r="H2206" s="73">
        <v>188431.25</v>
      </c>
      <c r="I2206" s="28" t="s">
        <v>19</v>
      </c>
      <c r="J2206" s="43"/>
    </row>
    <row r="2207" spans="1:10" customFormat="1" ht="15" hidden="1" customHeight="1" x14ac:dyDescent="0.25">
      <c r="A2207" s="37">
        <v>45198</v>
      </c>
      <c r="B2207" s="18" t="s">
        <v>5382</v>
      </c>
      <c r="C2207" s="18" t="s">
        <v>2964</v>
      </c>
      <c r="D2207" s="18" t="s">
        <v>2965</v>
      </c>
      <c r="E2207" s="73">
        <v>9200</v>
      </c>
      <c r="F2207" s="114">
        <v>148125</v>
      </c>
      <c r="G2207" s="73">
        <v>31106.25</v>
      </c>
      <c r="H2207" s="73">
        <v>188431.25</v>
      </c>
      <c r="I2207" s="28" t="s">
        <v>19</v>
      </c>
      <c r="J2207" s="43"/>
    </row>
    <row r="2208" spans="1:10" customFormat="1" ht="15" hidden="1" customHeight="1" x14ac:dyDescent="0.25">
      <c r="A2208" s="37">
        <v>45198</v>
      </c>
      <c r="B2208" s="18" t="s">
        <v>5383</v>
      </c>
      <c r="C2208" s="18" t="s">
        <v>2964</v>
      </c>
      <c r="D2208" s="18" t="s">
        <v>2965</v>
      </c>
      <c r="E2208" s="73">
        <v>9200</v>
      </c>
      <c r="F2208" s="114">
        <v>148125</v>
      </c>
      <c r="G2208" s="73">
        <v>31106.25</v>
      </c>
      <c r="H2208" s="73">
        <v>188431.25</v>
      </c>
      <c r="I2208" s="28" t="s">
        <v>19</v>
      </c>
      <c r="J2208" s="43"/>
    </row>
    <row r="2209" spans="1:10" customFormat="1" ht="15" hidden="1" customHeight="1" x14ac:dyDescent="0.25">
      <c r="A2209" s="37">
        <v>45198</v>
      </c>
      <c r="B2209" s="18" t="s">
        <v>5384</v>
      </c>
      <c r="C2209" s="18" t="s">
        <v>2903</v>
      </c>
      <c r="D2209" s="18" t="s">
        <v>2904</v>
      </c>
      <c r="E2209" s="73">
        <v>9200</v>
      </c>
      <c r="F2209" s="114">
        <v>148125</v>
      </c>
      <c r="G2209" s="73">
        <v>31106.25</v>
      </c>
      <c r="H2209" s="73">
        <v>188431.25</v>
      </c>
      <c r="I2209" s="28" t="s">
        <v>19</v>
      </c>
      <c r="J2209" s="43"/>
    </row>
    <row r="2210" spans="1:10" customFormat="1" ht="15" hidden="1" customHeight="1" x14ac:dyDescent="0.25">
      <c r="A2210" s="37">
        <v>45198</v>
      </c>
      <c r="B2210" s="18" t="s">
        <v>5385</v>
      </c>
      <c r="C2210" s="18" t="s">
        <v>2921</v>
      </c>
      <c r="D2210" s="18" t="s">
        <v>2922</v>
      </c>
      <c r="E2210" s="73">
        <v>18400</v>
      </c>
      <c r="F2210" s="114">
        <v>187500</v>
      </c>
      <c r="G2210" s="73">
        <v>39375</v>
      </c>
      <c r="H2210" s="73">
        <v>245275</v>
      </c>
      <c r="I2210" s="28" t="s">
        <v>19</v>
      </c>
      <c r="J2210" s="43"/>
    </row>
    <row r="2211" spans="1:10" customFormat="1" ht="15" hidden="1" customHeight="1" x14ac:dyDescent="0.25">
      <c r="A2211" s="37">
        <v>45198</v>
      </c>
      <c r="B2211" s="18" t="s">
        <v>5386</v>
      </c>
      <c r="C2211" s="18" t="s">
        <v>2921</v>
      </c>
      <c r="D2211" s="18" t="s">
        <v>2922</v>
      </c>
      <c r="E2211" s="73">
        <v>18400</v>
      </c>
      <c r="F2211" s="114">
        <v>187500</v>
      </c>
      <c r="G2211" s="73">
        <v>39375</v>
      </c>
      <c r="H2211" s="73">
        <v>245275</v>
      </c>
      <c r="I2211" s="28" t="s">
        <v>19</v>
      </c>
      <c r="J2211" s="43"/>
    </row>
    <row r="2212" spans="1:10" customFormat="1" ht="15" hidden="1" customHeight="1" x14ac:dyDescent="0.25">
      <c r="A2212" s="37">
        <v>45198</v>
      </c>
      <c r="B2212" s="18" t="s">
        <v>5387</v>
      </c>
      <c r="C2212" s="18" t="s">
        <v>2921</v>
      </c>
      <c r="D2212" s="18" t="s">
        <v>2922</v>
      </c>
      <c r="E2212" s="73">
        <v>9200</v>
      </c>
      <c r="F2212" s="114">
        <v>93750</v>
      </c>
      <c r="G2212" s="73">
        <v>19687.5</v>
      </c>
      <c r="H2212" s="73">
        <v>122637.5</v>
      </c>
      <c r="I2212" s="28" t="s">
        <v>19</v>
      </c>
      <c r="J2212" s="43"/>
    </row>
    <row r="2213" spans="1:10" customFormat="1" ht="15" hidden="1" customHeight="1" x14ac:dyDescent="0.25">
      <c r="A2213" s="37">
        <v>45198</v>
      </c>
      <c r="B2213" s="18" t="s">
        <v>5388</v>
      </c>
      <c r="C2213" s="18" t="s">
        <v>3029</v>
      </c>
      <c r="D2213" s="18" t="s">
        <v>3030</v>
      </c>
      <c r="E2213" s="73">
        <v>9200</v>
      </c>
      <c r="F2213" s="114">
        <v>93750</v>
      </c>
      <c r="G2213" s="73">
        <v>19687.5</v>
      </c>
      <c r="H2213" s="73">
        <v>122637.5</v>
      </c>
      <c r="I2213" s="28" t="s">
        <v>19</v>
      </c>
      <c r="J2213" s="43"/>
    </row>
    <row r="2214" spans="1:10" customFormat="1" ht="15" hidden="1" customHeight="1" x14ac:dyDescent="0.25">
      <c r="A2214" s="37">
        <v>45198</v>
      </c>
      <c r="B2214" s="18" t="s">
        <v>5389</v>
      </c>
      <c r="C2214" s="18" t="s">
        <v>3235</v>
      </c>
      <c r="D2214" s="18" t="s">
        <v>3236</v>
      </c>
      <c r="E2214" s="73">
        <v>46000</v>
      </c>
      <c r="F2214" s="114">
        <v>440625</v>
      </c>
      <c r="G2214" s="73">
        <v>92531.25</v>
      </c>
      <c r="H2214" s="73">
        <v>579156.25</v>
      </c>
      <c r="I2214" s="28" t="s">
        <v>19</v>
      </c>
      <c r="J2214" s="43"/>
    </row>
    <row r="2215" spans="1:10" customFormat="1" ht="15" hidden="1" customHeight="1" x14ac:dyDescent="0.25">
      <c r="A2215" s="37">
        <v>45198</v>
      </c>
      <c r="B2215" s="18" t="s">
        <v>5390</v>
      </c>
      <c r="C2215" s="18" t="s">
        <v>3241</v>
      </c>
      <c r="D2215" s="18" t="s">
        <v>3242</v>
      </c>
      <c r="E2215" s="73">
        <v>9200</v>
      </c>
      <c r="F2215" s="114">
        <v>148125</v>
      </c>
      <c r="G2215" s="73">
        <v>31106.25</v>
      </c>
      <c r="H2215" s="73">
        <v>188431.25</v>
      </c>
      <c r="I2215" s="28" t="s">
        <v>19</v>
      </c>
      <c r="J2215" s="43"/>
    </row>
    <row r="2216" spans="1:10" customFormat="1" ht="15" hidden="1" customHeight="1" x14ac:dyDescent="0.25">
      <c r="A2216" s="37">
        <v>45198</v>
      </c>
      <c r="B2216" s="18" t="s">
        <v>5391</v>
      </c>
      <c r="C2216" s="18" t="s">
        <v>3241</v>
      </c>
      <c r="D2216" s="18" t="s">
        <v>3242</v>
      </c>
      <c r="E2216" s="73">
        <v>9200</v>
      </c>
      <c r="F2216" s="114">
        <v>148125</v>
      </c>
      <c r="G2216" s="73">
        <v>31106.25</v>
      </c>
      <c r="H2216" s="73">
        <v>188431.25</v>
      </c>
      <c r="I2216" s="28" t="s">
        <v>19</v>
      </c>
      <c r="J2216" s="43"/>
    </row>
    <row r="2217" spans="1:10" customFormat="1" ht="15" hidden="1" customHeight="1" x14ac:dyDescent="0.25">
      <c r="A2217" s="37">
        <v>45198</v>
      </c>
      <c r="B2217" s="18" t="s">
        <v>5392</v>
      </c>
      <c r="C2217" s="18" t="s">
        <v>3241</v>
      </c>
      <c r="D2217" s="18" t="s">
        <v>3242</v>
      </c>
      <c r="E2217" s="73">
        <v>9200</v>
      </c>
      <c r="F2217" s="114">
        <v>148125</v>
      </c>
      <c r="G2217" s="73">
        <v>31106.25</v>
      </c>
      <c r="H2217" s="73">
        <v>188431.25</v>
      </c>
      <c r="I2217" s="28" t="s">
        <v>19</v>
      </c>
      <c r="J2217" s="43"/>
    </row>
    <row r="2218" spans="1:10" customFormat="1" ht="15" hidden="1" customHeight="1" x14ac:dyDescent="0.25">
      <c r="A2218" s="37">
        <v>45198</v>
      </c>
      <c r="B2218" s="18" t="s">
        <v>5393</v>
      </c>
      <c r="C2218" s="18" t="s">
        <v>3241</v>
      </c>
      <c r="D2218" s="18" t="s">
        <v>3242</v>
      </c>
      <c r="E2218" s="73">
        <v>9200</v>
      </c>
      <c r="F2218" s="114">
        <v>148125</v>
      </c>
      <c r="G2218" s="73">
        <v>31106.25</v>
      </c>
      <c r="H2218" s="73">
        <v>188431.25</v>
      </c>
      <c r="I2218" s="28" t="s">
        <v>19</v>
      </c>
      <c r="J2218" s="43"/>
    </row>
    <row r="2219" spans="1:10" customFormat="1" ht="15" hidden="1" customHeight="1" x14ac:dyDescent="0.25">
      <c r="A2219" s="40">
        <v>45198</v>
      </c>
      <c r="B2219" s="74" t="s">
        <v>5394</v>
      </c>
      <c r="C2219" s="74" t="s">
        <v>3272</v>
      </c>
      <c r="D2219" s="74" t="s">
        <v>3273</v>
      </c>
      <c r="E2219" s="73">
        <v>9200</v>
      </c>
      <c r="F2219" s="114">
        <v>148125</v>
      </c>
      <c r="G2219" s="73">
        <v>31106.25</v>
      </c>
      <c r="H2219" s="73">
        <v>188431.25</v>
      </c>
      <c r="I2219" s="41" t="s">
        <v>19</v>
      </c>
      <c r="J2219" s="49"/>
    </row>
    <row r="2220" spans="1:10" customFormat="1" ht="15" hidden="1" customHeight="1" x14ac:dyDescent="0.25">
      <c r="A2220" s="37">
        <v>45198</v>
      </c>
      <c r="B2220" s="18" t="s">
        <v>5395</v>
      </c>
      <c r="C2220" s="18" t="s">
        <v>2972</v>
      </c>
      <c r="D2220" s="18" t="s">
        <v>2973</v>
      </c>
      <c r="E2220" s="73">
        <v>10063.48</v>
      </c>
      <c r="F2220" s="114">
        <v>192187.5</v>
      </c>
      <c r="G2220" s="73">
        <v>40359.370000000003</v>
      </c>
      <c r="H2220" s="73">
        <v>242610.35</v>
      </c>
      <c r="I2220" s="28" t="s">
        <v>19</v>
      </c>
      <c r="J2220" s="43"/>
    </row>
    <row r="2221" spans="1:10" customFormat="1" ht="15" hidden="1" customHeight="1" x14ac:dyDescent="0.25">
      <c r="A2221" s="57">
        <v>45198</v>
      </c>
      <c r="B2221" s="123" t="s">
        <v>5396</v>
      </c>
      <c r="C2221" s="123" t="s">
        <v>2870</v>
      </c>
      <c r="D2221" s="123" t="s">
        <v>2871</v>
      </c>
      <c r="E2221" s="124">
        <v>8000</v>
      </c>
      <c r="F2221" s="125">
        <v>128125</v>
      </c>
      <c r="G2221" s="124">
        <v>26906.25</v>
      </c>
      <c r="H2221" s="124">
        <v>163031.25</v>
      </c>
      <c r="I2221" s="59" t="s">
        <v>19</v>
      </c>
      <c r="J2221" s="43"/>
    </row>
    <row r="2222" spans="1:10" customFormat="1" ht="15" hidden="1" customHeight="1" x14ac:dyDescent="0.25">
      <c r="A2222" s="147">
        <v>45198</v>
      </c>
      <c r="B2222" s="148" t="s">
        <v>5397</v>
      </c>
      <c r="C2222" s="148" t="s">
        <v>3132</v>
      </c>
      <c r="D2222" s="148" t="s">
        <v>3133</v>
      </c>
      <c r="E2222" s="149">
        <v>0</v>
      </c>
      <c r="F2222" s="150">
        <v>817939</v>
      </c>
      <c r="G2222" s="149">
        <v>171767.19</v>
      </c>
      <c r="H2222" s="149">
        <v>989706.19</v>
      </c>
      <c r="I2222" s="151" t="s">
        <v>103</v>
      </c>
      <c r="J2222" s="43"/>
    </row>
    <row r="2223" spans="1:10" ht="15" hidden="1" customHeight="1" x14ac:dyDescent="0.25">
      <c r="A2223" s="127">
        <v>45198</v>
      </c>
      <c r="B2223" s="128" t="s">
        <v>5398</v>
      </c>
      <c r="C2223" s="128" t="s">
        <v>2895</v>
      </c>
      <c r="D2223" s="128" t="s">
        <v>2896</v>
      </c>
      <c r="E2223" s="129">
        <v>0</v>
      </c>
      <c r="F2223" s="130">
        <v>284700</v>
      </c>
      <c r="G2223" s="129">
        <v>59787</v>
      </c>
      <c r="H2223" s="129">
        <v>344487</v>
      </c>
      <c r="I2223" s="121" t="s">
        <v>103</v>
      </c>
      <c r="J2223" s="43"/>
    </row>
    <row r="2224" spans="1:10" customFormat="1" ht="15" hidden="1" customHeight="1" x14ac:dyDescent="0.25">
      <c r="A2224" s="126">
        <v>45198</v>
      </c>
      <c r="B2224" s="123" t="s">
        <v>5399</v>
      </c>
      <c r="C2224" s="123" t="s">
        <v>3241</v>
      </c>
      <c r="D2224" s="123" t="s">
        <v>3242</v>
      </c>
      <c r="E2224" s="124">
        <v>-2.9802322387695298E-10</v>
      </c>
      <c r="F2224" s="125">
        <v>1493206.88</v>
      </c>
      <c r="G2224" s="124">
        <v>313573.44</v>
      </c>
      <c r="H2224" s="124">
        <v>1806780.3199999996</v>
      </c>
      <c r="I2224" s="55" t="s">
        <v>103</v>
      </c>
      <c r="J2224" s="43"/>
    </row>
    <row r="2225" spans="1:10" customFormat="1" ht="15" hidden="1" customHeight="1" x14ac:dyDescent="0.25">
      <c r="A2225" s="37">
        <v>45198</v>
      </c>
      <c r="B2225" s="18" t="s">
        <v>5400</v>
      </c>
      <c r="C2225" s="18" t="s">
        <v>2856</v>
      </c>
      <c r="D2225" s="18" t="s">
        <v>2857</v>
      </c>
      <c r="E2225" s="73">
        <v>0</v>
      </c>
      <c r="F2225" s="114">
        <v>7348708.7699999996</v>
      </c>
      <c r="G2225" s="73">
        <v>1543228.83</v>
      </c>
      <c r="H2225" s="73">
        <v>8891937.5999999996</v>
      </c>
      <c r="I2225" s="28" t="s">
        <v>103</v>
      </c>
      <c r="J2225" s="43"/>
    </row>
    <row r="2226" spans="1:10" customFormat="1" ht="15" hidden="1" customHeight="1" x14ac:dyDescent="0.25">
      <c r="A2226" s="37">
        <v>45198</v>
      </c>
      <c r="B2226" s="18" t="s">
        <v>5401</v>
      </c>
      <c r="C2226" s="18" t="s">
        <v>2921</v>
      </c>
      <c r="D2226" s="18" t="s">
        <v>2922</v>
      </c>
      <c r="E2226" s="73">
        <v>0</v>
      </c>
      <c r="F2226" s="114">
        <v>1023175</v>
      </c>
      <c r="G2226" s="73">
        <v>214866.75</v>
      </c>
      <c r="H2226" s="73">
        <v>1238041.75</v>
      </c>
      <c r="I2226" s="28" t="s">
        <v>103</v>
      </c>
      <c r="J2226" s="43"/>
    </row>
    <row r="2227" spans="1:10" customFormat="1" ht="15" hidden="1" customHeight="1" x14ac:dyDescent="0.25">
      <c r="A2227" s="37">
        <v>45198</v>
      </c>
      <c r="B2227" s="18" t="s">
        <v>5402</v>
      </c>
      <c r="C2227" s="18" t="s">
        <v>1140</v>
      </c>
      <c r="D2227" s="18" t="s">
        <v>1141</v>
      </c>
      <c r="E2227" s="73">
        <v>0</v>
      </c>
      <c r="F2227" s="114">
        <v>1867262</v>
      </c>
      <c r="G2227" s="73">
        <v>392125.02</v>
      </c>
      <c r="H2227" s="73">
        <v>2259387.02</v>
      </c>
      <c r="I2227" s="28" t="s">
        <v>103</v>
      </c>
      <c r="J2227" s="43"/>
    </row>
    <row r="2228" spans="1:10" customFormat="1" ht="15" hidden="1" customHeight="1" x14ac:dyDescent="0.25">
      <c r="A2228" s="37">
        <v>45198</v>
      </c>
      <c r="B2228" s="18" t="s">
        <v>5403</v>
      </c>
      <c r="C2228" s="18" t="s">
        <v>3007</v>
      </c>
      <c r="D2228" s="18" t="s">
        <v>3008</v>
      </c>
      <c r="E2228" s="73">
        <v>0</v>
      </c>
      <c r="F2228" s="114">
        <v>560620</v>
      </c>
      <c r="G2228" s="73">
        <v>117730.2</v>
      </c>
      <c r="H2228" s="73">
        <v>678350.2</v>
      </c>
      <c r="I2228" s="28" t="s">
        <v>19</v>
      </c>
      <c r="J2228" s="43"/>
    </row>
    <row r="2229" spans="1:10" customFormat="1" ht="15" hidden="1" customHeight="1" x14ac:dyDescent="0.25">
      <c r="A2229" s="37">
        <v>45198</v>
      </c>
      <c r="B2229" s="18" t="s">
        <v>5404</v>
      </c>
      <c r="C2229" s="18" t="s">
        <v>3450</v>
      </c>
      <c r="D2229" s="18" t="s">
        <v>3451</v>
      </c>
      <c r="E2229" s="73">
        <v>0</v>
      </c>
      <c r="F2229" s="114">
        <v>65777</v>
      </c>
      <c r="G2229" s="73">
        <v>13813.17</v>
      </c>
      <c r="H2229" s="73">
        <v>79590.17</v>
      </c>
      <c r="I2229" s="28" t="s">
        <v>103</v>
      </c>
      <c r="J2229" s="43"/>
    </row>
    <row r="2230" spans="1:10" customFormat="1" ht="15" hidden="1" customHeight="1" x14ac:dyDescent="0.25">
      <c r="A2230" s="37">
        <v>45198</v>
      </c>
      <c r="B2230" s="18" t="s">
        <v>5405</v>
      </c>
      <c r="C2230" s="18" t="s">
        <v>3346</v>
      </c>
      <c r="D2230" s="18" t="s">
        <v>3347</v>
      </c>
      <c r="E2230" s="73">
        <v>0</v>
      </c>
      <c r="F2230" s="114">
        <v>1403646</v>
      </c>
      <c r="G2230" s="73">
        <v>294765.65999999997</v>
      </c>
      <c r="H2230" s="73">
        <v>1698411.66</v>
      </c>
      <c r="I2230" s="28" t="s">
        <v>103</v>
      </c>
      <c r="J2230" s="43"/>
    </row>
    <row r="2231" spans="1:10" customFormat="1" ht="15" hidden="1" customHeight="1" x14ac:dyDescent="0.25">
      <c r="A2231" s="37">
        <v>45198</v>
      </c>
      <c r="B2231" s="18" t="s">
        <v>5406</v>
      </c>
      <c r="C2231" s="18" t="s">
        <v>3140</v>
      </c>
      <c r="D2231" s="18" t="s">
        <v>3141</v>
      </c>
      <c r="E2231" s="73">
        <v>0</v>
      </c>
      <c r="F2231" s="114">
        <v>52650</v>
      </c>
      <c r="G2231" s="73">
        <v>11056.5</v>
      </c>
      <c r="H2231" s="73">
        <v>63706.5</v>
      </c>
      <c r="I2231" s="28" t="s">
        <v>103</v>
      </c>
      <c r="J2231" s="43"/>
    </row>
    <row r="2232" spans="1:10" customFormat="1" ht="15" hidden="1" customHeight="1" x14ac:dyDescent="0.25">
      <c r="A2232" s="37">
        <v>45198</v>
      </c>
      <c r="B2232" s="18" t="s">
        <v>5407</v>
      </c>
      <c r="C2232" s="18" t="s">
        <v>2903</v>
      </c>
      <c r="D2232" s="18" t="s">
        <v>2904</v>
      </c>
      <c r="E2232" s="73">
        <v>18400</v>
      </c>
      <c r="F2232" s="114">
        <v>187500</v>
      </c>
      <c r="G2232" s="73">
        <v>39375</v>
      </c>
      <c r="H2232" s="73">
        <v>245275</v>
      </c>
      <c r="I2232" s="28" t="s">
        <v>19</v>
      </c>
      <c r="J2232" s="43"/>
    </row>
    <row r="2233" spans="1:10" customFormat="1" ht="15" hidden="1" customHeight="1" x14ac:dyDescent="0.25">
      <c r="A2233" s="37">
        <v>45198</v>
      </c>
      <c r="B2233" s="18" t="s">
        <v>5408</v>
      </c>
      <c r="C2233" s="18" t="s">
        <v>2903</v>
      </c>
      <c r="D2233" s="18" t="s">
        <v>2904</v>
      </c>
      <c r="E2233" s="73">
        <v>18400</v>
      </c>
      <c r="F2233" s="114">
        <v>187500</v>
      </c>
      <c r="G2233" s="73">
        <v>39375</v>
      </c>
      <c r="H2233" s="73">
        <v>245275</v>
      </c>
      <c r="I2233" s="28" t="s">
        <v>19</v>
      </c>
      <c r="J2233" s="43"/>
    </row>
    <row r="2234" spans="1:10" customFormat="1" ht="15" hidden="1" customHeight="1" x14ac:dyDescent="0.25">
      <c r="A2234" s="37">
        <v>45198</v>
      </c>
      <c r="B2234" s="18" t="s">
        <v>5409</v>
      </c>
      <c r="C2234" s="18" t="s">
        <v>2972</v>
      </c>
      <c r="D2234" s="18" t="s">
        <v>2973</v>
      </c>
      <c r="E2234" s="73">
        <v>7000</v>
      </c>
      <c r="F2234" s="114">
        <v>240625</v>
      </c>
      <c r="G2234" s="73">
        <v>50531.25</v>
      </c>
      <c r="H2234" s="73">
        <v>298156.25</v>
      </c>
      <c r="I2234" s="28" t="s">
        <v>19</v>
      </c>
      <c r="J2234" s="43"/>
    </row>
    <row r="2235" spans="1:10" customFormat="1" ht="15" hidden="1" customHeight="1" x14ac:dyDescent="0.25">
      <c r="A2235" s="37">
        <v>45177</v>
      </c>
      <c r="B2235" s="18" t="s">
        <v>5410</v>
      </c>
      <c r="C2235" s="18" t="s">
        <v>2851</v>
      </c>
      <c r="D2235" s="18" t="s">
        <v>2852</v>
      </c>
      <c r="E2235" s="73">
        <v>46400</v>
      </c>
      <c r="F2235" s="114">
        <v>512500</v>
      </c>
      <c r="G2235" s="73">
        <v>107625</v>
      </c>
      <c r="H2235" s="73">
        <v>666525</v>
      </c>
      <c r="I2235" s="28" t="s">
        <v>19</v>
      </c>
      <c r="J2235" s="43"/>
    </row>
    <row r="2236" spans="1:10" customFormat="1" ht="15" hidden="1" customHeight="1" x14ac:dyDescent="0.25">
      <c r="A2236" s="37">
        <v>45177</v>
      </c>
      <c r="B2236" s="18" t="s">
        <v>5411</v>
      </c>
      <c r="C2236" s="18" t="s">
        <v>2851</v>
      </c>
      <c r="D2236" s="18" t="s">
        <v>2852</v>
      </c>
      <c r="E2236" s="73">
        <v>0</v>
      </c>
      <c r="F2236" s="114">
        <v>816824</v>
      </c>
      <c r="G2236" s="73">
        <v>171533.04</v>
      </c>
      <c r="H2236" s="73">
        <v>988357.04</v>
      </c>
      <c r="I2236" s="28" t="s">
        <v>103</v>
      </c>
      <c r="J2236" s="43"/>
    </row>
    <row r="2237" spans="1:10" customFormat="1" ht="15" hidden="1" customHeight="1" x14ac:dyDescent="0.25">
      <c r="A2237" s="57">
        <v>45198</v>
      </c>
      <c r="B2237" s="18" t="s">
        <v>5412</v>
      </c>
      <c r="C2237" s="18" t="s">
        <v>2851</v>
      </c>
      <c r="D2237" s="18" t="s">
        <v>2852</v>
      </c>
      <c r="E2237" s="73">
        <v>24000</v>
      </c>
      <c r="F2237" s="114">
        <v>775000</v>
      </c>
      <c r="G2237" s="73">
        <v>162750</v>
      </c>
      <c r="H2237" s="73">
        <v>961750</v>
      </c>
      <c r="I2237" s="28" t="s">
        <v>19</v>
      </c>
      <c r="J2237" s="43"/>
    </row>
    <row r="2238" spans="1:10" customFormat="1" ht="15" hidden="1" customHeight="1" x14ac:dyDescent="0.25">
      <c r="A2238" s="57">
        <v>45198</v>
      </c>
      <c r="B2238" s="58" t="s">
        <v>3981</v>
      </c>
      <c r="C2238" s="59" t="s">
        <v>5141</v>
      </c>
      <c r="D2238" s="59">
        <v>0</v>
      </c>
      <c r="E2238" s="38">
        <v>0</v>
      </c>
      <c r="F2238" s="115">
        <v>722358</v>
      </c>
      <c r="G2238" s="60">
        <v>0</v>
      </c>
      <c r="H2238" s="61">
        <v>0</v>
      </c>
      <c r="I2238" s="59" t="s">
        <v>103</v>
      </c>
      <c r="J2238" s="43"/>
    </row>
    <row r="2239" spans="1:10" customFormat="1" ht="15" hidden="1" customHeight="1" x14ac:dyDescent="0.25">
      <c r="A2239" s="57">
        <v>45198</v>
      </c>
      <c r="B2239" s="58" t="s">
        <v>3981</v>
      </c>
      <c r="C2239" s="59" t="s">
        <v>5140</v>
      </c>
      <c r="D2239" s="59">
        <v>0</v>
      </c>
      <c r="E2239" s="60">
        <v>0</v>
      </c>
      <c r="F2239" s="115">
        <v>161350</v>
      </c>
      <c r="G2239" s="60">
        <v>0</v>
      </c>
      <c r="H2239" s="61">
        <v>0</v>
      </c>
      <c r="I2239" s="59" t="s">
        <v>103</v>
      </c>
      <c r="J2239" s="43"/>
    </row>
    <row r="2240" spans="1:10" customFormat="1" ht="15" hidden="1" customHeight="1" x14ac:dyDescent="0.25">
      <c r="A2240" s="57">
        <v>45209</v>
      </c>
      <c r="B2240" s="58" t="s">
        <v>5413</v>
      </c>
      <c r="C2240" s="59" t="s">
        <v>3007</v>
      </c>
      <c r="D2240" s="59" t="s">
        <v>3008</v>
      </c>
      <c r="E2240" s="60">
        <v>25000</v>
      </c>
      <c r="F2240" s="115">
        <v>553575</v>
      </c>
      <c r="G2240" s="60">
        <v>116250.76</v>
      </c>
      <c r="H2240" s="61">
        <v>694825.76</v>
      </c>
      <c r="I2240" s="59" t="s">
        <v>19</v>
      </c>
      <c r="J2240" s="43"/>
    </row>
    <row r="2241" spans="1:10" customFormat="1" ht="15.75" hidden="1" customHeight="1" x14ac:dyDescent="0.25">
      <c r="A2241" s="57">
        <v>45209</v>
      </c>
      <c r="B2241" s="28" t="s">
        <v>5414</v>
      </c>
      <c r="C2241" s="28" t="s">
        <v>3160</v>
      </c>
      <c r="D2241" s="28" t="s">
        <v>3161</v>
      </c>
      <c r="E2241" s="38">
        <v>51103.3399999998</v>
      </c>
      <c r="F2241" s="67">
        <v>888000</v>
      </c>
      <c r="G2241" s="38">
        <v>186480</v>
      </c>
      <c r="H2241" s="56">
        <v>1125583.3399999999</v>
      </c>
      <c r="I2241" s="28" t="s">
        <v>19</v>
      </c>
      <c r="J2241" s="43"/>
    </row>
    <row r="2242" spans="1:10" customFormat="1" ht="15.75" hidden="1" customHeight="1" x14ac:dyDescent="0.25">
      <c r="A2242" s="57">
        <v>45210</v>
      </c>
      <c r="B2242" s="36" t="s">
        <v>5415</v>
      </c>
      <c r="C2242" s="28" t="s">
        <v>2851</v>
      </c>
      <c r="D2242" s="28" t="s">
        <v>2852</v>
      </c>
      <c r="E2242" s="38">
        <v>9200</v>
      </c>
      <c r="F2242" s="67">
        <v>140625</v>
      </c>
      <c r="G2242" s="38">
        <v>29531.25</v>
      </c>
      <c r="H2242" s="56">
        <v>179356.25</v>
      </c>
      <c r="I2242" s="28" t="s">
        <v>19</v>
      </c>
      <c r="J2242" s="43"/>
    </row>
    <row r="2243" spans="1:10" customFormat="1" ht="15.75" hidden="1" customHeight="1" x14ac:dyDescent="0.25">
      <c r="A2243" s="57">
        <v>45210</v>
      </c>
      <c r="B2243" s="36" t="s">
        <v>5416</v>
      </c>
      <c r="C2243" s="28" t="s">
        <v>2851</v>
      </c>
      <c r="D2243" s="28" t="s">
        <v>2852</v>
      </c>
      <c r="E2243" s="38">
        <v>18400</v>
      </c>
      <c r="F2243" s="67">
        <v>321875</v>
      </c>
      <c r="G2243" s="38">
        <v>67593.759999999995</v>
      </c>
      <c r="H2243" s="56">
        <v>407868.76</v>
      </c>
      <c r="I2243" s="28" t="s">
        <v>19</v>
      </c>
      <c r="J2243" s="43"/>
    </row>
    <row r="2244" spans="1:10" customFormat="1" ht="15.75" hidden="1" customHeight="1" x14ac:dyDescent="0.25">
      <c r="A2244" s="57">
        <v>45210</v>
      </c>
      <c r="B2244" s="36" t="s">
        <v>5417</v>
      </c>
      <c r="C2244" s="28" t="s">
        <v>3007</v>
      </c>
      <c r="D2244" s="28" t="s">
        <v>3008</v>
      </c>
      <c r="E2244" s="38">
        <v>15000</v>
      </c>
      <c r="F2244" s="67">
        <v>193750</v>
      </c>
      <c r="G2244" s="38">
        <v>40687.5</v>
      </c>
      <c r="H2244" s="56">
        <v>249437.5</v>
      </c>
      <c r="I2244" s="28" t="s">
        <v>19</v>
      </c>
      <c r="J2244" s="43"/>
    </row>
    <row r="2245" spans="1:10" customFormat="1" ht="15.75" hidden="1" customHeight="1" x14ac:dyDescent="0.25">
      <c r="A2245" s="57">
        <v>45210</v>
      </c>
      <c r="B2245" s="36" t="s">
        <v>5418</v>
      </c>
      <c r="C2245" s="28" t="s">
        <v>3007</v>
      </c>
      <c r="D2245" s="28" t="s">
        <v>3008</v>
      </c>
      <c r="E2245" s="38">
        <v>18000</v>
      </c>
      <c r="F2245" s="67">
        <v>664290</v>
      </c>
      <c r="G2245" s="38">
        <v>139500.9</v>
      </c>
      <c r="H2245" s="56">
        <v>821790.9</v>
      </c>
      <c r="I2245" s="28" t="s">
        <v>19</v>
      </c>
      <c r="J2245" s="43"/>
    </row>
    <row r="2246" spans="1:10" customFormat="1" ht="15.75" hidden="1" customHeight="1" x14ac:dyDescent="0.25">
      <c r="A2246" s="57">
        <v>45210</v>
      </c>
      <c r="B2246" s="36" t="s">
        <v>5419</v>
      </c>
      <c r="C2246" s="28" t="s">
        <v>3007</v>
      </c>
      <c r="D2246" s="28" t="s">
        <v>3008</v>
      </c>
      <c r="E2246" s="38">
        <v>6000</v>
      </c>
      <c r="F2246" s="67">
        <v>221430</v>
      </c>
      <c r="G2246" s="38">
        <v>46500.3</v>
      </c>
      <c r="H2246" s="56">
        <v>273930.3</v>
      </c>
      <c r="I2246" s="28" t="s">
        <v>19</v>
      </c>
      <c r="J2246" s="43"/>
    </row>
    <row r="2247" spans="1:10" customFormat="1" ht="15.75" hidden="1" customHeight="1" x14ac:dyDescent="0.25">
      <c r="A2247" s="79">
        <v>45211</v>
      </c>
      <c r="B2247" s="41" t="s">
        <v>5420</v>
      </c>
      <c r="C2247" s="41" t="s">
        <v>3272</v>
      </c>
      <c r="D2247" s="41" t="s">
        <v>3273</v>
      </c>
      <c r="E2247" s="39">
        <v>115480</v>
      </c>
      <c r="F2247" s="42">
        <v>1151408.5</v>
      </c>
      <c r="G2247" s="39">
        <v>241795.78</v>
      </c>
      <c r="H2247" s="66">
        <v>1508684.28</v>
      </c>
      <c r="I2247" s="41" t="s">
        <v>19</v>
      </c>
      <c r="J2247" s="49"/>
    </row>
    <row r="2248" spans="1:10" customFormat="1" ht="15.75" hidden="1" customHeight="1" x14ac:dyDescent="0.25">
      <c r="A2248" s="57">
        <v>45211</v>
      </c>
      <c r="B2248" s="36" t="s">
        <v>5421</v>
      </c>
      <c r="C2248" s="28" t="s">
        <v>4827</v>
      </c>
      <c r="D2248" s="28" t="s">
        <v>4828</v>
      </c>
      <c r="E2248" s="38">
        <v>3000</v>
      </c>
      <c r="F2248" s="67">
        <v>221430</v>
      </c>
      <c r="G2248" s="38">
        <v>46500.3</v>
      </c>
      <c r="H2248" s="56">
        <v>270930.3</v>
      </c>
      <c r="I2248" s="28" t="s">
        <v>19</v>
      </c>
      <c r="J2248" s="43"/>
    </row>
    <row r="2249" spans="1:10" customFormat="1" ht="15.75" hidden="1" customHeight="1" x14ac:dyDescent="0.25">
      <c r="A2249" s="57">
        <v>45211</v>
      </c>
      <c r="B2249" s="36" t="s">
        <v>5422</v>
      </c>
      <c r="C2249" s="28" t="s">
        <v>2886</v>
      </c>
      <c r="D2249" s="28" t="s">
        <v>2887</v>
      </c>
      <c r="E2249" s="38">
        <v>4500</v>
      </c>
      <c r="F2249" s="67">
        <v>332145</v>
      </c>
      <c r="G2249" s="38">
        <v>69750.45</v>
      </c>
      <c r="H2249" s="56">
        <v>406395.45</v>
      </c>
      <c r="I2249" s="28" t="s">
        <v>19</v>
      </c>
      <c r="J2249" s="43"/>
    </row>
    <row r="2250" spans="1:10" customFormat="1" ht="15.75" hidden="1" customHeight="1" x14ac:dyDescent="0.25">
      <c r="A2250" s="57">
        <v>45211</v>
      </c>
      <c r="B2250" s="36" t="s">
        <v>5423</v>
      </c>
      <c r="C2250" s="28" t="s">
        <v>2921</v>
      </c>
      <c r="D2250" s="28" t="s">
        <v>2922</v>
      </c>
      <c r="E2250" s="38">
        <v>11000</v>
      </c>
      <c r="F2250" s="67">
        <v>381250</v>
      </c>
      <c r="G2250" s="38">
        <v>80062.5</v>
      </c>
      <c r="H2250" s="56">
        <v>472312.5</v>
      </c>
      <c r="I2250" s="28" t="s">
        <v>19</v>
      </c>
      <c r="J2250" s="43"/>
    </row>
    <row r="2251" spans="1:10" customFormat="1" ht="15.75" hidden="1" customHeight="1" x14ac:dyDescent="0.25">
      <c r="A2251" s="57">
        <v>45211</v>
      </c>
      <c r="B2251" s="36" t="s">
        <v>5424</v>
      </c>
      <c r="C2251" s="28" t="s">
        <v>3346</v>
      </c>
      <c r="D2251" s="28" t="s">
        <v>3347</v>
      </c>
      <c r="E2251" s="38">
        <v>3500</v>
      </c>
      <c r="F2251" s="67">
        <v>69532</v>
      </c>
      <c r="G2251" s="38">
        <v>14601.72</v>
      </c>
      <c r="H2251" s="56">
        <v>87633.72</v>
      </c>
      <c r="I2251" s="28" t="s">
        <v>19</v>
      </c>
      <c r="J2251" s="43"/>
    </row>
    <row r="2252" spans="1:10" customFormat="1" ht="15.75" hidden="1" customHeight="1" x14ac:dyDescent="0.25">
      <c r="A2252" s="57">
        <v>45211</v>
      </c>
      <c r="B2252" s="36" t="s">
        <v>5425</v>
      </c>
      <c r="C2252" s="28" t="s">
        <v>2921</v>
      </c>
      <c r="D2252" s="28" t="s">
        <v>2922</v>
      </c>
      <c r="E2252" s="38">
        <v>0</v>
      </c>
      <c r="F2252" s="67">
        <v>35000</v>
      </c>
      <c r="G2252" s="38">
        <v>7350</v>
      </c>
      <c r="H2252" s="56">
        <v>42350</v>
      </c>
      <c r="I2252" s="28" t="s">
        <v>19</v>
      </c>
      <c r="J2252" s="43"/>
    </row>
    <row r="2253" spans="1:10" customFormat="1" ht="15.75" hidden="1" customHeight="1" x14ac:dyDescent="0.25">
      <c r="A2253" s="57">
        <v>45211</v>
      </c>
      <c r="B2253" s="36" t="s">
        <v>5426</v>
      </c>
      <c r="C2253" s="28" t="s">
        <v>2909</v>
      </c>
      <c r="D2253" s="28" t="s">
        <v>2910</v>
      </c>
      <c r="E2253" s="38">
        <v>11500</v>
      </c>
      <c r="F2253" s="67">
        <v>192187.5</v>
      </c>
      <c r="G2253" s="38">
        <v>40359.370000000003</v>
      </c>
      <c r="H2253" s="56">
        <v>244046.87</v>
      </c>
      <c r="I2253" s="28" t="s">
        <v>19</v>
      </c>
      <c r="J2253" s="43"/>
    </row>
    <row r="2254" spans="1:10" customFormat="1" ht="15.75" hidden="1" customHeight="1" x14ac:dyDescent="0.25">
      <c r="A2254" s="57">
        <v>45217</v>
      </c>
      <c r="B2254" s="36" t="s">
        <v>5427</v>
      </c>
      <c r="C2254" s="28" t="s">
        <v>2921</v>
      </c>
      <c r="D2254" s="28" t="s">
        <v>2922</v>
      </c>
      <c r="E2254" s="38">
        <v>0</v>
      </c>
      <c r="F2254" s="67">
        <v>34000</v>
      </c>
      <c r="G2254" s="38">
        <v>7140</v>
      </c>
      <c r="H2254" s="56">
        <v>41140</v>
      </c>
      <c r="I2254" s="28" t="s">
        <v>19</v>
      </c>
      <c r="J2254" s="43"/>
    </row>
    <row r="2255" spans="1:10" customFormat="1" ht="15.75" hidden="1" customHeight="1" x14ac:dyDescent="0.25">
      <c r="A2255" s="57">
        <v>45217</v>
      </c>
      <c r="B2255" s="36" t="s">
        <v>5428</v>
      </c>
      <c r="C2255" s="28" t="s">
        <v>3176</v>
      </c>
      <c r="D2255" s="28" t="s">
        <v>3177</v>
      </c>
      <c r="E2255" s="38">
        <v>0</v>
      </c>
      <c r="F2255" s="67">
        <v>35000</v>
      </c>
      <c r="G2255" s="38">
        <v>7350</v>
      </c>
      <c r="H2255" s="56">
        <v>42350</v>
      </c>
      <c r="I2255" s="28" t="s">
        <v>19</v>
      </c>
      <c r="J2255" s="43"/>
    </row>
    <row r="2256" spans="1:10" customFormat="1" ht="15.75" hidden="1" customHeight="1" x14ac:dyDescent="0.25">
      <c r="A2256" s="57">
        <v>45217</v>
      </c>
      <c r="B2256" s="36" t="s">
        <v>5429</v>
      </c>
      <c r="C2256" s="28" t="s">
        <v>3450</v>
      </c>
      <c r="D2256" s="28" t="s">
        <v>3451</v>
      </c>
      <c r="E2256" s="38">
        <v>24000</v>
      </c>
      <c r="F2256" s="67">
        <v>387500</v>
      </c>
      <c r="G2256" s="38">
        <v>81375</v>
      </c>
      <c r="H2256" s="56">
        <v>492875</v>
      </c>
      <c r="I2256" s="28" t="s">
        <v>19</v>
      </c>
      <c r="J2256" s="43"/>
    </row>
    <row r="2257" spans="1:10" customFormat="1" ht="15.75" hidden="1" customHeight="1" x14ac:dyDescent="0.25">
      <c r="A2257" s="57">
        <v>45218</v>
      </c>
      <c r="B2257" s="36" t="s">
        <v>5430</v>
      </c>
      <c r="C2257" s="28" t="s">
        <v>2921</v>
      </c>
      <c r="D2257" s="28" t="s">
        <v>2922</v>
      </c>
      <c r="E2257" s="38">
        <v>9200</v>
      </c>
      <c r="F2257" s="67">
        <v>84375</v>
      </c>
      <c r="G2257" s="38">
        <v>17718.75</v>
      </c>
      <c r="H2257" s="56">
        <v>111293.75</v>
      </c>
      <c r="I2257" s="28" t="s">
        <v>19</v>
      </c>
      <c r="J2257" s="43"/>
    </row>
    <row r="2258" spans="1:10" customFormat="1" ht="15.75" hidden="1" customHeight="1" x14ac:dyDescent="0.25">
      <c r="A2258" s="57">
        <v>45218</v>
      </c>
      <c r="B2258" s="36" t="s">
        <v>5431</v>
      </c>
      <c r="C2258" s="28" t="s">
        <v>4144</v>
      </c>
      <c r="D2258" s="28" t="s">
        <v>4145</v>
      </c>
      <c r="E2258" s="38">
        <v>9200</v>
      </c>
      <c r="F2258" s="67">
        <v>84375</v>
      </c>
      <c r="G2258" s="38">
        <v>17718.75</v>
      </c>
      <c r="H2258" s="56">
        <v>111293.75</v>
      </c>
      <c r="I2258" s="28" t="s">
        <v>19</v>
      </c>
      <c r="J2258" s="43"/>
    </row>
    <row r="2259" spans="1:10" customFormat="1" ht="15.75" hidden="1" customHeight="1" x14ac:dyDescent="0.25">
      <c r="A2259" s="57">
        <v>45218</v>
      </c>
      <c r="B2259" s="36" t="s">
        <v>5432</v>
      </c>
      <c r="C2259" s="28" t="s">
        <v>3235</v>
      </c>
      <c r="D2259" s="28" t="s">
        <v>3236</v>
      </c>
      <c r="E2259" s="38">
        <v>9200</v>
      </c>
      <c r="F2259" s="67">
        <v>84375</v>
      </c>
      <c r="G2259" s="38">
        <v>17718.75</v>
      </c>
      <c r="H2259" s="56">
        <v>111293.75</v>
      </c>
      <c r="I2259" s="28" t="s">
        <v>19</v>
      </c>
      <c r="J2259" s="43"/>
    </row>
    <row r="2260" spans="1:10" customFormat="1" ht="15.75" hidden="1" customHeight="1" x14ac:dyDescent="0.25">
      <c r="A2260" s="57">
        <v>45218</v>
      </c>
      <c r="B2260" s="36" t="s">
        <v>5433</v>
      </c>
      <c r="C2260" s="28" t="s">
        <v>2924</v>
      </c>
      <c r="D2260" s="28" t="s">
        <v>2925</v>
      </c>
      <c r="E2260" s="38">
        <v>9200</v>
      </c>
      <c r="F2260" s="67">
        <v>126562.5</v>
      </c>
      <c r="G2260" s="38">
        <v>26578.13</v>
      </c>
      <c r="H2260" s="56">
        <v>162340.63</v>
      </c>
      <c r="I2260" s="28" t="s">
        <v>19</v>
      </c>
      <c r="J2260" s="43"/>
    </row>
    <row r="2261" spans="1:10" customFormat="1" ht="15.75" hidden="1" customHeight="1" x14ac:dyDescent="0.25">
      <c r="A2261" s="57">
        <v>45218</v>
      </c>
      <c r="B2261" s="36" t="s">
        <v>5434</v>
      </c>
      <c r="C2261" s="28" t="s">
        <v>2909</v>
      </c>
      <c r="D2261" s="28" t="s">
        <v>2910</v>
      </c>
      <c r="E2261" s="38">
        <v>11500</v>
      </c>
      <c r="F2261" s="67">
        <v>192187.5</v>
      </c>
      <c r="G2261" s="38">
        <v>40359.370000000003</v>
      </c>
      <c r="H2261" s="56">
        <v>244046.87</v>
      </c>
      <c r="I2261" s="28" t="s">
        <v>19</v>
      </c>
      <c r="J2261" s="43"/>
    </row>
    <row r="2262" spans="1:10" customFormat="1" ht="15.75" hidden="1" customHeight="1" x14ac:dyDescent="0.25">
      <c r="A2262" s="57">
        <v>45218</v>
      </c>
      <c r="B2262" s="36" t="s">
        <v>5435</v>
      </c>
      <c r="C2262" s="28" t="s">
        <v>2909</v>
      </c>
      <c r="D2262" s="28" t="s">
        <v>2910</v>
      </c>
      <c r="E2262" s="38">
        <v>11500</v>
      </c>
      <c r="F2262" s="67">
        <v>192187.5</v>
      </c>
      <c r="G2262" s="38">
        <v>40359.370000000003</v>
      </c>
      <c r="H2262" s="56">
        <v>244046.87</v>
      </c>
      <c r="I2262" s="28" t="s">
        <v>19</v>
      </c>
      <c r="J2262" s="43"/>
    </row>
    <row r="2263" spans="1:10" customFormat="1" ht="15.75" hidden="1" customHeight="1" x14ac:dyDescent="0.25">
      <c r="A2263" s="57">
        <v>45218</v>
      </c>
      <c r="B2263" s="36" t="s">
        <v>5436</v>
      </c>
      <c r="C2263" s="28" t="s">
        <v>2909</v>
      </c>
      <c r="D2263" s="28" t="s">
        <v>2910</v>
      </c>
      <c r="E2263" s="38">
        <v>11500</v>
      </c>
      <c r="F2263" s="67">
        <v>192187.5</v>
      </c>
      <c r="G2263" s="38">
        <v>40359.370000000003</v>
      </c>
      <c r="H2263" s="56">
        <v>244046.87</v>
      </c>
      <c r="I2263" s="28" t="s">
        <v>19</v>
      </c>
      <c r="J2263" s="43"/>
    </row>
    <row r="2264" spans="1:10" customFormat="1" ht="15.75" hidden="1" customHeight="1" x14ac:dyDescent="0.25">
      <c r="A2264" s="57">
        <v>45218</v>
      </c>
      <c r="B2264" s="36" t="s">
        <v>5437</v>
      </c>
      <c r="C2264" s="28" t="s">
        <v>2909</v>
      </c>
      <c r="D2264" s="28" t="s">
        <v>2910</v>
      </c>
      <c r="E2264" s="38">
        <v>11000</v>
      </c>
      <c r="F2264" s="67">
        <v>303125</v>
      </c>
      <c r="G2264" s="38">
        <v>63656.25</v>
      </c>
      <c r="H2264" s="56">
        <v>377781.25</v>
      </c>
      <c r="I2264" s="28" t="s">
        <v>19</v>
      </c>
      <c r="J2264" s="43"/>
    </row>
    <row r="2265" spans="1:10" customFormat="1" ht="15.75" hidden="1" customHeight="1" x14ac:dyDescent="0.25">
      <c r="A2265" s="57">
        <v>45218</v>
      </c>
      <c r="B2265" s="36" t="s">
        <v>5438</v>
      </c>
      <c r="C2265" s="28" t="s">
        <v>3450</v>
      </c>
      <c r="D2265" s="28" t="s">
        <v>3451</v>
      </c>
      <c r="E2265" s="38">
        <v>51562.5</v>
      </c>
      <c r="F2265" s="67">
        <v>103125</v>
      </c>
      <c r="G2265" s="38">
        <v>21656.25</v>
      </c>
      <c r="H2265" s="56">
        <v>176343.75</v>
      </c>
      <c r="I2265" s="28" t="s">
        <v>19</v>
      </c>
      <c r="J2265" s="43"/>
    </row>
    <row r="2266" spans="1:10" customFormat="1" ht="15.75" hidden="1" customHeight="1" x14ac:dyDescent="0.25">
      <c r="A2266" s="57">
        <v>45218</v>
      </c>
      <c r="B2266" s="36" t="s">
        <v>5439</v>
      </c>
      <c r="C2266" s="28" t="s">
        <v>2909</v>
      </c>
      <c r="D2266" s="28" t="s">
        <v>2910</v>
      </c>
      <c r="E2266" s="38">
        <v>12500</v>
      </c>
      <c r="F2266" s="67">
        <v>256250</v>
      </c>
      <c r="G2266" s="38">
        <v>53812.5</v>
      </c>
      <c r="H2266" s="56">
        <v>322562.5</v>
      </c>
      <c r="I2266" s="28" t="s">
        <v>19</v>
      </c>
      <c r="J2266" s="43"/>
    </row>
    <row r="2267" spans="1:10" customFormat="1" ht="15.75" hidden="1" customHeight="1" x14ac:dyDescent="0.25">
      <c r="A2267" s="57">
        <v>45218</v>
      </c>
      <c r="B2267" s="36" t="s">
        <v>5440</v>
      </c>
      <c r="C2267" s="28" t="s">
        <v>2909</v>
      </c>
      <c r="D2267" s="28" t="s">
        <v>2910</v>
      </c>
      <c r="E2267" s="38">
        <v>9000</v>
      </c>
      <c r="F2267" s="67">
        <v>128125</v>
      </c>
      <c r="G2267" s="38">
        <v>26906.25</v>
      </c>
      <c r="H2267" s="56">
        <v>164031.25</v>
      </c>
      <c r="I2267" s="28" t="s">
        <v>19</v>
      </c>
      <c r="J2267" s="43"/>
    </row>
    <row r="2268" spans="1:10" customFormat="1" ht="15.75" hidden="1" customHeight="1" x14ac:dyDescent="0.25">
      <c r="A2268" s="57">
        <v>45218</v>
      </c>
      <c r="B2268" s="36" t="s">
        <v>5441</v>
      </c>
      <c r="C2268" s="28" t="s">
        <v>4501</v>
      </c>
      <c r="D2268" s="28" t="s">
        <v>4502</v>
      </c>
      <c r="E2268" s="38">
        <v>0</v>
      </c>
      <c r="F2268" s="67">
        <v>69532</v>
      </c>
      <c r="G2268" s="38">
        <v>14601.72</v>
      </c>
      <c r="H2268" s="56">
        <v>84133.72</v>
      </c>
      <c r="I2268" s="28" t="s">
        <v>19</v>
      </c>
      <c r="J2268" s="43"/>
    </row>
    <row r="2269" spans="1:10" customFormat="1" ht="15.75" hidden="1" customHeight="1" x14ac:dyDescent="0.25">
      <c r="A2269" s="57">
        <v>45218</v>
      </c>
      <c r="B2269" s="36" t="s">
        <v>5442</v>
      </c>
      <c r="C2269" s="28" t="s">
        <v>3326</v>
      </c>
      <c r="D2269" s="28" t="s">
        <v>3327</v>
      </c>
      <c r="E2269" s="38">
        <v>5000</v>
      </c>
      <c r="F2269" s="67">
        <v>154687.5</v>
      </c>
      <c r="G2269" s="38">
        <v>32484.37</v>
      </c>
      <c r="H2269" s="56">
        <v>192171.87</v>
      </c>
      <c r="I2269" s="28" t="s">
        <v>19</v>
      </c>
      <c r="J2269" s="43"/>
    </row>
    <row r="2270" spans="1:10" customFormat="1" ht="15.75" hidden="1" customHeight="1" x14ac:dyDescent="0.25">
      <c r="A2270" s="57">
        <v>45218</v>
      </c>
      <c r="B2270" s="36" t="s">
        <v>5443</v>
      </c>
      <c r="C2270" s="28" t="s">
        <v>3948</v>
      </c>
      <c r="D2270" s="28" t="s">
        <v>3949</v>
      </c>
      <c r="E2270" s="38">
        <v>5000</v>
      </c>
      <c r="F2270" s="67">
        <v>81250</v>
      </c>
      <c r="G2270" s="38">
        <v>17062.5</v>
      </c>
      <c r="H2270" s="56">
        <v>103312.5</v>
      </c>
      <c r="I2270" s="28" t="s">
        <v>19</v>
      </c>
      <c r="J2270" s="43"/>
    </row>
    <row r="2271" spans="1:10" customFormat="1" ht="15.75" hidden="1" customHeight="1" x14ac:dyDescent="0.25">
      <c r="A2271" s="57">
        <v>45218</v>
      </c>
      <c r="B2271" s="36" t="s">
        <v>5444</v>
      </c>
      <c r="C2271" s="28" t="s">
        <v>4420</v>
      </c>
      <c r="D2271" s="28" t="s">
        <v>4421</v>
      </c>
      <c r="E2271" s="38">
        <v>9200</v>
      </c>
      <c r="F2271" s="67">
        <v>131250</v>
      </c>
      <c r="G2271" s="38">
        <v>27562.5</v>
      </c>
      <c r="H2271" s="56">
        <v>168012.5</v>
      </c>
      <c r="I2271" s="28" t="s">
        <v>19</v>
      </c>
      <c r="J2271" s="43"/>
    </row>
    <row r="2272" spans="1:10" customFormat="1" ht="15.75" hidden="1" customHeight="1" x14ac:dyDescent="0.25">
      <c r="A2272" s="57">
        <v>45218</v>
      </c>
      <c r="B2272" s="36" t="s">
        <v>5445</v>
      </c>
      <c r="C2272" s="28" t="s">
        <v>5258</v>
      </c>
      <c r="D2272" s="28" t="s">
        <v>5259</v>
      </c>
      <c r="E2272" s="38">
        <v>23200</v>
      </c>
      <c r="F2272" s="67">
        <v>168750</v>
      </c>
      <c r="G2272" s="38">
        <v>35437.5</v>
      </c>
      <c r="H2272" s="56">
        <v>227387.5</v>
      </c>
      <c r="I2272" s="28" t="s">
        <v>19</v>
      </c>
      <c r="J2272" s="43"/>
    </row>
    <row r="2273" spans="1:10" customFormat="1" ht="15.75" hidden="1" customHeight="1" x14ac:dyDescent="0.25">
      <c r="A2273" s="57">
        <v>45218</v>
      </c>
      <c r="B2273" s="36" t="s">
        <v>5446</v>
      </c>
      <c r="C2273" s="28" t="s">
        <v>2924</v>
      </c>
      <c r="D2273" s="28" t="s">
        <v>2925</v>
      </c>
      <c r="E2273" s="38">
        <v>9200</v>
      </c>
      <c r="F2273" s="67">
        <v>173437.5</v>
      </c>
      <c r="G2273" s="38">
        <v>36421.879999999997</v>
      </c>
      <c r="H2273" s="56">
        <v>219059.38</v>
      </c>
      <c r="I2273" s="28" t="s">
        <v>19</v>
      </c>
      <c r="J2273" s="43"/>
    </row>
    <row r="2274" spans="1:10" customFormat="1" ht="15.75" hidden="1" customHeight="1" x14ac:dyDescent="0.25">
      <c r="A2274" s="57">
        <v>45218</v>
      </c>
      <c r="B2274" s="36" t="s">
        <v>5447</v>
      </c>
      <c r="C2274" s="28" t="s">
        <v>2924</v>
      </c>
      <c r="D2274" s="28" t="s">
        <v>2925</v>
      </c>
      <c r="E2274" s="38">
        <v>25400</v>
      </c>
      <c r="F2274" s="67">
        <v>346875</v>
      </c>
      <c r="G2274" s="38">
        <v>72843.759999999995</v>
      </c>
      <c r="H2274" s="56">
        <v>445118.76</v>
      </c>
      <c r="I2274" s="28" t="s">
        <v>19</v>
      </c>
      <c r="J2274" s="43"/>
    </row>
    <row r="2275" spans="1:10" customFormat="1" ht="15.75" hidden="1" customHeight="1" x14ac:dyDescent="0.25">
      <c r="A2275" s="57">
        <v>45218</v>
      </c>
      <c r="B2275" s="36" t="s">
        <v>5448</v>
      </c>
      <c r="C2275" s="28" t="s">
        <v>4420</v>
      </c>
      <c r="D2275" s="28" t="s">
        <v>4421</v>
      </c>
      <c r="E2275" s="38">
        <v>9200</v>
      </c>
      <c r="F2275" s="67">
        <v>131250</v>
      </c>
      <c r="G2275" s="38">
        <v>27562.5</v>
      </c>
      <c r="H2275" s="56">
        <v>168012.5</v>
      </c>
      <c r="I2275" s="28" t="s">
        <v>19</v>
      </c>
      <c r="J2275" s="43"/>
    </row>
    <row r="2276" spans="1:10" customFormat="1" ht="15.75" hidden="1" customHeight="1" x14ac:dyDescent="0.25">
      <c r="A2276" s="57">
        <v>45218</v>
      </c>
      <c r="B2276" s="36" t="s">
        <v>5449</v>
      </c>
      <c r="C2276" s="28" t="s">
        <v>2957</v>
      </c>
      <c r="D2276" s="28" t="s">
        <v>2958</v>
      </c>
      <c r="E2276" s="38">
        <v>6200</v>
      </c>
      <c r="F2276" s="67">
        <v>256250</v>
      </c>
      <c r="G2276" s="38">
        <v>53812.5</v>
      </c>
      <c r="H2276" s="56">
        <v>316262.5</v>
      </c>
      <c r="I2276" s="28" t="s">
        <v>19</v>
      </c>
      <c r="J2276" s="43"/>
    </row>
    <row r="2277" spans="1:10" customFormat="1" ht="15.75" hidden="1" customHeight="1" x14ac:dyDescent="0.25">
      <c r="A2277" s="57">
        <v>45218</v>
      </c>
      <c r="B2277" s="36" t="s">
        <v>5450</v>
      </c>
      <c r="C2277" s="28" t="s">
        <v>2921</v>
      </c>
      <c r="D2277" s="28" t="s">
        <v>2922</v>
      </c>
      <c r="E2277" s="38">
        <v>25000</v>
      </c>
      <c r="F2277" s="67">
        <v>276787.5</v>
      </c>
      <c r="G2277" s="38">
        <v>58125.38</v>
      </c>
      <c r="H2277" s="56">
        <v>359912.88</v>
      </c>
      <c r="I2277" s="28" t="s">
        <v>19</v>
      </c>
      <c r="J2277" s="43"/>
    </row>
    <row r="2278" spans="1:10" customFormat="1" ht="15.75" hidden="1" customHeight="1" x14ac:dyDescent="0.25">
      <c r="A2278" s="57">
        <v>45218</v>
      </c>
      <c r="B2278" s="36" t="s">
        <v>5451</v>
      </c>
      <c r="C2278" s="28" t="s">
        <v>2921</v>
      </c>
      <c r="D2278" s="28" t="s">
        <v>2922</v>
      </c>
      <c r="E2278" s="38">
        <v>25000</v>
      </c>
      <c r="F2278" s="67">
        <v>332145</v>
      </c>
      <c r="G2278" s="38">
        <v>69750.460000000006</v>
      </c>
      <c r="H2278" s="56">
        <v>426895.46</v>
      </c>
      <c r="I2278" s="28" t="s">
        <v>19</v>
      </c>
      <c r="J2278" s="43"/>
    </row>
    <row r="2279" spans="1:10" customFormat="1" ht="15.75" hidden="1" customHeight="1" x14ac:dyDescent="0.25">
      <c r="A2279" s="57">
        <v>45218</v>
      </c>
      <c r="B2279" s="36" t="s">
        <v>5452</v>
      </c>
      <c r="C2279" s="28" t="s">
        <v>3007</v>
      </c>
      <c r="D2279" s="28" t="s">
        <v>3008</v>
      </c>
      <c r="E2279" s="38">
        <v>28000</v>
      </c>
      <c r="F2279" s="67">
        <v>387500</v>
      </c>
      <c r="G2279" s="38">
        <v>81375</v>
      </c>
      <c r="H2279" s="56">
        <v>496875</v>
      </c>
      <c r="I2279" s="28" t="s">
        <v>19</v>
      </c>
      <c r="J2279" s="43"/>
    </row>
    <row r="2280" spans="1:10" customFormat="1" ht="15.75" hidden="1" customHeight="1" x14ac:dyDescent="0.25">
      <c r="A2280" s="57">
        <v>45218</v>
      </c>
      <c r="B2280" s="36" t="s">
        <v>5453</v>
      </c>
      <c r="C2280" s="28" t="s">
        <v>2921</v>
      </c>
      <c r="D2280" s="28" t="s">
        <v>2922</v>
      </c>
      <c r="E2280" s="38">
        <v>5000</v>
      </c>
      <c r="F2280" s="67">
        <v>81250</v>
      </c>
      <c r="G2280" s="38">
        <v>17062.5</v>
      </c>
      <c r="H2280" s="56">
        <v>103312.5</v>
      </c>
      <c r="I2280" s="28" t="s">
        <v>19</v>
      </c>
      <c r="J2280" s="43"/>
    </row>
    <row r="2281" spans="1:10" customFormat="1" ht="15.75" hidden="1" customHeight="1" x14ac:dyDescent="0.25">
      <c r="A2281" s="57">
        <v>45218</v>
      </c>
      <c r="B2281" s="36" t="s">
        <v>5454</v>
      </c>
      <c r="C2281" s="28" t="s">
        <v>2870</v>
      </c>
      <c r="D2281" s="28" t="s">
        <v>2871</v>
      </c>
      <c r="E2281" s="38">
        <v>12500</v>
      </c>
      <c r="F2281" s="67">
        <v>128125</v>
      </c>
      <c r="G2281" s="38">
        <v>26906.25</v>
      </c>
      <c r="H2281" s="56">
        <v>167531.25</v>
      </c>
      <c r="I2281" s="28" t="s">
        <v>19</v>
      </c>
      <c r="J2281" s="43"/>
    </row>
    <row r="2282" spans="1:10" customFormat="1" ht="15.75" hidden="1" customHeight="1" x14ac:dyDescent="0.25">
      <c r="A2282" s="57">
        <v>45218</v>
      </c>
      <c r="B2282" s="36" t="s">
        <v>5455</v>
      </c>
      <c r="C2282" s="28" t="s">
        <v>3011</v>
      </c>
      <c r="D2282" s="28" t="s">
        <v>3012</v>
      </c>
      <c r="E2282" s="38">
        <v>36800</v>
      </c>
      <c r="F2282" s="67">
        <v>375000</v>
      </c>
      <c r="G2282" s="38">
        <v>78750</v>
      </c>
      <c r="H2282" s="56">
        <v>490550</v>
      </c>
      <c r="I2282" s="28" t="s">
        <v>19</v>
      </c>
      <c r="J2282" s="43"/>
    </row>
    <row r="2283" spans="1:10" customFormat="1" ht="15.75" hidden="1" customHeight="1" x14ac:dyDescent="0.25">
      <c r="A2283" s="57">
        <v>45218</v>
      </c>
      <c r="B2283" s="36" t="s">
        <v>5456</v>
      </c>
      <c r="C2283" s="28" t="s">
        <v>3014</v>
      </c>
      <c r="D2283" s="28" t="s">
        <v>3015</v>
      </c>
      <c r="E2283" s="38">
        <v>18400</v>
      </c>
      <c r="F2283" s="67">
        <v>390000</v>
      </c>
      <c r="G2283" s="38">
        <v>81900</v>
      </c>
      <c r="H2283" s="56">
        <v>490300</v>
      </c>
      <c r="I2283" s="28" t="s">
        <v>19</v>
      </c>
      <c r="J2283" s="43"/>
    </row>
    <row r="2284" spans="1:10" customFormat="1" ht="15.75" hidden="1" customHeight="1" x14ac:dyDescent="0.25">
      <c r="A2284" s="57">
        <v>45218</v>
      </c>
      <c r="B2284" s="36" t="s">
        <v>5457</v>
      </c>
      <c r="C2284" s="28" t="s">
        <v>2954</v>
      </c>
      <c r="D2284" s="28" t="s">
        <v>2955</v>
      </c>
      <c r="E2284" s="38">
        <v>9200</v>
      </c>
      <c r="F2284" s="67">
        <v>93750</v>
      </c>
      <c r="G2284" s="38">
        <v>19687.5</v>
      </c>
      <c r="H2284" s="56">
        <v>122637.5</v>
      </c>
      <c r="I2284" s="28" t="s">
        <v>19</v>
      </c>
      <c r="J2284" s="43"/>
    </row>
    <row r="2285" spans="1:10" customFormat="1" ht="15.75" hidden="1" customHeight="1" x14ac:dyDescent="0.25">
      <c r="A2285" s="57">
        <v>45218</v>
      </c>
      <c r="B2285" s="36" t="s">
        <v>5458</v>
      </c>
      <c r="C2285" s="28" t="s">
        <v>3235</v>
      </c>
      <c r="D2285" s="28" t="s">
        <v>3236</v>
      </c>
      <c r="E2285" s="38">
        <v>9200</v>
      </c>
      <c r="F2285" s="67">
        <v>148125</v>
      </c>
      <c r="G2285" s="38">
        <v>31106.25</v>
      </c>
      <c r="H2285" s="56">
        <v>188431.25</v>
      </c>
      <c r="I2285" s="28" t="s">
        <v>19</v>
      </c>
      <c r="J2285" s="43"/>
    </row>
    <row r="2286" spans="1:10" customFormat="1" ht="15.75" hidden="1" customHeight="1" x14ac:dyDescent="0.25">
      <c r="A2286" s="57">
        <v>45218</v>
      </c>
      <c r="B2286" s="36" t="s">
        <v>5459</v>
      </c>
      <c r="C2286" s="28" t="s">
        <v>5258</v>
      </c>
      <c r="D2286" s="28" t="s">
        <v>5259</v>
      </c>
      <c r="E2286" s="38">
        <v>28000</v>
      </c>
      <c r="F2286" s="67">
        <v>512500</v>
      </c>
      <c r="G2286" s="38">
        <v>107625</v>
      </c>
      <c r="H2286" s="56">
        <v>648125</v>
      </c>
      <c r="I2286" s="28" t="s">
        <v>19</v>
      </c>
      <c r="J2286" s="43"/>
    </row>
    <row r="2287" spans="1:10" customFormat="1" ht="15.75" hidden="1" customHeight="1" x14ac:dyDescent="0.25">
      <c r="A2287" s="57">
        <v>45218</v>
      </c>
      <c r="B2287" s="36" t="s">
        <v>5460</v>
      </c>
      <c r="C2287" s="28" t="s">
        <v>5258</v>
      </c>
      <c r="D2287" s="28" t="s">
        <v>5259</v>
      </c>
      <c r="E2287" s="38">
        <v>13600</v>
      </c>
      <c r="F2287" s="67">
        <v>303125</v>
      </c>
      <c r="G2287" s="38">
        <v>63656.25</v>
      </c>
      <c r="H2287" s="56">
        <v>380381.25</v>
      </c>
      <c r="I2287" s="28" t="s">
        <v>19</v>
      </c>
      <c r="J2287" s="43"/>
    </row>
    <row r="2288" spans="1:10" customFormat="1" ht="15.75" hidden="1" customHeight="1" x14ac:dyDescent="0.25">
      <c r="A2288" s="57">
        <v>45218</v>
      </c>
      <c r="B2288" s="36" t="s">
        <v>5461</v>
      </c>
      <c r="C2288" s="28" t="s">
        <v>2883</v>
      </c>
      <c r="D2288" s="28" t="s">
        <v>2884</v>
      </c>
      <c r="E2288" s="38">
        <v>12500</v>
      </c>
      <c r="F2288" s="67">
        <v>128125</v>
      </c>
      <c r="G2288" s="38">
        <v>26906.25</v>
      </c>
      <c r="H2288" s="56">
        <v>167531.25</v>
      </c>
      <c r="I2288" s="28" t="s">
        <v>19</v>
      </c>
      <c r="J2288" s="43"/>
    </row>
    <row r="2289" spans="1:10" customFormat="1" ht="15.75" hidden="1" customHeight="1" x14ac:dyDescent="0.25">
      <c r="A2289" s="57">
        <v>45218</v>
      </c>
      <c r="B2289" s="36" t="s">
        <v>5462</v>
      </c>
      <c r="C2289" s="28" t="s">
        <v>2903</v>
      </c>
      <c r="D2289" s="28" t="s">
        <v>2904</v>
      </c>
      <c r="E2289" s="38">
        <v>9200</v>
      </c>
      <c r="F2289" s="67">
        <v>148125</v>
      </c>
      <c r="G2289" s="38">
        <v>31106.25</v>
      </c>
      <c r="H2289" s="56">
        <v>188431.25</v>
      </c>
      <c r="I2289" s="28" t="s">
        <v>19</v>
      </c>
      <c r="J2289" s="43"/>
    </row>
    <row r="2290" spans="1:10" customFormat="1" ht="15.75" hidden="1" customHeight="1" x14ac:dyDescent="0.25">
      <c r="A2290" s="57">
        <v>45218</v>
      </c>
      <c r="B2290" s="36" t="s">
        <v>5463</v>
      </c>
      <c r="C2290" s="28" t="s">
        <v>2924</v>
      </c>
      <c r="D2290" s="28" t="s">
        <v>2925</v>
      </c>
      <c r="E2290" s="38">
        <v>18400</v>
      </c>
      <c r="F2290" s="67">
        <v>390000</v>
      </c>
      <c r="G2290" s="38">
        <v>81900</v>
      </c>
      <c r="H2290" s="56">
        <v>490300</v>
      </c>
      <c r="I2290" s="28" t="s">
        <v>19</v>
      </c>
      <c r="J2290" s="43"/>
    </row>
    <row r="2291" spans="1:10" customFormat="1" ht="15.75" hidden="1" customHeight="1" x14ac:dyDescent="0.25">
      <c r="A2291" s="57">
        <v>45218</v>
      </c>
      <c r="B2291" s="36" t="s">
        <v>5464</v>
      </c>
      <c r="C2291" s="28" t="s">
        <v>2921</v>
      </c>
      <c r="D2291" s="28" t="s">
        <v>2922</v>
      </c>
      <c r="E2291" s="38">
        <v>18400</v>
      </c>
      <c r="F2291" s="67">
        <v>296250</v>
      </c>
      <c r="G2291" s="38">
        <v>62212.5</v>
      </c>
      <c r="H2291" s="56">
        <v>376862.5</v>
      </c>
      <c r="I2291" s="28" t="s">
        <v>19</v>
      </c>
      <c r="J2291" s="43"/>
    </row>
    <row r="2292" spans="1:10" customFormat="1" ht="15.75" hidden="1" customHeight="1" x14ac:dyDescent="0.25">
      <c r="A2292" s="57">
        <v>45218</v>
      </c>
      <c r="B2292" s="36" t="s">
        <v>5465</v>
      </c>
      <c r="C2292" s="28" t="s">
        <v>2903</v>
      </c>
      <c r="D2292" s="28" t="s">
        <v>2904</v>
      </c>
      <c r="E2292" s="38">
        <v>9200</v>
      </c>
      <c r="F2292" s="67">
        <v>148125</v>
      </c>
      <c r="G2292" s="38">
        <v>31106.25</v>
      </c>
      <c r="H2292" s="56">
        <v>188431.25</v>
      </c>
      <c r="I2292" s="28" t="s">
        <v>19</v>
      </c>
      <c r="J2292" s="43"/>
    </row>
    <row r="2293" spans="1:10" customFormat="1" ht="15.75" hidden="1" customHeight="1" x14ac:dyDescent="0.25">
      <c r="A2293" s="57">
        <v>45218</v>
      </c>
      <c r="B2293" s="36" t="s">
        <v>5466</v>
      </c>
      <c r="C2293" s="28" t="s">
        <v>3241</v>
      </c>
      <c r="D2293" s="28" t="s">
        <v>3242</v>
      </c>
      <c r="E2293" s="38">
        <v>9040</v>
      </c>
      <c r="F2293" s="67">
        <v>311162.5</v>
      </c>
      <c r="G2293" s="38">
        <v>65344.13</v>
      </c>
      <c r="H2293" s="56">
        <v>385546.63</v>
      </c>
      <c r="I2293" s="28" t="s">
        <v>19</v>
      </c>
      <c r="J2293" s="43"/>
    </row>
    <row r="2294" spans="1:10" customFormat="1" ht="15.75" hidden="1" customHeight="1" x14ac:dyDescent="0.25">
      <c r="A2294" s="57">
        <v>45218</v>
      </c>
      <c r="B2294" s="36" t="s">
        <v>5467</v>
      </c>
      <c r="C2294" s="28" t="s">
        <v>3007</v>
      </c>
      <c r="D2294" s="28" t="s">
        <v>3008</v>
      </c>
      <c r="E2294" s="38">
        <v>27000</v>
      </c>
      <c r="F2294" s="67">
        <v>850002</v>
      </c>
      <c r="G2294" s="38">
        <v>178500.42</v>
      </c>
      <c r="H2294" s="56">
        <v>1055502.42</v>
      </c>
      <c r="I2294" s="28" t="s">
        <v>19</v>
      </c>
      <c r="J2294" s="43"/>
    </row>
    <row r="2295" spans="1:10" customFormat="1" ht="15.75" hidden="1" customHeight="1" x14ac:dyDescent="0.25">
      <c r="A2295" s="57">
        <v>45218</v>
      </c>
      <c r="B2295" s="36" t="s">
        <v>5468</v>
      </c>
      <c r="C2295" s="28" t="s">
        <v>2924</v>
      </c>
      <c r="D2295" s="28" t="s">
        <v>2925</v>
      </c>
      <c r="E2295" s="38">
        <v>36800</v>
      </c>
      <c r="F2295" s="67">
        <v>281250</v>
      </c>
      <c r="G2295" s="38">
        <v>59062.5</v>
      </c>
      <c r="H2295" s="56">
        <v>377112.5</v>
      </c>
      <c r="I2295" s="28" t="s">
        <v>19</v>
      </c>
      <c r="J2295" s="43"/>
    </row>
    <row r="2296" spans="1:10" customFormat="1" ht="15.75" hidden="1" customHeight="1" x14ac:dyDescent="0.25">
      <c r="A2296" s="57">
        <v>45218</v>
      </c>
      <c r="B2296" s="36" t="s">
        <v>5469</v>
      </c>
      <c r="C2296" s="28" t="s">
        <v>2924</v>
      </c>
      <c r="D2296" s="28" t="s">
        <v>2925</v>
      </c>
      <c r="E2296" s="38">
        <v>36800</v>
      </c>
      <c r="F2296" s="67">
        <v>281250</v>
      </c>
      <c r="G2296" s="38">
        <v>59062.5</v>
      </c>
      <c r="H2296" s="56">
        <v>377112.5</v>
      </c>
      <c r="I2296" s="28" t="s">
        <v>19</v>
      </c>
      <c r="J2296" s="43"/>
    </row>
    <row r="2297" spans="1:10" customFormat="1" ht="15.75" hidden="1" customHeight="1" x14ac:dyDescent="0.25">
      <c r="A2297" s="57">
        <v>45218</v>
      </c>
      <c r="B2297" s="36" t="s">
        <v>5470</v>
      </c>
      <c r="C2297" s="28" t="s">
        <v>3029</v>
      </c>
      <c r="D2297" s="28" t="s">
        <v>3030</v>
      </c>
      <c r="E2297" s="38">
        <v>9200</v>
      </c>
      <c r="F2297" s="67">
        <v>93750</v>
      </c>
      <c r="G2297" s="38">
        <v>19687.5</v>
      </c>
      <c r="H2297" s="56">
        <v>122637.5</v>
      </c>
      <c r="I2297" s="28" t="s">
        <v>19</v>
      </c>
      <c r="J2297" s="43"/>
    </row>
    <row r="2298" spans="1:10" customFormat="1" ht="15.75" hidden="1" customHeight="1" x14ac:dyDescent="0.25">
      <c r="A2298" s="57">
        <v>45218</v>
      </c>
      <c r="B2298" s="36" t="s">
        <v>5471</v>
      </c>
      <c r="C2298" s="28" t="s">
        <v>3241</v>
      </c>
      <c r="D2298" s="28" t="s">
        <v>3242</v>
      </c>
      <c r="E2298" s="38">
        <v>9200</v>
      </c>
      <c r="F2298" s="67">
        <v>148125</v>
      </c>
      <c r="G2298" s="38">
        <v>31106.25</v>
      </c>
      <c r="H2298" s="56">
        <v>188431.25</v>
      </c>
      <c r="I2298" s="28" t="s">
        <v>19</v>
      </c>
      <c r="J2298" s="43"/>
    </row>
    <row r="2299" spans="1:10" customFormat="1" ht="15.75" hidden="1" customHeight="1" x14ac:dyDescent="0.25">
      <c r="A2299" s="57">
        <v>45218</v>
      </c>
      <c r="B2299" s="36" t="s">
        <v>5472</v>
      </c>
      <c r="C2299" s="28" t="s">
        <v>4420</v>
      </c>
      <c r="D2299" s="28" t="s">
        <v>4421</v>
      </c>
      <c r="E2299" s="38">
        <v>9200</v>
      </c>
      <c r="F2299" s="67">
        <v>148125</v>
      </c>
      <c r="G2299" s="38">
        <v>31106.25</v>
      </c>
      <c r="H2299" s="56">
        <v>188431.25</v>
      </c>
      <c r="I2299" s="28" t="s">
        <v>19</v>
      </c>
      <c r="J2299" s="43"/>
    </row>
    <row r="2300" spans="1:10" customFormat="1" ht="15.75" hidden="1" customHeight="1" x14ac:dyDescent="0.25">
      <c r="A2300" s="57">
        <v>45218</v>
      </c>
      <c r="B2300" s="36" t="s">
        <v>5473</v>
      </c>
      <c r="C2300" s="28" t="s">
        <v>4420</v>
      </c>
      <c r="D2300" s="28" t="s">
        <v>4421</v>
      </c>
      <c r="E2300" s="38">
        <v>9200</v>
      </c>
      <c r="F2300" s="67">
        <v>148125</v>
      </c>
      <c r="G2300" s="38">
        <v>31106.25</v>
      </c>
      <c r="H2300" s="56">
        <v>188431.25</v>
      </c>
      <c r="I2300" s="28" t="s">
        <v>19</v>
      </c>
      <c r="J2300" s="43"/>
    </row>
    <row r="2301" spans="1:10" customFormat="1" ht="15.75" hidden="1" customHeight="1" x14ac:dyDescent="0.25">
      <c r="A2301" s="57">
        <v>45218</v>
      </c>
      <c r="B2301" s="36" t="s">
        <v>5474</v>
      </c>
      <c r="C2301" s="28" t="s">
        <v>3241</v>
      </c>
      <c r="D2301" s="28" t="s">
        <v>3242</v>
      </c>
      <c r="E2301" s="38">
        <v>18400</v>
      </c>
      <c r="F2301" s="67">
        <v>296250</v>
      </c>
      <c r="G2301" s="38">
        <v>62212.5</v>
      </c>
      <c r="H2301" s="56">
        <v>376862.5</v>
      </c>
      <c r="I2301" s="28" t="s">
        <v>19</v>
      </c>
      <c r="J2301" s="43"/>
    </row>
    <row r="2302" spans="1:10" customFormat="1" ht="15.75" hidden="1" customHeight="1" x14ac:dyDescent="0.25">
      <c r="A2302" s="57">
        <v>45218</v>
      </c>
      <c r="B2302" s="36" t="s">
        <v>5475</v>
      </c>
      <c r="C2302" s="28" t="s">
        <v>2870</v>
      </c>
      <c r="D2302" s="28" t="s">
        <v>2871</v>
      </c>
      <c r="E2302" s="38">
        <v>9200</v>
      </c>
      <c r="F2302" s="67">
        <v>93750</v>
      </c>
      <c r="G2302" s="38">
        <v>19687.5</v>
      </c>
      <c r="H2302" s="56">
        <v>122637.5</v>
      </c>
      <c r="I2302" s="28" t="s">
        <v>19</v>
      </c>
      <c r="J2302" s="43"/>
    </row>
    <row r="2303" spans="1:10" customFormat="1" ht="15.75" hidden="1" customHeight="1" x14ac:dyDescent="0.25">
      <c r="A2303" s="57">
        <v>45218</v>
      </c>
      <c r="B2303" s="36" t="s">
        <v>5476</v>
      </c>
      <c r="C2303" s="28" t="s">
        <v>3235</v>
      </c>
      <c r="D2303" s="28" t="s">
        <v>3236</v>
      </c>
      <c r="E2303" s="38">
        <v>18400</v>
      </c>
      <c r="F2303" s="67">
        <v>187500</v>
      </c>
      <c r="G2303" s="38">
        <v>39375</v>
      </c>
      <c r="H2303" s="56">
        <v>245275</v>
      </c>
      <c r="I2303" s="28" t="s">
        <v>19</v>
      </c>
      <c r="J2303" s="43"/>
    </row>
    <row r="2304" spans="1:10" customFormat="1" ht="15.75" hidden="1" customHeight="1" x14ac:dyDescent="0.25">
      <c r="A2304" s="57">
        <v>45218</v>
      </c>
      <c r="B2304" s="36" t="s">
        <v>5477</v>
      </c>
      <c r="C2304" s="28" t="s">
        <v>2921</v>
      </c>
      <c r="D2304" s="28" t="s">
        <v>2922</v>
      </c>
      <c r="E2304" s="38">
        <v>9200</v>
      </c>
      <c r="F2304" s="67">
        <v>93750</v>
      </c>
      <c r="G2304" s="38">
        <v>19687.5</v>
      </c>
      <c r="H2304" s="56">
        <v>122637.5</v>
      </c>
      <c r="I2304" s="28" t="s">
        <v>19</v>
      </c>
      <c r="J2304" s="43"/>
    </row>
    <row r="2305" spans="1:10" customFormat="1" ht="15.75" hidden="1" customHeight="1" x14ac:dyDescent="0.25">
      <c r="A2305" s="57">
        <v>45218</v>
      </c>
      <c r="B2305" s="36" t="s">
        <v>5478</v>
      </c>
      <c r="C2305" s="28" t="s">
        <v>2924</v>
      </c>
      <c r="D2305" s="28" t="s">
        <v>2925</v>
      </c>
      <c r="E2305" s="38">
        <v>18800</v>
      </c>
      <c r="F2305" s="67">
        <v>257032</v>
      </c>
      <c r="G2305" s="38">
        <v>53976.72</v>
      </c>
      <c r="H2305" s="56">
        <v>329808.71999999997</v>
      </c>
      <c r="I2305" s="28" t="s">
        <v>19</v>
      </c>
      <c r="J2305" s="43"/>
    </row>
    <row r="2306" spans="1:10" customFormat="1" ht="15.75" hidden="1" customHeight="1" x14ac:dyDescent="0.25">
      <c r="A2306" s="57">
        <v>45218</v>
      </c>
      <c r="B2306" s="36" t="s">
        <v>5479</v>
      </c>
      <c r="C2306" s="28" t="s">
        <v>2924</v>
      </c>
      <c r="D2306" s="28" t="s">
        <v>2925</v>
      </c>
      <c r="E2306" s="38">
        <v>18800</v>
      </c>
      <c r="F2306" s="67">
        <v>257032</v>
      </c>
      <c r="G2306" s="38">
        <v>53976.72</v>
      </c>
      <c r="H2306" s="56">
        <v>329808.71999999997</v>
      </c>
      <c r="I2306" s="28" t="s">
        <v>19</v>
      </c>
      <c r="J2306" s="43"/>
    </row>
    <row r="2307" spans="1:10" customFormat="1" ht="15.75" hidden="1" customHeight="1" x14ac:dyDescent="0.25">
      <c r="A2307" s="57">
        <v>45218</v>
      </c>
      <c r="B2307" s="36" t="s">
        <v>5480</v>
      </c>
      <c r="C2307" s="28" t="s">
        <v>2924</v>
      </c>
      <c r="D2307" s="28" t="s">
        <v>2925</v>
      </c>
      <c r="E2307" s="38">
        <v>18800</v>
      </c>
      <c r="F2307" s="67">
        <v>257032</v>
      </c>
      <c r="G2307" s="38">
        <v>53976.72</v>
      </c>
      <c r="H2307" s="56">
        <v>329808.71999999997</v>
      </c>
      <c r="I2307" s="28" t="s">
        <v>19</v>
      </c>
      <c r="J2307" s="43"/>
    </row>
    <row r="2308" spans="1:10" customFormat="1" ht="15.75" hidden="1" customHeight="1" x14ac:dyDescent="0.25">
      <c r="A2308" s="57">
        <v>45218</v>
      </c>
      <c r="B2308" s="36" t="s">
        <v>5481</v>
      </c>
      <c r="C2308" s="28" t="s">
        <v>2851</v>
      </c>
      <c r="D2308" s="28" t="s">
        <v>2852</v>
      </c>
      <c r="E2308" s="38">
        <v>9200</v>
      </c>
      <c r="F2308" s="67">
        <v>140625</v>
      </c>
      <c r="G2308" s="38">
        <v>29531.25</v>
      </c>
      <c r="H2308" s="56">
        <v>179356.25</v>
      </c>
      <c r="I2308" s="28" t="s">
        <v>19</v>
      </c>
      <c r="J2308" s="43"/>
    </row>
    <row r="2309" spans="1:10" customFormat="1" ht="15.75" hidden="1" customHeight="1" x14ac:dyDescent="0.25">
      <c r="A2309" s="57">
        <v>45218</v>
      </c>
      <c r="B2309" s="36" t="s">
        <v>5482</v>
      </c>
      <c r="C2309" s="28" t="s">
        <v>2851</v>
      </c>
      <c r="D2309" s="28" t="s">
        <v>2852</v>
      </c>
      <c r="E2309" s="38">
        <v>9200</v>
      </c>
      <c r="F2309" s="67">
        <v>126562.5</v>
      </c>
      <c r="G2309" s="38">
        <v>26578.13</v>
      </c>
      <c r="H2309" s="56">
        <v>162340.63</v>
      </c>
      <c r="I2309" s="28" t="s">
        <v>19</v>
      </c>
      <c r="J2309" s="43"/>
    </row>
    <row r="2310" spans="1:10" customFormat="1" ht="15.75" hidden="1" customHeight="1" x14ac:dyDescent="0.25">
      <c r="A2310" s="57">
        <v>45219</v>
      </c>
      <c r="B2310" s="36" t="s">
        <v>5483</v>
      </c>
      <c r="C2310" s="28" t="s">
        <v>3235</v>
      </c>
      <c r="D2310" s="28" t="s">
        <v>3236</v>
      </c>
      <c r="E2310" s="38">
        <v>5800</v>
      </c>
      <c r="F2310" s="67">
        <v>128125</v>
      </c>
      <c r="G2310" s="38">
        <v>26906.25</v>
      </c>
      <c r="H2310" s="56">
        <v>160831.25</v>
      </c>
      <c r="I2310" s="28" t="s">
        <v>19</v>
      </c>
      <c r="J2310" s="43"/>
    </row>
    <row r="2311" spans="1:10" customFormat="1" ht="15.75" hidden="1" customHeight="1" x14ac:dyDescent="0.25">
      <c r="A2311" s="57">
        <v>45219</v>
      </c>
      <c r="B2311" s="36" t="s">
        <v>5484</v>
      </c>
      <c r="C2311" s="28" t="s">
        <v>3235</v>
      </c>
      <c r="D2311" s="28" t="s">
        <v>3236</v>
      </c>
      <c r="E2311" s="38">
        <v>5800</v>
      </c>
      <c r="F2311" s="67">
        <v>128125</v>
      </c>
      <c r="G2311" s="38">
        <v>26906.25</v>
      </c>
      <c r="H2311" s="56">
        <v>160831.25</v>
      </c>
      <c r="I2311" s="28" t="s">
        <v>19</v>
      </c>
      <c r="J2311" s="43"/>
    </row>
    <row r="2312" spans="1:10" customFormat="1" ht="15.75" hidden="1" customHeight="1" x14ac:dyDescent="0.25">
      <c r="A2312" s="57">
        <v>45219</v>
      </c>
      <c r="B2312" s="36" t="s">
        <v>5485</v>
      </c>
      <c r="C2312" s="28" t="s">
        <v>3235</v>
      </c>
      <c r="D2312" s="28" t="s">
        <v>3236</v>
      </c>
      <c r="E2312" s="38">
        <v>64400</v>
      </c>
      <c r="F2312" s="67">
        <v>656250</v>
      </c>
      <c r="G2312" s="38">
        <v>137812.5</v>
      </c>
      <c r="H2312" s="56">
        <v>858462.5</v>
      </c>
      <c r="I2312" s="28" t="s">
        <v>19</v>
      </c>
      <c r="J2312" s="43"/>
    </row>
    <row r="2313" spans="1:10" customFormat="1" ht="15.75" hidden="1" customHeight="1" x14ac:dyDescent="0.25">
      <c r="A2313" s="57">
        <v>45219</v>
      </c>
      <c r="B2313" s="36" t="s">
        <v>5486</v>
      </c>
      <c r="C2313" s="28" t="s">
        <v>3235</v>
      </c>
      <c r="D2313" s="28" t="s">
        <v>3236</v>
      </c>
      <c r="E2313" s="38">
        <v>18400</v>
      </c>
      <c r="F2313" s="67">
        <v>168750</v>
      </c>
      <c r="G2313" s="38">
        <v>35437.5</v>
      </c>
      <c r="H2313" s="56">
        <v>222587.5</v>
      </c>
      <c r="I2313" s="28" t="s">
        <v>19</v>
      </c>
      <c r="J2313" s="43"/>
    </row>
    <row r="2314" spans="1:10" customFormat="1" ht="15.75" hidden="1" customHeight="1" x14ac:dyDescent="0.25">
      <c r="A2314" s="57">
        <v>45219</v>
      </c>
      <c r="B2314" s="36" t="s">
        <v>5487</v>
      </c>
      <c r="C2314" s="28" t="s">
        <v>3235</v>
      </c>
      <c r="D2314" s="28" t="s">
        <v>3236</v>
      </c>
      <c r="E2314" s="38">
        <v>18400</v>
      </c>
      <c r="F2314" s="67">
        <v>253125</v>
      </c>
      <c r="G2314" s="38">
        <v>53156.26</v>
      </c>
      <c r="H2314" s="56">
        <v>324681.26</v>
      </c>
      <c r="I2314" s="28" t="s">
        <v>19</v>
      </c>
      <c r="J2314" s="43"/>
    </row>
    <row r="2315" spans="1:10" customFormat="1" ht="15.75" hidden="1" customHeight="1" x14ac:dyDescent="0.25">
      <c r="A2315" s="57">
        <v>45219</v>
      </c>
      <c r="B2315" s="36" t="s">
        <v>5488</v>
      </c>
      <c r="C2315" s="28" t="s">
        <v>2851</v>
      </c>
      <c r="D2315" s="28" t="s">
        <v>2852</v>
      </c>
      <c r="E2315" s="38">
        <v>36200</v>
      </c>
      <c r="F2315" s="67">
        <v>253125</v>
      </c>
      <c r="G2315" s="38">
        <v>53156.26</v>
      </c>
      <c r="H2315" s="56">
        <v>342481.26</v>
      </c>
      <c r="I2315" s="28" t="s">
        <v>19</v>
      </c>
      <c r="J2315" s="43"/>
    </row>
    <row r="2316" spans="1:10" customFormat="1" ht="15.75" hidden="1" customHeight="1" x14ac:dyDescent="0.25">
      <c r="A2316" s="57">
        <v>45219</v>
      </c>
      <c r="B2316" s="36" t="s">
        <v>5489</v>
      </c>
      <c r="C2316" s="28" t="s">
        <v>3300</v>
      </c>
      <c r="D2316" s="28" t="s">
        <v>3301</v>
      </c>
      <c r="E2316" s="38">
        <v>5000</v>
      </c>
      <c r="F2316" s="67">
        <v>117187.5</v>
      </c>
      <c r="G2316" s="38">
        <v>24609.38</v>
      </c>
      <c r="H2316" s="56">
        <v>146796.88</v>
      </c>
      <c r="I2316" s="28" t="s">
        <v>19</v>
      </c>
      <c r="J2316" s="43"/>
    </row>
    <row r="2317" spans="1:10" customFormat="1" ht="15.75" hidden="1" customHeight="1" x14ac:dyDescent="0.25">
      <c r="A2317" s="57">
        <v>45219</v>
      </c>
      <c r="B2317" s="36" t="s">
        <v>5490</v>
      </c>
      <c r="C2317" s="28" t="s">
        <v>3831</v>
      </c>
      <c r="D2317" s="28" t="s">
        <v>3832</v>
      </c>
      <c r="E2317" s="38">
        <v>9200</v>
      </c>
      <c r="F2317" s="67">
        <v>148125</v>
      </c>
      <c r="G2317" s="38">
        <v>31106.25</v>
      </c>
      <c r="H2317" s="56">
        <v>188431.25</v>
      </c>
      <c r="I2317" s="28" t="s">
        <v>19</v>
      </c>
      <c r="J2317" s="43"/>
    </row>
    <row r="2318" spans="1:10" customFormat="1" ht="15.75" hidden="1" customHeight="1" x14ac:dyDescent="0.25">
      <c r="A2318" s="57">
        <v>45219</v>
      </c>
      <c r="B2318" s="36" t="s">
        <v>5491</v>
      </c>
      <c r="C2318" s="28" t="s">
        <v>2921</v>
      </c>
      <c r="D2318" s="28" t="s">
        <v>2922</v>
      </c>
      <c r="E2318" s="38">
        <v>18400</v>
      </c>
      <c r="F2318" s="67">
        <v>296250</v>
      </c>
      <c r="G2318" s="38">
        <v>62212.5</v>
      </c>
      <c r="H2318" s="56">
        <v>376862.5</v>
      </c>
      <c r="I2318" s="28" t="s">
        <v>19</v>
      </c>
      <c r="J2318" s="43"/>
    </row>
    <row r="2319" spans="1:10" customFormat="1" ht="15.75" hidden="1" customHeight="1" x14ac:dyDescent="0.25">
      <c r="A2319" s="57">
        <v>45219</v>
      </c>
      <c r="B2319" s="36" t="s">
        <v>5492</v>
      </c>
      <c r="C2319" s="28" t="s">
        <v>2921</v>
      </c>
      <c r="D2319" s="28" t="s">
        <v>2922</v>
      </c>
      <c r="E2319" s="38">
        <v>18400</v>
      </c>
      <c r="F2319" s="67">
        <v>296250</v>
      </c>
      <c r="G2319" s="38">
        <v>62212.5</v>
      </c>
      <c r="H2319" s="56">
        <v>376862.5</v>
      </c>
      <c r="I2319" s="28" t="s">
        <v>19</v>
      </c>
      <c r="J2319" s="43"/>
    </row>
    <row r="2320" spans="1:10" customFormat="1" ht="15.75" hidden="1" customHeight="1" x14ac:dyDescent="0.25">
      <c r="A2320" s="57">
        <v>45219</v>
      </c>
      <c r="B2320" s="36" t="s">
        <v>5493</v>
      </c>
      <c r="C2320" s="28" t="s">
        <v>2909</v>
      </c>
      <c r="D2320" s="28" t="s">
        <v>2910</v>
      </c>
      <c r="E2320" s="38">
        <v>9200</v>
      </c>
      <c r="F2320" s="67">
        <v>148125</v>
      </c>
      <c r="G2320" s="38">
        <v>31106.25</v>
      </c>
      <c r="H2320" s="56">
        <v>188431.25</v>
      </c>
      <c r="I2320" s="28" t="s">
        <v>19</v>
      </c>
      <c r="J2320" s="43"/>
    </row>
    <row r="2321" spans="1:10" customFormat="1" ht="15.75" hidden="1" customHeight="1" x14ac:dyDescent="0.25">
      <c r="A2321" s="57">
        <v>45219</v>
      </c>
      <c r="B2321" s="36" t="s">
        <v>5494</v>
      </c>
      <c r="C2321" s="28" t="s">
        <v>2892</v>
      </c>
      <c r="D2321" s="28" t="s">
        <v>2893</v>
      </c>
      <c r="E2321" s="38">
        <v>1800</v>
      </c>
      <c r="F2321" s="67">
        <v>65625</v>
      </c>
      <c r="G2321" s="38">
        <v>13781.25</v>
      </c>
      <c r="H2321" s="56">
        <v>81206.25</v>
      </c>
      <c r="I2321" s="28" t="s">
        <v>19</v>
      </c>
      <c r="J2321" s="43"/>
    </row>
    <row r="2322" spans="1:10" customFormat="1" ht="15.75" hidden="1" customHeight="1" x14ac:dyDescent="0.25">
      <c r="A2322" s="57">
        <v>45219</v>
      </c>
      <c r="B2322" s="36" t="s">
        <v>5495</v>
      </c>
      <c r="C2322" s="28" t="s">
        <v>2921</v>
      </c>
      <c r="D2322" s="28" t="s">
        <v>2922</v>
      </c>
      <c r="E2322" s="38">
        <v>0</v>
      </c>
      <c r="F2322" s="67">
        <v>36000</v>
      </c>
      <c r="G2322" s="38">
        <v>7560</v>
      </c>
      <c r="H2322" s="56">
        <v>43560</v>
      </c>
      <c r="I2322" s="28" t="s">
        <v>19</v>
      </c>
      <c r="J2322" s="43"/>
    </row>
    <row r="2323" spans="1:10" customFormat="1" ht="15.75" hidden="1" customHeight="1" x14ac:dyDescent="0.25">
      <c r="A2323" s="57">
        <v>45219</v>
      </c>
      <c r="B2323" s="36" t="s">
        <v>5496</v>
      </c>
      <c r="C2323" s="28" t="s">
        <v>2957</v>
      </c>
      <c r="D2323" s="28" t="s">
        <v>2958</v>
      </c>
      <c r="E2323" s="38">
        <v>14800</v>
      </c>
      <c r="F2323" s="67">
        <v>484375</v>
      </c>
      <c r="G2323" s="38">
        <v>101718.75</v>
      </c>
      <c r="H2323" s="56">
        <v>600893.75</v>
      </c>
      <c r="I2323" s="28" t="s">
        <v>19</v>
      </c>
      <c r="J2323" s="43"/>
    </row>
    <row r="2324" spans="1:10" customFormat="1" ht="15.75" hidden="1" customHeight="1" x14ac:dyDescent="0.25">
      <c r="A2324" s="57">
        <v>45219</v>
      </c>
      <c r="B2324" s="36" t="s">
        <v>5497</v>
      </c>
      <c r="C2324" s="28" t="s">
        <v>2924</v>
      </c>
      <c r="D2324" s="28" t="s">
        <v>2925</v>
      </c>
      <c r="E2324" s="38">
        <v>16800</v>
      </c>
      <c r="F2324" s="67">
        <v>303125</v>
      </c>
      <c r="G2324" s="38">
        <v>63656.25</v>
      </c>
      <c r="H2324" s="56">
        <v>383581.25</v>
      </c>
      <c r="I2324" s="28" t="s">
        <v>19</v>
      </c>
      <c r="J2324" s="43"/>
    </row>
    <row r="2325" spans="1:10" customFormat="1" ht="15.75" hidden="1" customHeight="1" x14ac:dyDescent="0.25">
      <c r="A2325" s="57">
        <v>45219</v>
      </c>
      <c r="B2325" s="36" t="s">
        <v>5498</v>
      </c>
      <c r="C2325" s="28" t="s">
        <v>2924</v>
      </c>
      <c r="D2325" s="28" t="s">
        <v>2925</v>
      </c>
      <c r="E2325" s="38">
        <v>16800</v>
      </c>
      <c r="F2325" s="67">
        <v>303125</v>
      </c>
      <c r="G2325" s="38">
        <v>63656.25</v>
      </c>
      <c r="H2325" s="56">
        <v>383581.25</v>
      </c>
      <c r="I2325" s="28" t="s">
        <v>19</v>
      </c>
      <c r="J2325" s="43"/>
    </row>
    <row r="2326" spans="1:10" customFormat="1" ht="15.75" hidden="1" customHeight="1" x14ac:dyDescent="0.25">
      <c r="A2326" s="57">
        <v>45219</v>
      </c>
      <c r="B2326" s="36" t="s">
        <v>5499</v>
      </c>
      <c r="C2326" s="28" t="s">
        <v>3235</v>
      </c>
      <c r="D2326" s="28" t="s">
        <v>3236</v>
      </c>
      <c r="E2326" s="38">
        <v>27600</v>
      </c>
      <c r="F2326" s="67">
        <v>393750</v>
      </c>
      <c r="G2326" s="38">
        <v>82687.5</v>
      </c>
      <c r="H2326" s="56">
        <v>504037.5</v>
      </c>
      <c r="I2326" s="28" t="s">
        <v>19</v>
      </c>
      <c r="J2326" s="43"/>
    </row>
    <row r="2327" spans="1:10" customFormat="1" ht="15.75" hidden="1" customHeight="1" x14ac:dyDescent="0.25">
      <c r="A2327" s="57">
        <v>45219</v>
      </c>
      <c r="B2327" s="36" t="s">
        <v>5500</v>
      </c>
      <c r="C2327" s="28" t="s">
        <v>3235</v>
      </c>
      <c r="D2327" s="28" t="s">
        <v>3236</v>
      </c>
      <c r="E2327" s="38">
        <v>27600</v>
      </c>
      <c r="F2327" s="67">
        <v>444375</v>
      </c>
      <c r="G2327" s="38">
        <v>93318.75</v>
      </c>
      <c r="H2327" s="56">
        <v>565293.75</v>
      </c>
      <c r="I2327" s="28" t="s">
        <v>19</v>
      </c>
      <c r="J2327" s="43"/>
    </row>
    <row r="2328" spans="1:10" customFormat="1" ht="15.75" hidden="1" customHeight="1" x14ac:dyDescent="0.25">
      <c r="A2328" s="57">
        <v>45222</v>
      </c>
      <c r="B2328" s="36" t="s">
        <v>5501</v>
      </c>
      <c r="C2328" s="28" t="s">
        <v>3041</v>
      </c>
      <c r="D2328" s="28" t="s">
        <v>3042</v>
      </c>
      <c r="E2328" s="38">
        <v>1800</v>
      </c>
      <c r="F2328" s="67">
        <v>65625</v>
      </c>
      <c r="G2328" s="38">
        <v>13781.25</v>
      </c>
      <c r="H2328" s="56">
        <v>81206.25</v>
      </c>
      <c r="I2328" s="28" t="s">
        <v>19</v>
      </c>
      <c r="J2328" s="43"/>
    </row>
    <row r="2329" spans="1:10" customFormat="1" ht="15.75" hidden="1" customHeight="1" x14ac:dyDescent="0.25">
      <c r="A2329" s="57">
        <v>45222</v>
      </c>
      <c r="B2329" s="36" t="s">
        <v>5502</v>
      </c>
      <c r="C2329" s="28" t="s">
        <v>3014</v>
      </c>
      <c r="D2329" s="28" t="s">
        <v>3015</v>
      </c>
      <c r="E2329" s="38">
        <v>18400</v>
      </c>
      <c r="F2329" s="67">
        <v>253125</v>
      </c>
      <c r="G2329" s="38">
        <v>53156.26</v>
      </c>
      <c r="H2329" s="56">
        <v>324681.26</v>
      </c>
      <c r="I2329" s="28" t="s">
        <v>19</v>
      </c>
      <c r="J2329" s="43"/>
    </row>
    <row r="2330" spans="1:10" customFormat="1" ht="15.75" hidden="1" customHeight="1" x14ac:dyDescent="0.25">
      <c r="A2330" s="57">
        <v>45222</v>
      </c>
      <c r="B2330" s="36" t="s">
        <v>5503</v>
      </c>
      <c r="C2330" s="28" t="s">
        <v>3235</v>
      </c>
      <c r="D2330" s="28" t="s">
        <v>3236</v>
      </c>
      <c r="E2330" s="38">
        <v>18400</v>
      </c>
      <c r="F2330" s="67">
        <v>187500</v>
      </c>
      <c r="G2330" s="38">
        <v>39375</v>
      </c>
      <c r="H2330" s="56">
        <v>245275</v>
      </c>
      <c r="I2330" s="28" t="s">
        <v>19</v>
      </c>
      <c r="J2330" s="43"/>
    </row>
    <row r="2331" spans="1:10" customFormat="1" ht="15.75" hidden="1" customHeight="1" x14ac:dyDescent="0.25">
      <c r="A2331" s="57">
        <v>45222</v>
      </c>
      <c r="B2331" s="36" t="s">
        <v>5504</v>
      </c>
      <c r="C2331" s="28" t="s">
        <v>2903</v>
      </c>
      <c r="D2331" s="28" t="s">
        <v>2904</v>
      </c>
      <c r="E2331" s="38">
        <v>9200</v>
      </c>
      <c r="F2331" s="67">
        <v>148125</v>
      </c>
      <c r="G2331" s="38">
        <v>31106.25</v>
      </c>
      <c r="H2331" s="56">
        <v>188431.25</v>
      </c>
      <c r="I2331" s="28" t="s">
        <v>19</v>
      </c>
      <c r="J2331" s="43"/>
    </row>
    <row r="2332" spans="1:10" customFormat="1" ht="15.75" hidden="1" customHeight="1" x14ac:dyDescent="0.25">
      <c r="A2332" s="57">
        <v>45222</v>
      </c>
      <c r="B2332" s="36" t="s">
        <v>5505</v>
      </c>
      <c r="C2332" s="28" t="s">
        <v>2892</v>
      </c>
      <c r="D2332" s="28" t="s">
        <v>2893</v>
      </c>
      <c r="E2332" s="38">
        <v>1800</v>
      </c>
      <c r="F2332" s="67">
        <v>65625</v>
      </c>
      <c r="G2332" s="38">
        <v>13781.25</v>
      </c>
      <c r="H2332" s="56">
        <v>81206.25</v>
      </c>
      <c r="I2332" s="28" t="s">
        <v>19</v>
      </c>
      <c r="J2332" s="43"/>
    </row>
    <row r="2333" spans="1:10" customFormat="1" ht="15.75" hidden="1" customHeight="1" x14ac:dyDescent="0.25">
      <c r="A2333" s="57">
        <v>45222</v>
      </c>
      <c r="B2333" s="36" t="s">
        <v>5506</v>
      </c>
      <c r="C2333" s="28" t="s">
        <v>3876</v>
      </c>
      <c r="D2333" s="28" t="s">
        <v>3877</v>
      </c>
      <c r="E2333" s="38">
        <v>14100</v>
      </c>
      <c r="F2333" s="67">
        <v>193750</v>
      </c>
      <c r="G2333" s="38">
        <v>40687.5</v>
      </c>
      <c r="H2333" s="56">
        <v>248537.5</v>
      </c>
      <c r="I2333" s="28" t="s">
        <v>19</v>
      </c>
      <c r="J2333" s="43"/>
    </row>
    <row r="2334" spans="1:10" customFormat="1" ht="15.75" hidden="1" customHeight="1" x14ac:dyDescent="0.25">
      <c r="A2334" s="57">
        <v>45222</v>
      </c>
      <c r="B2334" s="36" t="s">
        <v>5507</v>
      </c>
      <c r="C2334" s="28" t="s">
        <v>3235</v>
      </c>
      <c r="D2334" s="28" t="s">
        <v>3236</v>
      </c>
      <c r="E2334" s="38">
        <v>34000</v>
      </c>
      <c r="F2334" s="67">
        <v>296876</v>
      </c>
      <c r="G2334" s="38">
        <v>62343.96</v>
      </c>
      <c r="H2334" s="56">
        <v>393219.96</v>
      </c>
      <c r="I2334" s="28" t="s">
        <v>19</v>
      </c>
      <c r="J2334" s="43"/>
    </row>
    <row r="2335" spans="1:10" customFormat="1" ht="15.75" hidden="1" customHeight="1" x14ac:dyDescent="0.25">
      <c r="A2335" s="57">
        <v>45222</v>
      </c>
      <c r="B2335" s="36" t="s">
        <v>5508</v>
      </c>
      <c r="C2335" s="28" t="s">
        <v>5509</v>
      </c>
      <c r="D2335" s="28" t="s">
        <v>5510</v>
      </c>
      <c r="E2335" s="38">
        <v>11000</v>
      </c>
      <c r="F2335" s="67">
        <v>192187.5</v>
      </c>
      <c r="G2335" s="38">
        <v>40359.370000000003</v>
      </c>
      <c r="H2335" s="56">
        <v>243546.87</v>
      </c>
      <c r="I2335" s="28" t="s">
        <v>19</v>
      </c>
      <c r="J2335" s="43"/>
    </row>
    <row r="2336" spans="1:10" customFormat="1" ht="15.75" hidden="1" customHeight="1" x14ac:dyDescent="0.25">
      <c r="A2336" s="57">
        <v>45222</v>
      </c>
      <c r="B2336" s="36" t="s">
        <v>5511</v>
      </c>
      <c r="C2336" s="28" t="s">
        <v>3235</v>
      </c>
      <c r="D2336" s="28" t="s">
        <v>3236</v>
      </c>
      <c r="E2336" s="38">
        <v>34000</v>
      </c>
      <c r="F2336" s="67">
        <v>296876</v>
      </c>
      <c r="G2336" s="38">
        <v>62343.96</v>
      </c>
      <c r="H2336" s="56">
        <v>393219.96</v>
      </c>
      <c r="I2336" s="28" t="s">
        <v>19</v>
      </c>
      <c r="J2336" s="43"/>
    </row>
    <row r="2337" spans="1:10" customFormat="1" ht="15.75" hidden="1" customHeight="1" x14ac:dyDescent="0.25">
      <c r="A2337" s="57">
        <v>45222</v>
      </c>
      <c r="B2337" s="36" t="s">
        <v>5512</v>
      </c>
      <c r="C2337" s="28" t="s">
        <v>2927</v>
      </c>
      <c r="D2337" s="28" t="s">
        <v>2928</v>
      </c>
      <c r="E2337" s="38">
        <v>12500</v>
      </c>
      <c r="F2337" s="67">
        <v>110715</v>
      </c>
      <c r="G2337" s="38">
        <v>23250.15</v>
      </c>
      <c r="H2337" s="56">
        <v>146465.15</v>
      </c>
      <c r="I2337" s="28" t="s">
        <v>19</v>
      </c>
      <c r="J2337" s="43"/>
    </row>
    <row r="2338" spans="1:10" customFormat="1" ht="15.75" hidden="1" customHeight="1" x14ac:dyDescent="0.25">
      <c r="A2338" s="57">
        <v>45222</v>
      </c>
      <c r="B2338" s="36" t="s">
        <v>5513</v>
      </c>
      <c r="C2338" s="28" t="s">
        <v>3011</v>
      </c>
      <c r="D2338" s="28" t="s">
        <v>3012</v>
      </c>
      <c r="E2338" s="38">
        <v>84000</v>
      </c>
      <c r="F2338" s="67">
        <v>1153125</v>
      </c>
      <c r="G2338" s="38">
        <v>242156.25</v>
      </c>
      <c r="H2338" s="56">
        <v>1479281.25</v>
      </c>
      <c r="I2338" s="28" t="s">
        <v>19</v>
      </c>
      <c r="J2338" s="43"/>
    </row>
    <row r="2339" spans="1:10" customFormat="1" ht="15.75" hidden="1" customHeight="1" x14ac:dyDescent="0.25">
      <c r="A2339" s="57">
        <v>45222</v>
      </c>
      <c r="B2339" s="36" t="s">
        <v>5514</v>
      </c>
      <c r="C2339" s="28" t="s">
        <v>2851</v>
      </c>
      <c r="D2339" s="28" t="s">
        <v>2852</v>
      </c>
      <c r="E2339" s="38">
        <v>7000</v>
      </c>
      <c r="F2339" s="67">
        <v>256250</v>
      </c>
      <c r="G2339" s="38">
        <v>53812.5</v>
      </c>
      <c r="H2339" s="56">
        <v>317062.5</v>
      </c>
      <c r="I2339" s="28" t="s">
        <v>19</v>
      </c>
      <c r="J2339" s="43"/>
    </row>
    <row r="2340" spans="1:10" customFormat="1" ht="15.75" hidden="1" customHeight="1" x14ac:dyDescent="0.25">
      <c r="A2340" s="57">
        <v>45222</v>
      </c>
      <c r="B2340" s="36" t="s">
        <v>5515</v>
      </c>
      <c r="C2340" s="28" t="s">
        <v>2851</v>
      </c>
      <c r="D2340" s="28" t="s">
        <v>2852</v>
      </c>
      <c r="E2340" s="38">
        <v>3800</v>
      </c>
      <c r="F2340" s="67">
        <v>128125</v>
      </c>
      <c r="G2340" s="38">
        <v>26906.25</v>
      </c>
      <c r="H2340" s="56">
        <v>158831.25</v>
      </c>
      <c r="I2340" s="28" t="s">
        <v>19</v>
      </c>
      <c r="J2340" s="43"/>
    </row>
    <row r="2341" spans="1:10" customFormat="1" ht="15.75" hidden="1" customHeight="1" x14ac:dyDescent="0.25">
      <c r="A2341" s="57">
        <v>45223</v>
      </c>
      <c r="B2341" s="36" t="s">
        <v>5516</v>
      </c>
      <c r="C2341" s="28" t="s">
        <v>2921</v>
      </c>
      <c r="D2341" s="28" t="s">
        <v>2922</v>
      </c>
      <c r="E2341" s="38">
        <v>5000</v>
      </c>
      <c r="F2341" s="67">
        <v>81250</v>
      </c>
      <c r="G2341" s="38">
        <v>17062.5</v>
      </c>
      <c r="H2341" s="56">
        <v>103312.5</v>
      </c>
      <c r="I2341" s="28" t="s">
        <v>19</v>
      </c>
      <c r="J2341" s="43"/>
    </row>
    <row r="2342" spans="1:10" customFormat="1" ht="15.75" hidden="1" customHeight="1" x14ac:dyDescent="0.25">
      <c r="A2342" s="57">
        <v>45223</v>
      </c>
      <c r="B2342" s="36" t="s">
        <v>5517</v>
      </c>
      <c r="C2342" s="28" t="s">
        <v>2851</v>
      </c>
      <c r="D2342" s="28" t="s">
        <v>2852</v>
      </c>
      <c r="E2342" s="38">
        <v>13100</v>
      </c>
      <c r="F2342" s="67">
        <v>296876</v>
      </c>
      <c r="G2342" s="38">
        <v>62343.96</v>
      </c>
      <c r="H2342" s="56">
        <v>372319.96</v>
      </c>
      <c r="I2342" s="28" t="s">
        <v>19</v>
      </c>
      <c r="J2342" s="43"/>
    </row>
    <row r="2343" spans="1:10" customFormat="1" ht="15.75" hidden="1" customHeight="1" x14ac:dyDescent="0.25">
      <c r="A2343" s="57">
        <v>45223</v>
      </c>
      <c r="B2343" s="36" t="s">
        <v>5518</v>
      </c>
      <c r="C2343" s="28" t="s">
        <v>3562</v>
      </c>
      <c r="D2343" s="28" t="s">
        <v>3563</v>
      </c>
      <c r="E2343" s="38">
        <v>18400</v>
      </c>
      <c r="F2343" s="67">
        <v>296250</v>
      </c>
      <c r="G2343" s="38">
        <v>62212.5</v>
      </c>
      <c r="H2343" s="56">
        <v>376862.5</v>
      </c>
      <c r="I2343" s="28" t="s">
        <v>19</v>
      </c>
      <c r="J2343" s="43"/>
    </row>
    <row r="2344" spans="1:10" customFormat="1" ht="15.75" hidden="1" customHeight="1" x14ac:dyDescent="0.25">
      <c r="A2344" s="57">
        <v>45223</v>
      </c>
      <c r="B2344" s="36" t="s">
        <v>5519</v>
      </c>
      <c r="C2344" s="28" t="s">
        <v>3562</v>
      </c>
      <c r="D2344" s="28" t="s">
        <v>3563</v>
      </c>
      <c r="E2344" s="38">
        <v>18400</v>
      </c>
      <c r="F2344" s="67">
        <v>296250</v>
      </c>
      <c r="G2344" s="38">
        <v>62212.5</v>
      </c>
      <c r="H2344" s="56">
        <v>376862.5</v>
      </c>
      <c r="I2344" s="28" t="s">
        <v>19</v>
      </c>
      <c r="J2344" s="43"/>
    </row>
    <row r="2345" spans="1:10" customFormat="1" ht="15.75" hidden="1" customHeight="1" x14ac:dyDescent="0.25">
      <c r="A2345" s="57">
        <v>45223</v>
      </c>
      <c r="B2345" s="36" t="s">
        <v>5520</v>
      </c>
      <c r="C2345" s="28" t="s">
        <v>2921</v>
      </c>
      <c r="D2345" s="28" t="s">
        <v>2922</v>
      </c>
      <c r="E2345" s="38">
        <v>36800</v>
      </c>
      <c r="F2345" s="67">
        <v>483750</v>
      </c>
      <c r="G2345" s="38">
        <v>101587.5</v>
      </c>
      <c r="H2345" s="56">
        <v>622137.5</v>
      </c>
      <c r="I2345" s="28" t="s">
        <v>19</v>
      </c>
      <c r="J2345" s="43"/>
    </row>
    <row r="2346" spans="1:10" customFormat="1" ht="15.75" hidden="1" customHeight="1" x14ac:dyDescent="0.25">
      <c r="A2346" s="57">
        <v>45223</v>
      </c>
      <c r="B2346" s="36" t="s">
        <v>5521</v>
      </c>
      <c r="C2346" s="28" t="s">
        <v>2921</v>
      </c>
      <c r="D2346" s="28" t="s">
        <v>2922</v>
      </c>
      <c r="E2346" s="38">
        <v>0</v>
      </c>
      <c r="F2346" s="67">
        <v>36000</v>
      </c>
      <c r="G2346" s="38">
        <v>7560</v>
      </c>
      <c r="H2346" s="56">
        <v>43560</v>
      </c>
      <c r="I2346" s="28" t="s">
        <v>19</v>
      </c>
      <c r="J2346" s="43"/>
    </row>
    <row r="2347" spans="1:10" customFormat="1" ht="15.75" hidden="1" customHeight="1" x14ac:dyDescent="0.25">
      <c r="A2347" s="57">
        <v>45223</v>
      </c>
      <c r="B2347" s="36" t="s">
        <v>5522</v>
      </c>
      <c r="C2347" s="28" t="s">
        <v>3241</v>
      </c>
      <c r="D2347" s="28" t="s">
        <v>3242</v>
      </c>
      <c r="E2347" s="38">
        <v>9200</v>
      </c>
      <c r="F2347" s="67">
        <v>93750</v>
      </c>
      <c r="G2347" s="38">
        <v>19687.5</v>
      </c>
      <c r="H2347" s="56">
        <v>122637.5</v>
      </c>
      <c r="I2347" s="28" t="s">
        <v>19</v>
      </c>
      <c r="J2347" s="43"/>
    </row>
    <row r="2348" spans="1:10" customFormat="1" ht="15.75" hidden="1" customHeight="1" x14ac:dyDescent="0.25">
      <c r="A2348" s="57">
        <v>45223</v>
      </c>
      <c r="B2348" s="36" t="s">
        <v>5523</v>
      </c>
      <c r="C2348" s="28" t="s">
        <v>3235</v>
      </c>
      <c r="D2348" s="28" t="s">
        <v>3236</v>
      </c>
      <c r="E2348" s="38">
        <v>9200</v>
      </c>
      <c r="F2348" s="67">
        <v>93750</v>
      </c>
      <c r="G2348" s="38">
        <v>19687.5</v>
      </c>
      <c r="H2348" s="56">
        <v>122637.5</v>
      </c>
      <c r="I2348" s="28" t="s">
        <v>19</v>
      </c>
      <c r="J2348" s="43"/>
    </row>
    <row r="2349" spans="1:10" customFormat="1" ht="15.75" hidden="1" customHeight="1" x14ac:dyDescent="0.25">
      <c r="A2349" s="57">
        <v>45223</v>
      </c>
      <c r="B2349" s="36" t="s">
        <v>5524</v>
      </c>
      <c r="C2349" s="28" t="s">
        <v>2851</v>
      </c>
      <c r="D2349" s="28" t="s">
        <v>2852</v>
      </c>
      <c r="E2349" s="38">
        <v>35400</v>
      </c>
      <c r="F2349" s="67">
        <v>281250</v>
      </c>
      <c r="G2349" s="38">
        <v>59062.5</v>
      </c>
      <c r="H2349" s="56">
        <v>375712.5</v>
      </c>
      <c r="I2349" s="28" t="s">
        <v>19</v>
      </c>
      <c r="J2349" s="43"/>
    </row>
    <row r="2350" spans="1:10" customFormat="1" ht="15.75" hidden="1" customHeight="1" x14ac:dyDescent="0.25">
      <c r="A2350" s="57">
        <v>45223</v>
      </c>
      <c r="B2350" s="36" t="s">
        <v>5525</v>
      </c>
      <c r="C2350" s="28" t="s">
        <v>2927</v>
      </c>
      <c r="D2350" s="28" t="s">
        <v>2928</v>
      </c>
      <c r="E2350" s="38">
        <v>5840</v>
      </c>
      <c r="F2350" s="67">
        <v>166072.5</v>
      </c>
      <c r="G2350" s="38">
        <v>34875.230000000003</v>
      </c>
      <c r="H2350" s="56">
        <v>206787.73</v>
      </c>
      <c r="I2350" s="28" t="s">
        <v>19</v>
      </c>
      <c r="J2350" s="43"/>
    </row>
    <row r="2351" spans="1:10" customFormat="1" ht="15.75" hidden="1" customHeight="1" x14ac:dyDescent="0.25">
      <c r="A2351" s="57">
        <v>45223</v>
      </c>
      <c r="B2351" s="36" t="s">
        <v>5526</v>
      </c>
      <c r="C2351" s="28" t="s">
        <v>3235</v>
      </c>
      <c r="D2351" s="28" t="s">
        <v>3236</v>
      </c>
      <c r="E2351" s="38">
        <v>96319.999999999898</v>
      </c>
      <c r="F2351" s="67">
        <v>810940</v>
      </c>
      <c r="G2351" s="38">
        <v>170297.4</v>
      </c>
      <c r="H2351" s="56">
        <v>1077557.3999999999</v>
      </c>
      <c r="I2351" s="28" t="s">
        <v>19</v>
      </c>
      <c r="J2351" s="43"/>
    </row>
    <row r="2352" spans="1:10" customFormat="1" ht="15.75" hidden="1" customHeight="1" x14ac:dyDescent="0.25">
      <c r="A2352" s="57">
        <v>45223</v>
      </c>
      <c r="B2352" s="36" t="s">
        <v>5527</v>
      </c>
      <c r="C2352" s="28" t="s">
        <v>2851</v>
      </c>
      <c r="D2352" s="28" t="s">
        <v>2852</v>
      </c>
      <c r="E2352" s="38">
        <v>18400</v>
      </c>
      <c r="F2352" s="67">
        <v>281250</v>
      </c>
      <c r="G2352" s="38">
        <v>59062.5</v>
      </c>
      <c r="H2352" s="56">
        <v>358712.5</v>
      </c>
      <c r="I2352" s="28" t="s">
        <v>19</v>
      </c>
      <c r="J2352" s="43"/>
    </row>
    <row r="2353" spans="1:10" customFormat="1" ht="15.75" hidden="1" customHeight="1" x14ac:dyDescent="0.25">
      <c r="A2353" s="57">
        <v>45223</v>
      </c>
      <c r="B2353" s="36" t="s">
        <v>5528</v>
      </c>
      <c r="C2353" s="28" t="s">
        <v>3235</v>
      </c>
      <c r="D2353" s="28" t="s">
        <v>3236</v>
      </c>
      <c r="E2353" s="38">
        <v>17440</v>
      </c>
      <c r="F2353" s="67">
        <v>148438</v>
      </c>
      <c r="G2353" s="38">
        <v>31171.98</v>
      </c>
      <c r="H2353" s="56">
        <v>197049.98</v>
      </c>
      <c r="I2353" s="28" t="s">
        <v>19</v>
      </c>
      <c r="J2353" s="43"/>
    </row>
    <row r="2354" spans="1:10" customFormat="1" ht="15.75" hidden="1" customHeight="1" x14ac:dyDescent="0.25">
      <c r="A2354" s="79">
        <v>45223</v>
      </c>
      <c r="B2354" s="41" t="s">
        <v>5529</v>
      </c>
      <c r="C2354" s="41" t="s">
        <v>3272</v>
      </c>
      <c r="D2354" s="41" t="s">
        <v>3273</v>
      </c>
      <c r="E2354" s="39">
        <v>9200</v>
      </c>
      <c r="F2354" s="42">
        <v>93750</v>
      </c>
      <c r="G2354" s="39">
        <v>19687.5</v>
      </c>
      <c r="H2354" s="66">
        <v>122637.5</v>
      </c>
      <c r="I2354" s="41" t="s">
        <v>19</v>
      </c>
      <c r="J2354" s="49"/>
    </row>
    <row r="2355" spans="1:10" customFormat="1" ht="15.75" hidden="1" customHeight="1" x14ac:dyDescent="0.25">
      <c r="A2355" s="57">
        <v>45223</v>
      </c>
      <c r="B2355" s="36" t="s">
        <v>5530</v>
      </c>
      <c r="C2355" s="28" t="s">
        <v>2924</v>
      </c>
      <c r="D2355" s="28" t="s">
        <v>2925</v>
      </c>
      <c r="E2355" s="38">
        <v>89219</v>
      </c>
      <c r="F2355" s="67">
        <v>148438</v>
      </c>
      <c r="G2355" s="38">
        <v>31171.98</v>
      </c>
      <c r="H2355" s="56">
        <v>268828.98</v>
      </c>
      <c r="I2355" s="28" t="s">
        <v>19</v>
      </c>
      <c r="J2355" s="43"/>
    </row>
    <row r="2356" spans="1:10" customFormat="1" ht="15.75" hidden="1" customHeight="1" x14ac:dyDescent="0.25">
      <c r="A2356" s="57">
        <v>45223</v>
      </c>
      <c r="B2356" s="36" t="s">
        <v>5531</v>
      </c>
      <c r="C2356" s="28" t="s">
        <v>3241</v>
      </c>
      <c r="D2356" s="28" t="s">
        <v>3242</v>
      </c>
      <c r="E2356" s="38">
        <v>8320</v>
      </c>
      <c r="F2356" s="67">
        <v>110715</v>
      </c>
      <c r="G2356" s="38">
        <v>23250.15</v>
      </c>
      <c r="H2356" s="56">
        <v>142285.15</v>
      </c>
      <c r="I2356" s="28" t="s">
        <v>19</v>
      </c>
      <c r="J2356" s="43"/>
    </row>
    <row r="2357" spans="1:10" customFormat="1" ht="15.75" hidden="1" customHeight="1" x14ac:dyDescent="0.25">
      <c r="A2357" s="57">
        <v>45223</v>
      </c>
      <c r="B2357" s="36" t="s">
        <v>5532</v>
      </c>
      <c r="C2357" s="28" t="s">
        <v>3241</v>
      </c>
      <c r="D2357" s="28" t="s">
        <v>3242</v>
      </c>
      <c r="E2357" s="38">
        <v>8320</v>
      </c>
      <c r="F2357" s="67">
        <v>110715</v>
      </c>
      <c r="G2357" s="38">
        <v>23250.15</v>
      </c>
      <c r="H2357" s="56">
        <v>142285.15</v>
      </c>
      <c r="I2357" s="28" t="s">
        <v>19</v>
      </c>
      <c r="J2357" s="43"/>
    </row>
    <row r="2358" spans="1:10" customFormat="1" ht="15.75" hidden="1" customHeight="1" x14ac:dyDescent="0.25">
      <c r="A2358" s="57">
        <v>45223</v>
      </c>
      <c r="B2358" s="36" t="s">
        <v>5533</v>
      </c>
      <c r="C2358" s="28" t="s">
        <v>2921</v>
      </c>
      <c r="D2358" s="28" t="s">
        <v>2922</v>
      </c>
      <c r="E2358" s="38">
        <v>8320</v>
      </c>
      <c r="F2358" s="67">
        <v>128125</v>
      </c>
      <c r="G2358" s="38">
        <v>26906.25</v>
      </c>
      <c r="H2358" s="56">
        <v>163351.25</v>
      </c>
      <c r="I2358" s="28" t="s">
        <v>19</v>
      </c>
      <c r="J2358" s="43"/>
    </row>
    <row r="2359" spans="1:10" customFormat="1" ht="15.75" hidden="1" customHeight="1" x14ac:dyDescent="0.25">
      <c r="A2359" s="57">
        <v>45223</v>
      </c>
      <c r="B2359" s="36" t="s">
        <v>5534</v>
      </c>
      <c r="C2359" s="28" t="s">
        <v>5258</v>
      </c>
      <c r="D2359" s="28" t="s">
        <v>5259</v>
      </c>
      <c r="E2359" s="38">
        <v>5840</v>
      </c>
      <c r="F2359" s="67">
        <v>192187.5</v>
      </c>
      <c r="G2359" s="38">
        <v>40359.370000000003</v>
      </c>
      <c r="H2359" s="56">
        <v>238386.87</v>
      </c>
      <c r="I2359" s="28" t="s">
        <v>19</v>
      </c>
      <c r="J2359" s="43"/>
    </row>
    <row r="2360" spans="1:10" customFormat="1" ht="15.75" hidden="1" customHeight="1" x14ac:dyDescent="0.25">
      <c r="A2360" s="57">
        <v>45223</v>
      </c>
      <c r="B2360" s="36" t="s">
        <v>5535</v>
      </c>
      <c r="C2360" s="28" t="s">
        <v>3241</v>
      </c>
      <c r="D2360" s="28" t="s">
        <v>3242</v>
      </c>
      <c r="E2360" s="38">
        <v>8320</v>
      </c>
      <c r="F2360" s="67">
        <v>166072.5</v>
      </c>
      <c r="G2360" s="38">
        <v>34875.230000000003</v>
      </c>
      <c r="H2360" s="56">
        <v>209267.73</v>
      </c>
      <c r="I2360" s="28" t="s">
        <v>19</v>
      </c>
      <c r="J2360" s="43"/>
    </row>
    <row r="2361" spans="1:10" customFormat="1" ht="15.75" hidden="1" customHeight="1" x14ac:dyDescent="0.25">
      <c r="A2361" s="57">
        <v>45223</v>
      </c>
      <c r="B2361" s="36" t="s">
        <v>5536</v>
      </c>
      <c r="C2361" s="28" t="s">
        <v>3241</v>
      </c>
      <c r="D2361" s="28" t="s">
        <v>3242</v>
      </c>
      <c r="E2361" s="38">
        <v>8320</v>
      </c>
      <c r="F2361" s="67">
        <v>110715</v>
      </c>
      <c r="G2361" s="38">
        <v>23250.15</v>
      </c>
      <c r="H2361" s="56">
        <v>142285.15</v>
      </c>
      <c r="I2361" s="28" t="s">
        <v>19</v>
      </c>
      <c r="J2361" s="43"/>
    </row>
    <row r="2362" spans="1:10" customFormat="1" ht="15.75" hidden="1" customHeight="1" x14ac:dyDescent="0.25">
      <c r="A2362" s="57">
        <v>45223</v>
      </c>
      <c r="B2362" s="36" t="s">
        <v>5537</v>
      </c>
      <c r="C2362" s="28" t="s">
        <v>2945</v>
      </c>
      <c r="D2362" s="28" t="s">
        <v>2946</v>
      </c>
      <c r="E2362" s="38">
        <v>0</v>
      </c>
      <c r="F2362" s="67">
        <v>76562</v>
      </c>
      <c r="G2362" s="38">
        <v>16078.02</v>
      </c>
      <c r="H2362" s="56">
        <v>92640.02</v>
      </c>
      <c r="I2362" s="28" t="s">
        <v>19</v>
      </c>
      <c r="J2362" s="43"/>
    </row>
    <row r="2363" spans="1:10" customFormat="1" ht="15.75" hidden="1" customHeight="1" x14ac:dyDescent="0.25">
      <c r="A2363" s="57">
        <v>45223</v>
      </c>
      <c r="B2363" s="36" t="s">
        <v>5538</v>
      </c>
      <c r="C2363" s="28" t="s">
        <v>2924</v>
      </c>
      <c r="D2363" s="28" t="s">
        <v>2925</v>
      </c>
      <c r="E2363" s="38">
        <v>15000</v>
      </c>
      <c r="F2363" s="67">
        <v>222657</v>
      </c>
      <c r="G2363" s="38">
        <v>46757.97</v>
      </c>
      <c r="H2363" s="56">
        <v>284414.96999999997</v>
      </c>
      <c r="I2363" s="28" t="s">
        <v>19</v>
      </c>
      <c r="J2363" s="43"/>
    </row>
    <row r="2364" spans="1:10" customFormat="1" ht="15.75" hidden="1" customHeight="1" x14ac:dyDescent="0.25">
      <c r="A2364" s="57">
        <v>45224</v>
      </c>
      <c r="B2364" s="36" t="s">
        <v>5539</v>
      </c>
      <c r="C2364" s="28" t="s">
        <v>2954</v>
      </c>
      <c r="D2364" s="28" t="s">
        <v>2955</v>
      </c>
      <c r="E2364" s="38">
        <v>6499.99999999996</v>
      </c>
      <c r="F2364" s="67">
        <v>222657</v>
      </c>
      <c r="G2364" s="38">
        <v>46757.97</v>
      </c>
      <c r="H2364" s="56">
        <v>275914.96999999997</v>
      </c>
      <c r="I2364" s="28" t="s">
        <v>19</v>
      </c>
      <c r="J2364" s="43"/>
    </row>
    <row r="2365" spans="1:10" customFormat="1" ht="15.75" hidden="1" customHeight="1" x14ac:dyDescent="0.25">
      <c r="A2365" s="57">
        <v>45224</v>
      </c>
      <c r="B2365" s="36" t="s">
        <v>5540</v>
      </c>
      <c r="C2365" s="28" t="s">
        <v>2924</v>
      </c>
      <c r="D2365" s="28" t="s">
        <v>2925</v>
      </c>
      <c r="E2365" s="38">
        <v>15000</v>
      </c>
      <c r="F2365" s="67">
        <v>222657</v>
      </c>
      <c r="G2365" s="38">
        <v>46757.97</v>
      </c>
      <c r="H2365" s="56">
        <v>284414.96999999997</v>
      </c>
      <c r="I2365" s="28" t="s">
        <v>19</v>
      </c>
      <c r="J2365" s="43"/>
    </row>
    <row r="2366" spans="1:10" customFormat="1" ht="15.75" hidden="1" customHeight="1" x14ac:dyDescent="0.25">
      <c r="A2366" s="57">
        <v>45224</v>
      </c>
      <c r="B2366" s="36" t="s">
        <v>5541</v>
      </c>
      <c r="C2366" s="28" t="s">
        <v>3235</v>
      </c>
      <c r="D2366" s="28" t="s">
        <v>3236</v>
      </c>
      <c r="E2366" s="38">
        <v>11800</v>
      </c>
      <c r="F2366" s="67">
        <v>192187.5</v>
      </c>
      <c r="G2366" s="38">
        <v>40359.370000000003</v>
      </c>
      <c r="H2366" s="56">
        <v>244346.87</v>
      </c>
      <c r="I2366" s="28" t="s">
        <v>19</v>
      </c>
      <c r="J2366" s="43"/>
    </row>
    <row r="2367" spans="1:10" customFormat="1" ht="15.75" hidden="1" customHeight="1" x14ac:dyDescent="0.25">
      <c r="A2367" s="57">
        <v>45224</v>
      </c>
      <c r="B2367" s="36" t="s">
        <v>5542</v>
      </c>
      <c r="C2367" s="28" t="s">
        <v>3235</v>
      </c>
      <c r="D2367" s="28" t="s">
        <v>3236</v>
      </c>
      <c r="E2367" s="38">
        <v>9500</v>
      </c>
      <c r="F2367" s="67">
        <v>128125</v>
      </c>
      <c r="G2367" s="38">
        <v>26906.25</v>
      </c>
      <c r="H2367" s="56">
        <v>164531.25</v>
      </c>
      <c r="I2367" s="28" t="s">
        <v>19</v>
      </c>
      <c r="J2367" s="43"/>
    </row>
    <row r="2368" spans="1:10" customFormat="1" ht="15.75" hidden="1" customHeight="1" x14ac:dyDescent="0.25">
      <c r="A2368" s="57">
        <v>45224</v>
      </c>
      <c r="B2368" s="36" t="s">
        <v>5543</v>
      </c>
      <c r="C2368" s="28" t="s">
        <v>2903</v>
      </c>
      <c r="D2368" s="28" t="s">
        <v>2904</v>
      </c>
      <c r="E2368" s="38">
        <v>9200</v>
      </c>
      <c r="F2368" s="67">
        <v>84375</v>
      </c>
      <c r="G2368" s="38">
        <v>17718.75</v>
      </c>
      <c r="H2368" s="56">
        <v>111293.75</v>
      </c>
      <c r="I2368" s="28" t="s">
        <v>19</v>
      </c>
      <c r="J2368" s="43"/>
    </row>
    <row r="2369" spans="1:10" customFormat="1" ht="15.75" hidden="1" customHeight="1" x14ac:dyDescent="0.25">
      <c r="A2369" s="57">
        <v>45224</v>
      </c>
      <c r="B2369" s="36" t="s">
        <v>5544</v>
      </c>
      <c r="C2369" s="28" t="s">
        <v>3235</v>
      </c>
      <c r="D2369" s="28" t="s">
        <v>3236</v>
      </c>
      <c r="E2369" s="38">
        <v>7800</v>
      </c>
      <c r="F2369" s="67">
        <v>303125</v>
      </c>
      <c r="G2369" s="38">
        <v>63656.25</v>
      </c>
      <c r="H2369" s="56">
        <v>374581.25</v>
      </c>
      <c r="I2369" s="28" t="s">
        <v>19</v>
      </c>
      <c r="J2369" s="43"/>
    </row>
    <row r="2370" spans="1:10" customFormat="1" ht="15.75" hidden="1" customHeight="1" x14ac:dyDescent="0.25">
      <c r="A2370" s="57">
        <v>45224</v>
      </c>
      <c r="B2370" s="36" t="s">
        <v>5545</v>
      </c>
      <c r="C2370" s="28" t="s">
        <v>3241</v>
      </c>
      <c r="D2370" s="28" t="s">
        <v>3242</v>
      </c>
      <c r="E2370" s="38">
        <v>25000</v>
      </c>
      <c r="F2370" s="67">
        <v>339062.5</v>
      </c>
      <c r="G2370" s="38">
        <v>71203.13</v>
      </c>
      <c r="H2370" s="56">
        <v>435265.63</v>
      </c>
      <c r="I2370" s="28" t="s">
        <v>19</v>
      </c>
      <c r="J2370" s="43"/>
    </row>
    <row r="2371" spans="1:10" customFormat="1" ht="15.75" hidden="1" customHeight="1" x14ac:dyDescent="0.25">
      <c r="A2371" s="57">
        <v>45224</v>
      </c>
      <c r="B2371" s="36" t="s">
        <v>5546</v>
      </c>
      <c r="C2371" s="28" t="s">
        <v>2903</v>
      </c>
      <c r="D2371" s="28" t="s">
        <v>2904</v>
      </c>
      <c r="E2371" s="38">
        <v>0</v>
      </c>
      <c r="F2371" s="67">
        <v>76562</v>
      </c>
      <c r="G2371" s="38">
        <v>16078.02</v>
      </c>
      <c r="H2371" s="56">
        <v>92640.02</v>
      </c>
      <c r="I2371" s="28" t="s">
        <v>19</v>
      </c>
      <c r="J2371" s="43"/>
    </row>
    <row r="2372" spans="1:10" customFormat="1" ht="15.75" hidden="1" customHeight="1" x14ac:dyDescent="0.25">
      <c r="A2372" s="57">
        <v>45225</v>
      </c>
      <c r="B2372" s="36" t="s">
        <v>5547</v>
      </c>
      <c r="C2372" s="28" t="s">
        <v>2856</v>
      </c>
      <c r="D2372" s="28" t="s">
        <v>2857</v>
      </c>
      <c r="E2372" s="38">
        <v>5000</v>
      </c>
      <c r="F2372" s="67">
        <v>193750</v>
      </c>
      <c r="G2372" s="38">
        <v>40687.5</v>
      </c>
      <c r="H2372" s="56">
        <v>239437.5</v>
      </c>
      <c r="I2372" s="28" t="s">
        <v>19</v>
      </c>
      <c r="J2372" s="43"/>
    </row>
    <row r="2373" spans="1:10" customFormat="1" ht="15.75" hidden="1" customHeight="1" x14ac:dyDescent="0.25">
      <c r="A2373" s="57">
        <v>45225</v>
      </c>
      <c r="B2373" s="36" t="s">
        <v>5548</v>
      </c>
      <c r="C2373" s="28" t="s">
        <v>2921</v>
      </c>
      <c r="D2373" s="28" t="s">
        <v>2922</v>
      </c>
      <c r="E2373" s="38">
        <v>11000</v>
      </c>
      <c r="F2373" s="67">
        <v>84375</v>
      </c>
      <c r="G2373" s="38">
        <v>17718.75</v>
      </c>
      <c r="H2373" s="56">
        <v>113093.75</v>
      </c>
      <c r="I2373" s="28" t="s">
        <v>19</v>
      </c>
      <c r="J2373" s="43"/>
    </row>
    <row r="2374" spans="1:10" customFormat="1" ht="15.75" hidden="1" customHeight="1" x14ac:dyDescent="0.25">
      <c r="A2374" s="57">
        <v>45225</v>
      </c>
      <c r="B2374" s="36" t="s">
        <v>5549</v>
      </c>
      <c r="C2374" s="28" t="s">
        <v>2948</v>
      </c>
      <c r="D2374" s="28" t="s">
        <v>2949</v>
      </c>
      <c r="E2374" s="38">
        <v>12500</v>
      </c>
      <c r="F2374" s="67">
        <v>256250</v>
      </c>
      <c r="G2374" s="38">
        <v>53812.5</v>
      </c>
      <c r="H2374" s="56">
        <v>322562.5</v>
      </c>
      <c r="I2374" s="28" t="s">
        <v>19</v>
      </c>
      <c r="J2374" s="43"/>
    </row>
    <row r="2375" spans="1:10" customFormat="1" ht="15.75" hidden="1" customHeight="1" x14ac:dyDescent="0.25">
      <c r="A2375" s="57">
        <v>45225</v>
      </c>
      <c r="B2375" s="36" t="s">
        <v>5550</v>
      </c>
      <c r="C2375" s="28" t="s">
        <v>4144</v>
      </c>
      <c r="D2375" s="28" t="s">
        <v>4145</v>
      </c>
      <c r="E2375" s="38">
        <v>8600</v>
      </c>
      <c r="F2375" s="67">
        <v>96875</v>
      </c>
      <c r="G2375" s="38">
        <v>20343.75</v>
      </c>
      <c r="H2375" s="56">
        <v>125818.75</v>
      </c>
      <c r="I2375" s="28" t="s">
        <v>19</v>
      </c>
      <c r="J2375" s="43"/>
    </row>
    <row r="2376" spans="1:10" customFormat="1" ht="15.75" hidden="1" customHeight="1" x14ac:dyDescent="0.25">
      <c r="A2376" s="57">
        <v>45225</v>
      </c>
      <c r="B2376" s="36" t="s">
        <v>5551</v>
      </c>
      <c r="C2376" s="28" t="s">
        <v>2856</v>
      </c>
      <c r="D2376" s="28" t="s">
        <v>2857</v>
      </c>
      <c r="E2376" s="38">
        <v>3500</v>
      </c>
      <c r="F2376" s="67">
        <v>81250</v>
      </c>
      <c r="G2376" s="38">
        <v>17062.5</v>
      </c>
      <c r="H2376" s="56">
        <v>101812.5</v>
      </c>
      <c r="I2376" s="28" t="s">
        <v>19</v>
      </c>
      <c r="J2376" s="43"/>
    </row>
    <row r="2377" spans="1:10" customFormat="1" ht="15.75" hidden="1" customHeight="1" x14ac:dyDescent="0.25">
      <c r="A2377" s="57">
        <v>45225</v>
      </c>
      <c r="B2377" s="36" t="s">
        <v>5552</v>
      </c>
      <c r="C2377" s="28" t="s">
        <v>2921</v>
      </c>
      <c r="D2377" s="28" t="s">
        <v>2922</v>
      </c>
      <c r="E2377" s="38">
        <v>3500</v>
      </c>
      <c r="F2377" s="67">
        <v>78438</v>
      </c>
      <c r="G2377" s="38">
        <v>16471.98</v>
      </c>
      <c r="H2377" s="56">
        <v>98409.98</v>
      </c>
      <c r="I2377" s="28" t="s">
        <v>19</v>
      </c>
      <c r="J2377" s="43"/>
    </row>
    <row r="2378" spans="1:10" customFormat="1" ht="15.75" hidden="1" customHeight="1" x14ac:dyDescent="0.25">
      <c r="A2378" s="57">
        <v>45225</v>
      </c>
      <c r="B2378" s="36" t="s">
        <v>5553</v>
      </c>
      <c r="C2378" s="28" t="s">
        <v>3176</v>
      </c>
      <c r="D2378" s="28" t="s">
        <v>3177</v>
      </c>
      <c r="E2378" s="38">
        <v>0</v>
      </c>
      <c r="F2378" s="67">
        <v>35000</v>
      </c>
      <c r="G2378" s="38">
        <v>7350</v>
      </c>
      <c r="H2378" s="56">
        <v>42350</v>
      </c>
      <c r="I2378" s="28" t="s">
        <v>19</v>
      </c>
      <c r="J2378" s="43"/>
    </row>
    <row r="2379" spans="1:10" customFormat="1" ht="15.75" hidden="1" customHeight="1" x14ac:dyDescent="0.25">
      <c r="A2379" s="57">
        <v>45225</v>
      </c>
      <c r="B2379" s="36" t="s">
        <v>5554</v>
      </c>
      <c r="C2379" s="28" t="s">
        <v>3007</v>
      </c>
      <c r="D2379" s="28" t="s">
        <v>3008</v>
      </c>
      <c r="E2379" s="38">
        <v>0</v>
      </c>
      <c r="F2379" s="67">
        <v>65625</v>
      </c>
      <c r="G2379" s="38">
        <v>13781.25</v>
      </c>
      <c r="H2379" s="56">
        <v>79406.25</v>
      </c>
      <c r="I2379" s="28" t="s">
        <v>19</v>
      </c>
      <c r="J2379" s="43"/>
    </row>
    <row r="2380" spans="1:10" customFormat="1" ht="15.75" hidden="1" customHeight="1" x14ac:dyDescent="0.25">
      <c r="A2380" s="57">
        <v>45225</v>
      </c>
      <c r="B2380" s="36" t="s">
        <v>5555</v>
      </c>
      <c r="C2380" s="28" t="s">
        <v>2909</v>
      </c>
      <c r="D2380" s="28" t="s">
        <v>2910</v>
      </c>
      <c r="E2380" s="38">
        <v>12500</v>
      </c>
      <c r="F2380" s="67">
        <v>371095</v>
      </c>
      <c r="G2380" s="38">
        <v>77929.95</v>
      </c>
      <c r="H2380" s="56">
        <v>461524.95</v>
      </c>
      <c r="I2380" s="28" t="s">
        <v>19</v>
      </c>
      <c r="J2380" s="43"/>
    </row>
    <row r="2381" spans="1:10" customFormat="1" ht="15.75" hidden="1" customHeight="1" x14ac:dyDescent="0.25">
      <c r="A2381" s="57">
        <v>45225</v>
      </c>
      <c r="B2381" s="36" t="s">
        <v>5556</v>
      </c>
      <c r="C2381" s="28" t="s">
        <v>4121</v>
      </c>
      <c r="D2381" s="28" t="s">
        <v>4122</v>
      </c>
      <c r="E2381" s="38">
        <v>0</v>
      </c>
      <c r="F2381" s="67">
        <v>65625</v>
      </c>
      <c r="G2381" s="38">
        <v>13781.25</v>
      </c>
      <c r="H2381" s="56">
        <v>79406.25</v>
      </c>
      <c r="I2381" s="28" t="s">
        <v>19</v>
      </c>
      <c r="J2381" s="43"/>
    </row>
    <row r="2382" spans="1:10" customFormat="1" ht="15.75" hidden="1" customHeight="1" x14ac:dyDescent="0.25">
      <c r="A2382" s="57">
        <v>45225</v>
      </c>
      <c r="B2382" s="36" t="s">
        <v>5557</v>
      </c>
      <c r="C2382" s="28" t="s">
        <v>2945</v>
      </c>
      <c r="D2382" s="28" t="s">
        <v>2946</v>
      </c>
      <c r="E2382" s="38">
        <v>8320</v>
      </c>
      <c r="F2382" s="67">
        <v>148438</v>
      </c>
      <c r="G2382" s="38">
        <v>31171.98</v>
      </c>
      <c r="H2382" s="56">
        <v>187929.98</v>
      </c>
      <c r="I2382" s="28" t="s">
        <v>19</v>
      </c>
      <c r="J2382" s="43"/>
    </row>
    <row r="2383" spans="1:10" customFormat="1" ht="15.75" hidden="1" customHeight="1" x14ac:dyDescent="0.25">
      <c r="A2383" s="57">
        <v>45225</v>
      </c>
      <c r="B2383" s="36" t="s">
        <v>5558</v>
      </c>
      <c r="C2383" s="28" t="s">
        <v>2909</v>
      </c>
      <c r="D2383" s="28" t="s">
        <v>2910</v>
      </c>
      <c r="E2383" s="38">
        <v>0</v>
      </c>
      <c r="F2383" s="67">
        <v>45000</v>
      </c>
      <c r="G2383" s="38">
        <v>9450</v>
      </c>
      <c r="H2383" s="56">
        <v>54450</v>
      </c>
      <c r="I2383" s="28" t="s">
        <v>19</v>
      </c>
      <c r="J2383" s="43"/>
    </row>
    <row r="2384" spans="1:10" customFormat="1" ht="15.75" hidden="1" customHeight="1" x14ac:dyDescent="0.25">
      <c r="A2384" s="57">
        <v>45225</v>
      </c>
      <c r="B2384" s="36" t="s">
        <v>5559</v>
      </c>
      <c r="C2384" s="28" t="s">
        <v>2886</v>
      </c>
      <c r="D2384" s="28" t="s">
        <v>2887</v>
      </c>
      <c r="E2384" s="38">
        <v>18560</v>
      </c>
      <c r="F2384" s="67">
        <v>256250</v>
      </c>
      <c r="G2384" s="38">
        <v>53812.5</v>
      </c>
      <c r="H2384" s="56">
        <v>328622.5</v>
      </c>
      <c r="I2384" s="28" t="s">
        <v>19</v>
      </c>
      <c r="J2384" s="43"/>
    </row>
    <row r="2385" spans="1:10" customFormat="1" ht="15.75" hidden="1" customHeight="1" x14ac:dyDescent="0.25">
      <c r="A2385" s="57">
        <v>45225</v>
      </c>
      <c r="B2385" s="36" t="s">
        <v>5560</v>
      </c>
      <c r="C2385" s="28" t="s">
        <v>3235</v>
      </c>
      <c r="D2385" s="28" t="s">
        <v>3236</v>
      </c>
      <c r="E2385" s="38">
        <v>105000</v>
      </c>
      <c r="F2385" s="67">
        <v>1039066</v>
      </c>
      <c r="G2385" s="38">
        <v>218203.86</v>
      </c>
      <c r="H2385" s="56">
        <v>1362269.86</v>
      </c>
      <c r="I2385" s="28" t="s">
        <v>19</v>
      </c>
      <c r="J2385" s="43"/>
    </row>
    <row r="2386" spans="1:10" customFormat="1" ht="15.75" hidden="1" customHeight="1" x14ac:dyDescent="0.25">
      <c r="A2386" s="57">
        <v>45225</v>
      </c>
      <c r="B2386" s="36" t="s">
        <v>5561</v>
      </c>
      <c r="C2386" s="28" t="s">
        <v>2921</v>
      </c>
      <c r="D2386" s="28" t="s">
        <v>2922</v>
      </c>
      <c r="E2386" s="38">
        <v>0</v>
      </c>
      <c r="F2386" s="67">
        <v>78438</v>
      </c>
      <c r="G2386" s="38">
        <v>16471.98</v>
      </c>
      <c r="H2386" s="56">
        <v>94909.98</v>
      </c>
      <c r="I2386" s="28" t="s">
        <v>19</v>
      </c>
      <c r="J2386" s="43"/>
    </row>
    <row r="2387" spans="1:10" customFormat="1" ht="15.75" hidden="1" customHeight="1" x14ac:dyDescent="0.25">
      <c r="A2387" s="57">
        <v>45225</v>
      </c>
      <c r="B2387" s="36" t="s">
        <v>5562</v>
      </c>
      <c r="C2387" s="28" t="s">
        <v>3029</v>
      </c>
      <c r="D2387" s="28" t="s">
        <v>3030</v>
      </c>
      <c r="E2387" s="38">
        <v>9200</v>
      </c>
      <c r="F2387" s="67">
        <v>93750</v>
      </c>
      <c r="G2387" s="38">
        <v>19687.5</v>
      </c>
      <c r="H2387" s="56">
        <v>122637.5</v>
      </c>
      <c r="I2387" s="28" t="s">
        <v>19</v>
      </c>
      <c r="J2387" s="43"/>
    </row>
    <row r="2388" spans="1:10" customFormat="1" ht="15.75" hidden="1" customHeight="1" x14ac:dyDescent="0.25">
      <c r="A2388" s="57">
        <v>45226</v>
      </c>
      <c r="B2388" s="36" t="s">
        <v>5563</v>
      </c>
      <c r="C2388" s="28" t="s">
        <v>2921</v>
      </c>
      <c r="D2388" s="28" t="s">
        <v>2922</v>
      </c>
      <c r="E2388" s="38">
        <v>9200</v>
      </c>
      <c r="F2388" s="67">
        <v>164062.5</v>
      </c>
      <c r="G2388" s="38">
        <v>34453.120000000003</v>
      </c>
      <c r="H2388" s="56">
        <v>207715.62</v>
      </c>
      <c r="I2388" s="28" t="s">
        <v>19</v>
      </c>
      <c r="J2388" s="43"/>
    </row>
    <row r="2389" spans="1:10" customFormat="1" ht="15.75" hidden="1" customHeight="1" x14ac:dyDescent="0.25">
      <c r="A2389" s="57">
        <v>45226</v>
      </c>
      <c r="B2389" s="36" t="s">
        <v>5564</v>
      </c>
      <c r="C2389" s="28" t="s">
        <v>5565</v>
      </c>
      <c r="D2389" s="28" t="s">
        <v>5566</v>
      </c>
      <c r="E2389" s="38">
        <v>9200</v>
      </c>
      <c r="F2389" s="67">
        <v>164062.5</v>
      </c>
      <c r="G2389" s="38">
        <v>34453.120000000003</v>
      </c>
      <c r="H2389" s="56">
        <v>207715.62</v>
      </c>
      <c r="I2389" s="28" t="s">
        <v>19</v>
      </c>
      <c r="J2389" s="43"/>
    </row>
    <row r="2390" spans="1:10" customFormat="1" ht="15.75" hidden="1" customHeight="1" x14ac:dyDescent="0.25">
      <c r="A2390" s="57">
        <v>45226</v>
      </c>
      <c r="B2390" s="36" t="s">
        <v>5567</v>
      </c>
      <c r="C2390" s="28" t="s">
        <v>3011</v>
      </c>
      <c r="D2390" s="28" t="s">
        <v>3012</v>
      </c>
      <c r="E2390" s="38">
        <v>33200</v>
      </c>
      <c r="F2390" s="67">
        <v>1281250</v>
      </c>
      <c r="G2390" s="38">
        <v>269062.5</v>
      </c>
      <c r="H2390" s="56">
        <v>1583512.5</v>
      </c>
      <c r="I2390" s="28" t="s">
        <v>19</v>
      </c>
      <c r="J2390" s="43"/>
    </row>
    <row r="2391" spans="1:10" customFormat="1" ht="15.75" hidden="1" customHeight="1" x14ac:dyDescent="0.25">
      <c r="A2391" s="57">
        <v>45226</v>
      </c>
      <c r="B2391" s="36" t="s">
        <v>5568</v>
      </c>
      <c r="C2391" s="28" t="s">
        <v>2921</v>
      </c>
      <c r="D2391" s="28" t="s">
        <v>2922</v>
      </c>
      <c r="E2391" s="38">
        <v>18200</v>
      </c>
      <c r="F2391" s="67">
        <v>256250</v>
      </c>
      <c r="G2391" s="38">
        <v>53812.5</v>
      </c>
      <c r="H2391" s="56">
        <v>328262.5</v>
      </c>
      <c r="I2391" s="28" t="s">
        <v>19</v>
      </c>
      <c r="J2391" s="43"/>
    </row>
    <row r="2392" spans="1:10" customFormat="1" ht="15.75" hidden="1" customHeight="1" x14ac:dyDescent="0.25">
      <c r="A2392" s="57">
        <v>45226</v>
      </c>
      <c r="B2392" s="36" t="s">
        <v>5569</v>
      </c>
      <c r="C2392" s="28" t="s">
        <v>2921</v>
      </c>
      <c r="D2392" s="28" t="s">
        <v>2922</v>
      </c>
      <c r="E2392" s="38">
        <v>12560</v>
      </c>
      <c r="F2392" s="67">
        <v>256250</v>
      </c>
      <c r="G2392" s="38">
        <v>53812.5</v>
      </c>
      <c r="H2392" s="56">
        <v>322622.5</v>
      </c>
      <c r="I2392" s="28" t="s">
        <v>19</v>
      </c>
      <c r="J2392" s="43"/>
    </row>
    <row r="2393" spans="1:10" customFormat="1" ht="15.75" hidden="1" customHeight="1" x14ac:dyDescent="0.25">
      <c r="A2393" s="57">
        <v>45226</v>
      </c>
      <c r="B2393" s="36" t="s">
        <v>5570</v>
      </c>
      <c r="C2393" s="28" t="s">
        <v>3041</v>
      </c>
      <c r="D2393" s="28" t="s">
        <v>3042</v>
      </c>
      <c r="E2393" s="38">
        <v>6200</v>
      </c>
      <c r="F2393" s="67">
        <v>110715</v>
      </c>
      <c r="G2393" s="38">
        <v>23250.15</v>
      </c>
      <c r="H2393" s="56">
        <v>140165.15</v>
      </c>
      <c r="I2393" s="28" t="s">
        <v>19</v>
      </c>
      <c r="J2393" s="43"/>
    </row>
    <row r="2394" spans="1:10" customFormat="1" ht="15.75" hidden="1" customHeight="1" x14ac:dyDescent="0.25">
      <c r="A2394" s="57">
        <v>45226</v>
      </c>
      <c r="B2394" s="36" t="s">
        <v>5571</v>
      </c>
      <c r="C2394" s="28" t="s">
        <v>2964</v>
      </c>
      <c r="D2394" s="28" t="s">
        <v>2965</v>
      </c>
      <c r="E2394" s="38">
        <v>7200</v>
      </c>
      <c r="F2394" s="67">
        <v>128125</v>
      </c>
      <c r="G2394" s="38">
        <v>26906.25</v>
      </c>
      <c r="H2394" s="56">
        <v>162231.25</v>
      </c>
      <c r="I2394" s="28" t="s">
        <v>19</v>
      </c>
      <c r="J2394" s="43"/>
    </row>
    <row r="2395" spans="1:10" customFormat="1" ht="15.75" hidden="1" customHeight="1" x14ac:dyDescent="0.25">
      <c r="A2395" s="57">
        <v>45226</v>
      </c>
      <c r="B2395" s="36" t="s">
        <v>5572</v>
      </c>
      <c r="C2395" s="28" t="s">
        <v>2921</v>
      </c>
      <c r="D2395" s="28" t="s">
        <v>2922</v>
      </c>
      <c r="E2395" s="38">
        <v>9200</v>
      </c>
      <c r="F2395" s="67">
        <v>93750</v>
      </c>
      <c r="G2395" s="38">
        <v>19687.5</v>
      </c>
      <c r="H2395" s="56">
        <v>122637.5</v>
      </c>
      <c r="I2395" s="28" t="s">
        <v>19</v>
      </c>
      <c r="J2395" s="43"/>
    </row>
    <row r="2396" spans="1:10" customFormat="1" ht="15.75" hidden="1" customHeight="1" x14ac:dyDescent="0.25">
      <c r="A2396" s="57">
        <v>45226</v>
      </c>
      <c r="B2396" s="36" t="s">
        <v>5573</v>
      </c>
      <c r="C2396" s="28" t="s">
        <v>2903</v>
      </c>
      <c r="D2396" s="28" t="s">
        <v>2904</v>
      </c>
      <c r="E2396" s="38">
        <v>10500</v>
      </c>
      <c r="F2396" s="67">
        <v>84375</v>
      </c>
      <c r="G2396" s="38">
        <v>17718.75</v>
      </c>
      <c r="H2396" s="56">
        <v>112593.75</v>
      </c>
      <c r="I2396" s="28" t="s">
        <v>19</v>
      </c>
      <c r="J2396" s="43"/>
    </row>
    <row r="2397" spans="1:10" customFormat="1" ht="15.75" hidden="1" customHeight="1" x14ac:dyDescent="0.25">
      <c r="A2397" s="57">
        <v>45226</v>
      </c>
      <c r="B2397" s="36" t="s">
        <v>5574</v>
      </c>
      <c r="C2397" s="28" t="s">
        <v>1140</v>
      </c>
      <c r="D2397" s="28" t="s">
        <v>1141</v>
      </c>
      <c r="E2397" s="38">
        <v>14200</v>
      </c>
      <c r="F2397" s="67">
        <v>193750</v>
      </c>
      <c r="G2397" s="38">
        <v>40687.5</v>
      </c>
      <c r="H2397" s="56">
        <v>248637.5</v>
      </c>
      <c r="I2397" s="28" t="s">
        <v>19</v>
      </c>
      <c r="J2397" s="43"/>
    </row>
    <row r="2398" spans="1:10" customFormat="1" ht="15.75" hidden="1" customHeight="1" x14ac:dyDescent="0.25">
      <c r="A2398" s="57">
        <v>45229</v>
      </c>
      <c r="B2398" s="36" t="s">
        <v>5575</v>
      </c>
      <c r="C2398" s="28" t="s">
        <v>2851</v>
      </c>
      <c r="D2398" s="28" t="s">
        <v>2852</v>
      </c>
      <c r="E2398" s="38">
        <v>7200</v>
      </c>
      <c r="F2398" s="67">
        <v>128125</v>
      </c>
      <c r="G2398" s="38">
        <v>26906.25</v>
      </c>
      <c r="H2398" s="56">
        <v>162231.25</v>
      </c>
      <c r="I2398" s="28" t="s">
        <v>19</v>
      </c>
      <c r="J2398" s="43"/>
    </row>
    <row r="2399" spans="1:10" customFormat="1" ht="15.75" hidden="1" customHeight="1" x14ac:dyDescent="0.25">
      <c r="A2399" s="57">
        <v>45229</v>
      </c>
      <c r="B2399" s="36" t="s">
        <v>5576</v>
      </c>
      <c r="C2399" s="28" t="s">
        <v>4414</v>
      </c>
      <c r="D2399" s="28" t="s">
        <v>4415</v>
      </c>
      <c r="E2399" s="38">
        <v>14500</v>
      </c>
      <c r="F2399" s="67">
        <v>193750</v>
      </c>
      <c r="G2399" s="38">
        <v>40687.5</v>
      </c>
      <c r="H2399" s="56">
        <v>248937.5</v>
      </c>
      <c r="I2399" s="28" t="s">
        <v>19</v>
      </c>
      <c r="J2399" s="43"/>
    </row>
    <row r="2400" spans="1:10" customFormat="1" ht="15.75" hidden="1" customHeight="1" x14ac:dyDescent="0.25">
      <c r="A2400" s="57">
        <v>45229</v>
      </c>
      <c r="B2400" s="36" t="s">
        <v>5577</v>
      </c>
      <c r="C2400" s="28" t="s">
        <v>2892</v>
      </c>
      <c r="D2400" s="28" t="s">
        <v>2893</v>
      </c>
      <c r="E2400" s="38">
        <v>4500</v>
      </c>
      <c r="F2400" s="67">
        <v>65625</v>
      </c>
      <c r="G2400" s="38">
        <v>13781.25</v>
      </c>
      <c r="H2400" s="56">
        <v>83906.25</v>
      </c>
      <c r="I2400" s="28" t="s">
        <v>19</v>
      </c>
      <c r="J2400" s="43"/>
    </row>
    <row r="2401" spans="1:10" customFormat="1" ht="15.75" hidden="1" customHeight="1" x14ac:dyDescent="0.25">
      <c r="A2401" s="57">
        <v>45229</v>
      </c>
      <c r="B2401" s="36" t="s">
        <v>5578</v>
      </c>
      <c r="C2401" s="28" t="s">
        <v>2924</v>
      </c>
      <c r="D2401" s="28" t="s">
        <v>2925</v>
      </c>
      <c r="E2401" s="38">
        <v>11000</v>
      </c>
      <c r="F2401" s="67">
        <v>192187.5</v>
      </c>
      <c r="G2401" s="38">
        <v>40359.370000000003</v>
      </c>
      <c r="H2401" s="56">
        <v>243546.87</v>
      </c>
      <c r="I2401" s="28" t="s">
        <v>19</v>
      </c>
      <c r="J2401" s="43"/>
    </row>
    <row r="2402" spans="1:10" customFormat="1" ht="15.75" hidden="1" customHeight="1" x14ac:dyDescent="0.25">
      <c r="A2402" s="57">
        <v>45229</v>
      </c>
      <c r="B2402" s="36" t="s">
        <v>5579</v>
      </c>
      <c r="C2402" s="28" t="s">
        <v>2903</v>
      </c>
      <c r="D2402" s="28" t="s">
        <v>2904</v>
      </c>
      <c r="E2402" s="38">
        <v>9200</v>
      </c>
      <c r="F2402" s="67">
        <v>93750</v>
      </c>
      <c r="G2402" s="38">
        <v>19687.5</v>
      </c>
      <c r="H2402" s="56">
        <v>122637.5</v>
      </c>
      <c r="I2402" s="28" t="s">
        <v>19</v>
      </c>
      <c r="J2402" s="43"/>
    </row>
    <row r="2403" spans="1:10" customFormat="1" ht="15.75" hidden="1" customHeight="1" x14ac:dyDescent="0.25">
      <c r="A2403" s="57">
        <v>45229</v>
      </c>
      <c r="B2403" s="36" t="s">
        <v>5580</v>
      </c>
      <c r="C2403" s="28" t="s">
        <v>2856</v>
      </c>
      <c r="D2403" s="28" t="s">
        <v>2857</v>
      </c>
      <c r="E2403" s="38">
        <v>5000</v>
      </c>
      <c r="F2403" s="67">
        <v>193750</v>
      </c>
      <c r="G2403" s="38">
        <v>40687.5</v>
      </c>
      <c r="H2403" s="56">
        <v>239437.5</v>
      </c>
      <c r="I2403" s="28" t="s">
        <v>19</v>
      </c>
      <c r="J2403" s="43"/>
    </row>
    <row r="2404" spans="1:10" customFormat="1" ht="15.75" hidden="1" customHeight="1" x14ac:dyDescent="0.25">
      <c r="A2404" s="57">
        <v>45229</v>
      </c>
      <c r="B2404" s="36" t="s">
        <v>5581</v>
      </c>
      <c r="C2404" s="28" t="s">
        <v>4059</v>
      </c>
      <c r="D2404" s="28" t="s">
        <v>4060</v>
      </c>
      <c r="E2404" s="38">
        <v>3400</v>
      </c>
      <c r="F2404" s="67">
        <v>65625</v>
      </c>
      <c r="G2404" s="38">
        <v>13781.25</v>
      </c>
      <c r="H2404" s="56">
        <v>82806.25</v>
      </c>
      <c r="I2404" s="28" t="s">
        <v>19</v>
      </c>
      <c r="J2404" s="43"/>
    </row>
    <row r="2405" spans="1:10" customFormat="1" ht="15.75" hidden="1" customHeight="1" x14ac:dyDescent="0.25">
      <c r="A2405" s="57">
        <v>45229</v>
      </c>
      <c r="B2405" s="36" t="s">
        <v>5582</v>
      </c>
      <c r="C2405" s="28" t="s">
        <v>2954</v>
      </c>
      <c r="D2405" s="28" t="s">
        <v>2955</v>
      </c>
      <c r="E2405" s="38">
        <v>20700</v>
      </c>
      <c r="F2405" s="67">
        <v>303125</v>
      </c>
      <c r="G2405" s="38">
        <v>63656.25</v>
      </c>
      <c r="H2405" s="56">
        <v>387481.25</v>
      </c>
      <c r="I2405" s="28" t="s">
        <v>19</v>
      </c>
      <c r="J2405" s="43"/>
    </row>
    <row r="2406" spans="1:10" customFormat="1" ht="15.75" hidden="1" customHeight="1" x14ac:dyDescent="0.25">
      <c r="A2406" s="57">
        <v>45229</v>
      </c>
      <c r="B2406" s="36" t="s">
        <v>5583</v>
      </c>
      <c r="C2406" s="28" t="s">
        <v>4337</v>
      </c>
      <c r="D2406" s="28" t="s">
        <v>4338</v>
      </c>
      <c r="E2406" s="38">
        <v>15000</v>
      </c>
      <c r="F2406" s="67">
        <v>193750</v>
      </c>
      <c r="G2406" s="38">
        <v>40687.5</v>
      </c>
      <c r="H2406" s="56">
        <v>249437.5</v>
      </c>
      <c r="I2406" s="28" t="s">
        <v>19</v>
      </c>
      <c r="J2406" s="43"/>
    </row>
    <row r="2407" spans="1:10" customFormat="1" ht="15.75" hidden="1" customHeight="1" x14ac:dyDescent="0.25">
      <c r="A2407" s="57">
        <v>45229</v>
      </c>
      <c r="B2407" s="36" t="s">
        <v>5584</v>
      </c>
      <c r="C2407" s="28" t="s">
        <v>2909</v>
      </c>
      <c r="D2407" s="28" t="s">
        <v>2910</v>
      </c>
      <c r="E2407" s="38">
        <v>11500</v>
      </c>
      <c r="F2407" s="67">
        <v>222657</v>
      </c>
      <c r="G2407" s="38">
        <v>46757.97</v>
      </c>
      <c r="H2407" s="56">
        <v>280914.96999999997</v>
      </c>
      <c r="I2407" s="28" t="s">
        <v>19</v>
      </c>
      <c r="J2407" s="43"/>
    </row>
    <row r="2408" spans="1:10" customFormat="1" ht="15.75" hidden="1" customHeight="1" x14ac:dyDescent="0.25">
      <c r="A2408" s="57">
        <v>45230</v>
      </c>
      <c r="B2408" s="36" t="s">
        <v>5585</v>
      </c>
      <c r="C2408" s="28" t="s">
        <v>3014</v>
      </c>
      <c r="D2408" s="28" t="s">
        <v>3015</v>
      </c>
      <c r="E2408" s="38">
        <v>25000</v>
      </c>
      <c r="F2408" s="67">
        <v>320312.5</v>
      </c>
      <c r="G2408" s="38">
        <v>67265.62</v>
      </c>
      <c r="H2408" s="56">
        <v>412578.12</v>
      </c>
      <c r="I2408" s="28" t="s">
        <v>19</v>
      </c>
      <c r="J2408" s="43"/>
    </row>
    <row r="2409" spans="1:10" customFormat="1" ht="15.75" hidden="1" customHeight="1" x14ac:dyDescent="0.25">
      <c r="A2409" s="57">
        <v>45230</v>
      </c>
      <c r="B2409" s="36" t="s">
        <v>5586</v>
      </c>
      <c r="C2409" s="28" t="s">
        <v>4892</v>
      </c>
      <c r="D2409" s="28" t="s">
        <v>4893</v>
      </c>
      <c r="E2409" s="38">
        <v>4500</v>
      </c>
      <c r="F2409" s="67">
        <v>98438</v>
      </c>
      <c r="G2409" s="38">
        <v>20671.98</v>
      </c>
      <c r="H2409" s="56">
        <v>123609.98</v>
      </c>
      <c r="I2409" s="28" t="s">
        <v>19</v>
      </c>
      <c r="J2409" s="43"/>
    </row>
    <row r="2410" spans="1:10" customFormat="1" ht="15.75" hidden="1" customHeight="1" x14ac:dyDescent="0.25">
      <c r="A2410" s="57">
        <v>45230</v>
      </c>
      <c r="B2410" s="36" t="s">
        <v>5587</v>
      </c>
      <c r="C2410" s="28" t="s">
        <v>5565</v>
      </c>
      <c r="D2410" s="28" t="s">
        <v>5566</v>
      </c>
      <c r="E2410" s="38">
        <v>12500</v>
      </c>
      <c r="F2410" s="67">
        <v>110715</v>
      </c>
      <c r="G2410" s="38">
        <v>23250.15</v>
      </c>
      <c r="H2410" s="56">
        <v>146465.15</v>
      </c>
      <c r="I2410" s="28" t="s">
        <v>19</v>
      </c>
      <c r="J2410" s="43"/>
    </row>
    <row r="2411" spans="1:10" customFormat="1" ht="15.75" hidden="1" customHeight="1" x14ac:dyDescent="0.25">
      <c r="A2411" s="57">
        <v>45230</v>
      </c>
      <c r="B2411" s="36" t="s">
        <v>5588</v>
      </c>
      <c r="C2411" s="28" t="s">
        <v>2924</v>
      </c>
      <c r="D2411" s="28" t="s">
        <v>2925</v>
      </c>
      <c r="E2411" s="38">
        <v>18800</v>
      </c>
      <c r="F2411" s="67">
        <v>182813</v>
      </c>
      <c r="G2411" s="38">
        <v>38390.730000000003</v>
      </c>
      <c r="H2411" s="56">
        <v>240003.73</v>
      </c>
      <c r="I2411" s="28" t="s">
        <v>19</v>
      </c>
      <c r="J2411" s="43"/>
    </row>
    <row r="2412" spans="1:10" customFormat="1" ht="15.75" hidden="1" customHeight="1" x14ac:dyDescent="0.25">
      <c r="A2412" s="57">
        <v>45230</v>
      </c>
      <c r="B2412" s="36" t="s">
        <v>5589</v>
      </c>
      <c r="C2412" s="28" t="s">
        <v>3562</v>
      </c>
      <c r="D2412" s="28" t="s">
        <v>3563</v>
      </c>
      <c r="E2412" s="38">
        <v>9500</v>
      </c>
      <c r="F2412" s="67">
        <v>128125</v>
      </c>
      <c r="G2412" s="38">
        <v>26906.25</v>
      </c>
      <c r="H2412" s="56">
        <v>164531.25</v>
      </c>
      <c r="I2412" s="28" t="s">
        <v>19</v>
      </c>
      <c r="J2412" s="43"/>
    </row>
    <row r="2413" spans="1:10" customFormat="1" ht="15.75" hidden="1" customHeight="1" x14ac:dyDescent="0.25">
      <c r="A2413" s="57">
        <v>45230</v>
      </c>
      <c r="B2413" s="36" t="s">
        <v>5590</v>
      </c>
      <c r="C2413" s="28" t="s">
        <v>2948</v>
      </c>
      <c r="D2413" s="28" t="s">
        <v>2949</v>
      </c>
      <c r="E2413" s="38">
        <v>9200</v>
      </c>
      <c r="F2413" s="67">
        <v>93750</v>
      </c>
      <c r="G2413" s="38">
        <v>19687.5</v>
      </c>
      <c r="H2413" s="56">
        <v>122637.5</v>
      </c>
      <c r="I2413" s="28" t="s">
        <v>19</v>
      </c>
      <c r="J2413" s="43"/>
    </row>
    <row r="2414" spans="1:10" customFormat="1" ht="15.75" hidden="1" customHeight="1" x14ac:dyDescent="0.25">
      <c r="A2414" s="57">
        <v>45230</v>
      </c>
      <c r="B2414" s="36" t="s">
        <v>5591</v>
      </c>
      <c r="C2414" s="28" t="s">
        <v>3200</v>
      </c>
      <c r="D2414" s="28" t="s">
        <v>3201</v>
      </c>
      <c r="E2414" s="38">
        <v>6200</v>
      </c>
      <c r="F2414" s="67">
        <v>96875</v>
      </c>
      <c r="G2414" s="38">
        <v>20343.75</v>
      </c>
      <c r="H2414" s="56">
        <v>123418.75</v>
      </c>
      <c r="I2414" s="28" t="s">
        <v>19</v>
      </c>
      <c r="J2414" s="43"/>
    </row>
    <row r="2415" spans="1:10" customFormat="1" ht="15.75" hidden="1" customHeight="1" x14ac:dyDescent="0.25">
      <c r="A2415" s="57">
        <v>45230</v>
      </c>
      <c r="B2415" s="36" t="s">
        <v>5592</v>
      </c>
      <c r="C2415" s="28" t="s">
        <v>2921</v>
      </c>
      <c r="D2415" s="28" t="s">
        <v>2922</v>
      </c>
      <c r="E2415" s="38">
        <v>1100</v>
      </c>
      <c r="F2415" s="67">
        <v>51562</v>
      </c>
      <c r="G2415" s="38">
        <v>10828.02</v>
      </c>
      <c r="H2415" s="56">
        <v>63490.02</v>
      </c>
      <c r="I2415" s="28" t="s">
        <v>19</v>
      </c>
      <c r="J2415" s="43"/>
    </row>
    <row r="2416" spans="1:10" customFormat="1" ht="15.75" hidden="1" customHeight="1" x14ac:dyDescent="0.25">
      <c r="A2416" s="57">
        <v>45230</v>
      </c>
      <c r="B2416" s="36" t="s">
        <v>5593</v>
      </c>
      <c r="C2416" s="28" t="s">
        <v>2997</v>
      </c>
      <c r="D2416" s="28" t="s">
        <v>2998</v>
      </c>
      <c r="E2416" s="38">
        <v>8500</v>
      </c>
      <c r="F2416" s="67">
        <v>103125</v>
      </c>
      <c r="G2416" s="38">
        <v>21656.25</v>
      </c>
      <c r="H2416" s="56">
        <v>133281.25</v>
      </c>
      <c r="I2416" s="28" t="s">
        <v>19</v>
      </c>
      <c r="J2416" s="43"/>
    </row>
    <row r="2417" spans="1:10" customFormat="1" ht="15.75" hidden="1" customHeight="1" x14ac:dyDescent="0.25">
      <c r="A2417" s="57">
        <v>45230</v>
      </c>
      <c r="B2417" s="36" t="s">
        <v>5594</v>
      </c>
      <c r="C2417" s="28" t="s">
        <v>3176</v>
      </c>
      <c r="D2417" s="28" t="s">
        <v>3177</v>
      </c>
      <c r="E2417" s="38">
        <v>33600</v>
      </c>
      <c r="F2417" s="67">
        <v>487500</v>
      </c>
      <c r="G2417" s="38">
        <v>102375</v>
      </c>
      <c r="H2417" s="56">
        <v>623475</v>
      </c>
      <c r="I2417" s="28" t="s">
        <v>19</v>
      </c>
      <c r="J2417" s="43"/>
    </row>
    <row r="2418" spans="1:10" customFormat="1" ht="15.75" hidden="1" customHeight="1" x14ac:dyDescent="0.25">
      <c r="A2418" s="57">
        <v>45230</v>
      </c>
      <c r="B2418" s="36" t="s">
        <v>5595</v>
      </c>
      <c r="C2418" s="28" t="s">
        <v>3834</v>
      </c>
      <c r="D2418" s="28" t="s">
        <v>3835</v>
      </c>
      <c r="E2418" s="38">
        <v>9200</v>
      </c>
      <c r="F2418" s="67">
        <v>93750</v>
      </c>
      <c r="G2418" s="38">
        <v>19687.5</v>
      </c>
      <c r="H2418" s="56">
        <v>122637.5</v>
      </c>
      <c r="I2418" s="28" t="s">
        <v>19</v>
      </c>
      <c r="J2418" s="43"/>
    </row>
    <row r="2419" spans="1:10" customFormat="1" ht="15.75" hidden="1" customHeight="1" x14ac:dyDescent="0.25">
      <c r="A2419" s="57">
        <v>45230</v>
      </c>
      <c r="B2419" s="36" t="s">
        <v>5596</v>
      </c>
      <c r="C2419" s="28" t="s">
        <v>3235</v>
      </c>
      <c r="D2419" s="28" t="s">
        <v>3236</v>
      </c>
      <c r="E2419" s="38">
        <v>45499.999999999898</v>
      </c>
      <c r="F2419" s="67">
        <v>489063.5</v>
      </c>
      <c r="G2419" s="38">
        <v>102703.33</v>
      </c>
      <c r="H2419" s="56">
        <v>637266.82999999996</v>
      </c>
      <c r="I2419" s="28" t="s">
        <v>19</v>
      </c>
      <c r="J2419" s="43"/>
    </row>
    <row r="2420" spans="1:10" customFormat="1" ht="15.75" hidden="1" customHeight="1" x14ac:dyDescent="0.25">
      <c r="A2420" s="57">
        <v>45230</v>
      </c>
      <c r="B2420" s="36" t="s">
        <v>5597</v>
      </c>
      <c r="C2420" s="28" t="s">
        <v>2948</v>
      </c>
      <c r="D2420" s="28" t="s">
        <v>2949</v>
      </c>
      <c r="E2420" s="38">
        <v>27500</v>
      </c>
      <c r="F2420" s="67">
        <v>371095</v>
      </c>
      <c r="G2420" s="38">
        <v>77929.95</v>
      </c>
      <c r="H2420" s="56">
        <v>476524.95</v>
      </c>
      <c r="I2420" s="28" t="s">
        <v>19</v>
      </c>
      <c r="J2420" s="43"/>
    </row>
    <row r="2421" spans="1:10" customFormat="1" ht="15.75" hidden="1" customHeight="1" x14ac:dyDescent="0.25">
      <c r="A2421" s="57">
        <v>45230</v>
      </c>
      <c r="B2421" s="36" t="s">
        <v>5598</v>
      </c>
      <c r="C2421" s="28" t="s">
        <v>3562</v>
      </c>
      <c r="D2421" s="28" t="s">
        <v>3563</v>
      </c>
      <c r="E2421" s="38">
        <v>34000</v>
      </c>
      <c r="F2421" s="67">
        <v>296876</v>
      </c>
      <c r="G2421" s="38">
        <v>62343.96</v>
      </c>
      <c r="H2421" s="56">
        <v>393219.96</v>
      </c>
      <c r="I2421" s="28" t="s">
        <v>19</v>
      </c>
      <c r="J2421" s="43"/>
    </row>
    <row r="2422" spans="1:10" customFormat="1" ht="15.75" hidden="1" customHeight="1" x14ac:dyDescent="0.25">
      <c r="A2422" s="57">
        <v>45230</v>
      </c>
      <c r="B2422" s="36" t="s">
        <v>5599</v>
      </c>
      <c r="C2422" s="28" t="s">
        <v>3235</v>
      </c>
      <c r="D2422" s="28" t="s">
        <v>3236</v>
      </c>
      <c r="E2422" s="38">
        <v>9500</v>
      </c>
      <c r="F2422" s="67">
        <v>148438</v>
      </c>
      <c r="G2422" s="38">
        <v>31171.98</v>
      </c>
      <c r="H2422" s="56">
        <v>189109.98</v>
      </c>
      <c r="I2422" s="28" t="s">
        <v>19</v>
      </c>
      <c r="J2422" s="43"/>
    </row>
    <row r="2423" spans="1:10" customFormat="1" ht="15.75" hidden="1" customHeight="1" x14ac:dyDescent="0.25">
      <c r="A2423" s="57">
        <v>45230</v>
      </c>
      <c r="B2423" s="36" t="s">
        <v>5600</v>
      </c>
      <c r="C2423" s="28" t="s">
        <v>2909</v>
      </c>
      <c r="D2423" s="28" t="s">
        <v>2910</v>
      </c>
      <c r="E2423" s="38">
        <v>4199.99999999996</v>
      </c>
      <c r="F2423" s="67">
        <v>222657</v>
      </c>
      <c r="G2423" s="38">
        <v>46757.97</v>
      </c>
      <c r="H2423" s="56">
        <v>273614.96999999997</v>
      </c>
      <c r="I2423" s="28" t="s">
        <v>19</v>
      </c>
      <c r="J2423" s="43"/>
    </row>
    <row r="2424" spans="1:10" customFormat="1" ht="15.75" hidden="1" customHeight="1" x14ac:dyDescent="0.25">
      <c r="A2424" s="57">
        <v>45230</v>
      </c>
      <c r="B2424" s="36" t="s">
        <v>5601</v>
      </c>
      <c r="C2424" s="28" t="s">
        <v>3235</v>
      </c>
      <c r="D2424" s="28" t="s">
        <v>3236</v>
      </c>
      <c r="E2424" s="38">
        <v>9500</v>
      </c>
      <c r="F2424" s="67">
        <v>148438</v>
      </c>
      <c r="G2424" s="38">
        <v>31171.98</v>
      </c>
      <c r="H2424" s="56">
        <v>189109.98</v>
      </c>
      <c r="I2424" s="28" t="s">
        <v>19</v>
      </c>
      <c r="J2424" s="43"/>
    </row>
    <row r="2425" spans="1:10" customFormat="1" ht="15.75" hidden="1" customHeight="1" x14ac:dyDescent="0.25">
      <c r="A2425" s="57">
        <v>45230</v>
      </c>
      <c r="B2425" s="36" t="s">
        <v>5602</v>
      </c>
      <c r="C2425" s="28" t="s">
        <v>3896</v>
      </c>
      <c r="D2425" s="28" t="s">
        <v>3897</v>
      </c>
      <c r="E2425" s="38">
        <v>15000</v>
      </c>
      <c r="F2425" s="67">
        <v>166072.5</v>
      </c>
      <c r="G2425" s="38">
        <v>34875.230000000003</v>
      </c>
      <c r="H2425" s="56">
        <v>215947.73</v>
      </c>
      <c r="I2425" s="28" t="s">
        <v>19</v>
      </c>
      <c r="J2425" s="43"/>
    </row>
    <row r="2426" spans="1:10" customFormat="1" ht="15.75" hidden="1" customHeight="1" x14ac:dyDescent="0.25">
      <c r="A2426" s="57">
        <v>45230</v>
      </c>
      <c r="B2426" s="36" t="s">
        <v>5603</v>
      </c>
      <c r="C2426" s="28" t="s">
        <v>2924</v>
      </c>
      <c r="D2426" s="28" t="s">
        <v>2925</v>
      </c>
      <c r="E2426" s="38">
        <v>18800</v>
      </c>
      <c r="F2426" s="67">
        <v>311407</v>
      </c>
      <c r="G2426" s="38">
        <v>65395.47</v>
      </c>
      <c r="H2426" s="56">
        <v>395602.47</v>
      </c>
      <c r="I2426" s="28" t="s">
        <v>19</v>
      </c>
      <c r="J2426" s="43"/>
    </row>
    <row r="2427" spans="1:10" customFormat="1" ht="15.75" hidden="1" customHeight="1" x14ac:dyDescent="0.25">
      <c r="A2427" s="57">
        <v>45230</v>
      </c>
      <c r="B2427" s="36" t="s">
        <v>5604</v>
      </c>
      <c r="C2427" s="28" t="s">
        <v>4434</v>
      </c>
      <c r="D2427" s="28" t="s">
        <v>4435</v>
      </c>
      <c r="E2427" s="38">
        <v>12500</v>
      </c>
      <c r="F2427" s="67">
        <v>318814</v>
      </c>
      <c r="G2427" s="38">
        <v>66950.94</v>
      </c>
      <c r="H2427" s="56">
        <v>398264.94</v>
      </c>
      <c r="I2427" s="28" t="s">
        <v>19</v>
      </c>
      <c r="J2427" s="43"/>
    </row>
    <row r="2428" spans="1:10" customFormat="1" ht="15.75" hidden="1" customHeight="1" x14ac:dyDescent="0.25">
      <c r="A2428" s="57">
        <v>45230</v>
      </c>
      <c r="B2428" s="36" t="s">
        <v>5605</v>
      </c>
      <c r="C2428" s="28" t="s">
        <v>4434</v>
      </c>
      <c r="D2428" s="28" t="s">
        <v>4435</v>
      </c>
      <c r="E2428" s="38">
        <v>19599.999999999902</v>
      </c>
      <c r="F2428" s="67">
        <v>446939</v>
      </c>
      <c r="G2428" s="38">
        <v>93857.19</v>
      </c>
      <c r="H2428" s="56">
        <v>560396.18999999994</v>
      </c>
      <c r="I2428" s="28" t="s">
        <v>19</v>
      </c>
      <c r="J2428" s="43"/>
    </row>
    <row r="2429" spans="1:10" customFormat="1" ht="15.75" hidden="1" customHeight="1" x14ac:dyDescent="0.25">
      <c r="A2429" s="57">
        <v>45230</v>
      </c>
      <c r="B2429" s="36" t="s">
        <v>5606</v>
      </c>
      <c r="C2429" s="28" t="s">
        <v>5607</v>
      </c>
      <c r="D2429" s="28" t="s">
        <v>5608</v>
      </c>
      <c r="E2429" s="38">
        <v>22000</v>
      </c>
      <c r="F2429" s="67">
        <v>425930</v>
      </c>
      <c r="G2429" s="38">
        <v>89445.3</v>
      </c>
      <c r="H2429" s="56">
        <v>537375.30000000005</v>
      </c>
      <c r="I2429" s="28" t="s">
        <v>19</v>
      </c>
      <c r="J2429" s="43"/>
    </row>
    <row r="2430" spans="1:10" customFormat="1" ht="15.75" hidden="1" customHeight="1" x14ac:dyDescent="0.25">
      <c r="A2430" s="57">
        <v>45230</v>
      </c>
      <c r="B2430" s="36" t="s">
        <v>5609</v>
      </c>
      <c r="C2430" s="28" t="s">
        <v>2954</v>
      </c>
      <c r="D2430" s="28" t="s">
        <v>2955</v>
      </c>
      <c r="E2430" s="38">
        <v>4500</v>
      </c>
      <c r="F2430" s="67">
        <v>98438</v>
      </c>
      <c r="G2430" s="38">
        <v>20671.98</v>
      </c>
      <c r="H2430" s="56">
        <v>123609.98</v>
      </c>
      <c r="I2430" s="28" t="s">
        <v>19</v>
      </c>
      <c r="J2430" s="43"/>
    </row>
    <row r="2431" spans="1:10" customFormat="1" ht="15.75" hidden="1" customHeight="1" x14ac:dyDescent="0.25">
      <c r="A2431" s="57">
        <v>45230</v>
      </c>
      <c r="B2431" s="36" t="s">
        <v>5610</v>
      </c>
      <c r="C2431" s="28" t="s">
        <v>5611</v>
      </c>
      <c r="D2431" s="28" t="s">
        <v>5612</v>
      </c>
      <c r="E2431" s="38">
        <v>9200</v>
      </c>
      <c r="F2431" s="67">
        <v>93750</v>
      </c>
      <c r="G2431" s="38">
        <v>19687.5</v>
      </c>
      <c r="H2431" s="56">
        <v>122637.5</v>
      </c>
      <c r="I2431" s="28" t="s">
        <v>19</v>
      </c>
      <c r="J2431" s="43"/>
    </row>
    <row r="2432" spans="1:10" customFormat="1" ht="15.75" hidden="1" customHeight="1" x14ac:dyDescent="0.25">
      <c r="A2432" s="79">
        <v>45230</v>
      </c>
      <c r="B2432" s="41" t="s">
        <v>5613</v>
      </c>
      <c r="C2432" s="41" t="s">
        <v>3272</v>
      </c>
      <c r="D2432" s="41" t="s">
        <v>3273</v>
      </c>
      <c r="E2432" s="39">
        <v>27600</v>
      </c>
      <c r="F2432" s="42">
        <v>281250</v>
      </c>
      <c r="G2432" s="39">
        <v>59062.5</v>
      </c>
      <c r="H2432" s="66">
        <v>367912.5</v>
      </c>
      <c r="I2432" s="41" t="s">
        <v>19</v>
      </c>
      <c r="J2432" s="49"/>
    </row>
    <row r="2433" spans="1:10" customFormat="1" ht="15.75" hidden="1" customHeight="1" x14ac:dyDescent="0.25">
      <c r="A2433" s="57">
        <v>45230</v>
      </c>
      <c r="B2433" s="36" t="s">
        <v>5614</v>
      </c>
      <c r="C2433" s="28" t="s">
        <v>2903</v>
      </c>
      <c r="D2433" s="28" t="s">
        <v>2904</v>
      </c>
      <c r="E2433" s="38">
        <v>9200</v>
      </c>
      <c r="F2433" s="67">
        <v>93750</v>
      </c>
      <c r="G2433" s="38">
        <v>19687.5</v>
      </c>
      <c r="H2433" s="56">
        <v>122637.5</v>
      </c>
      <c r="I2433" s="28" t="s">
        <v>19</v>
      </c>
      <c r="J2433" s="43"/>
    </row>
    <row r="2434" spans="1:10" customFormat="1" ht="15.75" hidden="1" customHeight="1" x14ac:dyDescent="0.25">
      <c r="A2434" s="57">
        <v>45230</v>
      </c>
      <c r="B2434" s="36" t="s">
        <v>5615</v>
      </c>
      <c r="C2434" s="28" t="s">
        <v>2927</v>
      </c>
      <c r="D2434" s="28" t="s">
        <v>2928</v>
      </c>
      <c r="E2434" s="38">
        <v>10400</v>
      </c>
      <c r="F2434" s="67">
        <v>110715</v>
      </c>
      <c r="G2434" s="38">
        <v>23250.15</v>
      </c>
      <c r="H2434" s="56">
        <v>144365.15</v>
      </c>
      <c r="I2434" s="28" t="s">
        <v>19</v>
      </c>
      <c r="J2434" s="43"/>
    </row>
    <row r="2435" spans="1:10" customFormat="1" ht="15.75" hidden="1" customHeight="1" x14ac:dyDescent="0.25">
      <c r="A2435" s="57">
        <v>45230</v>
      </c>
      <c r="B2435" s="36" t="s">
        <v>5616</v>
      </c>
      <c r="C2435" s="28" t="s">
        <v>2927</v>
      </c>
      <c r="D2435" s="28" t="s">
        <v>2928</v>
      </c>
      <c r="E2435" s="38">
        <v>10400</v>
      </c>
      <c r="F2435" s="67">
        <v>110715</v>
      </c>
      <c r="G2435" s="38">
        <v>23250.15</v>
      </c>
      <c r="H2435" s="56">
        <v>144365.15</v>
      </c>
      <c r="I2435" s="28" t="s">
        <v>19</v>
      </c>
      <c r="J2435" s="43"/>
    </row>
    <row r="2436" spans="1:10" customFormat="1" ht="15.75" hidden="1" customHeight="1" x14ac:dyDescent="0.25">
      <c r="A2436" s="57">
        <v>45230</v>
      </c>
      <c r="B2436" s="36" t="s">
        <v>5617</v>
      </c>
      <c r="C2436" s="28" t="s">
        <v>2921</v>
      </c>
      <c r="D2436" s="28" t="s">
        <v>2922</v>
      </c>
      <c r="E2436" s="38">
        <v>15760</v>
      </c>
      <c r="F2436" s="67">
        <v>182813</v>
      </c>
      <c r="G2436" s="38">
        <v>38390.730000000003</v>
      </c>
      <c r="H2436" s="56">
        <v>236963.73</v>
      </c>
      <c r="I2436" s="28" t="s">
        <v>19</v>
      </c>
      <c r="J2436" s="43"/>
    </row>
    <row r="2437" spans="1:10" customFormat="1" ht="15.75" hidden="1" customHeight="1" x14ac:dyDescent="0.25">
      <c r="A2437" s="57">
        <v>45230</v>
      </c>
      <c r="B2437" s="36" t="s">
        <v>5618</v>
      </c>
      <c r="C2437" s="28" t="s">
        <v>2921</v>
      </c>
      <c r="D2437" s="28" t="s">
        <v>2922</v>
      </c>
      <c r="E2437" s="38">
        <v>12560</v>
      </c>
      <c r="F2437" s="67">
        <v>296876</v>
      </c>
      <c r="G2437" s="38">
        <v>62343.96</v>
      </c>
      <c r="H2437" s="56">
        <v>371779.96</v>
      </c>
      <c r="I2437" s="28" t="s">
        <v>19</v>
      </c>
      <c r="J2437" s="43"/>
    </row>
    <row r="2438" spans="1:10" customFormat="1" ht="15.75" hidden="1" customHeight="1" x14ac:dyDescent="0.25">
      <c r="A2438" s="57">
        <v>45230</v>
      </c>
      <c r="B2438" s="36" t="s">
        <v>5619</v>
      </c>
      <c r="C2438" s="28" t="s">
        <v>2948</v>
      </c>
      <c r="D2438" s="28" t="s">
        <v>2949</v>
      </c>
      <c r="E2438" s="38">
        <v>9200</v>
      </c>
      <c r="F2438" s="67">
        <v>93750</v>
      </c>
      <c r="G2438" s="38">
        <v>19687.5</v>
      </c>
      <c r="H2438" s="56">
        <v>122637.5</v>
      </c>
      <c r="I2438" s="28" t="s">
        <v>19</v>
      </c>
      <c r="J2438" s="43"/>
    </row>
    <row r="2439" spans="1:10" customFormat="1" ht="15.75" hidden="1" customHeight="1" x14ac:dyDescent="0.25">
      <c r="A2439" s="57">
        <v>45230</v>
      </c>
      <c r="B2439" s="36" t="s">
        <v>5620</v>
      </c>
      <c r="C2439" s="28" t="s">
        <v>2942</v>
      </c>
      <c r="D2439" s="28" t="s">
        <v>2943</v>
      </c>
      <c r="E2439" s="38">
        <v>9200</v>
      </c>
      <c r="F2439" s="67">
        <v>93750</v>
      </c>
      <c r="G2439" s="38">
        <v>19687.5</v>
      </c>
      <c r="H2439" s="56">
        <v>122637.5</v>
      </c>
      <c r="I2439" s="28" t="s">
        <v>19</v>
      </c>
      <c r="J2439" s="43"/>
    </row>
    <row r="2440" spans="1:10" customFormat="1" ht="15.75" hidden="1" customHeight="1" x14ac:dyDescent="0.25">
      <c r="A2440" s="57">
        <v>45230</v>
      </c>
      <c r="B2440" s="36" t="s">
        <v>5621</v>
      </c>
      <c r="C2440" s="28" t="s">
        <v>5622</v>
      </c>
      <c r="D2440" s="28" t="s">
        <v>5623</v>
      </c>
      <c r="E2440" s="38">
        <v>9200</v>
      </c>
      <c r="F2440" s="67">
        <v>93750</v>
      </c>
      <c r="G2440" s="38">
        <v>19687.5</v>
      </c>
      <c r="H2440" s="56">
        <v>122637.5</v>
      </c>
      <c r="I2440" s="28" t="s">
        <v>19</v>
      </c>
      <c r="J2440" s="43"/>
    </row>
    <row r="2441" spans="1:10" customFormat="1" ht="15.75" hidden="1" customHeight="1" x14ac:dyDescent="0.25">
      <c r="A2441" s="57">
        <v>45230</v>
      </c>
      <c r="B2441" s="36" t="s">
        <v>5624</v>
      </c>
      <c r="C2441" s="28" t="s">
        <v>3011</v>
      </c>
      <c r="D2441" s="28" t="s">
        <v>3012</v>
      </c>
      <c r="E2441" s="38">
        <v>26560</v>
      </c>
      <c r="F2441" s="67">
        <v>1025000</v>
      </c>
      <c r="G2441" s="38">
        <v>215250</v>
      </c>
      <c r="H2441" s="56">
        <v>1266810</v>
      </c>
      <c r="I2441" s="28" t="s">
        <v>19</v>
      </c>
      <c r="J2441" s="43"/>
    </row>
    <row r="2442" spans="1:10" customFormat="1" ht="15.75" hidden="1" customHeight="1" x14ac:dyDescent="0.25">
      <c r="A2442" s="57">
        <v>45230</v>
      </c>
      <c r="B2442" s="36" t="s">
        <v>5625</v>
      </c>
      <c r="C2442" s="28" t="s">
        <v>2972</v>
      </c>
      <c r="D2442" s="28" t="s">
        <v>2973</v>
      </c>
      <c r="E2442" s="38">
        <v>6640</v>
      </c>
      <c r="F2442" s="67">
        <v>128125</v>
      </c>
      <c r="G2442" s="38">
        <v>26906.25</v>
      </c>
      <c r="H2442" s="56">
        <v>161671.25</v>
      </c>
      <c r="I2442" s="28" t="s">
        <v>19</v>
      </c>
      <c r="J2442" s="43"/>
    </row>
    <row r="2443" spans="1:10" customFormat="1" ht="15.75" hidden="1" customHeight="1" x14ac:dyDescent="0.25">
      <c r="A2443" s="57">
        <v>45230</v>
      </c>
      <c r="B2443" s="36" t="s">
        <v>5626</v>
      </c>
      <c r="C2443" s="28" t="s">
        <v>2997</v>
      </c>
      <c r="D2443" s="28" t="s">
        <v>2998</v>
      </c>
      <c r="E2443" s="38">
        <v>6820</v>
      </c>
      <c r="F2443" s="67">
        <v>148438</v>
      </c>
      <c r="G2443" s="38">
        <v>31171.98</v>
      </c>
      <c r="H2443" s="56">
        <v>186429.98</v>
      </c>
      <c r="I2443" s="28" t="s">
        <v>19</v>
      </c>
      <c r="J2443" s="43"/>
    </row>
    <row r="2444" spans="1:10" customFormat="1" ht="15.75" hidden="1" customHeight="1" x14ac:dyDescent="0.25">
      <c r="A2444" s="57">
        <v>45230</v>
      </c>
      <c r="B2444" s="36" t="s">
        <v>5627</v>
      </c>
      <c r="C2444" s="28" t="s">
        <v>2942</v>
      </c>
      <c r="D2444" s="28" t="s">
        <v>2943</v>
      </c>
      <c r="E2444" s="38">
        <v>10500</v>
      </c>
      <c r="F2444" s="67">
        <v>93750</v>
      </c>
      <c r="G2444" s="38">
        <v>19687.5</v>
      </c>
      <c r="H2444" s="56">
        <v>123937.5</v>
      </c>
      <c r="I2444" s="28" t="s">
        <v>19</v>
      </c>
      <c r="J2444" s="43"/>
    </row>
    <row r="2445" spans="1:10" customFormat="1" ht="15.75" hidden="1" customHeight="1" x14ac:dyDescent="0.25">
      <c r="A2445" s="57">
        <v>45230</v>
      </c>
      <c r="B2445" s="36" t="s">
        <v>5628</v>
      </c>
      <c r="C2445" s="28" t="s">
        <v>3562</v>
      </c>
      <c r="D2445" s="28" t="s">
        <v>3563</v>
      </c>
      <c r="E2445" s="38">
        <v>11640</v>
      </c>
      <c r="F2445" s="67">
        <v>296876</v>
      </c>
      <c r="G2445" s="38">
        <v>62343.96</v>
      </c>
      <c r="H2445" s="56">
        <v>370859.96</v>
      </c>
      <c r="I2445" s="28" t="s">
        <v>19</v>
      </c>
      <c r="J2445" s="43"/>
    </row>
    <row r="2446" spans="1:10" customFormat="1" ht="15.75" hidden="1" customHeight="1" x14ac:dyDescent="0.25">
      <c r="A2446" s="57">
        <v>45230</v>
      </c>
      <c r="B2446" s="36" t="s">
        <v>5629</v>
      </c>
      <c r="C2446" s="28" t="s">
        <v>2924</v>
      </c>
      <c r="D2446" s="28" t="s">
        <v>2925</v>
      </c>
      <c r="E2446" s="38">
        <v>13600</v>
      </c>
      <c r="F2446" s="67">
        <v>303125</v>
      </c>
      <c r="G2446" s="38">
        <v>63656.25</v>
      </c>
      <c r="H2446" s="56">
        <v>380381.25</v>
      </c>
      <c r="I2446" s="28" t="s">
        <v>19</v>
      </c>
      <c r="J2446" s="43"/>
    </row>
    <row r="2447" spans="1:10" customFormat="1" ht="15.75" hidden="1" customHeight="1" x14ac:dyDescent="0.25">
      <c r="A2447" s="57">
        <v>45230</v>
      </c>
      <c r="B2447" s="36" t="s">
        <v>5630</v>
      </c>
      <c r="C2447" s="28" t="s">
        <v>2909</v>
      </c>
      <c r="D2447" s="28" t="s">
        <v>2910</v>
      </c>
      <c r="E2447" s="38">
        <v>11000</v>
      </c>
      <c r="F2447" s="67">
        <v>192187.5</v>
      </c>
      <c r="G2447" s="38">
        <v>40359.370000000003</v>
      </c>
      <c r="H2447" s="56">
        <v>243546.87</v>
      </c>
      <c r="I2447" s="28" t="s">
        <v>19</v>
      </c>
      <c r="J2447" s="43"/>
    </row>
    <row r="2448" spans="1:10" customFormat="1" ht="15.75" hidden="1" customHeight="1" x14ac:dyDescent="0.25">
      <c r="A2448" s="57">
        <v>45230</v>
      </c>
      <c r="B2448" s="36" t="s">
        <v>5631</v>
      </c>
      <c r="C2448" s="28" t="s">
        <v>4337</v>
      </c>
      <c r="D2448" s="28" t="s">
        <v>4338</v>
      </c>
      <c r="E2448" s="38">
        <v>14000</v>
      </c>
      <c r="F2448" s="67">
        <v>240625</v>
      </c>
      <c r="G2448" s="38">
        <v>50531.25</v>
      </c>
      <c r="H2448" s="56">
        <v>305156.25</v>
      </c>
      <c r="I2448" s="28" t="s">
        <v>19</v>
      </c>
      <c r="J2448" s="43"/>
    </row>
    <row r="2449" spans="1:10" customFormat="1" ht="15.75" hidden="1" customHeight="1" x14ac:dyDescent="0.25">
      <c r="A2449" s="57">
        <v>45230</v>
      </c>
      <c r="B2449" s="28" t="s">
        <v>5632</v>
      </c>
      <c r="C2449" s="28" t="s">
        <v>3160</v>
      </c>
      <c r="D2449" s="28" t="s">
        <v>3161</v>
      </c>
      <c r="E2449" s="38">
        <v>67900.22</v>
      </c>
      <c r="F2449" s="67">
        <v>1488250</v>
      </c>
      <c r="G2449" s="38">
        <v>312532.5</v>
      </c>
      <c r="H2449" s="56">
        <v>1868682.72</v>
      </c>
      <c r="I2449" s="28" t="s">
        <v>19</v>
      </c>
      <c r="J2449" s="43"/>
    </row>
    <row r="2450" spans="1:10" customFormat="1" ht="15.75" hidden="1" customHeight="1" x14ac:dyDescent="0.25">
      <c r="A2450" s="57">
        <v>45230</v>
      </c>
      <c r="B2450" s="36" t="s">
        <v>5633</v>
      </c>
      <c r="C2450" s="28" t="s">
        <v>3176</v>
      </c>
      <c r="D2450" s="28" t="s">
        <v>3177</v>
      </c>
      <c r="E2450" s="38">
        <v>50720</v>
      </c>
      <c r="F2450" s="67">
        <v>797755</v>
      </c>
      <c r="G2450" s="38">
        <v>167528.56</v>
      </c>
      <c r="H2450" s="56">
        <v>1016003.56</v>
      </c>
      <c r="I2450" s="28" t="s">
        <v>19</v>
      </c>
      <c r="J2450" s="43"/>
    </row>
    <row r="2451" spans="1:10" customFormat="1" ht="15.75" hidden="1" customHeight="1" x14ac:dyDescent="0.25">
      <c r="A2451" s="57">
        <v>45230</v>
      </c>
      <c r="B2451" s="36" t="s">
        <v>5634</v>
      </c>
      <c r="C2451" s="28" t="s">
        <v>2867</v>
      </c>
      <c r="D2451" s="28" t="s">
        <v>2868</v>
      </c>
      <c r="E2451" s="38">
        <v>6200</v>
      </c>
      <c r="F2451" s="67">
        <v>93750</v>
      </c>
      <c r="G2451" s="38">
        <v>19687.5</v>
      </c>
      <c r="H2451" s="56">
        <v>119637.5</v>
      </c>
      <c r="I2451" s="28" t="s">
        <v>19</v>
      </c>
      <c r="J2451" s="43"/>
    </row>
    <row r="2452" spans="1:10" customFormat="1" ht="15.75" hidden="1" customHeight="1" x14ac:dyDescent="0.25">
      <c r="A2452" s="57">
        <v>45230</v>
      </c>
      <c r="B2452" s="36" t="s">
        <v>5635</v>
      </c>
      <c r="C2452" s="28" t="s">
        <v>3041</v>
      </c>
      <c r="D2452" s="28" t="s">
        <v>3042</v>
      </c>
      <c r="E2452" s="38">
        <v>10004</v>
      </c>
      <c r="F2452" s="67">
        <v>126562.5</v>
      </c>
      <c r="G2452" s="38">
        <v>26578.13</v>
      </c>
      <c r="H2452" s="56">
        <v>163144.63</v>
      </c>
      <c r="I2452" s="28" t="s">
        <v>19</v>
      </c>
      <c r="J2452" s="43"/>
    </row>
    <row r="2453" spans="1:10" customFormat="1" ht="15.75" hidden="1" customHeight="1" x14ac:dyDescent="0.25">
      <c r="A2453" s="57">
        <v>45230</v>
      </c>
      <c r="B2453" s="36" t="s">
        <v>5636</v>
      </c>
      <c r="C2453" s="28" t="s">
        <v>2870</v>
      </c>
      <c r="D2453" s="28" t="s">
        <v>2871</v>
      </c>
      <c r="E2453" s="38">
        <v>19204</v>
      </c>
      <c r="F2453" s="67">
        <v>168750</v>
      </c>
      <c r="G2453" s="38">
        <v>35437.5</v>
      </c>
      <c r="H2453" s="56">
        <v>223391.5</v>
      </c>
      <c r="I2453" s="28" t="s">
        <v>19</v>
      </c>
      <c r="J2453" s="43"/>
    </row>
    <row r="2454" spans="1:10" customFormat="1" ht="15.75" hidden="1" customHeight="1" x14ac:dyDescent="0.25">
      <c r="A2454" s="57">
        <v>45230</v>
      </c>
      <c r="B2454" s="36" t="s">
        <v>5637</v>
      </c>
      <c r="C2454" s="28" t="s">
        <v>2997</v>
      </c>
      <c r="D2454" s="28" t="s">
        <v>2998</v>
      </c>
      <c r="E2454" s="38">
        <v>7500</v>
      </c>
      <c r="F2454" s="67">
        <v>128125</v>
      </c>
      <c r="G2454" s="38">
        <v>26906.25</v>
      </c>
      <c r="H2454" s="56">
        <v>162531.25</v>
      </c>
      <c r="I2454" s="28" t="s">
        <v>19</v>
      </c>
      <c r="J2454" s="43"/>
    </row>
    <row r="2455" spans="1:10" customFormat="1" ht="15.75" hidden="1" customHeight="1" x14ac:dyDescent="0.25">
      <c r="A2455" s="57">
        <v>45230</v>
      </c>
      <c r="B2455" s="36" t="s">
        <v>5638</v>
      </c>
      <c r="C2455" s="28" t="s">
        <v>4109</v>
      </c>
      <c r="D2455" s="28" t="s">
        <v>4110</v>
      </c>
      <c r="E2455" s="38">
        <v>4100</v>
      </c>
      <c r="F2455" s="67">
        <v>81250</v>
      </c>
      <c r="G2455" s="38">
        <v>17062.5</v>
      </c>
      <c r="H2455" s="56">
        <v>102412.5</v>
      </c>
      <c r="I2455" s="28" t="s">
        <v>19</v>
      </c>
      <c r="J2455" s="43"/>
    </row>
    <row r="2456" spans="1:10" customFormat="1" ht="15.75" hidden="1" customHeight="1" x14ac:dyDescent="0.25">
      <c r="A2456" s="57">
        <v>45230</v>
      </c>
      <c r="B2456" s="36" t="s">
        <v>5639</v>
      </c>
      <c r="C2456" s="28" t="s">
        <v>3559</v>
      </c>
      <c r="D2456" s="28" t="s">
        <v>3560</v>
      </c>
      <c r="E2456" s="38">
        <v>14000</v>
      </c>
      <c r="F2456" s="67">
        <v>128125</v>
      </c>
      <c r="G2456" s="38">
        <v>26906.25</v>
      </c>
      <c r="H2456" s="56">
        <v>169031.25</v>
      </c>
      <c r="I2456" s="28" t="s">
        <v>19</v>
      </c>
      <c r="J2456" s="43"/>
    </row>
    <row r="2457" spans="1:10" customFormat="1" ht="15.75" hidden="1" customHeight="1" x14ac:dyDescent="0.25">
      <c r="A2457" s="57">
        <v>45230</v>
      </c>
      <c r="B2457" s="36" t="s">
        <v>5640</v>
      </c>
      <c r="C2457" s="28" t="s">
        <v>4172</v>
      </c>
      <c r="D2457" s="28" t="s">
        <v>4173</v>
      </c>
      <c r="E2457" s="38">
        <v>6500</v>
      </c>
      <c r="F2457" s="67">
        <v>128125</v>
      </c>
      <c r="G2457" s="38">
        <v>26906.25</v>
      </c>
      <c r="H2457" s="56">
        <v>161531.25</v>
      </c>
      <c r="I2457" s="28" t="s">
        <v>19</v>
      </c>
      <c r="J2457" s="43"/>
    </row>
    <row r="2458" spans="1:10" customFormat="1" ht="15.75" hidden="1" customHeight="1" x14ac:dyDescent="0.25">
      <c r="A2458" s="57">
        <v>45230</v>
      </c>
      <c r="B2458" s="36" t="s">
        <v>5641</v>
      </c>
      <c r="C2458" s="28" t="s">
        <v>3559</v>
      </c>
      <c r="D2458" s="28" t="s">
        <v>3560</v>
      </c>
      <c r="E2458" s="38">
        <v>7900</v>
      </c>
      <c r="F2458" s="67">
        <v>98438</v>
      </c>
      <c r="G2458" s="38">
        <v>20671.98</v>
      </c>
      <c r="H2458" s="56">
        <v>127009.98</v>
      </c>
      <c r="I2458" s="28" t="s">
        <v>19</v>
      </c>
      <c r="J2458" s="43"/>
    </row>
    <row r="2459" spans="1:10" customFormat="1" ht="15.75" hidden="1" customHeight="1" x14ac:dyDescent="0.25">
      <c r="A2459" s="57">
        <v>45230</v>
      </c>
      <c r="B2459" s="28" t="s">
        <v>5642</v>
      </c>
      <c r="C2459" s="28" t="s">
        <v>3132</v>
      </c>
      <c r="D2459" s="28" t="s">
        <v>3133</v>
      </c>
      <c r="E2459" s="38">
        <v>45000</v>
      </c>
      <c r="F2459" s="67">
        <v>576562.5</v>
      </c>
      <c r="G2459" s="38">
        <v>121078.11</v>
      </c>
      <c r="H2459" s="56">
        <v>742640.61</v>
      </c>
      <c r="I2459" s="28" t="s">
        <v>19</v>
      </c>
      <c r="J2459" s="43"/>
    </row>
    <row r="2460" spans="1:10" customFormat="1" ht="15.75" hidden="1" customHeight="1" x14ac:dyDescent="0.25">
      <c r="A2460" s="57">
        <v>45230</v>
      </c>
      <c r="B2460" s="36" t="s">
        <v>5643</v>
      </c>
      <c r="C2460" s="28" t="s">
        <v>4827</v>
      </c>
      <c r="D2460" s="28" t="s">
        <v>4828</v>
      </c>
      <c r="E2460" s="38">
        <v>3200</v>
      </c>
      <c r="F2460" s="67">
        <v>93750</v>
      </c>
      <c r="G2460" s="38">
        <v>19687.5</v>
      </c>
      <c r="H2460" s="56">
        <v>116637.5</v>
      </c>
      <c r="I2460" s="28" t="s">
        <v>19</v>
      </c>
      <c r="J2460" s="43"/>
    </row>
    <row r="2461" spans="1:10" customFormat="1" ht="15.75" hidden="1" customHeight="1" x14ac:dyDescent="0.25">
      <c r="A2461" s="57">
        <v>45230</v>
      </c>
      <c r="B2461" s="36" t="s">
        <v>5644</v>
      </c>
      <c r="C2461" s="28" t="s">
        <v>2921</v>
      </c>
      <c r="D2461" s="28" t="s">
        <v>2922</v>
      </c>
      <c r="E2461" s="38">
        <v>18400</v>
      </c>
      <c r="F2461" s="67">
        <v>187500</v>
      </c>
      <c r="G2461" s="38">
        <v>39375</v>
      </c>
      <c r="H2461" s="56">
        <v>245275</v>
      </c>
      <c r="I2461" s="28" t="s">
        <v>19</v>
      </c>
      <c r="J2461" s="43"/>
    </row>
    <row r="2462" spans="1:10" customFormat="1" ht="15.75" hidden="1" customHeight="1" x14ac:dyDescent="0.25">
      <c r="A2462" s="57">
        <v>45230</v>
      </c>
      <c r="B2462" s="36" t="s">
        <v>5645</v>
      </c>
      <c r="C2462" s="28" t="s">
        <v>2948</v>
      </c>
      <c r="D2462" s="28" t="s">
        <v>2949</v>
      </c>
      <c r="E2462" s="38">
        <v>18400</v>
      </c>
      <c r="F2462" s="67">
        <v>187500</v>
      </c>
      <c r="G2462" s="38">
        <v>39375</v>
      </c>
      <c r="H2462" s="56">
        <v>245275</v>
      </c>
      <c r="I2462" s="28" t="s">
        <v>19</v>
      </c>
      <c r="J2462" s="43"/>
    </row>
    <row r="2463" spans="1:10" customFormat="1" ht="15.75" hidden="1" customHeight="1" x14ac:dyDescent="0.25">
      <c r="A2463" s="57">
        <v>45230</v>
      </c>
      <c r="B2463" s="36" t="s">
        <v>5646</v>
      </c>
      <c r="C2463" s="28" t="s">
        <v>2948</v>
      </c>
      <c r="D2463" s="28" t="s">
        <v>2949</v>
      </c>
      <c r="E2463" s="38">
        <v>9200</v>
      </c>
      <c r="F2463" s="67">
        <v>93750</v>
      </c>
      <c r="G2463" s="38">
        <v>19687.5</v>
      </c>
      <c r="H2463" s="56">
        <v>122637.5</v>
      </c>
      <c r="I2463" s="28" t="s">
        <v>19</v>
      </c>
      <c r="J2463" s="43"/>
    </row>
    <row r="2464" spans="1:10" customFormat="1" ht="15.75" hidden="1" customHeight="1" x14ac:dyDescent="0.25">
      <c r="A2464" s="57">
        <v>45230</v>
      </c>
      <c r="B2464" s="36" t="s">
        <v>5647</v>
      </c>
      <c r="C2464" s="28" t="s">
        <v>4172</v>
      </c>
      <c r="D2464" s="28" t="s">
        <v>4173</v>
      </c>
      <c r="E2464" s="38">
        <v>18400</v>
      </c>
      <c r="F2464" s="67">
        <v>187500</v>
      </c>
      <c r="G2464" s="38">
        <v>39375</v>
      </c>
      <c r="H2464" s="56">
        <v>245275</v>
      </c>
      <c r="I2464" s="28" t="s">
        <v>19</v>
      </c>
      <c r="J2464" s="43"/>
    </row>
    <row r="2465" spans="1:10" customFormat="1" ht="15.75" hidden="1" customHeight="1" x14ac:dyDescent="0.25">
      <c r="A2465" s="57">
        <v>45230</v>
      </c>
      <c r="B2465" s="36" t="s">
        <v>5648</v>
      </c>
      <c r="C2465" s="28" t="s">
        <v>3235</v>
      </c>
      <c r="D2465" s="28" t="s">
        <v>3236</v>
      </c>
      <c r="E2465" s="38">
        <v>40999.999999999898</v>
      </c>
      <c r="F2465" s="67">
        <v>435270</v>
      </c>
      <c r="G2465" s="38">
        <v>91406.7</v>
      </c>
      <c r="H2465" s="56">
        <v>567676.69999999995</v>
      </c>
      <c r="I2465" s="28" t="s">
        <v>19</v>
      </c>
      <c r="J2465" s="43"/>
    </row>
    <row r="2466" spans="1:10" customFormat="1" ht="15.75" hidden="1" customHeight="1" x14ac:dyDescent="0.25">
      <c r="A2466" s="57">
        <v>45230</v>
      </c>
      <c r="B2466" s="36" t="s">
        <v>5649</v>
      </c>
      <c r="C2466" s="28" t="s">
        <v>3014</v>
      </c>
      <c r="D2466" s="28" t="s">
        <v>3015</v>
      </c>
      <c r="E2466" s="38">
        <v>11000</v>
      </c>
      <c r="F2466" s="67">
        <v>256250</v>
      </c>
      <c r="G2466" s="38">
        <v>53812.5</v>
      </c>
      <c r="H2466" s="56">
        <v>321062.5</v>
      </c>
      <c r="I2466" s="28" t="s">
        <v>19</v>
      </c>
      <c r="J2466" s="43"/>
    </row>
    <row r="2467" spans="1:10" customFormat="1" ht="15.75" hidden="1" customHeight="1" x14ac:dyDescent="0.25">
      <c r="A2467" s="57">
        <v>45230</v>
      </c>
      <c r="B2467" s="36" t="s">
        <v>5650</v>
      </c>
      <c r="C2467" s="28" t="s">
        <v>3011</v>
      </c>
      <c r="D2467" s="28" t="s">
        <v>3012</v>
      </c>
      <c r="E2467" s="38">
        <v>7000</v>
      </c>
      <c r="F2467" s="67">
        <v>128125</v>
      </c>
      <c r="G2467" s="38">
        <v>26906.25</v>
      </c>
      <c r="H2467" s="56">
        <v>162031.25</v>
      </c>
      <c r="I2467" s="28" t="s">
        <v>19</v>
      </c>
      <c r="J2467" s="43"/>
    </row>
    <row r="2468" spans="1:10" customFormat="1" ht="15.75" hidden="1" customHeight="1" x14ac:dyDescent="0.25">
      <c r="A2468" s="57">
        <v>45230</v>
      </c>
      <c r="B2468" s="36" t="s">
        <v>5651</v>
      </c>
      <c r="C2468" s="28" t="s">
        <v>2924</v>
      </c>
      <c r="D2468" s="28" t="s">
        <v>2925</v>
      </c>
      <c r="E2468" s="38">
        <v>12560</v>
      </c>
      <c r="F2468" s="67">
        <v>221430</v>
      </c>
      <c r="G2468" s="38">
        <v>46500.3</v>
      </c>
      <c r="H2468" s="56">
        <v>280490.3</v>
      </c>
      <c r="I2468" s="28" t="s">
        <v>19</v>
      </c>
      <c r="J2468" s="43"/>
    </row>
    <row r="2469" spans="1:10" customFormat="1" ht="15.75" hidden="1" customHeight="1" x14ac:dyDescent="0.25">
      <c r="A2469" s="57">
        <v>45230</v>
      </c>
      <c r="B2469" s="36" t="s">
        <v>5652</v>
      </c>
      <c r="C2469" s="28" t="s">
        <v>2921</v>
      </c>
      <c r="D2469" s="28" t="s">
        <v>2922</v>
      </c>
      <c r="E2469" s="38">
        <v>9040</v>
      </c>
      <c r="F2469" s="67">
        <v>162500</v>
      </c>
      <c r="G2469" s="38">
        <v>34125</v>
      </c>
      <c r="H2469" s="56">
        <v>205665</v>
      </c>
      <c r="I2469" s="28" t="s">
        <v>19</v>
      </c>
      <c r="J2469" s="43"/>
    </row>
    <row r="2470" spans="1:10" customFormat="1" ht="15.75" hidden="1" customHeight="1" x14ac:dyDescent="0.25">
      <c r="A2470" s="57">
        <v>45230</v>
      </c>
      <c r="B2470" s="36" t="s">
        <v>5653</v>
      </c>
      <c r="C2470" s="28" t="s">
        <v>2997</v>
      </c>
      <c r="D2470" s="28" t="s">
        <v>2998</v>
      </c>
      <c r="E2470" s="38">
        <v>8500</v>
      </c>
      <c r="F2470" s="67">
        <v>148438</v>
      </c>
      <c r="G2470" s="38">
        <v>31171.98</v>
      </c>
      <c r="H2470" s="56">
        <v>188109.98</v>
      </c>
      <c r="I2470" s="28" t="s">
        <v>19</v>
      </c>
      <c r="J2470" s="43"/>
    </row>
    <row r="2471" spans="1:10" customFormat="1" ht="15.75" hidden="1" customHeight="1" x14ac:dyDescent="0.25">
      <c r="A2471" s="57">
        <v>45230</v>
      </c>
      <c r="B2471" s="36" t="s">
        <v>5654</v>
      </c>
      <c r="C2471" s="28" t="s">
        <v>2997</v>
      </c>
      <c r="D2471" s="28" t="s">
        <v>2998</v>
      </c>
      <c r="E2471" s="38">
        <v>8500</v>
      </c>
      <c r="F2471" s="67">
        <v>148438</v>
      </c>
      <c r="G2471" s="38">
        <v>31171.98</v>
      </c>
      <c r="H2471" s="56">
        <v>188109.98</v>
      </c>
      <c r="I2471" s="28" t="s">
        <v>19</v>
      </c>
      <c r="J2471" s="43"/>
    </row>
    <row r="2472" spans="1:10" customFormat="1" ht="15.75" hidden="1" customHeight="1" x14ac:dyDescent="0.25">
      <c r="A2472" s="57">
        <v>45230</v>
      </c>
      <c r="B2472" s="36" t="s">
        <v>5655</v>
      </c>
      <c r="C2472" s="28" t="s">
        <v>3241</v>
      </c>
      <c r="D2472" s="28" t="s">
        <v>3242</v>
      </c>
      <c r="E2472" s="38">
        <v>9200</v>
      </c>
      <c r="F2472" s="67">
        <v>93750</v>
      </c>
      <c r="G2472" s="38">
        <v>19687.5</v>
      </c>
      <c r="H2472" s="56">
        <v>122637.5</v>
      </c>
      <c r="I2472" s="28" t="s">
        <v>19</v>
      </c>
      <c r="J2472" s="43"/>
    </row>
    <row r="2473" spans="1:10" customFormat="1" ht="15.75" hidden="1" customHeight="1" x14ac:dyDescent="0.25">
      <c r="A2473" s="57">
        <v>45230</v>
      </c>
      <c r="B2473" s="36" t="s">
        <v>5656</v>
      </c>
      <c r="C2473" s="28" t="s">
        <v>2945</v>
      </c>
      <c r="D2473" s="28" t="s">
        <v>2946</v>
      </c>
      <c r="E2473" s="38">
        <v>8320</v>
      </c>
      <c r="F2473" s="67">
        <v>148438</v>
      </c>
      <c r="G2473" s="38">
        <v>31171.98</v>
      </c>
      <c r="H2473" s="56">
        <v>187929.98</v>
      </c>
      <c r="I2473" s="28" t="s">
        <v>19</v>
      </c>
      <c r="J2473" s="43"/>
    </row>
    <row r="2474" spans="1:10" customFormat="1" ht="15.75" hidden="1" customHeight="1" x14ac:dyDescent="0.25">
      <c r="A2474" s="57">
        <v>45230</v>
      </c>
      <c r="B2474" s="36" t="s">
        <v>5657</v>
      </c>
      <c r="C2474" s="28" t="s">
        <v>3014</v>
      </c>
      <c r="D2474" s="28" t="s">
        <v>3015</v>
      </c>
      <c r="E2474" s="38">
        <v>12000</v>
      </c>
      <c r="F2474" s="67">
        <v>256250</v>
      </c>
      <c r="G2474" s="38">
        <v>53812.5</v>
      </c>
      <c r="H2474" s="56">
        <v>322062.5</v>
      </c>
      <c r="I2474" s="28" t="s">
        <v>19</v>
      </c>
      <c r="J2474" s="43"/>
    </row>
    <row r="2475" spans="1:10" customFormat="1" ht="15.75" hidden="1" customHeight="1" x14ac:dyDescent="0.25">
      <c r="A2475" s="57">
        <v>45230</v>
      </c>
      <c r="B2475" s="36" t="s">
        <v>5658</v>
      </c>
      <c r="C2475" s="28" t="s">
        <v>3559</v>
      </c>
      <c r="D2475" s="28" t="s">
        <v>3560</v>
      </c>
      <c r="E2475" s="38">
        <v>6640</v>
      </c>
      <c r="F2475" s="67">
        <v>128125</v>
      </c>
      <c r="G2475" s="38">
        <v>26906.25</v>
      </c>
      <c r="H2475" s="56">
        <v>161671.25</v>
      </c>
      <c r="I2475" s="28" t="s">
        <v>19</v>
      </c>
      <c r="J2475" s="43"/>
    </row>
    <row r="2476" spans="1:10" customFormat="1" ht="15.75" hidden="1" customHeight="1" x14ac:dyDescent="0.25">
      <c r="A2476" s="57">
        <v>45230</v>
      </c>
      <c r="B2476" s="36" t="s">
        <v>5659</v>
      </c>
      <c r="C2476" s="28" t="s">
        <v>3235</v>
      </c>
      <c r="D2476" s="28" t="s">
        <v>3236</v>
      </c>
      <c r="E2476" s="38">
        <v>11800</v>
      </c>
      <c r="F2476" s="67">
        <v>256250</v>
      </c>
      <c r="G2476" s="38">
        <v>53812.5</v>
      </c>
      <c r="H2476" s="56">
        <v>321862.5</v>
      </c>
      <c r="I2476" s="28" t="s">
        <v>19</v>
      </c>
      <c r="J2476" s="43"/>
    </row>
    <row r="2477" spans="1:10" customFormat="1" ht="15.75" hidden="1" customHeight="1" x14ac:dyDescent="0.25">
      <c r="A2477" s="57">
        <v>45230</v>
      </c>
      <c r="B2477" s="36" t="s">
        <v>5660</v>
      </c>
      <c r="C2477" s="28" t="s">
        <v>2903</v>
      </c>
      <c r="D2477" s="28" t="s">
        <v>2904</v>
      </c>
      <c r="E2477" s="38">
        <v>0</v>
      </c>
      <c r="F2477" s="67">
        <v>32000</v>
      </c>
      <c r="G2477" s="38">
        <v>6720</v>
      </c>
      <c r="H2477" s="56">
        <v>38720</v>
      </c>
      <c r="I2477" s="28" t="s">
        <v>19</v>
      </c>
      <c r="J2477" s="43"/>
    </row>
    <row r="2478" spans="1:10" customFormat="1" ht="15.75" hidden="1" customHeight="1" x14ac:dyDescent="0.25">
      <c r="A2478" s="57">
        <v>45230</v>
      </c>
      <c r="B2478" s="36" t="s">
        <v>5661</v>
      </c>
      <c r="C2478" s="28" t="s">
        <v>2892</v>
      </c>
      <c r="D2478" s="28" t="s">
        <v>2893</v>
      </c>
      <c r="E2478" s="38">
        <v>3800</v>
      </c>
      <c r="F2478" s="67">
        <v>65625</v>
      </c>
      <c r="G2478" s="38">
        <v>13781.25</v>
      </c>
      <c r="H2478" s="56">
        <v>83206.25</v>
      </c>
      <c r="I2478" s="28" t="s">
        <v>19</v>
      </c>
      <c r="J2478" s="43"/>
    </row>
    <row r="2479" spans="1:10" customFormat="1" ht="15.75" hidden="1" customHeight="1" x14ac:dyDescent="0.25">
      <c r="A2479" s="57">
        <v>45230</v>
      </c>
      <c r="B2479" s="36" t="s">
        <v>5662</v>
      </c>
      <c r="C2479" s="28" t="s">
        <v>3450</v>
      </c>
      <c r="D2479" s="28" t="s">
        <v>3451</v>
      </c>
      <c r="E2479" s="38">
        <v>19000</v>
      </c>
      <c r="F2479" s="67">
        <v>387500</v>
      </c>
      <c r="G2479" s="38">
        <v>81375</v>
      </c>
      <c r="H2479" s="56">
        <v>487875</v>
      </c>
      <c r="I2479" s="28" t="s">
        <v>19</v>
      </c>
      <c r="J2479" s="43"/>
    </row>
    <row r="2480" spans="1:10" customFormat="1" ht="15.75" hidden="1" customHeight="1" x14ac:dyDescent="0.25">
      <c r="A2480" s="57">
        <v>45230</v>
      </c>
      <c r="B2480" s="36" t="s">
        <v>5663</v>
      </c>
      <c r="C2480" s="28" t="s">
        <v>3011</v>
      </c>
      <c r="D2480" s="28" t="s">
        <v>3012</v>
      </c>
      <c r="E2480" s="38">
        <v>14000</v>
      </c>
      <c r="F2480" s="67">
        <v>128125</v>
      </c>
      <c r="G2480" s="38">
        <v>26906.25</v>
      </c>
      <c r="H2480" s="56">
        <v>169031.25</v>
      </c>
      <c r="I2480" s="28" t="s">
        <v>19</v>
      </c>
      <c r="J2480" s="43"/>
    </row>
    <row r="2481" spans="1:10" customFormat="1" ht="15.75" hidden="1" customHeight="1" x14ac:dyDescent="0.25">
      <c r="A2481" s="57">
        <v>45230</v>
      </c>
      <c r="B2481" s="36" t="s">
        <v>5664</v>
      </c>
      <c r="C2481" s="28" t="s">
        <v>3014</v>
      </c>
      <c r="D2481" s="28" t="s">
        <v>3015</v>
      </c>
      <c r="E2481" s="38">
        <v>12000</v>
      </c>
      <c r="F2481" s="67">
        <v>256250</v>
      </c>
      <c r="G2481" s="38">
        <v>53812.5</v>
      </c>
      <c r="H2481" s="56">
        <v>322062.5</v>
      </c>
      <c r="I2481" s="28" t="s">
        <v>19</v>
      </c>
      <c r="J2481" s="43"/>
    </row>
    <row r="2482" spans="1:10" customFormat="1" ht="15.75" hidden="1" customHeight="1" x14ac:dyDescent="0.25">
      <c r="A2482" s="57">
        <v>45230</v>
      </c>
      <c r="B2482" s="36" t="s">
        <v>5665</v>
      </c>
      <c r="C2482" s="28" t="s">
        <v>1140</v>
      </c>
      <c r="D2482" s="28" t="s">
        <v>1141</v>
      </c>
      <c r="E2482" s="38">
        <v>12000</v>
      </c>
      <c r="F2482" s="67">
        <v>221430</v>
      </c>
      <c r="G2482" s="38">
        <v>46500.3</v>
      </c>
      <c r="H2482" s="56">
        <v>279930.3</v>
      </c>
      <c r="I2482" s="28" t="s">
        <v>19</v>
      </c>
      <c r="J2482" s="43"/>
    </row>
    <row r="2483" spans="1:10" customFormat="1" ht="15.75" hidden="1" customHeight="1" x14ac:dyDescent="0.25">
      <c r="A2483" s="57">
        <v>45230</v>
      </c>
      <c r="B2483" s="36" t="s">
        <v>5666</v>
      </c>
      <c r="C2483" s="28" t="s">
        <v>2942</v>
      </c>
      <c r="D2483" s="28" t="s">
        <v>2943</v>
      </c>
      <c r="E2483" s="38">
        <v>15000</v>
      </c>
      <c r="F2483" s="67">
        <v>145312.5</v>
      </c>
      <c r="G2483" s="38">
        <v>30515.63</v>
      </c>
      <c r="H2483" s="56">
        <v>190828.13</v>
      </c>
      <c r="I2483" s="28" t="s">
        <v>19</v>
      </c>
      <c r="J2483" s="43"/>
    </row>
    <row r="2484" spans="1:10" customFormat="1" ht="15.75" hidden="1" customHeight="1" x14ac:dyDescent="0.25">
      <c r="A2484" s="57">
        <v>45230</v>
      </c>
      <c r="B2484" s="36" t="s">
        <v>5667</v>
      </c>
      <c r="C2484" s="28" t="s">
        <v>2942</v>
      </c>
      <c r="D2484" s="28" t="s">
        <v>2943</v>
      </c>
      <c r="E2484" s="38">
        <v>11000</v>
      </c>
      <c r="F2484" s="67">
        <v>96875</v>
      </c>
      <c r="G2484" s="38">
        <v>20343.75</v>
      </c>
      <c r="H2484" s="56">
        <v>128218.75</v>
      </c>
      <c r="I2484" s="28" t="s">
        <v>19</v>
      </c>
      <c r="J2484" s="43"/>
    </row>
    <row r="2485" spans="1:10" customFormat="1" ht="15.75" hidden="1" customHeight="1" x14ac:dyDescent="0.25">
      <c r="A2485" s="57">
        <v>45230</v>
      </c>
      <c r="B2485" s="36" t="s">
        <v>5668</v>
      </c>
      <c r="C2485" s="28" t="s">
        <v>5669</v>
      </c>
      <c r="D2485" s="28" t="s">
        <v>5670</v>
      </c>
      <c r="E2485" s="38">
        <v>0</v>
      </c>
      <c r="F2485" s="67">
        <v>65625</v>
      </c>
      <c r="G2485" s="38">
        <v>13781.25</v>
      </c>
      <c r="H2485" s="56">
        <v>79406.25</v>
      </c>
      <c r="I2485" s="28" t="s">
        <v>19</v>
      </c>
      <c r="J2485" s="43"/>
    </row>
    <row r="2486" spans="1:10" customFormat="1" ht="15.75" hidden="1" customHeight="1" x14ac:dyDescent="0.25">
      <c r="A2486" s="57">
        <v>45230</v>
      </c>
      <c r="B2486" s="36" t="s">
        <v>5671</v>
      </c>
      <c r="C2486" s="28" t="s">
        <v>2948</v>
      </c>
      <c r="D2486" s="28" t="s">
        <v>2949</v>
      </c>
      <c r="E2486" s="38">
        <v>2500</v>
      </c>
      <c r="F2486" s="67">
        <v>256250</v>
      </c>
      <c r="G2486" s="38">
        <v>53812.5</v>
      </c>
      <c r="H2486" s="56">
        <v>312562.5</v>
      </c>
      <c r="I2486" s="28" t="s">
        <v>19</v>
      </c>
      <c r="J2486" s="43"/>
    </row>
    <row r="2487" spans="1:10" customFormat="1" ht="15.75" hidden="1" customHeight="1" x14ac:dyDescent="0.25">
      <c r="A2487" s="57">
        <v>45230</v>
      </c>
      <c r="B2487" s="36" t="s">
        <v>5672</v>
      </c>
      <c r="C2487" s="28" t="s">
        <v>2909</v>
      </c>
      <c r="D2487" s="28" t="s">
        <v>2910</v>
      </c>
      <c r="E2487" s="38">
        <v>11500</v>
      </c>
      <c r="F2487" s="67">
        <v>192187.5</v>
      </c>
      <c r="G2487" s="38">
        <v>40359.370000000003</v>
      </c>
      <c r="H2487" s="56">
        <v>244046.87</v>
      </c>
      <c r="I2487" s="28" t="s">
        <v>19</v>
      </c>
      <c r="J2487" s="43"/>
    </row>
    <row r="2488" spans="1:10" customFormat="1" ht="15.75" hidden="1" customHeight="1" x14ac:dyDescent="0.25">
      <c r="A2488" s="57">
        <v>45230</v>
      </c>
      <c r="B2488" s="36" t="s">
        <v>5673</v>
      </c>
      <c r="C2488" s="28" t="s">
        <v>3036</v>
      </c>
      <c r="D2488" s="28" t="s">
        <v>3037</v>
      </c>
      <c r="E2488" s="38">
        <v>8500</v>
      </c>
      <c r="F2488" s="67">
        <v>98438</v>
      </c>
      <c r="G2488" s="38">
        <v>20671.98</v>
      </c>
      <c r="H2488" s="56">
        <v>127609.98</v>
      </c>
      <c r="I2488" s="28" t="s">
        <v>19</v>
      </c>
      <c r="J2488" s="43"/>
    </row>
    <row r="2489" spans="1:10" customFormat="1" ht="15.75" hidden="1" customHeight="1" x14ac:dyDescent="0.25">
      <c r="A2489" s="57">
        <v>45230</v>
      </c>
      <c r="B2489" s="36" t="s">
        <v>5674</v>
      </c>
      <c r="C2489" s="28" t="s">
        <v>3114</v>
      </c>
      <c r="D2489" s="28" t="s">
        <v>3115</v>
      </c>
      <c r="E2489" s="38">
        <v>2800</v>
      </c>
      <c r="F2489" s="67">
        <v>69532</v>
      </c>
      <c r="G2489" s="38">
        <v>14601.72</v>
      </c>
      <c r="H2489" s="56">
        <v>86933.72</v>
      </c>
      <c r="I2489" s="28" t="s">
        <v>19</v>
      </c>
      <c r="J2489" s="43"/>
    </row>
    <row r="2490" spans="1:10" customFormat="1" ht="15.75" hidden="1" customHeight="1" x14ac:dyDescent="0.25">
      <c r="A2490" s="57">
        <v>45230</v>
      </c>
      <c r="B2490" s="36" t="s">
        <v>5675</v>
      </c>
      <c r="C2490" s="28" t="s">
        <v>4916</v>
      </c>
      <c r="D2490" s="28" t="s">
        <v>4917</v>
      </c>
      <c r="E2490" s="38">
        <v>17680</v>
      </c>
      <c r="F2490" s="67">
        <v>955600</v>
      </c>
      <c r="G2490" s="38">
        <v>200676</v>
      </c>
      <c r="H2490" s="56">
        <v>1173956</v>
      </c>
      <c r="I2490" s="28" t="s">
        <v>19</v>
      </c>
      <c r="J2490" s="43"/>
    </row>
    <row r="2491" spans="1:10" customFormat="1" ht="15.75" hidden="1" customHeight="1" x14ac:dyDescent="0.25">
      <c r="A2491" s="57">
        <v>45230</v>
      </c>
      <c r="B2491" s="28" t="s">
        <v>5676</v>
      </c>
      <c r="C2491" s="28" t="s">
        <v>3132</v>
      </c>
      <c r="D2491" s="28" t="s">
        <v>3133</v>
      </c>
      <c r="E2491" s="38">
        <v>39700</v>
      </c>
      <c r="F2491" s="67">
        <v>576562.5</v>
      </c>
      <c r="G2491" s="38">
        <v>121078.11</v>
      </c>
      <c r="H2491" s="56">
        <v>737340.61</v>
      </c>
      <c r="I2491" s="28" t="s">
        <v>19</v>
      </c>
      <c r="J2491" s="43"/>
    </row>
    <row r="2492" spans="1:10" customFormat="1" ht="15.75" hidden="1" customHeight="1" x14ac:dyDescent="0.25">
      <c r="A2492" s="57">
        <v>45230</v>
      </c>
      <c r="B2492" s="36" t="s">
        <v>5677</v>
      </c>
      <c r="C2492" s="28" t="s">
        <v>2876</v>
      </c>
      <c r="D2492" s="28" t="s">
        <v>2877</v>
      </c>
      <c r="E2492" s="38">
        <v>9200</v>
      </c>
      <c r="F2492" s="67">
        <v>140625</v>
      </c>
      <c r="G2492" s="38">
        <v>29531.25</v>
      </c>
      <c r="H2492" s="56">
        <v>179356.25</v>
      </c>
      <c r="I2492" s="28" t="s">
        <v>19</v>
      </c>
      <c r="J2492" s="43"/>
    </row>
    <row r="2493" spans="1:10" customFormat="1" ht="15.75" hidden="1" customHeight="1" x14ac:dyDescent="0.25">
      <c r="A2493" s="57">
        <v>45230</v>
      </c>
      <c r="B2493" s="36" t="s">
        <v>5678</v>
      </c>
      <c r="C2493" s="28" t="s">
        <v>2948</v>
      </c>
      <c r="D2493" s="28" t="s">
        <v>2949</v>
      </c>
      <c r="E2493" s="38">
        <v>12500</v>
      </c>
      <c r="F2493" s="67">
        <v>128125</v>
      </c>
      <c r="G2493" s="38">
        <v>26906.25</v>
      </c>
      <c r="H2493" s="56">
        <v>167531.25</v>
      </c>
      <c r="I2493" s="28" t="s">
        <v>19</v>
      </c>
      <c r="J2493" s="43"/>
    </row>
    <row r="2494" spans="1:10" customFormat="1" ht="15.75" hidden="1" customHeight="1" x14ac:dyDescent="0.25">
      <c r="A2494" s="57">
        <v>45230</v>
      </c>
      <c r="B2494" s="36" t="s">
        <v>5679</v>
      </c>
      <c r="C2494" s="28" t="s">
        <v>2867</v>
      </c>
      <c r="D2494" s="28" t="s">
        <v>2868</v>
      </c>
      <c r="E2494" s="38">
        <v>12500</v>
      </c>
      <c r="F2494" s="67">
        <v>222657</v>
      </c>
      <c r="G2494" s="38">
        <v>46757.97</v>
      </c>
      <c r="H2494" s="56">
        <v>281914.96999999997</v>
      </c>
      <c r="I2494" s="28" t="s">
        <v>19</v>
      </c>
      <c r="J2494" s="43"/>
    </row>
    <row r="2495" spans="1:10" customFormat="1" ht="15.75" hidden="1" customHeight="1" x14ac:dyDescent="0.25">
      <c r="A2495" s="57">
        <v>45230</v>
      </c>
      <c r="B2495" s="36" t="s">
        <v>5680</v>
      </c>
      <c r="C2495" s="28" t="s">
        <v>4216</v>
      </c>
      <c r="D2495" s="28" t="s">
        <v>4217</v>
      </c>
      <c r="E2495" s="38">
        <v>4000</v>
      </c>
      <c r="F2495" s="67">
        <v>65625</v>
      </c>
      <c r="G2495" s="38">
        <v>13781.25</v>
      </c>
      <c r="H2495" s="56">
        <v>83406.25</v>
      </c>
      <c r="I2495" s="28" t="s">
        <v>19</v>
      </c>
      <c r="J2495" s="43"/>
    </row>
    <row r="2496" spans="1:10" customFormat="1" ht="15.75" hidden="1" customHeight="1" x14ac:dyDescent="0.25">
      <c r="A2496" s="57">
        <v>45230</v>
      </c>
      <c r="B2496" s="36" t="s">
        <v>5681</v>
      </c>
      <c r="C2496" s="28" t="s">
        <v>4434</v>
      </c>
      <c r="D2496" s="28" t="s">
        <v>4435</v>
      </c>
      <c r="E2496" s="38">
        <v>13000</v>
      </c>
      <c r="F2496" s="67">
        <v>193750</v>
      </c>
      <c r="G2496" s="38">
        <v>40687.5</v>
      </c>
      <c r="H2496" s="56">
        <v>247437.5</v>
      </c>
      <c r="I2496" s="28" t="s">
        <v>19</v>
      </c>
      <c r="J2496" s="43"/>
    </row>
    <row r="2497" spans="1:10" customFormat="1" ht="15.75" hidden="1" customHeight="1" x14ac:dyDescent="0.25">
      <c r="A2497" s="57">
        <v>45230</v>
      </c>
      <c r="B2497" s="36" t="s">
        <v>5682</v>
      </c>
      <c r="C2497" s="28" t="s">
        <v>4434</v>
      </c>
      <c r="D2497" s="28" t="s">
        <v>4435</v>
      </c>
      <c r="E2497" s="38">
        <v>13000</v>
      </c>
      <c r="F2497" s="67">
        <v>193750</v>
      </c>
      <c r="G2497" s="38">
        <v>40687.5</v>
      </c>
      <c r="H2497" s="56">
        <v>247437.5</v>
      </c>
      <c r="I2497" s="28" t="s">
        <v>19</v>
      </c>
      <c r="J2497" s="43"/>
    </row>
    <row r="2498" spans="1:10" customFormat="1" ht="15.75" hidden="1" customHeight="1" x14ac:dyDescent="0.25">
      <c r="A2498" s="57">
        <v>45230</v>
      </c>
      <c r="B2498" s="36" t="s">
        <v>5683</v>
      </c>
      <c r="C2498" s="28" t="s">
        <v>2856</v>
      </c>
      <c r="D2498" s="28" t="s">
        <v>2857</v>
      </c>
      <c r="E2498" s="38">
        <v>3900</v>
      </c>
      <c r="F2498" s="67">
        <v>65625</v>
      </c>
      <c r="G2498" s="38">
        <v>13781.25</v>
      </c>
      <c r="H2498" s="56">
        <v>83306.25</v>
      </c>
      <c r="I2498" s="28" t="s">
        <v>19</v>
      </c>
      <c r="J2498" s="43"/>
    </row>
    <row r="2499" spans="1:10" customFormat="1" ht="15.75" hidden="1" customHeight="1" x14ac:dyDescent="0.25">
      <c r="A2499" s="57">
        <v>45230</v>
      </c>
      <c r="B2499" s="36" t="s">
        <v>5684</v>
      </c>
      <c r="C2499" s="28" t="s">
        <v>3966</v>
      </c>
      <c r="D2499" s="28" t="s">
        <v>3967</v>
      </c>
      <c r="E2499" s="38">
        <v>7000</v>
      </c>
      <c r="F2499" s="67">
        <v>193750</v>
      </c>
      <c r="G2499" s="38">
        <v>40687.5</v>
      </c>
      <c r="H2499" s="56">
        <v>241437.5</v>
      </c>
      <c r="I2499" s="28" t="s">
        <v>19</v>
      </c>
      <c r="J2499" s="43"/>
    </row>
    <row r="2500" spans="1:10" customFormat="1" ht="15.75" hidden="1" customHeight="1" x14ac:dyDescent="0.25">
      <c r="A2500" s="57">
        <v>45230</v>
      </c>
      <c r="B2500" s="36" t="s">
        <v>5685</v>
      </c>
      <c r="C2500" s="28" t="s">
        <v>2945</v>
      </c>
      <c r="D2500" s="28" t="s">
        <v>2946</v>
      </c>
      <c r="E2500" s="38">
        <v>8320</v>
      </c>
      <c r="F2500" s="67">
        <v>148438</v>
      </c>
      <c r="G2500" s="38">
        <v>31171.98</v>
      </c>
      <c r="H2500" s="56">
        <v>187929.98</v>
      </c>
      <c r="I2500" s="28" t="s">
        <v>19</v>
      </c>
      <c r="J2500" s="43"/>
    </row>
    <row r="2501" spans="1:10" customFormat="1" ht="15.75" hidden="1" customHeight="1" x14ac:dyDescent="0.25">
      <c r="A2501" s="57">
        <v>45230</v>
      </c>
      <c r="B2501" s="36" t="s">
        <v>5686</v>
      </c>
      <c r="C2501" s="28" t="s">
        <v>5611</v>
      </c>
      <c r="D2501" s="28" t="s">
        <v>5612</v>
      </c>
      <c r="E2501" s="38">
        <v>6900</v>
      </c>
      <c r="F2501" s="67">
        <v>96875</v>
      </c>
      <c r="G2501" s="38">
        <v>20343.75</v>
      </c>
      <c r="H2501" s="56">
        <v>124118.75</v>
      </c>
      <c r="I2501" s="28" t="s">
        <v>19</v>
      </c>
      <c r="J2501" s="43"/>
    </row>
    <row r="2502" spans="1:10" customFormat="1" ht="15.75" hidden="1" customHeight="1" x14ac:dyDescent="0.25">
      <c r="A2502" s="57">
        <v>45230</v>
      </c>
      <c r="B2502" s="36" t="s">
        <v>5687</v>
      </c>
      <c r="C2502" s="28" t="s">
        <v>3235</v>
      </c>
      <c r="D2502" s="28" t="s">
        <v>3236</v>
      </c>
      <c r="E2502" s="38">
        <v>35000</v>
      </c>
      <c r="F2502" s="67">
        <v>365626</v>
      </c>
      <c r="G2502" s="38">
        <v>76781.460000000006</v>
      </c>
      <c r="H2502" s="56">
        <v>477407.46</v>
      </c>
      <c r="I2502" s="28" t="s">
        <v>19</v>
      </c>
      <c r="J2502" s="43"/>
    </row>
    <row r="2503" spans="1:10" customFormat="1" ht="15.75" hidden="1" customHeight="1" x14ac:dyDescent="0.25">
      <c r="A2503" s="57">
        <v>45230</v>
      </c>
      <c r="B2503" s="36" t="s">
        <v>5688</v>
      </c>
      <c r="C2503" s="28" t="s">
        <v>2921</v>
      </c>
      <c r="D2503" s="28" t="s">
        <v>2922</v>
      </c>
      <c r="E2503" s="38">
        <v>11500</v>
      </c>
      <c r="F2503" s="67">
        <v>256250</v>
      </c>
      <c r="G2503" s="38">
        <v>53812.5</v>
      </c>
      <c r="H2503" s="56">
        <v>321562.5</v>
      </c>
      <c r="I2503" s="28" t="s">
        <v>19</v>
      </c>
      <c r="J2503" s="43"/>
    </row>
    <row r="2504" spans="1:10" customFormat="1" ht="15.75" hidden="1" customHeight="1" x14ac:dyDescent="0.25">
      <c r="A2504" s="57">
        <v>45230</v>
      </c>
      <c r="B2504" s="36" t="s">
        <v>5689</v>
      </c>
      <c r="C2504" s="28" t="s">
        <v>2942</v>
      </c>
      <c r="D2504" s="28" t="s">
        <v>2943</v>
      </c>
      <c r="E2504" s="38">
        <v>5000</v>
      </c>
      <c r="F2504" s="67">
        <v>260625</v>
      </c>
      <c r="G2504" s="38">
        <v>54731.25</v>
      </c>
      <c r="H2504" s="56">
        <v>320356.25</v>
      </c>
      <c r="I2504" s="28" t="s">
        <v>19</v>
      </c>
      <c r="J2504" s="43"/>
    </row>
    <row r="2505" spans="1:10" customFormat="1" ht="15.75" hidden="1" customHeight="1" x14ac:dyDescent="0.25">
      <c r="A2505" s="57">
        <v>45230</v>
      </c>
      <c r="B2505" s="36" t="s">
        <v>5690</v>
      </c>
      <c r="C2505" s="28" t="s">
        <v>2921</v>
      </c>
      <c r="D2505" s="28" t="s">
        <v>2922</v>
      </c>
      <c r="E2505" s="38">
        <v>18400</v>
      </c>
      <c r="F2505" s="67">
        <v>296250</v>
      </c>
      <c r="G2505" s="38">
        <v>62212.5</v>
      </c>
      <c r="H2505" s="56">
        <v>376862.5</v>
      </c>
      <c r="I2505" s="28" t="s">
        <v>19</v>
      </c>
      <c r="J2505" s="43"/>
    </row>
    <row r="2506" spans="1:10" customFormat="1" ht="15.75" hidden="1" customHeight="1" x14ac:dyDescent="0.25">
      <c r="A2506" s="57">
        <v>45230</v>
      </c>
      <c r="B2506" s="36" t="s">
        <v>5691</v>
      </c>
      <c r="C2506" s="28" t="s">
        <v>2921</v>
      </c>
      <c r="D2506" s="28" t="s">
        <v>2922</v>
      </c>
      <c r="E2506" s="38">
        <v>9200</v>
      </c>
      <c r="F2506" s="67">
        <v>148125</v>
      </c>
      <c r="G2506" s="38">
        <v>31106.25</v>
      </c>
      <c r="H2506" s="56">
        <v>188431.25</v>
      </c>
      <c r="I2506" s="28" t="s">
        <v>19</v>
      </c>
      <c r="J2506" s="43"/>
    </row>
    <row r="2507" spans="1:10" customFormat="1" ht="15.75" hidden="1" customHeight="1" x14ac:dyDescent="0.25">
      <c r="A2507" s="57">
        <v>45230</v>
      </c>
      <c r="B2507" s="36" t="s">
        <v>5692</v>
      </c>
      <c r="C2507" s="28" t="s">
        <v>3831</v>
      </c>
      <c r="D2507" s="28" t="s">
        <v>3832</v>
      </c>
      <c r="E2507" s="38">
        <v>9200</v>
      </c>
      <c r="F2507" s="67">
        <v>148125</v>
      </c>
      <c r="G2507" s="38">
        <v>31106.25</v>
      </c>
      <c r="H2507" s="56">
        <v>188431.25</v>
      </c>
      <c r="I2507" s="28" t="s">
        <v>19</v>
      </c>
      <c r="J2507" s="43"/>
    </row>
    <row r="2508" spans="1:10" customFormat="1" ht="15.75" hidden="1" customHeight="1" x14ac:dyDescent="0.25">
      <c r="A2508" s="57">
        <v>45230</v>
      </c>
      <c r="B2508" s="36" t="s">
        <v>5693</v>
      </c>
      <c r="C2508" s="28" t="s">
        <v>3176</v>
      </c>
      <c r="D2508" s="28" t="s">
        <v>3177</v>
      </c>
      <c r="E2508" s="38">
        <v>0</v>
      </c>
      <c r="F2508" s="67">
        <v>32000</v>
      </c>
      <c r="G2508" s="38">
        <v>6720</v>
      </c>
      <c r="H2508" s="56">
        <v>38720</v>
      </c>
      <c r="I2508" s="28" t="s">
        <v>19</v>
      </c>
      <c r="J2508" s="43"/>
    </row>
    <row r="2509" spans="1:10" customFormat="1" ht="15.75" hidden="1" customHeight="1" x14ac:dyDescent="0.25">
      <c r="A2509" s="57">
        <v>45230</v>
      </c>
      <c r="B2509" s="36" t="s">
        <v>5694</v>
      </c>
      <c r="C2509" s="28" t="s">
        <v>2921</v>
      </c>
      <c r="D2509" s="28" t="s">
        <v>2922</v>
      </c>
      <c r="E2509" s="38">
        <v>0</v>
      </c>
      <c r="F2509" s="67">
        <v>35000</v>
      </c>
      <c r="G2509" s="38">
        <v>7350</v>
      </c>
      <c r="H2509" s="56">
        <v>42350</v>
      </c>
      <c r="I2509" s="28" t="s">
        <v>19</v>
      </c>
      <c r="J2509" s="43"/>
    </row>
    <row r="2510" spans="1:10" customFormat="1" ht="15.75" hidden="1" customHeight="1" x14ac:dyDescent="0.25">
      <c r="A2510" s="57">
        <v>45230</v>
      </c>
      <c r="B2510" s="36" t="s">
        <v>5695</v>
      </c>
      <c r="C2510" s="28" t="s">
        <v>1140</v>
      </c>
      <c r="D2510" s="28" t="s">
        <v>1141</v>
      </c>
      <c r="E2510" s="38">
        <v>13000</v>
      </c>
      <c r="F2510" s="67">
        <v>207590</v>
      </c>
      <c r="G2510" s="38">
        <v>43593.9</v>
      </c>
      <c r="H2510" s="56">
        <v>264183.90000000002</v>
      </c>
      <c r="I2510" s="28" t="s">
        <v>19</v>
      </c>
      <c r="J2510" s="43"/>
    </row>
    <row r="2511" spans="1:10" customFormat="1" ht="15.75" hidden="1" customHeight="1" x14ac:dyDescent="0.25">
      <c r="A2511" s="57">
        <v>45230</v>
      </c>
      <c r="B2511" s="36" t="s">
        <v>5696</v>
      </c>
      <c r="C2511" s="28" t="s">
        <v>2924</v>
      </c>
      <c r="D2511" s="28" t="s">
        <v>2925</v>
      </c>
      <c r="E2511" s="38">
        <v>8350</v>
      </c>
      <c r="F2511" s="67">
        <v>256250</v>
      </c>
      <c r="G2511" s="38">
        <v>53812.49</v>
      </c>
      <c r="H2511" s="56">
        <v>318412.49</v>
      </c>
      <c r="I2511" s="28" t="s">
        <v>19</v>
      </c>
      <c r="J2511" s="43"/>
    </row>
    <row r="2512" spans="1:10" customFormat="1" ht="15.75" hidden="1" customHeight="1" x14ac:dyDescent="0.25">
      <c r="A2512" s="57">
        <v>45230</v>
      </c>
      <c r="B2512" s="36" t="s">
        <v>5697</v>
      </c>
      <c r="C2512" s="28" t="s">
        <v>2924</v>
      </c>
      <c r="D2512" s="28" t="s">
        <v>2925</v>
      </c>
      <c r="E2512" s="38">
        <v>8350</v>
      </c>
      <c r="F2512" s="67">
        <v>256250</v>
      </c>
      <c r="G2512" s="38">
        <v>53812.49</v>
      </c>
      <c r="H2512" s="56">
        <v>318412.49</v>
      </c>
      <c r="I2512" s="28" t="s">
        <v>19</v>
      </c>
      <c r="J2512" s="43"/>
    </row>
    <row r="2513" spans="1:10" customFormat="1" ht="15.75" hidden="1" customHeight="1" x14ac:dyDescent="0.25">
      <c r="A2513" s="57">
        <v>45230</v>
      </c>
      <c r="B2513" s="36" t="s">
        <v>5698</v>
      </c>
      <c r="C2513" s="28" t="s">
        <v>3241</v>
      </c>
      <c r="D2513" s="28" t="s">
        <v>3242</v>
      </c>
      <c r="E2513" s="38">
        <v>8350</v>
      </c>
      <c r="F2513" s="67">
        <v>110715</v>
      </c>
      <c r="G2513" s="38">
        <v>23250.15</v>
      </c>
      <c r="H2513" s="56">
        <v>142315.15</v>
      </c>
      <c r="I2513" s="28" t="s">
        <v>19</v>
      </c>
      <c r="J2513" s="43"/>
    </row>
    <row r="2514" spans="1:10" customFormat="1" ht="15.75" hidden="1" customHeight="1" x14ac:dyDescent="0.25">
      <c r="A2514" s="57">
        <v>45230</v>
      </c>
      <c r="B2514" s="36" t="s">
        <v>5699</v>
      </c>
      <c r="C2514" s="28" t="s">
        <v>2954</v>
      </c>
      <c r="D2514" s="28" t="s">
        <v>2955</v>
      </c>
      <c r="E2514" s="38">
        <v>11250</v>
      </c>
      <c r="F2514" s="67">
        <v>162500</v>
      </c>
      <c r="G2514" s="38">
        <v>34125</v>
      </c>
      <c r="H2514" s="56">
        <v>207875</v>
      </c>
      <c r="I2514" s="28" t="s">
        <v>19</v>
      </c>
      <c r="J2514" s="43"/>
    </row>
    <row r="2515" spans="1:10" customFormat="1" ht="15.75" hidden="1" customHeight="1" x14ac:dyDescent="0.25">
      <c r="A2515" s="57">
        <v>45230</v>
      </c>
      <c r="B2515" s="36" t="s">
        <v>5700</v>
      </c>
      <c r="C2515" s="28" t="s">
        <v>2954</v>
      </c>
      <c r="D2515" s="28" t="s">
        <v>2955</v>
      </c>
      <c r="E2515" s="38">
        <v>11240</v>
      </c>
      <c r="F2515" s="67">
        <v>192187.5</v>
      </c>
      <c r="G2515" s="38">
        <v>40359.370000000003</v>
      </c>
      <c r="H2515" s="56">
        <v>243786.87</v>
      </c>
      <c r="I2515" s="28" t="s">
        <v>19</v>
      </c>
      <c r="J2515" s="43"/>
    </row>
    <row r="2516" spans="1:10" customFormat="1" ht="15.75" hidden="1" customHeight="1" x14ac:dyDescent="0.25">
      <c r="A2516" s="57">
        <v>45230</v>
      </c>
      <c r="B2516" s="36" t="s">
        <v>5701</v>
      </c>
      <c r="C2516" s="28" t="s">
        <v>2909</v>
      </c>
      <c r="D2516" s="28" t="s">
        <v>2910</v>
      </c>
      <c r="E2516" s="38">
        <v>12040</v>
      </c>
      <c r="F2516" s="67">
        <v>128125</v>
      </c>
      <c r="G2516" s="38">
        <v>26906.25</v>
      </c>
      <c r="H2516" s="56">
        <v>167071.25</v>
      </c>
      <c r="I2516" s="28" t="s">
        <v>19</v>
      </c>
      <c r="J2516" s="43"/>
    </row>
    <row r="2517" spans="1:10" customFormat="1" ht="15.75" hidden="1" customHeight="1" x14ac:dyDescent="0.25">
      <c r="A2517" s="57">
        <v>45230</v>
      </c>
      <c r="B2517" s="36" t="s">
        <v>5702</v>
      </c>
      <c r="C2517" s="28" t="s">
        <v>2927</v>
      </c>
      <c r="D2517" s="28" t="s">
        <v>2928</v>
      </c>
      <c r="E2517" s="38">
        <v>5000</v>
      </c>
      <c r="F2517" s="67">
        <v>241875</v>
      </c>
      <c r="G2517" s="38">
        <v>50793.75</v>
      </c>
      <c r="H2517" s="56">
        <v>297668.75</v>
      </c>
      <c r="I2517" s="28" t="s">
        <v>19</v>
      </c>
      <c r="J2517" s="43"/>
    </row>
    <row r="2518" spans="1:10" customFormat="1" ht="15.75" hidden="1" customHeight="1" x14ac:dyDescent="0.25">
      <c r="A2518" s="57">
        <v>45230</v>
      </c>
      <c r="B2518" s="36" t="s">
        <v>5703</v>
      </c>
      <c r="C2518" s="28" t="s">
        <v>3041</v>
      </c>
      <c r="D2518" s="28" t="s">
        <v>3042</v>
      </c>
      <c r="E2518" s="38">
        <v>10500</v>
      </c>
      <c r="F2518" s="67">
        <v>260625</v>
      </c>
      <c r="G2518" s="38">
        <v>54731.25</v>
      </c>
      <c r="H2518" s="56">
        <v>325856.25</v>
      </c>
      <c r="I2518" s="28" t="s">
        <v>19</v>
      </c>
      <c r="J2518" s="43"/>
    </row>
    <row r="2519" spans="1:10" customFormat="1" ht="15.75" hidden="1" customHeight="1" x14ac:dyDescent="0.25">
      <c r="A2519" s="57">
        <v>45230</v>
      </c>
      <c r="B2519" s="36" t="s">
        <v>5704</v>
      </c>
      <c r="C2519" s="28" t="s">
        <v>3014</v>
      </c>
      <c r="D2519" s="28" t="s">
        <v>3015</v>
      </c>
      <c r="E2519" s="38">
        <v>18400</v>
      </c>
      <c r="F2519" s="67">
        <v>187500</v>
      </c>
      <c r="G2519" s="38">
        <v>39375</v>
      </c>
      <c r="H2519" s="56">
        <v>245275</v>
      </c>
      <c r="I2519" s="28" t="s">
        <v>19</v>
      </c>
      <c r="J2519" s="43"/>
    </row>
    <row r="2520" spans="1:10" customFormat="1" ht="15.75" hidden="1" customHeight="1" x14ac:dyDescent="0.25">
      <c r="A2520" s="57">
        <v>45230</v>
      </c>
      <c r="B2520" s="36" t="s">
        <v>5705</v>
      </c>
      <c r="C2520" s="28" t="s">
        <v>2870</v>
      </c>
      <c r="D2520" s="28" t="s">
        <v>2871</v>
      </c>
      <c r="E2520" s="38">
        <v>9200</v>
      </c>
      <c r="F2520" s="67">
        <v>93750</v>
      </c>
      <c r="G2520" s="38">
        <v>19687.5</v>
      </c>
      <c r="H2520" s="56">
        <v>122637.5</v>
      </c>
      <c r="I2520" s="28" t="s">
        <v>19</v>
      </c>
      <c r="J2520" s="43"/>
    </row>
    <row r="2521" spans="1:10" customFormat="1" ht="15.75" hidden="1" customHeight="1" x14ac:dyDescent="0.25">
      <c r="A2521" s="57">
        <v>45230</v>
      </c>
      <c r="B2521" s="36" t="s">
        <v>5706</v>
      </c>
      <c r="C2521" s="28" t="s">
        <v>2942</v>
      </c>
      <c r="D2521" s="28" t="s">
        <v>2943</v>
      </c>
      <c r="E2521" s="38">
        <v>9200</v>
      </c>
      <c r="F2521" s="67">
        <v>93750</v>
      </c>
      <c r="G2521" s="38">
        <v>19687.5</v>
      </c>
      <c r="H2521" s="56">
        <v>122637.5</v>
      </c>
      <c r="I2521" s="28" t="s">
        <v>19</v>
      </c>
      <c r="J2521" s="43"/>
    </row>
    <row r="2522" spans="1:10" customFormat="1" ht="15.75" hidden="1" customHeight="1" x14ac:dyDescent="0.25">
      <c r="A2522" s="57">
        <v>45230</v>
      </c>
      <c r="B2522" s="36" t="s">
        <v>5707</v>
      </c>
      <c r="C2522" s="28" t="s">
        <v>4827</v>
      </c>
      <c r="D2522" s="28" t="s">
        <v>4828</v>
      </c>
      <c r="E2522" s="38">
        <v>4900</v>
      </c>
      <c r="F2522" s="67">
        <v>65625</v>
      </c>
      <c r="G2522" s="38">
        <v>13781.25</v>
      </c>
      <c r="H2522" s="56">
        <v>84306.25</v>
      </c>
      <c r="I2522" s="28" t="s">
        <v>19</v>
      </c>
      <c r="J2522" s="43"/>
    </row>
    <row r="2523" spans="1:10" customFormat="1" ht="15.75" hidden="1" customHeight="1" x14ac:dyDescent="0.25">
      <c r="A2523" s="57">
        <v>45230</v>
      </c>
      <c r="B2523" s="36" t="s">
        <v>5708</v>
      </c>
      <c r="C2523" s="28" t="s">
        <v>2921</v>
      </c>
      <c r="D2523" s="28" t="s">
        <v>2922</v>
      </c>
      <c r="E2523" s="38">
        <v>0</v>
      </c>
      <c r="F2523" s="67">
        <v>893200</v>
      </c>
      <c r="G2523" s="38">
        <v>187572</v>
      </c>
      <c r="H2523" s="56">
        <v>1080772</v>
      </c>
      <c r="I2523" s="28" t="s">
        <v>103</v>
      </c>
      <c r="J2523" s="43"/>
    </row>
    <row r="2524" spans="1:10" customFormat="1" ht="15.75" hidden="1" customHeight="1" x14ac:dyDescent="0.25">
      <c r="A2524" s="57">
        <v>45230</v>
      </c>
      <c r="B2524" s="36" t="s">
        <v>5709</v>
      </c>
      <c r="C2524" s="28" t="s">
        <v>2892</v>
      </c>
      <c r="D2524" s="28" t="s">
        <v>2893</v>
      </c>
      <c r="E2524" s="38">
        <v>0</v>
      </c>
      <c r="F2524" s="67">
        <v>353090</v>
      </c>
      <c r="G2524" s="38">
        <v>74148.899999999994</v>
      </c>
      <c r="H2524" s="56">
        <v>427238.9</v>
      </c>
      <c r="I2524" s="28" t="s">
        <v>103</v>
      </c>
      <c r="J2524" s="43"/>
    </row>
    <row r="2525" spans="1:10" customFormat="1" ht="15.75" hidden="1" customHeight="1" x14ac:dyDescent="0.25">
      <c r="A2525" s="57">
        <v>45230</v>
      </c>
      <c r="B2525" s="36" t="s">
        <v>5710</v>
      </c>
      <c r="C2525" s="28" t="s">
        <v>3722</v>
      </c>
      <c r="D2525" s="28" t="s">
        <v>3723</v>
      </c>
      <c r="E2525" s="38">
        <v>0</v>
      </c>
      <c r="F2525" s="67">
        <v>678210</v>
      </c>
      <c r="G2525" s="38">
        <v>142424.1</v>
      </c>
      <c r="H2525" s="56">
        <v>820634.1</v>
      </c>
      <c r="I2525" s="28" t="s">
        <v>103</v>
      </c>
      <c r="J2525" s="43"/>
    </row>
    <row r="2526" spans="1:10" customFormat="1" ht="15.75" hidden="1" customHeight="1" x14ac:dyDescent="0.25">
      <c r="A2526" s="57">
        <v>45230</v>
      </c>
      <c r="B2526" s="36" t="s">
        <v>5711</v>
      </c>
      <c r="C2526" s="28" t="s">
        <v>3290</v>
      </c>
      <c r="D2526" s="28" t="s">
        <v>3291</v>
      </c>
      <c r="E2526" s="38">
        <v>0</v>
      </c>
      <c r="F2526" s="67">
        <v>475240</v>
      </c>
      <c r="G2526" s="38">
        <v>99800.4</v>
      </c>
      <c r="H2526" s="56">
        <v>575040.4</v>
      </c>
      <c r="I2526" s="28" t="s">
        <v>103</v>
      </c>
      <c r="J2526" s="43"/>
    </row>
    <row r="2527" spans="1:10" customFormat="1" ht="15.75" hidden="1" customHeight="1" x14ac:dyDescent="0.25">
      <c r="A2527" s="57">
        <v>45230</v>
      </c>
      <c r="B2527" s="36" t="s">
        <v>5712</v>
      </c>
      <c r="C2527" s="28" t="s">
        <v>2957</v>
      </c>
      <c r="D2527" s="28" t="s">
        <v>2958</v>
      </c>
      <c r="E2527" s="38">
        <v>0</v>
      </c>
      <c r="F2527" s="67">
        <v>135154.66</v>
      </c>
      <c r="G2527" s="38">
        <v>28382.48</v>
      </c>
      <c r="H2527" s="56">
        <v>163537.14000000001</v>
      </c>
      <c r="I2527" s="28" t="s">
        <v>103</v>
      </c>
      <c r="J2527" s="43"/>
    </row>
    <row r="2528" spans="1:10" customFormat="1" ht="15.75" hidden="1" customHeight="1" x14ac:dyDescent="0.25">
      <c r="A2528" s="57">
        <v>45230</v>
      </c>
      <c r="B2528" s="36" t="s">
        <v>5713</v>
      </c>
      <c r="C2528" s="28" t="s">
        <v>2856</v>
      </c>
      <c r="D2528" s="28" t="s">
        <v>2857</v>
      </c>
      <c r="E2528" s="38">
        <v>0</v>
      </c>
      <c r="F2528" s="67">
        <v>7982588.5300000003</v>
      </c>
      <c r="G2528" s="38">
        <v>1676343.59</v>
      </c>
      <c r="H2528" s="56">
        <v>9658932.1199999992</v>
      </c>
      <c r="I2528" s="28" t="s">
        <v>103</v>
      </c>
      <c r="J2528" s="43"/>
    </row>
    <row r="2529" spans="1:10" customFormat="1" ht="15.75" hidden="1" customHeight="1" x14ac:dyDescent="0.25">
      <c r="A2529" s="57">
        <v>45230</v>
      </c>
      <c r="B2529" s="36" t="s">
        <v>5714</v>
      </c>
      <c r="C2529" s="28" t="s">
        <v>4109</v>
      </c>
      <c r="D2529" s="28" t="s">
        <v>4110</v>
      </c>
      <c r="E2529" s="38">
        <v>0</v>
      </c>
      <c r="F2529" s="67">
        <v>296146</v>
      </c>
      <c r="G2529" s="38">
        <v>62190.66</v>
      </c>
      <c r="H2529" s="56">
        <v>358336.66</v>
      </c>
      <c r="I2529" s="28" t="s">
        <v>103</v>
      </c>
      <c r="J2529" s="43"/>
    </row>
    <row r="2530" spans="1:10" customFormat="1" ht="15.75" hidden="1" customHeight="1" x14ac:dyDescent="0.25">
      <c r="A2530" s="57">
        <v>45230</v>
      </c>
      <c r="B2530" s="36" t="s">
        <v>5715</v>
      </c>
      <c r="C2530" s="28" t="s">
        <v>4414</v>
      </c>
      <c r="D2530" s="28" t="s">
        <v>4415</v>
      </c>
      <c r="E2530" s="38">
        <v>0</v>
      </c>
      <c r="F2530" s="67">
        <v>425113.33</v>
      </c>
      <c r="G2530" s="38">
        <v>89273.8</v>
      </c>
      <c r="H2530" s="56">
        <v>514387.13</v>
      </c>
      <c r="I2530" s="28" t="s">
        <v>103</v>
      </c>
      <c r="J2530" s="43"/>
    </row>
    <row r="2531" spans="1:10" customFormat="1" ht="15.75" hidden="1" customHeight="1" x14ac:dyDescent="0.25">
      <c r="A2531" s="57">
        <v>45230</v>
      </c>
      <c r="B2531" s="36" t="s">
        <v>5716</v>
      </c>
      <c r="C2531" s="28" t="s">
        <v>3876</v>
      </c>
      <c r="D2531" s="28" t="s">
        <v>3877</v>
      </c>
      <c r="E2531" s="38">
        <v>7.4505805969238296E-11</v>
      </c>
      <c r="F2531" s="67">
        <v>644570.32999999996</v>
      </c>
      <c r="G2531" s="38">
        <v>135359.76999999999</v>
      </c>
      <c r="H2531" s="56">
        <v>779930.1</v>
      </c>
      <c r="I2531" s="28" t="s">
        <v>103</v>
      </c>
      <c r="J2531" s="43"/>
    </row>
    <row r="2532" spans="1:10" customFormat="1" ht="15.75" hidden="1" customHeight="1" x14ac:dyDescent="0.25">
      <c r="A2532" s="57">
        <v>45230</v>
      </c>
      <c r="B2532" s="58" t="s">
        <v>5717</v>
      </c>
      <c r="C2532" s="59" t="s">
        <v>3241</v>
      </c>
      <c r="D2532" s="59" t="s">
        <v>3242</v>
      </c>
      <c r="E2532" s="60">
        <v>0</v>
      </c>
      <c r="F2532" s="115">
        <v>269230</v>
      </c>
      <c r="G2532" s="60">
        <v>56538.3</v>
      </c>
      <c r="H2532" s="61">
        <v>325768.3</v>
      </c>
      <c r="I2532" s="59" t="s">
        <v>103</v>
      </c>
      <c r="J2532" s="43"/>
    </row>
    <row r="2533" spans="1:10" ht="15.75" hidden="1" customHeight="1" x14ac:dyDescent="0.25">
      <c r="A2533" s="127">
        <v>45230</v>
      </c>
      <c r="B2533" s="121" t="s">
        <v>5718</v>
      </c>
      <c r="C2533" s="121" t="s">
        <v>2895</v>
      </c>
      <c r="D2533" s="121" t="s">
        <v>2896</v>
      </c>
      <c r="E2533" s="173">
        <v>0</v>
      </c>
      <c r="F2533" s="174">
        <v>284700</v>
      </c>
      <c r="G2533" s="173">
        <v>59787</v>
      </c>
      <c r="H2533" s="173">
        <v>344487</v>
      </c>
      <c r="I2533" s="121" t="s">
        <v>103</v>
      </c>
      <c r="J2533" s="43"/>
    </row>
    <row r="2534" spans="1:10" customFormat="1" ht="15.75" hidden="1" customHeight="1" x14ac:dyDescent="0.25">
      <c r="A2534" s="170">
        <v>45230</v>
      </c>
      <c r="B2534" s="55" t="s">
        <v>5719</v>
      </c>
      <c r="C2534" s="55" t="s">
        <v>3132</v>
      </c>
      <c r="D2534" s="55" t="s">
        <v>3133</v>
      </c>
      <c r="E2534" s="159">
        <v>0</v>
      </c>
      <c r="F2534" s="171">
        <v>1630625.2</v>
      </c>
      <c r="G2534" s="159">
        <v>342431.29</v>
      </c>
      <c r="H2534" s="161">
        <v>1973056.49</v>
      </c>
      <c r="I2534" s="55" t="s">
        <v>103</v>
      </c>
      <c r="J2534" s="43"/>
    </row>
    <row r="2535" spans="1:10" customFormat="1" ht="15.75" hidden="1" customHeight="1" x14ac:dyDescent="0.25">
      <c r="A2535" s="57">
        <v>45230</v>
      </c>
      <c r="B2535" s="36" t="s">
        <v>5720</v>
      </c>
      <c r="C2535" s="28" t="s">
        <v>1140</v>
      </c>
      <c r="D2535" s="28" t="s">
        <v>1141</v>
      </c>
      <c r="E2535" s="38">
        <v>0</v>
      </c>
      <c r="F2535" s="67">
        <v>1138331.33</v>
      </c>
      <c r="G2535" s="38">
        <v>239049.58</v>
      </c>
      <c r="H2535" s="56">
        <v>1377380.91</v>
      </c>
      <c r="I2535" s="28" t="s">
        <v>103</v>
      </c>
      <c r="J2535" s="43"/>
    </row>
    <row r="2536" spans="1:10" customFormat="1" ht="15.75" hidden="1" customHeight="1" x14ac:dyDescent="0.25">
      <c r="A2536" s="57">
        <v>45230</v>
      </c>
      <c r="B2536" s="36" t="s">
        <v>5721</v>
      </c>
      <c r="C2536" s="28" t="s">
        <v>3450</v>
      </c>
      <c r="D2536" s="28" t="s">
        <v>3451</v>
      </c>
      <c r="E2536" s="38">
        <v>0</v>
      </c>
      <c r="F2536" s="67">
        <v>270308</v>
      </c>
      <c r="G2536" s="38">
        <v>56764.68</v>
      </c>
      <c r="H2536" s="56">
        <v>327072.68</v>
      </c>
      <c r="I2536" s="28" t="s">
        <v>19</v>
      </c>
      <c r="J2536" s="43"/>
    </row>
    <row r="2537" spans="1:10" customFormat="1" ht="15.75" hidden="1" customHeight="1" x14ac:dyDescent="0.25">
      <c r="A2537" s="57">
        <v>45230</v>
      </c>
      <c r="B2537" s="36" t="s">
        <v>5722</v>
      </c>
      <c r="C2537" s="28" t="s">
        <v>3117</v>
      </c>
      <c r="D2537" s="28" t="s">
        <v>3118</v>
      </c>
      <c r="E2537" s="38">
        <v>0</v>
      </c>
      <c r="F2537" s="67">
        <v>137200</v>
      </c>
      <c r="G2537" s="38">
        <v>28812</v>
      </c>
      <c r="H2537" s="56">
        <v>166012</v>
      </c>
      <c r="I2537" s="28" t="s">
        <v>103</v>
      </c>
      <c r="J2537" s="43"/>
    </row>
    <row r="2538" spans="1:10" customFormat="1" ht="15.75" hidden="1" customHeight="1" x14ac:dyDescent="0.25">
      <c r="A2538" s="57">
        <v>45230</v>
      </c>
      <c r="B2538" s="36" t="s">
        <v>5723</v>
      </c>
      <c r="C2538" s="28" t="s">
        <v>3007</v>
      </c>
      <c r="D2538" s="28" t="s">
        <v>3008</v>
      </c>
      <c r="E2538" s="38">
        <v>-7.4505805969238296E-11</v>
      </c>
      <c r="F2538" s="67">
        <v>433770</v>
      </c>
      <c r="G2538" s="38">
        <v>91091.7</v>
      </c>
      <c r="H2538" s="56">
        <v>524861.69999999995</v>
      </c>
      <c r="I2538" s="28" t="s">
        <v>103</v>
      </c>
      <c r="J2538" s="43"/>
    </row>
    <row r="2539" spans="1:10" customFormat="1" ht="15.75" hidden="1" customHeight="1" x14ac:dyDescent="0.25">
      <c r="A2539" s="57">
        <v>45230</v>
      </c>
      <c r="B2539" s="36" t="s">
        <v>5724</v>
      </c>
      <c r="C2539" s="28" t="s">
        <v>3346</v>
      </c>
      <c r="D2539" s="28" t="s">
        <v>3347</v>
      </c>
      <c r="E2539" s="38">
        <v>-2.9802322387695298E-10</v>
      </c>
      <c r="F2539" s="67">
        <v>1699752.09</v>
      </c>
      <c r="G2539" s="38">
        <v>356947.94</v>
      </c>
      <c r="H2539" s="56">
        <v>2056700.0299999998</v>
      </c>
      <c r="I2539" s="28" t="s">
        <v>103</v>
      </c>
      <c r="J2539" s="43"/>
    </row>
    <row r="2540" spans="1:10" customFormat="1" ht="15.75" hidden="1" customHeight="1" x14ac:dyDescent="0.25">
      <c r="A2540" s="57">
        <v>45230</v>
      </c>
      <c r="B2540" s="36" t="s">
        <v>5725</v>
      </c>
      <c r="C2540" s="28" t="s">
        <v>3140</v>
      </c>
      <c r="D2540" s="28" t="s">
        <v>3141</v>
      </c>
      <c r="E2540" s="38">
        <v>0</v>
      </c>
      <c r="F2540" s="67">
        <v>53495</v>
      </c>
      <c r="G2540" s="38">
        <v>11233.95</v>
      </c>
      <c r="H2540" s="56">
        <v>64728.95</v>
      </c>
      <c r="I2540" s="28" t="s">
        <v>103</v>
      </c>
      <c r="J2540" s="43"/>
    </row>
    <row r="2541" spans="1:10" customFormat="1" ht="15.75" hidden="1" customHeight="1" x14ac:dyDescent="0.25">
      <c r="A2541" s="57">
        <v>45230</v>
      </c>
      <c r="B2541" s="36" t="s">
        <v>3981</v>
      </c>
      <c r="C2541" s="28" t="s">
        <v>4337</v>
      </c>
      <c r="D2541" s="28" t="s">
        <v>4466</v>
      </c>
      <c r="E2541" s="38">
        <v>0</v>
      </c>
      <c r="F2541" s="67">
        <v>1115916.3999999999</v>
      </c>
      <c r="G2541" s="38">
        <v>234342.44399999996</v>
      </c>
      <c r="H2541" s="56">
        <v>1350258.8439999998</v>
      </c>
      <c r="I2541" s="28" t="s">
        <v>103</v>
      </c>
      <c r="J2541" s="43"/>
    </row>
    <row r="2542" spans="1:10" customFormat="1" ht="15.75" hidden="1" customHeight="1" x14ac:dyDescent="0.25">
      <c r="A2542" s="57">
        <v>45230</v>
      </c>
      <c r="B2542" s="36" t="s">
        <v>3981</v>
      </c>
      <c r="C2542" s="28" t="s">
        <v>2930</v>
      </c>
      <c r="D2542" s="28" t="s">
        <v>3242</v>
      </c>
      <c r="E2542" s="38">
        <v>0</v>
      </c>
      <c r="F2542" s="67">
        <v>149800</v>
      </c>
      <c r="G2542" s="38">
        <v>31458</v>
      </c>
      <c r="H2542" s="56">
        <v>181258</v>
      </c>
      <c r="I2542" s="28" t="s">
        <v>103</v>
      </c>
      <c r="J2542" s="43"/>
    </row>
    <row r="2543" spans="1:10" customFormat="1" ht="15.75" hidden="1" customHeight="1" x14ac:dyDescent="0.25">
      <c r="A2543" s="57">
        <v>45239</v>
      </c>
      <c r="B2543" s="36" t="s">
        <v>5726</v>
      </c>
      <c r="C2543" s="28" t="s">
        <v>4465</v>
      </c>
      <c r="D2543" s="28" t="s">
        <v>2871</v>
      </c>
      <c r="E2543" s="38">
        <v>0</v>
      </c>
      <c r="F2543" s="67">
        <v>65625</v>
      </c>
      <c r="G2543" s="38">
        <v>13781.25</v>
      </c>
      <c r="H2543" s="56">
        <v>79406.25</v>
      </c>
      <c r="I2543" s="28" t="s">
        <v>19</v>
      </c>
      <c r="J2543" s="43"/>
    </row>
    <row r="2544" spans="1:10" customFormat="1" ht="15.75" hidden="1" customHeight="1" x14ac:dyDescent="0.25">
      <c r="A2544" s="57">
        <v>45239</v>
      </c>
      <c r="B2544" s="36" t="s">
        <v>5727</v>
      </c>
      <c r="C2544" s="28" t="s">
        <v>3241</v>
      </c>
      <c r="D2544" s="28" t="s">
        <v>2943</v>
      </c>
      <c r="E2544" s="38">
        <v>11800</v>
      </c>
      <c r="F2544" s="67">
        <v>240625</v>
      </c>
      <c r="G2544" s="38">
        <v>50531.25</v>
      </c>
      <c r="H2544" s="56">
        <v>302956.25</v>
      </c>
      <c r="I2544" s="28" t="s">
        <v>19</v>
      </c>
      <c r="J2544" s="43"/>
    </row>
    <row r="2545" spans="1:10" customFormat="1" ht="15.75" hidden="1" customHeight="1" x14ac:dyDescent="0.25">
      <c r="A2545" s="57">
        <v>45239</v>
      </c>
      <c r="B2545" s="36" t="s">
        <v>5728</v>
      </c>
      <c r="C2545" s="28" t="s">
        <v>2870</v>
      </c>
      <c r="D2545" s="28" t="s">
        <v>2922</v>
      </c>
      <c r="E2545" s="38">
        <v>9200</v>
      </c>
      <c r="F2545" s="67">
        <v>93750</v>
      </c>
      <c r="G2545" s="38">
        <v>19687.5</v>
      </c>
      <c r="H2545" s="56">
        <v>122637.5</v>
      </c>
      <c r="I2545" s="28" t="s">
        <v>19</v>
      </c>
      <c r="J2545" s="43"/>
    </row>
    <row r="2546" spans="1:10" customFormat="1" ht="15.75" hidden="1" customHeight="1" x14ac:dyDescent="0.25">
      <c r="A2546" s="57">
        <v>45239</v>
      </c>
      <c r="B2546" s="36" t="s">
        <v>5729</v>
      </c>
      <c r="C2546" s="28" t="s">
        <v>2942</v>
      </c>
      <c r="D2546" s="28" t="s">
        <v>2922</v>
      </c>
      <c r="E2546" s="38">
        <v>9200</v>
      </c>
      <c r="F2546" s="67">
        <v>93750</v>
      </c>
      <c r="G2546" s="38">
        <v>19687.5</v>
      </c>
      <c r="H2546" s="56">
        <v>122637.5</v>
      </c>
      <c r="I2546" s="28" t="s">
        <v>19</v>
      </c>
      <c r="J2546" s="43"/>
    </row>
    <row r="2547" spans="1:10" customFormat="1" ht="15.75" hidden="1" customHeight="1" x14ac:dyDescent="0.25">
      <c r="A2547" s="57">
        <v>45239</v>
      </c>
      <c r="B2547" s="36" t="s">
        <v>5730</v>
      </c>
      <c r="C2547" s="28" t="s">
        <v>2921</v>
      </c>
      <c r="D2547" s="28" t="s">
        <v>2922</v>
      </c>
      <c r="E2547" s="38">
        <v>9200</v>
      </c>
      <c r="F2547" s="67">
        <v>148125</v>
      </c>
      <c r="G2547" s="38">
        <v>31106.25</v>
      </c>
      <c r="H2547" s="56">
        <v>188431.25</v>
      </c>
      <c r="I2547" s="28" t="s">
        <v>19</v>
      </c>
      <c r="J2547" s="43"/>
    </row>
    <row r="2548" spans="1:10" customFormat="1" ht="15.75" hidden="1" customHeight="1" x14ac:dyDescent="0.25">
      <c r="A2548" s="57">
        <v>45239</v>
      </c>
      <c r="B2548" s="36" t="s">
        <v>5731</v>
      </c>
      <c r="C2548" s="28" t="s">
        <v>2921</v>
      </c>
      <c r="D2548" s="28" t="s">
        <v>4173</v>
      </c>
      <c r="E2548" s="38">
        <v>9200</v>
      </c>
      <c r="F2548" s="67">
        <v>148125</v>
      </c>
      <c r="G2548" s="38">
        <v>31106.25</v>
      </c>
      <c r="H2548" s="56">
        <v>188431.25</v>
      </c>
      <c r="I2548" s="28" t="s">
        <v>19</v>
      </c>
      <c r="J2548" s="43"/>
    </row>
    <row r="2549" spans="1:10" customFormat="1" ht="15.75" hidden="1" customHeight="1" x14ac:dyDescent="0.25">
      <c r="A2549" s="57">
        <v>45239</v>
      </c>
      <c r="B2549" s="36" t="s">
        <v>5732</v>
      </c>
      <c r="C2549" s="28" t="s">
        <v>2921</v>
      </c>
      <c r="D2549" s="28" t="s">
        <v>3236</v>
      </c>
      <c r="E2549" s="38">
        <v>9200</v>
      </c>
      <c r="F2549" s="67">
        <v>148125</v>
      </c>
      <c r="G2549" s="38">
        <v>31106.25</v>
      </c>
      <c r="H2549" s="56">
        <v>188431.25</v>
      </c>
      <c r="I2549" s="28" t="s">
        <v>19</v>
      </c>
      <c r="J2549" s="43"/>
    </row>
    <row r="2550" spans="1:10" customFormat="1" ht="15.75" hidden="1" customHeight="1" x14ac:dyDescent="0.25">
      <c r="A2550" s="57">
        <v>45239</v>
      </c>
      <c r="B2550" s="36" t="s">
        <v>5733</v>
      </c>
      <c r="C2550" s="28" t="s">
        <v>4172</v>
      </c>
      <c r="D2550" s="28" t="s">
        <v>2868</v>
      </c>
      <c r="E2550" s="38">
        <v>9200</v>
      </c>
      <c r="F2550" s="67">
        <v>195000</v>
      </c>
      <c r="G2550" s="38">
        <v>40950</v>
      </c>
      <c r="H2550" s="56">
        <v>245150</v>
      </c>
      <c r="I2550" s="28" t="s">
        <v>19</v>
      </c>
      <c r="J2550" s="43"/>
    </row>
    <row r="2551" spans="1:10" customFormat="1" ht="15.75" hidden="1" customHeight="1" x14ac:dyDescent="0.25">
      <c r="A2551" s="57">
        <v>45239</v>
      </c>
      <c r="B2551" s="36" t="s">
        <v>5734</v>
      </c>
      <c r="C2551" s="28" t="s">
        <v>3235</v>
      </c>
      <c r="D2551" s="28" t="s">
        <v>2868</v>
      </c>
      <c r="E2551" s="38">
        <v>9200</v>
      </c>
      <c r="F2551" s="67">
        <v>148125</v>
      </c>
      <c r="G2551" s="38">
        <v>31106.25</v>
      </c>
      <c r="H2551" s="56">
        <v>188431.25</v>
      </c>
      <c r="I2551" s="28" t="s">
        <v>19</v>
      </c>
      <c r="J2551" s="43"/>
    </row>
    <row r="2552" spans="1:10" customFormat="1" ht="15.75" hidden="1" customHeight="1" x14ac:dyDescent="0.25">
      <c r="A2552" s="57">
        <v>45239</v>
      </c>
      <c r="B2552" s="36" t="s">
        <v>5735</v>
      </c>
      <c r="C2552" s="28" t="s">
        <v>2867</v>
      </c>
      <c r="D2552" s="28" t="s">
        <v>3704</v>
      </c>
      <c r="E2552" s="38">
        <v>12500</v>
      </c>
      <c r="F2552" s="67">
        <v>166072.5</v>
      </c>
      <c r="G2552" s="38">
        <v>34875.230000000003</v>
      </c>
      <c r="H2552" s="56">
        <v>213447.73</v>
      </c>
      <c r="I2552" s="28" t="s">
        <v>19</v>
      </c>
      <c r="J2552" s="43"/>
    </row>
    <row r="2553" spans="1:10" customFormat="1" ht="15.75" hidden="1" customHeight="1" x14ac:dyDescent="0.25">
      <c r="A2553" s="57">
        <v>45239</v>
      </c>
      <c r="B2553" s="36" t="s">
        <v>5736</v>
      </c>
      <c r="C2553" s="28" t="s">
        <v>2867</v>
      </c>
      <c r="D2553" s="28" t="s">
        <v>2868</v>
      </c>
      <c r="E2553" s="38">
        <v>10700</v>
      </c>
      <c r="F2553" s="67">
        <v>93750</v>
      </c>
      <c r="G2553" s="38">
        <v>19687.5</v>
      </c>
      <c r="H2553" s="56">
        <v>124137.5</v>
      </c>
      <c r="I2553" s="28" t="s">
        <v>19</v>
      </c>
      <c r="J2553" s="43"/>
    </row>
    <row r="2554" spans="1:10" customFormat="1" ht="15.75" hidden="1" customHeight="1" x14ac:dyDescent="0.25">
      <c r="A2554" s="57">
        <v>45239</v>
      </c>
      <c r="B2554" s="36" t="s">
        <v>5737</v>
      </c>
      <c r="C2554" s="28" t="s">
        <v>3703</v>
      </c>
      <c r="D2554" s="28" t="s">
        <v>2893</v>
      </c>
      <c r="E2554" s="38">
        <v>3800</v>
      </c>
      <c r="F2554" s="67">
        <v>81250</v>
      </c>
      <c r="G2554" s="38">
        <v>17062.5</v>
      </c>
      <c r="H2554" s="56">
        <v>102112.5</v>
      </c>
      <c r="I2554" s="28" t="s">
        <v>19</v>
      </c>
      <c r="J2554" s="43"/>
    </row>
    <row r="2555" spans="1:10" customFormat="1" ht="15.75" hidden="1" customHeight="1" x14ac:dyDescent="0.25">
      <c r="A2555" s="57">
        <v>45239</v>
      </c>
      <c r="B2555" s="36" t="s">
        <v>5738</v>
      </c>
      <c r="C2555" s="28" t="s">
        <v>2867</v>
      </c>
      <c r="D2555" s="28" t="s">
        <v>2922</v>
      </c>
      <c r="E2555" s="38">
        <v>62000</v>
      </c>
      <c r="F2555" s="67">
        <v>675000</v>
      </c>
      <c r="G2555" s="38">
        <v>141750</v>
      </c>
      <c r="H2555" s="56">
        <v>878750</v>
      </c>
      <c r="I2555" s="28" t="s">
        <v>19</v>
      </c>
      <c r="J2555" s="43"/>
    </row>
    <row r="2556" spans="1:10" customFormat="1" ht="15.75" hidden="1" customHeight="1" x14ac:dyDescent="0.25">
      <c r="A2556" s="57">
        <v>45239</v>
      </c>
      <c r="B2556" s="36" t="s">
        <v>5739</v>
      </c>
      <c r="C2556" s="28" t="s">
        <v>2892</v>
      </c>
      <c r="D2556" s="28" t="s">
        <v>2922</v>
      </c>
      <c r="E2556" s="38">
        <v>3700</v>
      </c>
      <c r="F2556" s="67">
        <v>81250</v>
      </c>
      <c r="G2556" s="38">
        <v>17062.5</v>
      </c>
      <c r="H2556" s="56">
        <v>102012.5</v>
      </c>
      <c r="I2556" s="28" t="s">
        <v>19</v>
      </c>
      <c r="J2556" s="43"/>
    </row>
    <row r="2557" spans="1:10" customFormat="1" ht="15.75" hidden="1" customHeight="1" x14ac:dyDescent="0.25">
      <c r="A2557" s="57">
        <v>45240</v>
      </c>
      <c r="B2557" s="36" t="s">
        <v>5740</v>
      </c>
      <c r="C2557" s="28" t="s">
        <v>2921</v>
      </c>
      <c r="D2557" s="28" t="s">
        <v>2922</v>
      </c>
      <c r="E2557" s="38">
        <v>0</v>
      </c>
      <c r="F2557" s="67">
        <v>37000</v>
      </c>
      <c r="G2557" s="38">
        <v>7770</v>
      </c>
      <c r="H2557" s="56">
        <v>44770</v>
      </c>
      <c r="I2557" s="28" t="s">
        <v>19</v>
      </c>
      <c r="J2557" s="43"/>
    </row>
    <row r="2558" spans="1:10" customFormat="1" ht="15.75" hidden="1" customHeight="1" x14ac:dyDescent="0.25">
      <c r="A2558" s="57">
        <v>45240</v>
      </c>
      <c r="B2558" s="36" t="s">
        <v>5741</v>
      </c>
      <c r="C2558" s="28" t="s">
        <v>2921</v>
      </c>
      <c r="D2558" s="28" t="s">
        <v>3034</v>
      </c>
      <c r="E2558" s="38">
        <v>0</v>
      </c>
      <c r="F2558" s="67">
        <v>35000</v>
      </c>
      <c r="G2558" s="38">
        <v>7350</v>
      </c>
      <c r="H2558" s="56">
        <v>42350</v>
      </c>
      <c r="I2558" s="28" t="s">
        <v>19</v>
      </c>
      <c r="J2558" s="43"/>
    </row>
    <row r="2559" spans="1:10" customFormat="1" ht="15.75" hidden="1" customHeight="1" x14ac:dyDescent="0.25">
      <c r="A2559" s="57">
        <v>45240</v>
      </c>
      <c r="B2559" s="36" t="s">
        <v>5742</v>
      </c>
      <c r="C2559" s="28" t="s">
        <v>2921</v>
      </c>
      <c r="D2559" s="28" t="s">
        <v>3236</v>
      </c>
      <c r="E2559" s="38">
        <v>0</v>
      </c>
      <c r="F2559" s="67">
        <v>40000</v>
      </c>
      <c r="G2559" s="38">
        <v>8400</v>
      </c>
      <c r="H2559" s="56">
        <v>48400</v>
      </c>
      <c r="I2559" s="28" t="s">
        <v>19</v>
      </c>
      <c r="J2559" s="43"/>
    </row>
    <row r="2560" spans="1:10" customFormat="1" ht="15.75" hidden="1" customHeight="1" x14ac:dyDescent="0.25">
      <c r="A2560" s="57">
        <v>45240</v>
      </c>
      <c r="B2560" s="36" t="s">
        <v>5743</v>
      </c>
      <c r="C2560" s="28" t="s">
        <v>3033</v>
      </c>
      <c r="D2560" s="28" t="s">
        <v>2868</v>
      </c>
      <c r="E2560" s="38">
        <v>7000</v>
      </c>
      <c r="F2560" s="67">
        <v>126562.5</v>
      </c>
      <c r="G2560" s="38">
        <v>26578.13</v>
      </c>
      <c r="H2560" s="56">
        <v>160140.63</v>
      </c>
      <c r="I2560" s="28" t="s">
        <v>19</v>
      </c>
      <c r="J2560" s="43"/>
    </row>
    <row r="2561" spans="1:10" customFormat="1" ht="15.75" hidden="1" customHeight="1" x14ac:dyDescent="0.25">
      <c r="A2561" s="57">
        <v>45240</v>
      </c>
      <c r="B2561" s="36" t="s">
        <v>5744</v>
      </c>
      <c r="C2561" s="28" t="s">
        <v>3235</v>
      </c>
      <c r="D2561" s="28" t="s">
        <v>2868</v>
      </c>
      <c r="E2561" s="38">
        <v>8000</v>
      </c>
      <c r="F2561" s="67">
        <v>256250</v>
      </c>
      <c r="G2561" s="38">
        <v>53812.5</v>
      </c>
      <c r="H2561" s="56">
        <v>318062.5</v>
      </c>
      <c r="I2561" s="28" t="s">
        <v>19</v>
      </c>
      <c r="J2561" s="43"/>
    </row>
    <row r="2562" spans="1:10" customFormat="1" ht="15.75" hidden="1" customHeight="1" x14ac:dyDescent="0.25">
      <c r="A2562" s="57">
        <v>45240</v>
      </c>
      <c r="B2562" s="36" t="s">
        <v>5745</v>
      </c>
      <c r="C2562" s="28" t="s">
        <v>2867</v>
      </c>
      <c r="D2562" s="28" t="s">
        <v>5259</v>
      </c>
      <c r="E2562" s="38">
        <v>4000</v>
      </c>
      <c r="F2562" s="67">
        <v>145312.5</v>
      </c>
      <c r="G2562" s="38">
        <v>30515.63</v>
      </c>
      <c r="H2562" s="56">
        <v>179828.13</v>
      </c>
      <c r="I2562" s="28" t="s">
        <v>19</v>
      </c>
      <c r="J2562" s="43"/>
    </row>
    <row r="2563" spans="1:10" customFormat="1" ht="15.75" hidden="1" customHeight="1" x14ac:dyDescent="0.25">
      <c r="A2563" s="57">
        <v>45240</v>
      </c>
      <c r="B2563" s="36" t="s">
        <v>5746</v>
      </c>
      <c r="C2563" s="28" t="s">
        <v>2867</v>
      </c>
      <c r="D2563" s="28" t="s">
        <v>2871</v>
      </c>
      <c r="E2563" s="38">
        <v>15600</v>
      </c>
      <c r="F2563" s="67">
        <v>239062.5</v>
      </c>
      <c r="G2563" s="38">
        <v>50203.12</v>
      </c>
      <c r="H2563" s="56">
        <v>304865.62</v>
      </c>
      <c r="I2563" s="28" t="s">
        <v>19</v>
      </c>
      <c r="J2563" s="43"/>
    </row>
    <row r="2564" spans="1:10" customFormat="1" ht="15.75" hidden="1" customHeight="1" x14ac:dyDescent="0.25">
      <c r="A2564" s="57">
        <v>45243</v>
      </c>
      <c r="B2564" s="36" t="s">
        <v>5747</v>
      </c>
      <c r="C2564" s="28" t="s">
        <v>5258</v>
      </c>
      <c r="D2564" s="28" t="s">
        <v>2998</v>
      </c>
      <c r="E2564" s="38">
        <v>20800</v>
      </c>
      <c r="F2564" s="67">
        <v>187500</v>
      </c>
      <c r="G2564" s="38">
        <v>39375</v>
      </c>
      <c r="H2564" s="56">
        <v>247675</v>
      </c>
      <c r="I2564" s="28" t="s">
        <v>19</v>
      </c>
      <c r="J2564" s="43"/>
    </row>
    <row r="2565" spans="1:10" customFormat="1" ht="15.75" hidden="1" customHeight="1" x14ac:dyDescent="0.25">
      <c r="A2565" s="57">
        <v>45243</v>
      </c>
      <c r="B2565" s="36" t="s">
        <v>5748</v>
      </c>
      <c r="C2565" s="28" t="s">
        <v>2870</v>
      </c>
      <c r="D2565" s="28" t="s">
        <v>2868</v>
      </c>
      <c r="E2565" s="38">
        <v>11300</v>
      </c>
      <c r="F2565" s="67">
        <v>126562.5</v>
      </c>
      <c r="G2565" s="38">
        <v>26578.13</v>
      </c>
      <c r="H2565" s="56">
        <v>164440.63</v>
      </c>
      <c r="I2565" s="28" t="s">
        <v>19</v>
      </c>
      <c r="J2565" s="43"/>
    </row>
    <row r="2566" spans="1:10" customFormat="1" ht="15.75" hidden="1" customHeight="1" x14ac:dyDescent="0.25">
      <c r="A2566" s="57">
        <v>45244</v>
      </c>
      <c r="B2566" s="36" t="s">
        <v>5749</v>
      </c>
      <c r="C2566" s="28" t="s">
        <v>2997</v>
      </c>
      <c r="D2566" s="28" t="s">
        <v>2998</v>
      </c>
      <c r="E2566" s="38">
        <v>26140</v>
      </c>
      <c r="F2566" s="67">
        <v>593752</v>
      </c>
      <c r="G2566" s="38">
        <v>124687.92</v>
      </c>
      <c r="H2566" s="56">
        <v>744579.92</v>
      </c>
      <c r="I2566" s="28" t="s">
        <v>19</v>
      </c>
      <c r="J2566" s="43"/>
    </row>
    <row r="2567" spans="1:10" customFormat="1" ht="15.75" hidden="1" customHeight="1" x14ac:dyDescent="0.25">
      <c r="A2567" s="57">
        <v>45244</v>
      </c>
      <c r="B2567" s="36" t="s">
        <v>5750</v>
      </c>
      <c r="C2567" s="28" t="s">
        <v>2867</v>
      </c>
      <c r="D2567" s="28" t="s">
        <v>2946</v>
      </c>
      <c r="E2567" s="38">
        <v>5840</v>
      </c>
      <c r="F2567" s="67">
        <v>148438</v>
      </c>
      <c r="G2567" s="38">
        <v>31171.98</v>
      </c>
      <c r="H2567" s="56">
        <v>185449.98</v>
      </c>
      <c r="I2567" s="28" t="s">
        <v>19</v>
      </c>
      <c r="J2567" s="43"/>
    </row>
    <row r="2568" spans="1:10" customFormat="1" ht="15.75" hidden="1" customHeight="1" x14ac:dyDescent="0.25">
      <c r="A2568" s="57">
        <v>45244</v>
      </c>
      <c r="B2568" s="36" t="s">
        <v>5751</v>
      </c>
      <c r="C2568" s="28" t="s">
        <v>2997</v>
      </c>
      <c r="D2568" s="28" t="s">
        <v>2868</v>
      </c>
      <c r="E2568" s="38">
        <v>15000</v>
      </c>
      <c r="F2568" s="67">
        <v>192187.5</v>
      </c>
      <c r="G2568" s="38">
        <v>40359.370000000003</v>
      </c>
      <c r="H2568" s="56">
        <v>247546.87</v>
      </c>
      <c r="I2568" s="28" t="s">
        <v>19</v>
      </c>
      <c r="J2568" s="43"/>
    </row>
    <row r="2569" spans="1:10" customFormat="1" ht="15.75" hidden="1" customHeight="1" x14ac:dyDescent="0.25">
      <c r="A2569" s="57">
        <v>45244</v>
      </c>
      <c r="B2569" s="36" t="s">
        <v>5752</v>
      </c>
      <c r="C2569" s="28" t="s">
        <v>2945</v>
      </c>
      <c r="D2569" s="28" t="s">
        <v>5623</v>
      </c>
      <c r="E2569" s="38">
        <v>16300</v>
      </c>
      <c r="F2569" s="67">
        <v>256250</v>
      </c>
      <c r="G2569" s="38">
        <v>53812.5</v>
      </c>
      <c r="H2569" s="56">
        <v>326362.5</v>
      </c>
      <c r="I2569" s="28" t="s">
        <v>19</v>
      </c>
      <c r="J2569" s="43"/>
    </row>
    <row r="2570" spans="1:10" customFormat="1" ht="15.75" hidden="1" customHeight="1" x14ac:dyDescent="0.25">
      <c r="A2570" s="57">
        <v>45244</v>
      </c>
      <c r="B2570" s="36" t="s">
        <v>5753</v>
      </c>
      <c r="C2570" s="28" t="s">
        <v>2867</v>
      </c>
      <c r="D2570" s="28" t="s">
        <v>5623</v>
      </c>
      <c r="E2570" s="38">
        <v>4500</v>
      </c>
      <c r="F2570" s="67">
        <v>110625</v>
      </c>
      <c r="G2570" s="38">
        <v>23231.25</v>
      </c>
      <c r="H2570" s="56">
        <v>138356.25</v>
      </c>
      <c r="I2570" s="28" t="s">
        <v>19</v>
      </c>
      <c r="J2570" s="43"/>
    </row>
    <row r="2571" spans="1:10" customFormat="1" ht="15.75" hidden="1" customHeight="1" x14ac:dyDescent="0.25">
      <c r="A2571" s="57">
        <v>45244</v>
      </c>
      <c r="B2571" s="36" t="s">
        <v>5754</v>
      </c>
      <c r="C2571" s="28" t="s">
        <v>5622</v>
      </c>
      <c r="D2571" s="28" t="s">
        <v>5623</v>
      </c>
      <c r="E2571" s="38">
        <v>10400</v>
      </c>
      <c r="F2571" s="67">
        <v>106000</v>
      </c>
      <c r="G2571" s="38">
        <v>22260</v>
      </c>
      <c r="H2571" s="56">
        <v>138660</v>
      </c>
      <c r="I2571" s="28" t="s">
        <v>19</v>
      </c>
      <c r="J2571" s="43"/>
    </row>
    <row r="2572" spans="1:10" customFormat="1" ht="15.75" hidden="1" customHeight="1" x14ac:dyDescent="0.25">
      <c r="A2572" s="57">
        <v>45244</v>
      </c>
      <c r="B2572" s="36" t="s">
        <v>5755</v>
      </c>
      <c r="C2572" s="28" t="s">
        <v>5622</v>
      </c>
      <c r="D2572" s="28" t="s">
        <v>5623</v>
      </c>
      <c r="E2572" s="38">
        <v>10400</v>
      </c>
      <c r="F2572" s="67">
        <v>106000</v>
      </c>
      <c r="G2572" s="38">
        <v>22260</v>
      </c>
      <c r="H2572" s="56">
        <v>138660</v>
      </c>
      <c r="I2572" s="28" t="s">
        <v>19</v>
      </c>
      <c r="J2572" s="43"/>
    </row>
    <row r="2573" spans="1:10" customFormat="1" ht="15.75" hidden="1" customHeight="1" x14ac:dyDescent="0.25">
      <c r="A2573" s="57">
        <v>45244</v>
      </c>
      <c r="B2573" s="36" t="s">
        <v>5756</v>
      </c>
      <c r="C2573" s="28" t="s">
        <v>5622</v>
      </c>
      <c r="D2573" s="28" t="s">
        <v>3273</v>
      </c>
      <c r="E2573" s="38">
        <v>10400</v>
      </c>
      <c r="F2573" s="67">
        <v>106000</v>
      </c>
      <c r="G2573" s="38">
        <v>22260</v>
      </c>
      <c r="H2573" s="56">
        <v>138660</v>
      </c>
      <c r="I2573" s="28" t="s">
        <v>19</v>
      </c>
      <c r="J2573" s="43"/>
    </row>
    <row r="2574" spans="1:10" customFormat="1" ht="15.75" hidden="1" customHeight="1" x14ac:dyDescent="0.25">
      <c r="A2574" s="57">
        <v>45244</v>
      </c>
      <c r="B2574" s="36" t="s">
        <v>5757</v>
      </c>
      <c r="C2574" s="28" t="s">
        <v>5622</v>
      </c>
      <c r="D2574" s="28" t="s">
        <v>2871</v>
      </c>
      <c r="E2574" s="38">
        <v>10400</v>
      </c>
      <c r="F2574" s="67">
        <v>106000</v>
      </c>
      <c r="G2574" s="38">
        <v>22260</v>
      </c>
      <c r="H2574" s="56">
        <v>138660</v>
      </c>
      <c r="I2574" s="28" t="s">
        <v>19</v>
      </c>
      <c r="J2574" s="43"/>
    </row>
    <row r="2575" spans="1:10" customFormat="1" ht="15.75" hidden="1" customHeight="1" x14ac:dyDescent="0.25">
      <c r="A2575" s="79">
        <v>45244</v>
      </c>
      <c r="B2575" s="41" t="s">
        <v>5758</v>
      </c>
      <c r="C2575" s="41" t="s">
        <v>3272</v>
      </c>
      <c r="D2575" s="41" t="s">
        <v>3273</v>
      </c>
      <c r="E2575" s="39">
        <v>10400</v>
      </c>
      <c r="F2575" s="42">
        <v>106000</v>
      </c>
      <c r="G2575" s="39">
        <v>22260</v>
      </c>
      <c r="H2575" s="66">
        <v>138660</v>
      </c>
      <c r="I2575" s="41" t="s">
        <v>19</v>
      </c>
      <c r="J2575" s="49"/>
    </row>
    <row r="2576" spans="1:10" customFormat="1" ht="15.75" hidden="1" customHeight="1" x14ac:dyDescent="0.25">
      <c r="A2576" s="57">
        <v>45244</v>
      </c>
      <c r="B2576" s="36" t="s">
        <v>5759</v>
      </c>
      <c r="C2576" s="28" t="s">
        <v>2870</v>
      </c>
      <c r="D2576" s="28" t="s">
        <v>4173</v>
      </c>
      <c r="E2576" s="38">
        <v>10400</v>
      </c>
      <c r="F2576" s="67">
        <v>171000</v>
      </c>
      <c r="G2576" s="38">
        <v>35910</v>
      </c>
      <c r="H2576" s="56">
        <v>217310</v>
      </c>
      <c r="I2576" s="28" t="s">
        <v>19</v>
      </c>
      <c r="J2576" s="43"/>
    </row>
    <row r="2577" spans="1:10" customFormat="1" ht="15.75" hidden="1" customHeight="1" x14ac:dyDescent="0.25">
      <c r="A2577" s="79">
        <v>45244</v>
      </c>
      <c r="B2577" s="41" t="s">
        <v>5760</v>
      </c>
      <c r="C2577" s="41" t="s">
        <v>3272</v>
      </c>
      <c r="D2577" s="41" t="s">
        <v>3347</v>
      </c>
      <c r="E2577" s="39">
        <v>20800</v>
      </c>
      <c r="F2577" s="42">
        <v>342000</v>
      </c>
      <c r="G2577" s="39">
        <v>71820</v>
      </c>
      <c r="H2577" s="66">
        <v>434620</v>
      </c>
      <c r="I2577" s="41" t="s">
        <v>19</v>
      </c>
      <c r="J2577" s="49"/>
    </row>
    <row r="2578" spans="1:10" customFormat="1" ht="15.75" hidden="1" customHeight="1" x14ac:dyDescent="0.25">
      <c r="A2578" s="57">
        <v>45244</v>
      </c>
      <c r="B2578" s="36" t="s">
        <v>5761</v>
      </c>
      <c r="C2578" s="28" t="s">
        <v>4172</v>
      </c>
      <c r="D2578" s="28" t="s">
        <v>4145</v>
      </c>
      <c r="E2578" s="38">
        <v>4500</v>
      </c>
      <c r="F2578" s="67">
        <v>78438</v>
      </c>
      <c r="G2578" s="38">
        <v>16471.98</v>
      </c>
      <c r="H2578" s="56">
        <v>99409.98</v>
      </c>
      <c r="I2578" s="28" t="s">
        <v>19</v>
      </c>
      <c r="J2578" s="43"/>
    </row>
    <row r="2579" spans="1:10" customFormat="1" ht="15.75" hidden="1" customHeight="1" x14ac:dyDescent="0.25">
      <c r="A2579" s="57">
        <v>45244</v>
      </c>
      <c r="B2579" s="36" t="s">
        <v>5762</v>
      </c>
      <c r="C2579" s="28" t="s">
        <v>3346</v>
      </c>
      <c r="D2579" s="28" t="s">
        <v>2922</v>
      </c>
      <c r="E2579" s="38">
        <v>2200</v>
      </c>
      <c r="F2579" s="67">
        <v>156876</v>
      </c>
      <c r="G2579" s="38">
        <v>32943.96</v>
      </c>
      <c r="H2579" s="56">
        <v>192019.96</v>
      </c>
      <c r="I2579" s="28" t="s">
        <v>19</v>
      </c>
      <c r="J2579" s="43"/>
    </row>
    <row r="2580" spans="1:10" customFormat="1" ht="15.75" hidden="1" customHeight="1" x14ac:dyDescent="0.25">
      <c r="A2580" s="57">
        <v>45244</v>
      </c>
      <c r="B2580" s="36" t="s">
        <v>5763</v>
      </c>
      <c r="C2580" s="28" t="s">
        <v>4144</v>
      </c>
      <c r="D2580" s="28" t="s">
        <v>2949</v>
      </c>
      <c r="E2580" s="38">
        <v>5000</v>
      </c>
      <c r="F2580" s="67">
        <v>154687.5</v>
      </c>
      <c r="G2580" s="38">
        <v>32484.37</v>
      </c>
      <c r="H2580" s="56">
        <v>192171.87</v>
      </c>
      <c r="I2580" s="28" t="s">
        <v>19</v>
      </c>
      <c r="J2580" s="43"/>
    </row>
    <row r="2581" spans="1:10" customFormat="1" ht="15.75" hidden="1" customHeight="1" x14ac:dyDescent="0.25">
      <c r="A2581" s="57">
        <v>45244</v>
      </c>
      <c r="B2581" s="36" t="s">
        <v>5764</v>
      </c>
      <c r="C2581" s="28" t="s">
        <v>2921</v>
      </c>
      <c r="D2581" s="28" t="s">
        <v>2868</v>
      </c>
      <c r="E2581" s="38">
        <v>1500</v>
      </c>
      <c r="F2581" s="67">
        <v>78438</v>
      </c>
      <c r="G2581" s="38">
        <v>16471.98</v>
      </c>
      <c r="H2581" s="56">
        <v>96409.98</v>
      </c>
      <c r="I2581" s="28" t="s">
        <v>19</v>
      </c>
      <c r="J2581" s="43"/>
    </row>
    <row r="2582" spans="1:10" customFormat="1" ht="15.75" hidden="1" customHeight="1" x14ac:dyDescent="0.25">
      <c r="A2582" s="57">
        <v>45244</v>
      </c>
      <c r="B2582" s="36" t="s">
        <v>5765</v>
      </c>
      <c r="C2582" s="28" t="s">
        <v>2948</v>
      </c>
      <c r="D2582" s="28" t="s">
        <v>2943</v>
      </c>
      <c r="E2582" s="38">
        <v>10400</v>
      </c>
      <c r="F2582" s="67">
        <v>106000</v>
      </c>
      <c r="G2582" s="38">
        <v>22260</v>
      </c>
      <c r="H2582" s="56">
        <v>138660</v>
      </c>
      <c r="I2582" s="28" t="s">
        <v>19</v>
      </c>
      <c r="J2582" s="43"/>
    </row>
    <row r="2583" spans="1:10" customFormat="1" ht="15.75" hidden="1" customHeight="1" x14ac:dyDescent="0.25">
      <c r="A2583" s="57">
        <v>45244</v>
      </c>
      <c r="B2583" s="36" t="s">
        <v>5766</v>
      </c>
      <c r="C2583" s="28" t="s">
        <v>2867</v>
      </c>
      <c r="D2583" s="28" t="s">
        <v>3835</v>
      </c>
      <c r="E2583" s="38">
        <v>12500</v>
      </c>
      <c r="F2583" s="67">
        <v>160500</v>
      </c>
      <c r="G2583" s="38">
        <v>33705</v>
      </c>
      <c r="H2583" s="56">
        <v>206705</v>
      </c>
      <c r="I2583" s="28" t="s">
        <v>19</v>
      </c>
      <c r="J2583" s="43"/>
    </row>
    <row r="2584" spans="1:10" customFormat="1" ht="15.75" hidden="1" customHeight="1" x14ac:dyDescent="0.25">
      <c r="A2584" s="57">
        <v>45244</v>
      </c>
      <c r="B2584" s="36" t="s">
        <v>5767</v>
      </c>
      <c r="C2584" s="28" t="s">
        <v>2942</v>
      </c>
      <c r="D2584" s="28" t="s">
        <v>3015</v>
      </c>
      <c r="E2584" s="38">
        <v>5000</v>
      </c>
      <c r="F2584" s="67">
        <v>251750</v>
      </c>
      <c r="G2584" s="38">
        <v>52867.5</v>
      </c>
      <c r="H2584" s="56">
        <v>309617.5</v>
      </c>
      <c r="I2584" s="28" t="s">
        <v>19</v>
      </c>
      <c r="J2584" s="43"/>
    </row>
    <row r="2585" spans="1:10" customFormat="1" ht="15.75" hidden="1" customHeight="1" x14ac:dyDescent="0.25">
      <c r="A2585" s="57">
        <v>45245</v>
      </c>
      <c r="B2585" s="36" t="s">
        <v>5768</v>
      </c>
      <c r="C2585" s="28" t="s">
        <v>3834</v>
      </c>
      <c r="D2585" s="28" t="s">
        <v>2949</v>
      </c>
      <c r="E2585" s="38">
        <v>12560</v>
      </c>
      <c r="F2585" s="67">
        <v>148438</v>
      </c>
      <c r="G2585" s="38">
        <v>31171.98</v>
      </c>
      <c r="H2585" s="56">
        <v>192169.98</v>
      </c>
      <c r="I2585" s="28" t="s">
        <v>19</v>
      </c>
      <c r="J2585" s="43"/>
    </row>
    <row r="2586" spans="1:10" customFormat="1" ht="15.75" hidden="1" customHeight="1" x14ac:dyDescent="0.25">
      <c r="A2586" s="57">
        <v>45245</v>
      </c>
      <c r="B2586" s="36" t="s">
        <v>5769</v>
      </c>
      <c r="C2586" s="28" t="s">
        <v>3014</v>
      </c>
      <c r="D2586" s="28" t="s">
        <v>3015</v>
      </c>
      <c r="E2586" s="38">
        <v>11680</v>
      </c>
      <c r="F2586" s="67">
        <v>296876</v>
      </c>
      <c r="G2586" s="38">
        <v>62343.96</v>
      </c>
      <c r="H2586" s="56">
        <v>370899.96</v>
      </c>
      <c r="I2586" s="28" t="s">
        <v>19</v>
      </c>
      <c r="J2586" s="43"/>
    </row>
    <row r="2587" spans="1:10" customFormat="1" ht="15.75" hidden="1" customHeight="1" x14ac:dyDescent="0.25">
      <c r="A2587" s="57">
        <v>45245</v>
      </c>
      <c r="B2587" s="36" t="s">
        <v>5770</v>
      </c>
      <c r="C2587" s="28" t="s">
        <v>2948</v>
      </c>
      <c r="D2587" s="28" t="s">
        <v>3012</v>
      </c>
      <c r="E2587" s="38">
        <v>12500</v>
      </c>
      <c r="F2587" s="67">
        <v>222657</v>
      </c>
      <c r="G2587" s="38">
        <v>46757.97</v>
      </c>
      <c r="H2587" s="56">
        <v>281914.96999999997</v>
      </c>
      <c r="I2587" s="28" t="s">
        <v>19</v>
      </c>
      <c r="J2587" s="43"/>
    </row>
    <row r="2588" spans="1:10" customFormat="1" ht="15.75" hidden="1" customHeight="1" x14ac:dyDescent="0.25">
      <c r="A2588" s="57">
        <v>45245</v>
      </c>
      <c r="B2588" s="36" t="s">
        <v>5771</v>
      </c>
      <c r="C2588" s="28" t="s">
        <v>3014</v>
      </c>
      <c r="D2588" s="28" t="s">
        <v>2943</v>
      </c>
      <c r="E2588" s="38">
        <v>23000</v>
      </c>
      <c r="F2588" s="67">
        <v>256250</v>
      </c>
      <c r="G2588" s="38">
        <v>53812.5</v>
      </c>
      <c r="H2588" s="56">
        <v>333062.5</v>
      </c>
      <c r="I2588" s="28" t="s">
        <v>19</v>
      </c>
      <c r="J2588" s="43"/>
    </row>
    <row r="2589" spans="1:10" customFormat="1" ht="15.75" hidden="1" customHeight="1" x14ac:dyDescent="0.25">
      <c r="A2589" s="57">
        <v>45245</v>
      </c>
      <c r="B2589" s="36" t="s">
        <v>5772</v>
      </c>
      <c r="C2589" s="28" t="s">
        <v>3011</v>
      </c>
      <c r="D2589" s="28" t="s">
        <v>2871</v>
      </c>
      <c r="E2589" s="38">
        <v>62400</v>
      </c>
      <c r="F2589" s="67">
        <v>1026000</v>
      </c>
      <c r="G2589" s="38">
        <v>215460</v>
      </c>
      <c r="H2589" s="56">
        <v>1303860</v>
      </c>
      <c r="I2589" s="28" t="s">
        <v>19</v>
      </c>
      <c r="J2589" s="43"/>
    </row>
    <row r="2590" spans="1:10" customFormat="1" ht="15.75" hidden="1" customHeight="1" x14ac:dyDescent="0.25">
      <c r="A2590" s="57">
        <v>45245</v>
      </c>
      <c r="B2590" s="36" t="s">
        <v>5773</v>
      </c>
      <c r="C2590" s="28" t="s">
        <v>2942</v>
      </c>
      <c r="D2590" s="28" t="s">
        <v>4241</v>
      </c>
      <c r="E2590" s="38">
        <v>12500</v>
      </c>
      <c r="F2590" s="67">
        <v>110715</v>
      </c>
      <c r="G2590" s="38">
        <v>23250.15</v>
      </c>
      <c r="H2590" s="56">
        <v>146465.15</v>
      </c>
      <c r="I2590" s="28" t="s">
        <v>19</v>
      </c>
      <c r="J2590" s="43"/>
    </row>
    <row r="2591" spans="1:10" customFormat="1" ht="15.75" hidden="1" customHeight="1" x14ac:dyDescent="0.25">
      <c r="A2591" s="57">
        <v>45245</v>
      </c>
      <c r="B2591" s="36" t="s">
        <v>5774</v>
      </c>
      <c r="C2591" s="28" t="s">
        <v>2870</v>
      </c>
      <c r="D2591" s="28" t="s">
        <v>2998</v>
      </c>
      <c r="E2591" s="38">
        <v>7900</v>
      </c>
      <c r="F2591" s="67">
        <v>128125</v>
      </c>
      <c r="G2591" s="38">
        <v>26906.25</v>
      </c>
      <c r="H2591" s="56">
        <v>162931.25</v>
      </c>
      <c r="I2591" s="28" t="s">
        <v>19</v>
      </c>
      <c r="J2591" s="43"/>
    </row>
    <row r="2592" spans="1:10" customFormat="1" ht="15.75" hidden="1" customHeight="1" x14ac:dyDescent="0.25">
      <c r="A2592" s="57">
        <v>45245</v>
      </c>
      <c r="B2592" s="36" t="s">
        <v>5775</v>
      </c>
      <c r="C2592" s="28" t="s">
        <v>4240</v>
      </c>
      <c r="D2592" s="28" t="s">
        <v>2939</v>
      </c>
      <c r="E2592" s="38">
        <v>7200</v>
      </c>
      <c r="F2592" s="67">
        <v>110715</v>
      </c>
      <c r="G2592" s="38">
        <v>23250.15</v>
      </c>
      <c r="H2592" s="56">
        <v>141165.15</v>
      </c>
      <c r="I2592" s="28" t="s">
        <v>19</v>
      </c>
      <c r="J2592" s="43"/>
    </row>
    <row r="2593" spans="1:10" customFormat="1" ht="15.75" hidden="1" customHeight="1" x14ac:dyDescent="0.25">
      <c r="A2593" s="57">
        <v>45245</v>
      </c>
      <c r="B2593" s="36" t="s">
        <v>5776</v>
      </c>
      <c r="C2593" s="28" t="s">
        <v>2997</v>
      </c>
      <c r="D2593" s="28" t="s">
        <v>3012</v>
      </c>
      <c r="E2593" s="38">
        <v>14400</v>
      </c>
      <c r="F2593" s="67">
        <v>303125</v>
      </c>
      <c r="G2593" s="38">
        <v>63656.25</v>
      </c>
      <c r="H2593" s="56">
        <v>381181.25</v>
      </c>
      <c r="I2593" s="28" t="s">
        <v>19</v>
      </c>
      <c r="J2593" s="43"/>
    </row>
    <row r="2594" spans="1:10" customFormat="1" ht="15.75" hidden="1" customHeight="1" x14ac:dyDescent="0.25">
      <c r="A2594" s="57">
        <v>45245</v>
      </c>
      <c r="B2594" s="36" t="s">
        <v>5777</v>
      </c>
      <c r="C2594" s="28" t="s">
        <v>2938</v>
      </c>
      <c r="D2594" s="28" t="s">
        <v>2998</v>
      </c>
      <c r="E2594" s="38">
        <v>0</v>
      </c>
      <c r="F2594" s="67">
        <v>862500</v>
      </c>
      <c r="G2594" s="38">
        <v>181125</v>
      </c>
      <c r="H2594" s="56">
        <v>1043625</v>
      </c>
      <c r="I2594" s="28" t="s">
        <v>19</v>
      </c>
      <c r="J2594" s="43"/>
    </row>
    <row r="2595" spans="1:10" customFormat="1" ht="15.75" hidden="1" customHeight="1" x14ac:dyDescent="0.25">
      <c r="A2595" s="57">
        <v>45246</v>
      </c>
      <c r="B2595" s="36" t="s">
        <v>5778</v>
      </c>
      <c r="C2595" s="28" t="s">
        <v>3011</v>
      </c>
      <c r="D2595" s="28" t="s">
        <v>4917</v>
      </c>
      <c r="E2595" s="38">
        <v>5900</v>
      </c>
      <c r="F2595" s="67">
        <v>148438</v>
      </c>
      <c r="G2595" s="38">
        <v>31171.98</v>
      </c>
      <c r="H2595" s="56">
        <v>185509.98</v>
      </c>
      <c r="I2595" s="28" t="s">
        <v>19</v>
      </c>
      <c r="J2595" s="43"/>
    </row>
    <row r="2596" spans="1:10" customFormat="1" ht="15.75" hidden="1" customHeight="1" x14ac:dyDescent="0.25">
      <c r="A2596" s="57">
        <v>45246</v>
      </c>
      <c r="B2596" s="36" t="s">
        <v>5779</v>
      </c>
      <c r="C2596" s="28" t="s">
        <v>2997</v>
      </c>
      <c r="D2596" s="28" t="s">
        <v>3242</v>
      </c>
      <c r="E2596" s="38">
        <v>10520</v>
      </c>
      <c r="F2596" s="67">
        <v>149438</v>
      </c>
      <c r="G2596" s="38">
        <v>31381.98</v>
      </c>
      <c r="H2596" s="56">
        <v>191339.98</v>
      </c>
      <c r="I2596" s="28" t="s">
        <v>19</v>
      </c>
      <c r="J2596" s="43"/>
    </row>
    <row r="2597" spans="1:10" customFormat="1" ht="15.75" hidden="1" customHeight="1" x14ac:dyDescent="0.25">
      <c r="A2597" s="57">
        <v>45246</v>
      </c>
      <c r="B2597" s="36" t="s">
        <v>5780</v>
      </c>
      <c r="C2597" s="28" t="s">
        <v>4916</v>
      </c>
      <c r="D2597" s="28" t="s">
        <v>3174</v>
      </c>
      <c r="E2597" s="38">
        <v>63040</v>
      </c>
      <c r="F2597" s="67">
        <v>2866800</v>
      </c>
      <c r="G2597" s="38">
        <v>602028</v>
      </c>
      <c r="H2597" s="56">
        <v>3531868</v>
      </c>
      <c r="I2597" s="28" t="s">
        <v>19</v>
      </c>
      <c r="J2597" s="43"/>
    </row>
    <row r="2598" spans="1:10" customFormat="1" ht="15.75" hidden="1" customHeight="1" x14ac:dyDescent="0.25">
      <c r="A2598" s="57">
        <v>45246</v>
      </c>
      <c r="B2598" s="36" t="s">
        <v>5781</v>
      </c>
      <c r="C2598" s="28" t="s">
        <v>3241</v>
      </c>
      <c r="D2598" s="28" t="s">
        <v>3604</v>
      </c>
      <c r="E2598" s="38">
        <v>12000</v>
      </c>
      <c r="F2598" s="67">
        <v>128125</v>
      </c>
      <c r="G2598" s="38">
        <v>26906.25</v>
      </c>
      <c r="H2598" s="56">
        <v>167031.25</v>
      </c>
      <c r="I2598" s="28" t="s">
        <v>19</v>
      </c>
      <c r="J2598" s="43"/>
    </row>
    <row r="2599" spans="1:10" customFormat="1" ht="15.75" hidden="1" customHeight="1" x14ac:dyDescent="0.25">
      <c r="A2599" s="57">
        <v>45246</v>
      </c>
      <c r="B2599" s="36" t="s">
        <v>5782</v>
      </c>
      <c r="C2599" s="28" t="s">
        <v>3173</v>
      </c>
      <c r="D2599" s="28" t="s">
        <v>3042</v>
      </c>
      <c r="E2599" s="38">
        <v>2900</v>
      </c>
      <c r="F2599" s="67">
        <v>81250</v>
      </c>
      <c r="G2599" s="38">
        <v>17062.5</v>
      </c>
      <c r="H2599" s="56">
        <v>101212.5</v>
      </c>
      <c r="I2599" s="28" t="s">
        <v>19</v>
      </c>
      <c r="J2599" s="43"/>
    </row>
    <row r="2600" spans="1:10" customFormat="1" ht="15.75" hidden="1" customHeight="1" x14ac:dyDescent="0.25">
      <c r="A2600" s="57">
        <v>45246</v>
      </c>
      <c r="B2600" s="36" t="s">
        <v>5783</v>
      </c>
      <c r="C2600" s="28" t="s">
        <v>3603</v>
      </c>
      <c r="D2600" s="28" t="s">
        <v>2965</v>
      </c>
      <c r="E2600" s="38">
        <v>13900</v>
      </c>
      <c r="F2600" s="67">
        <v>215625</v>
      </c>
      <c r="G2600" s="38">
        <v>45281.25</v>
      </c>
      <c r="H2600" s="56">
        <v>274806.25</v>
      </c>
      <c r="I2600" s="28" t="s">
        <v>19</v>
      </c>
      <c r="J2600" s="43"/>
    </row>
    <row r="2601" spans="1:10" customFormat="1" ht="15.75" hidden="1" customHeight="1" x14ac:dyDescent="0.25">
      <c r="A2601" s="57">
        <v>45246</v>
      </c>
      <c r="B2601" s="36" t="s">
        <v>5784</v>
      </c>
      <c r="C2601" s="28" t="s">
        <v>3041</v>
      </c>
      <c r="D2601" s="28" t="s">
        <v>5785</v>
      </c>
      <c r="E2601" s="38">
        <v>10400</v>
      </c>
      <c r="F2601" s="67">
        <v>126562.5</v>
      </c>
      <c r="G2601" s="38">
        <v>26578.13</v>
      </c>
      <c r="H2601" s="56">
        <v>163540.63</v>
      </c>
      <c r="I2601" s="28" t="s">
        <v>19</v>
      </c>
      <c r="J2601" s="43"/>
    </row>
    <row r="2602" spans="1:10" customFormat="1" ht="15.75" hidden="1" customHeight="1" x14ac:dyDescent="0.25">
      <c r="A2602" s="57">
        <v>45246</v>
      </c>
      <c r="B2602" s="36" t="s">
        <v>5786</v>
      </c>
      <c r="C2602" s="28" t="s">
        <v>2964</v>
      </c>
      <c r="D2602" s="28" t="s">
        <v>3068</v>
      </c>
      <c r="E2602" s="38">
        <v>10400</v>
      </c>
      <c r="F2602" s="67">
        <v>84375</v>
      </c>
      <c r="G2602" s="38">
        <v>17718.75</v>
      </c>
      <c r="H2602" s="56">
        <v>112493.75</v>
      </c>
      <c r="I2602" s="28" t="s">
        <v>19</v>
      </c>
      <c r="J2602" s="43"/>
    </row>
    <row r="2603" spans="1:10" customFormat="1" ht="15.75" hidden="1" customHeight="1" x14ac:dyDescent="0.25">
      <c r="A2603" s="57">
        <v>45246</v>
      </c>
      <c r="B2603" s="36" t="s">
        <v>5787</v>
      </c>
      <c r="C2603" s="28" t="s">
        <v>5788</v>
      </c>
      <c r="D2603" s="28" t="s">
        <v>3068</v>
      </c>
      <c r="E2603" s="38">
        <v>10400</v>
      </c>
      <c r="F2603" s="67">
        <v>84375</v>
      </c>
      <c r="G2603" s="38">
        <v>17718.75</v>
      </c>
      <c r="H2603" s="56">
        <v>112493.75</v>
      </c>
      <c r="I2603" s="28" t="s">
        <v>19</v>
      </c>
      <c r="J2603" s="43"/>
    </row>
    <row r="2604" spans="1:10" customFormat="1" ht="15.75" hidden="1" customHeight="1" x14ac:dyDescent="0.25">
      <c r="A2604" s="57">
        <v>45246</v>
      </c>
      <c r="B2604" s="36" t="s">
        <v>5789</v>
      </c>
      <c r="C2604" s="28" t="s">
        <v>3067</v>
      </c>
      <c r="D2604" s="28" t="s">
        <v>3012</v>
      </c>
      <c r="E2604" s="38">
        <v>10400</v>
      </c>
      <c r="F2604" s="67">
        <v>84375</v>
      </c>
      <c r="G2604" s="38">
        <v>17718.75</v>
      </c>
      <c r="H2604" s="56">
        <v>112493.75</v>
      </c>
      <c r="I2604" s="28" t="s">
        <v>19</v>
      </c>
      <c r="J2604" s="43"/>
    </row>
    <row r="2605" spans="1:10" customFormat="1" ht="15.75" hidden="1" customHeight="1" x14ac:dyDescent="0.25">
      <c r="A2605" s="57">
        <v>45246</v>
      </c>
      <c r="B2605" s="36" t="s">
        <v>5790</v>
      </c>
      <c r="C2605" s="28" t="s">
        <v>3067</v>
      </c>
      <c r="D2605" s="28" t="s">
        <v>4163</v>
      </c>
      <c r="E2605" s="38">
        <v>10400</v>
      </c>
      <c r="F2605" s="67">
        <v>84375</v>
      </c>
      <c r="G2605" s="38">
        <v>17718.75</v>
      </c>
      <c r="H2605" s="56">
        <v>112493.75</v>
      </c>
      <c r="I2605" s="28" t="s">
        <v>19</v>
      </c>
      <c r="J2605" s="43"/>
    </row>
    <row r="2606" spans="1:10" customFormat="1" ht="15.75" hidden="1" customHeight="1" x14ac:dyDescent="0.25">
      <c r="A2606" s="57">
        <v>45246</v>
      </c>
      <c r="B2606" s="36" t="s">
        <v>5791</v>
      </c>
      <c r="C2606" s="28" t="s">
        <v>3011</v>
      </c>
      <c r="D2606" s="28" t="s">
        <v>3563</v>
      </c>
      <c r="E2606" s="38">
        <v>141000</v>
      </c>
      <c r="F2606" s="67">
        <v>1915628</v>
      </c>
      <c r="G2606" s="38">
        <v>402281.88</v>
      </c>
      <c r="H2606" s="56">
        <v>2458909.88</v>
      </c>
      <c r="I2606" s="28" t="s">
        <v>19</v>
      </c>
      <c r="J2606" s="43"/>
    </row>
    <row r="2607" spans="1:10" customFormat="1" ht="15.75" hidden="1" customHeight="1" x14ac:dyDescent="0.25">
      <c r="A2607" s="57">
        <v>45246</v>
      </c>
      <c r="B2607" s="36" t="s">
        <v>5792</v>
      </c>
      <c r="C2607" s="28" t="s">
        <v>4162</v>
      </c>
      <c r="D2607" s="28" t="s">
        <v>2904</v>
      </c>
      <c r="E2607" s="38">
        <v>5840</v>
      </c>
      <c r="F2607" s="67">
        <v>148438</v>
      </c>
      <c r="G2607" s="38">
        <v>31171.98</v>
      </c>
      <c r="H2607" s="56">
        <v>185449.98</v>
      </c>
      <c r="I2607" s="28" t="s">
        <v>19</v>
      </c>
      <c r="J2607" s="43"/>
    </row>
    <row r="2608" spans="1:10" customFormat="1" ht="15.75" hidden="1" customHeight="1" x14ac:dyDescent="0.25">
      <c r="A2608" s="57">
        <v>45246</v>
      </c>
      <c r="B2608" s="36" t="s">
        <v>5793</v>
      </c>
      <c r="C2608" s="28" t="s">
        <v>3562</v>
      </c>
      <c r="D2608" s="28" t="s">
        <v>2922</v>
      </c>
      <c r="E2608" s="38">
        <v>10400</v>
      </c>
      <c r="F2608" s="67">
        <v>106000</v>
      </c>
      <c r="G2608" s="38">
        <v>22260</v>
      </c>
      <c r="H2608" s="56">
        <v>138660</v>
      </c>
      <c r="I2608" s="28" t="s">
        <v>19</v>
      </c>
      <c r="J2608" s="43"/>
    </row>
    <row r="2609" spans="1:10" customFormat="1" ht="15.75" hidden="1" customHeight="1" x14ac:dyDescent="0.25">
      <c r="A2609" s="57">
        <v>45246</v>
      </c>
      <c r="B2609" s="36" t="s">
        <v>5794</v>
      </c>
      <c r="C2609" s="28" t="s">
        <v>2903</v>
      </c>
      <c r="D2609" s="28" t="s">
        <v>2925</v>
      </c>
      <c r="E2609" s="38">
        <v>10400</v>
      </c>
      <c r="F2609" s="67">
        <v>159000</v>
      </c>
      <c r="G2609" s="38">
        <v>33390</v>
      </c>
      <c r="H2609" s="56">
        <v>202790</v>
      </c>
      <c r="I2609" s="28" t="s">
        <v>19</v>
      </c>
      <c r="J2609" s="43"/>
    </row>
    <row r="2610" spans="1:10" customFormat="1" ht="15.75" hidden="1" customHeight="1" x14ac:dyDescent="0.25">
      <c r="A2610" s="57">
        <v>45246</v>
      </c>
      <c r="B2610" s="36" t="s">
        <v>5795</v>
      </c>
      <c r="C2610" s="28" t="s">
        <v>2921</v>
      </c>
      <c r="D2610" s="28" t="s">
        <v>2965</v>
      </c>
      <c r="E2610" s="38">
        <v>20800</v>
      </c>
      <c r="F2610" s="67">
        <v>212000</v>
      </c>
      <c r="G2610" s="38">
        <v>44520</v>
      </c>
      <c r="H2610" s="56">
        <v>277320</v>
      </c>
      <c r="I2610" s="28" t="s">
        <v>19</v>
      </c>
      <c r="J2610" s="43"/>
    </row>
    <row r="2611" spans="1:10" customFormat="1" ht="15.75" hidden="1" customHeight="1" x14ac:dyDescent="0.25">
      <c r="A2611" s="57">
        <v>45247</v>
      </c>
      <c r="B2611" s="36" t="s">
        <v>5796</v>
      </c>
      <c r="C2611" s="28" t="s">
        <v>2924</v>
      </c>
      <c r="D2611" s="28" t="s">
        <v>2852</v>
      </c>
      <c r="E2611" s="38">
        <v>13600</v>
      </c>
      <c r="F2611" s="67">
        <v>192187.5</v>
      </c>
      <c r="G2611" s="38">
        <v>40359.370000000003</v>
      </c>
      <c r="H2611" s="56">
        <v>246146.87</v>
      </c>
      <c r="I2611" s="28" t="s">
        <v>19</v>
      </c>
      <c r="J2611" s="43"/>
    </row>
    <row r="2612" spans="1:10" customFormat="1" ht="15.75" hidden="1" customHeight="1" x14ac:dyDescent="0.25">
      <c r="A2612" s="57">
        <v>45247</v>
      </c>
      <c r="B2612" s="36" t="s">
        <v>5797</v>
      </c>
      <c r="C2612" s="28" t="s">
        <v>2964</v>
      </c>
      <c r="D2612" s="28" t="s">
        <v>2955</v>
      </c>
      <c r="E2612" s="38">
        <v>2720</v>
      </c>
      <c r="F2612" s="67">
        <v>96875</v>
      </c>
      <c r="G2612" s="38">
        <v>20343.75</v>
      </c>
      <c r="H2612" s="56">
        <v>119938.75</v>
      </c>
      <c r="I2612" s="28" t="s">
        <v>19</v>
      </c>
      <c r="J2612" s="43"/>
    </row>
    <row r="2613" spans="1:10" customFormat="1" ht="15.75" hidden="1" customHeight="1" x14ac:dyDescent="0.25">
      <c r="A2613" s="57">
        <v>45247</v>
      </c>
      <c r="B2613" s="36" t="s">
        <v>5798</v>
      </c>
      <c r="C2613" s="28" t="s">
        <v>2851</v>
      </c>
      <c r="D2613" s="28" t="s">
        <v>3767</v>
      </c>
      <c r="E2613" s="38">
        <v>3180</v>
      </c>
      <c r="F2613" s="67">
        <v>96875</v>
      </c>
      <c r="G2613" s="38">
        <v>20343.75</v>
      </c>
      <c r="H2613" s="56">
        <v>120398.75</v>
      </c>
      <c r="I2613" s="28" t="s">
        <v>19</v>
      </c>
      <c r="J2613" s="43"/>
    </row>
    <row r="2614" spans="1:10" customFormat="1" ht="15.75" hidden="1" customHeight="1" x14ac:dyDescent="0.25">
      <c r="A2614" s="57">
        <v>45252</v>
      </c>
      <c r="B2614" s="36" t="s">
        <v>5799</v>
      </c>
      <c r="C2614" s="28" t="s">
        <v>2954</v>
      </c>
      <c r="D2614" s="28" t="s">
        <v>2946</v>
      </c>
      <c r="E2614" s="38">
        <v>0</v>
      </c>
      <c r="F2614" s="67">
        <v>65625</v>
      </c>
      <c r="G2614" s="38">
        <v>13781.25</v>
      </c>
      <c r="H2614" s="56">
        <v>79406.25</v>
      </c>
      <c r="I2614" s="28" t="s">
        <v>19</v>
      </c>
      <c r="J2614" s="43"/>
    </row>
    <row r="2615" spans="1:10" customFormat="1" ht="15.75" hidden="1" customHeight="1" x14ac:dyDescent="0.25">
      <c r="A2615" s="57">
        <v>45252</v>
      </c>
      <c r="B2615" s="36" t="s">
        <v>5800</v>
      </c>
      <c r="C2615" s="28" t="s">
        <v>3766</v>
      </c>
      <c r="D2615" s="28" t="s">
        <v>4780</v>
      </c>
      <c r="E2615" s="38">
        <v>0</v>
      </c>
      <c r="F2615" s="67">
        <v>65625</v>
      </c>
      <c r="G2615" s="38">
        <v>13781.25</v>
      </c>
      <c r="H2615" s="56">
        <v>79406.25</v>
      </c>
      <c r="I2615" s="28" t="s">
        <v>19</v>
      </c>
      <c r="J2615" s="43"/>
    </row>
    <row r="2616" spans="1:10" customFormat="1" ht="15.75" hidden="1" customHeight="1" x14ac:dyDescent="0.25">
      <c r="A2616" s="57">
        <v>45252</v>
      </c>
      <c r="B2616" s="36" t="s">
        <v>5801</v>
      </c>
      <c r="C2616" s="28" t="s">
        <v>2945</v>
      </c>
      <c r="D2616" s="28" t="s">
        <v>2910</v>
      </c>
      <c r="E2616" s="38">
        <v>0</v>
      </c>
      <c r="F2616" s="67">
        <v>65625</v>
      </c>
      <c r="G2616" s="38">
        <v>13781.25</v>
      </c>
      <c r="H2616" s="56">
        <v>79406.25</v>
      </c>
      <c r="I2616" s="28" t="s">
        <v>19</v>
      </c>
      <c r="J2616" s="43"/>
    </row>
    <row r="2617" spans="1:10" customFormat="1" ht="15.75" hidden="1" customHeight="1" x14ac:dyDescent="0.25">
      <c r="A2617" s="57">
        <v>45252</v>
      </c>
      <c r="B2617" s="36" t="s">
        <v>5802</v>
      </c>
      <c r="C2617" s="28" t="s">
        <v>4779</v>
      </c>
      <c r="D2617" s="28" t="s">
        <v>2910</v>
      </c>
      <c r="E2617" s="38">
        <v>8800</v>
      </c>
      <c r="F2617" s="67">
        <v>257812.5</v>
      </c>
      <c r="G2617" s="38">
        <v>54140.63</v>
      </c>
      <c r="H2617" s="56">
        <v>320753.13</v>
      </c>
      <c r="I2617" s="28" t="s">
        <v>19</v>
      </c>
      <c r="J2617" s="43"/>
    </row>
    <row r="2618" spans="1:10" customFormat="1" ht="15.75" hidden="1" customHeight="1" x14ac:dyDescent="0.25">
      <c r="A2618" s="57">
        <v>45252</v>
      </c>
      <c r="B2618" s="36" t="s">
        <v>5803</v>
      </c>
      <c r="C2618" s="28" t="s">
        <v>2909</v>
      </c>
      <c r="D2618" s="28" t="s">
        <v>2857</v>
      </c>
      <c r="E2618" s="38">
        <v>14400</v>
      </c>
      <c r="F2618" s="67">
        <v>128125</v>
      </c>
      <c r="G2618" s="38">
        <v>26906.25</v>
      </c>
      <c r="H2618" s="56">
        <v>169431.25</v>
      </c>
      <c r="I2618" s="28" t="s">
        <v>19</v>
      </c>
      <c r="J2618" s="43"/>
    </row>
    <row r="2619" spans="1:10" customFormat="1" ht="15.75" hidden="1" customHeight="1" x14ac:dyDescent="0.25">
      <c r="A2619" s="57">
        <v>45252</v>
      </c>
      <c r="B2619" s="36" t="s">
        <v>5804</v>
      </c>
      <c r="C2619" s="28" t="s">
        <v>2909</v>
      </c>
      <c r="D2619" s="28" t="s">
        <v>3236</v>
      </c>
      <c r="E2619" s="38">
        <v>10900</v>
      </c>
      <c r="F2619" s="67">
        <v>192187.5</v>
      </c>
      <c r="G2619" s="38">
        <v>40359.370000000003</v>
      </c>
      <c r="H2619" s="56">
        <v>243446.87</v>
      </c>
      <c r="I2619" s="28" t="s">
        <v>19</v>
      </c>
      <c r="J2619" s="43"/>
    </row>
    <row r="2620" spans="1:10" customFormat="1" ht="15.75" hidden="1" customHeight="1" x14ac:dyDescent="0.25">
      <c r="A2620" s="57">
        <v>45252</v>
      </c>
      <c r="B2620" s="36" t="s">
        <v>5805</v>
      </c>
      <c r="C2620" s="28" t="s">
        <v>2856</v>
      </c>
      <c r="D2620" s="28" t="s">
        <v>2904</v>
      </c>
      <c r="E2620" s="38">
        <v>10400</v>
      </c>
      <c r="F2620" s="67">
        <v>193750</v>
      </c>
      <c r="G2620" s="38">
        <v>40687.5</v>
      </c>
      <c r="H2620" s="56">
        <v>244837.5</v>
      </c>
      <c r="I2620" s="28" t="s">
        <v>19</v>
      </c>
      <c r="J2620" s="43"/>
    </row>
    <row r="2621" spans="1:10" customFormat="1" ht="15.75" hidden="1" customHeight="1" x14ac:dyDescent="0.25">
      <c r="A2621" s="57">
        <v>45252</v>
      </c>
      <c r="B2621" s="36" t="s">
        <v>5806</v>
      </c>
      <c r="C2621" s="28" t="s">
        <v>3235</v>
      </c>
      <c r="D2621" s="28" t="s">
        <v>5623</v>
      </c>
      <c r="E2621" s="38">
        <v>10400</v>
      </c>
      <c r="F2621" s="67">
        <v>106000</v>
      </c>
      <c r="G2621" s="38">
        <v>22260</v>
      </c>
      <c r="H2621" s="56">
        <v>138660</v>
      </c>
      <c r="I2621" s="28" t="s">
        <v>19</v>
      </c>
      <c r="J2621" s="43"/>
    </row>
    <row r="2622" spans="1:10" customFormat="1" ht="15.75" hidden="1" customHeight="1" x14ac:dyDescent="0.25">
      <c r="A2622" s="57">
        <v>45252</v>
      </c>
      <c r="B2622" s="36" t="s">
        <v>5807</v>
      </c>
      <c r="C2622" s="28" t="s">
        <v>2903</v>
      </c>
      <c r="D2622" s="28" t="s">
        <v>2904</v>
      </c>
      <c r="E2622" s="38">
        <v>10400</v>
      </c>
      <c r="F2622" s="67">
        <v>159000</v>
      </c>
      <c r="G2622" s="38">
        <v>33390</v>
      </c>
      <c r="H2622" s="56">
        <v>202790</v>
      </c>
      <c r="I2622" s="28" t="s">
        <v>19</v>
      </c>
      <c r="J2622" s="43"/>
    </row>
    <row r="2623" spans="1:10" customFormat="1" ht="15.75" hidden="1" customHeight="1" x14ac:dyDescent="0.25">
      <c r="A2623" s="57">
        <v>45252</v>
      </c>
      <c r="B2623" s="36" t="s">
        <v>5808</v>
      </c>
      <c r="C2623" s="28" t="s">
        <v>5622</v>
      </c>
      <c r="D2623" s="28" t="s">
        <v>2922</v>
      </c>
      <c r="E2623" s="38">
        <v>10400</v>
      </c>
      <c r="F2623" s="67">
        <v>106000</v>
      </c>
      <c r="G2623" s="38">
        <v>22260</v>
      </c>
      <c r="H2623" s="56">
        <v>138660</v>
      </c>
      <c r="I2623" s="28" t="s">
        <v>19</v>
      </c>
      <c r="J2623" s="43"/>
    </row>
    <row r="2624" spans="1:10" customFormat="1" ht="15.75" hidden="1" customHeight="1" x14ac:dyDescent="0.25">
      <c r="A2624" s="57">
        <v>45252</v>
      </c>
      <c r="B2624" s="36" t="s">
        <v>5809</v>
      </c>
      <c r="C2624" s="28" t="s">
        <v>2903</v>
      </c>
      <c r="D2624" s="28" t="s">
        <v>3236</v>
      </c>
      <c r="E2624" s="38">
        <v>10400</v>
      </c>
      <c r="F2624" s="67">
        <v>106000</v>
      </c>
      <c r="G2624" s="38">
        <v>22260</v>
      </c>
      <c r="H2624" s="56">
        <v>138660</v>
      </c>
      <c r="I2624" s="28" t="s">
        <v>19</v>
      </c>
      <c r="J2624" s="43"/>
    </row>
    <row r="2625" spans="1:10" customFormat="1" ht="15.75" hidden="1" customHeight="1" x14ac:dyDescent="0.25">
      <c r="A2625" s="57">
        <v>45252</v>
      </c>
      <c r="B2625" s="36" t="s">
        <v>5810</v>
      </c>
      <c r="C2625" s="28" t="s">
        <v>2921</v>
      </c>
      <c r="D2625" s="28" t="s">
        <v>2998</v>
      </c>
      <c r="E2625" s="38">
        <v>20400</v>
      </c>
      <c r="F2625" s="67">
        <v>212000</v>
      </c>
      <c r="G2625" s="38">
        <v>44520</v>
      </c>
      <c r="H2625" s="56">
        <v>276920</v>
      </c>
      <c r="I2625" s="28" t="s">
        <v>19</v>
      </c>
      <c r="J2625" s="43"/>
    </row>
    <row r="2626" spans="1:10" customFormat="1" ht="15.75" hidden="1" customHeight="1" x14ac:dyDescent="0.25">
      <c r="A2626" s="57">
        <v>45252</v>
      </c>
      <c r="B2626" s="36" t="s">
        <v>5811</v>
      </c>
      <c r="C2626" s="28" t="s">
        <v>3235</v>
      </c>
      <c r="D2626" s="28" t="s">
        <v>2857</v>
      </c>
      <c r="E2626" s="38">
        <v>20800</v>
      </c>
      <c r="F2626" s="67">
        <v>168750</v>
      </c>
      <c r="G2626" s="38">
        <v>35437.5</v>
      </c>
      <c r="H2626" s="56">
        <v>224987.5</v>
      </c>
      <c r="I2626" s="28" t="s">
        <v>19</v>
      </c>
      <c r="J2626" s="43"/>
    </row>
    <row r="2627" spans="1:10" customFormat="1" ht="15.75" hidden="1" customHeight="1" x14ac:dyDescent="0.25">
      <c r="A2627" s="57">
        <v>45252</v>
      </c>
      <c r="B2627" s="36" t="s">
        <v>5812</v>
      </c>
      <c r="C2627" s="28" t="s">
        <v>2997</v>
      </c>
      <c r="D2627" s="28" t="s">
        <v>3236</v>
      </c>
      <c r="E2627" s="38">
        <v>28800</v>
      </c>
      <c r="F2627" s="67">
        <v>606250</v>
      </c>
      <c r="G2627" s="38">
        <v>127312.5</v>
      </c>
      <c r="H2627" s="56">
        <v>762362.5</v>
      </c>
      <c r="I2627" s="28" t="s">
        <v>19</v>
      </c>
      <c r="J2627" s="43"/>
    </row>
    <row r="2628" spans="1:10" customFormat="1" ht="15.75" hidden="1" customHeight="1" x14ac:dyDescent="0.25">
      <c r="A2628" s="57">
        <v>45252</v>
      </c>
      <c r="B2628" s="36" t="s">
        <v>5813</v>
      </c>
      <c r="C2628" s="28" t="s">
        <v>2856</v>
      </c>
      <c r="D2628" s="28" t="s">
        <v>2910</v>
      </c>
      <c r="E2628" s="38">
        <v>10400</v>
      </c>
      <c r="F2628" s="67">
        <v>193750</v>
      </c>
      <c r="G2628" s="38">
        <v>40687.5</v>
      </c>
      <c r="H2628" s="56">
        <v>244837.5</v>
      </c>
      <c r="I2628" s="28" t="s">
        <v>19</v>
      </c>
      <c r="J2628" s="43"/>
    </row>
    <row r="2629" spans="1:10" customFormat="1" ht="15.75" hidden="1" customHeight="1" x14ac:dyDescent="0.25">
      <c r="A2629" s="57">
        <v>45253</v>
      </c>
      <c r="B2629" s="36" t="s">
        <v>5814</v>
      </c>
      <c r="C2629" s="28" t="s">
        <v>3235</v>
      </c>
      <c r="D2629" s="28" t="s">
        <v>2925</v>
      </c>
      <c r="E2629" s="38">
        <v>17000</v>
      </c>
      <c r="F2629" s="67">
        <v>148438</v>
      </c>
      <c r="G2629" s="38">
        <v>31171.98</v>
      </c>
      <c r="H2629" s="56">
        <v>196609.98</v>
      </c>
      <c r="I2629" s="28" t="s">
        <v>19</v>
      </c>
      <c r="J2629" s="43"/>
    </row>
    <row r="2630" spans="1:10" customFormat="1" ht="15.75" hidden="1" customHeight="1" x14ac:dyDescent="0.25">
      <c r="A2630" s="57">
        <v>45253</v>
      </c>
      <c r="B2630" s="36" t="s">
        <v>5815</v>
      </c>
      <c r="C2630" s="28" t="s">
        <v>2909</v>
      </c>
      <c r="D2630" s="28" t="s">
        <v>2998</v>
      </c>
      <c r="E2630" s="38">
        <v>12000</v>
      </c>
      <c r="F2630" s="67">
        <v>222657</v>
      </c>
      <c r="G2630" s="38">
        <v>46757.97</v>
      </c>
      <c r="H2630" s="56">
        <v>281414.96999999997</v>
      </c>
      <c r="I2630" s="28" t="s">
        <v>19</v>
      </c>
      <c r="J2630" s="43"/>
    </row>
    <row r="2631" spans="1:10" customFormat="1" ht="15.75" hidden="1" customHeight="1" x14ac:dyDescent="0.25">
      <c r="A2631" s="57">
        <v>45253</v>
      </c>
      <c r="B2631" s="36" t="s">
        <v>5816</v>
      </c>
      <c r="C2631" s="28" t="s">
        <v>2924</v>
      </c>
      <c r="D2631" s="28" t="s">
        <v>3037</v>
      </c>
      <c r="E2631" s="38">
        <v>45000</v>
      </c>
      <c r="F2631" s="67">
        <v>783752</v>
      </c>
      <c r="G2631" s="38">
        <v>164587.92000000001</v>
      </c>
      <c r="H2631" s="56">
        <v>993339.92</v>
      </c>
      <c r="I2631" s="28" t="s">
        <v>19</v>
      </c>
      <c r="J2631" s="43"/>
    </row>
    <row r="2632" spans="1:10" customFormat="1" ht="15.75" hidden="1" customHeight="1" x14ac:dyDescent="0.25">
      <c r="A2632" s="57">
        <v>45253</v>
      </c>
      <c r="B2632" s="36" t="s">
        <v>5817</v>
      </c>
      <c r="C2632" s="28" t="s">
        <v>2997</v>
      </c>
      <c r="D2632" s="28" t="s">
        <v>2887</v>
      </c>
      <c r="E2632" s="38">
        <v>18300</v>
      </c>
      <c r="F2632" s="67">
        <v>391876</v>
      </c>
      <c r="G2632" s="38">
        <v>82293.960000000006</v>
      </c>
      <c r="H2632" s="56">
        <v>492469.96</v>
      </c>
      <c r="I2632" s="28" t="s">
        <v>19</v>
      </c>
      <c r="J2632" s="43"/>
    </row>
    <row r="2633" spans="1:10" customFormat="1" ht="15.75" hidden="1" customHeight="1" x14ac:dyDescent="0.25">
      <c r="A2633" s="57">
        <v>45253</v>
      </c>
      <c r="B2633" s="36" t="s">
        <v>5818</v>
      </c>
      <c r="C2633" s="28" t="s">
        <v>3036</v>
      </c>
      <c r="D2633" s="28" t="s">
        <v>2893</v>
      </c>
      <c r="E2633" s="38">
        <v>12000</v>
      </c>
      <c r="F2633" s="67">
        <v>222657</v>
      </c>
      <c r="G2633" s="38">
        <v>46757.97</v>
      </c>
      <c r="H2633" s="56">
        <v>281414.96999999997</v>
      </c>
      <c r="I2633" s="28" t="s">
        <v>19</v>
      </c>
      <c r="J2633" s="43"/>
    </row>
    <row r="2634" spans="1:10" customFormat="1" ht="15.75" hidden="1" customHeight="1" x14ac:dyDescent="0.25">
      <c r="A2634" s="57">
        <v>45253</v>
      </c>
      <c r="B2634" s="36" t="s">
        <v>5819</v>
      </c>
      <c r="C2634" s="28" t="s">
        <v>2886</v>
      </c>
      <c r="D2634" s="28" t="s">
        <v>2857</v>
      </c>
      <c r="E2634" s="38">
        <v>3000</v>
      </c>
      <c r="F2634" s="67">
        <v>202500</v>
      </c>
      <c r="G2634" s="38">
        <v>42525</v>
      </c>
      <c r="H2634" s="56">
        <v>248025</v>
      </c>
      <c r="I2634" s="28" t="s">
        <v>19</v>
      </c>
      <c r="J2634" s="43"/>
    </row>
    <row r="2635" spans="1:10" customFormat="1" ht="15.75" hidden="1" customHeight="1" x14ac:dyDescent="0.25">
      <c r="A2635" s="57">
        <v>45253</v>
      </c>
      <c r="B2635" s="36" t="s">
        <v>5820</v>
      </c>
      <c r="C2635" s="28" t="s">
        <v>2892</v>
      </c>
      <c r="D2635" s="28" t="s">
        <v>3236</v>
      </c>
      <c r="E2635" s="38">
        <v>3500</v>
      </c>
      <c r="F2635" s="67">
        <v>78438</v>
      </c>
      <c r="G2635" s="38">
        <v>16471.98</v>
      </c>
      <c r="H2635" s="56">
        <v>98409.98</v>
      </c>
      <c r="I2635" s="28" t="s">
        <v>19</v>
      </c>
      <c r="J2635" s="43"/>
    </row>
    <row r="2636" spans="1:10" customFormat="1" ht="15.75" hidden="1" customHeight="1" x14ac:dyDescent="0.25">
      <c r="A2636" s="57">
        <v>45253</v>
      </c>
      <c r="B2636" s="36" t="s">
        <v>5821</v>
      </c>
      <c r="C2636" s="28" t="s">
        <v>2856</v>
      </c>
      <c r="D2636" s="28" t="s">
        <v>3236</v>
      </c>
      <c r="E2636" s="38">
        <v>14500</v>
      </c>
      <c r="F2636" s="67">
        <v>384375</v>
      </c>
      <c r="G2636" s="38">
        <v>80718.75</v>
      </c>
      <c r="H2636" s="56">
        <v>479593.75</v>
      </c>
      <c r="I2636" s="28" t="s">
        <v>19</v>
      </c>
      <c r="J2636" s="43"/>
    </row>
    <row r="2637" spans="1:10" customFormat="1" ht="15.75" hidden="1" customHeight="1" x14ac:dyDescent="0.25">
      <c r="A2637" s="57">
        <v>45253</v>
      </c>
      <c r="B2637" s="36" t="s">
        <v>5822</v>
      </c>
      <c r="C2637" s="28" t="s">
        <v>3235</v>
      </c>
      <c r="D2637" s="28" t="s">
        <v>2896</v>
      </c>
      <c r="E2637" s="38">
        <v>10400</v>
      </c>
      <c r="F2637" s="67">
        <v>106000</v>
      </c>
      <c r="G2637" s="38">
        <v>22260</v>
      </c>
      <c r="H2637" s="56">
        <v>138660</v>
      </c>
      <c r="I2637" s="28" t="s">
        <v>19</v>
      </c>
      <c r="J2637" s="43"/>
    </row>
    <row r="2638" spans="1:10" customFormat="1" ht="15.75" hidden="1" customHeight="1" x14ac:dyDescent="0.25">
      <c r="A2638" s="57">
        <v>45253</v>
      </c>
      <c r="B2638" s="58" t="s">
        <v>5823</v>
      </c>
      <c r="C2638" s="59" t="s">
        <v>3235</v>
      </c>
      <c r="D2638" s="59" t="s">
        <v>3015</v>
      </c>
      <c r="E2638" s="60">
        <v>10400</v>
      </c>
      <c r="F2638" s="115">
        <v>106000</v>
      </c>
      <c r="G2638" s="60">
        <v>22260</v>
      </c>
      <c r="H2638" s="61">
        <v>138660</v>
      </c>
      <c r="I2638" s="59" t="s">
        <v>19</v>
      </c>
      <c r="J2638" s="43"/>
    </row>
    <row r="2639" spans="1:10" ht="15.75" hidden="1" customHeight="1" x14ac:dyDescent="0.25">
      <c r="A2639" s="127">
        <v>45253</v>
      </c>
      <c r="B2639" s="121" t="s">
        <v>5824</v>
      </c>
      <c r="C2639" s="121" t="s">
        <v>2895</v>
      </c>
      <c r="D2639" s="121" t="s">
        <v>2922</v>
      </c>
      <c r="E2639" s="173">
        <v>10400</v>
      </c>
      <c r="F2639" s="174">
        <v>159000</v>
      </c>
      <c r="G2639" s="173">
        <v>33390</v>
      </c>
      <c r="H2639" s="173">
        <v>202790</v>
      </c>
      <c r="I2639" s="121" t="s">
        <v>19</v>
      </c>
      <c r="J2639" s="43"/>
    </row>
    <row r="2640" spans="1:10" customFormat="1" ht="15.75" hidden="1" customHeight="1" x14ac:dyDescent="0.25">
      <c r="A2640" s="170">
        <v>45253</v>
      </c>
      <c r="B2640" s="158" t="s">
        <v>5825</v>
      </c>
      <c r="C2640" s="55" t="s">
        <v>3014</v>
      </c>
      <c r="D2640" s="55" t="s">
        <v>5826</v>
      </c>
      <c r="E2640" s="159">
        <v>20800</v>
      </c>
      <c r="F2640" s="171">
        <v>212000</v>
      </c>
      <c r="G2640" s="159">
        <v>44520</v>
      </c>
      <c r="H2640" s="161">
        <v>277320</v>
      </c>
      <c r="I2640" s="55" t="s">
        <v>19</v>
      </c>
      <c r="J2640" s="43"/>
    </row>
    <row r="2641" spans="1:10" customFormat="1" ht="15.75" hidden="1" customHeight="1" x14ac:dyDescent="0.25">
      <c r="A2641" s="57">
        <v>45253</v>
      </c>
      <c r="B2641" s="36" t="s">
        <v>5827</v>
      </c>
      <c r="C2641" s="28" t="s">
        <v>2921</v>
      </c>
      <c r="D2641" s="28" t="s">
        <v>2922</v>
      </c>
      <c r="E2641" s="38">
        <v>20800</v>
      </c>
      <c r="F2641" s="67">
        <v>212000</v>
      </c>
      <c r="G2641" s="38">
        <v>44520</v>
      </c>
      <c r="H2641" s="56">
        <v>277320</v>
      </c>
      <c r="I2641" s="28" t="s">
        <v>19</v>
      </c>
      <c r="J2641" s="43"/>
    </row>
    <row r="2642" spans="1:10" customFormat="1" ht="15.75" hidden="1" customHeight="1" x14ac:dyDescent="0.25">
      <c r="A2642" s="57">
        <v>45253</v>
      </c>
      <c r="B2642" s="36" t="s">
        <v>5828</v>
      </c>
      <c r="C2642" s="28" t="s">
        <v>5829</v>
      </c>
      <c r="D2642" s="28" t="s">
        <v>2922</v>
      </c>
      <c r="E2642" s="38">
        <v>20800</v>
      </c>
      <c r="F2642" s="67">
        <v>303125</v>
      </c>
      <c r="G2642" s="38">
        <v>63656.25</v>
      </c>
      <c r="H2642" s="56">
        <v>387581.25</v>
      </c>
      <c r="I2642" s="28" t="s">
        <v>19</v>
      </c>
      <c r="J2642" s="43"/>
    </row>
    <row r="2643" spans="1:10" customFormat="1" ht="15.75" hidden="1" customHeight="1" x14ac:dyDescent="0.25">
      <c r="A2643" s="57">
        <v>45253</v>
      </c>
      <c r="B2643" s="36" t="s">
        <v>5830</v>
      </c>
      <c r="C2643" s="28" t="s">
        <v>2921</v>
      </c>
      <c r="D2643" s="28" t="s">
        <v>3012</v>
      </c>
      <c r="E2643" s="38">
        <v>0</v>
      </c>
      <c r="F2643" s="67">
        <v>36000</v>
      </c>
      <c r="G2643" s="38">
        <v>7560</v>
      </c>
      <c r="H2643" s="56">
        <v>43560</v>
      </c>
      <c r="I2643" s="28" t="s">
        <v>19</v>
      </c>
      <c r="J2643" s="43"/>
    </row>
    <row r="2644" spans="1:10" customFormat="1" ht="15.75" hidden="1" customHeight="1" x14ac:dyDescent="0.25">
      <c r="A2644" s="57">
        <v>45253</v>
      </c>
      <c r="B2644" s="36" t="s">
        <v>5831</v>
      </c>
      <c r="C2644" s="28" t="s">
        <v>2921</v>
      </c>
      <c r="D2644" s="28" t="s">
        <v>2868</v>
      </c>
      <c r="E2644" s="38">
        <v>12200</v>
      </c>
      <c r="F2644" s="67">
        <v>128125</v>
      </c>
      <c r="G2644" s="38">
        <v>26906.25</v>
      </c>
      <c r="H2644" s="56">
        <v>167231.25</v>
      </c>
      <c r="I2644" s="28" t="s">
        <v>19</v>
      </c>
      <c r="J2644" s="43"/>
    </row>
    <row r="2645" spans="1:10" customFormat="1" ht="15.75" hidden="1" customHeight="1" x14ac:dyDescent="0.25">
      <c r="A2645" s="57">
        <v>45254</v>
      </c>
      <c r="B2645" s="36" t="s">
        <v>5832</v>
      </c>
      <c r="C2645" s="28" t="s">
        <v>3011</v>
      </c>
      <c r="D2645" s="28" t="s">
        <v>2958</v>
      </c>
      <c r="E2645" s="38">
        <v>79679.999999999694</v>
      </c>
      <c r="F2645" s="67">
        <v>1781256</v>
      </c>
      <c r="G2645" s="38">
        <v>374063.76</v>
      </c>
      <c r="H2645" s="56">
        <v>2234999.7599999998</v>
      </c>
      <c r="I2645" s="28" t="s">
        <v>19</v>
      </c>
      <c r="J2645" s="43"/>
    </row>
    <row r="2646" spans="1:10" customFormat="1" ht="15.75" hidden="1" customHeight="1" x14ac:dyDescent="0.25">
      <c r="A2646" s="57">
        <v>45254</v>
      </c>
      <c r="B2646" s="36" t="s">
        <v>5833</v>
      </c>
      <c r="C2646" s="28" t="s">
        <v>2867</v>
      </c>
      <c r="D2646" s="28" t="s">
        <v>2910</v>
      </c>
      <c r="E2646" s="38">
        <v>5840</v>
      </c>
      <c r="F2646" s="67">
        <v>110715</v>
      </c>
      <c r="G2646" s="38">
        <v>23250.15</v>
      </c>
      <c r="H2646" s="56">
        <v>139805.15</v>
      </c>
      <c r="I2646" s="28" t="s">
        <v>19</v>
      </c>
      <c r="J2646" s="43"/>
    </row>
    <row r="2647" spans="1:10" customFormat="1" ht="15.75" hidden="1" customHeight="1" x14ac:dyDescent="0.25">
      <c r="A2647" s="57">
        <v>45254</v>
      </c>
      <c r="B2647" s="36" t="s">
        <v>5834</v>
      </c>
      <c r="C2647" s="28" t="s">
        <v>2957</v>
      </c>
      <c r="D2647" s="28" t="s">
        <v>2922</v>
      </c>
      <c r="E2647" s="38">
        <v>10400</v>
      </c>
      <c r="F2647" s="67">
        <v>106000</v>
      </c>
      <c r="G2647" s="38">
        <v>22260</v>
      </c>
      <c r="H2647" s="56">
        <v>138660</v>
      </c>
      <c r="I2647" s="28" t="s">
        <v>19</v>
      </c>
      <c r="J2647" s="43"/>
    </row>
    <row r="2648" spans="1:10" customFormat="1" ht="15.75" hidden="1" customHeight="1" x14ac:dyDescent="0.25">
      <c r="A2648" s="57">
        <v>45254</v>
      </c>
      <c r="B2648" s="36" t="s">
        <v>5835</v>
      </c>
      <c r="C2648" s="28" t="s">
        <v>2909</v>
      </c>
      <c r="D2648" s="28" t="s">
        <v>3236</v>
      </c>
      <c r="E2648" s="38">
        <v>12000</v>
      </c>
      <c r="F2648" s="67">
        <v>222657</v>
      </c>
      <c r="G2648" s="38">
        <v>46757.97</v>
      </c>
      <c r="H2648" s="56">
        <v>281414.96999999997</v>
      </c>
      <c r="I2648" s="28" t="s">
        <v>19</v>
      </c>
      <c r="J2648" s="43"/>
    </row>
    <row r="2649" spans="1:10" customFormat="1" ht="15.75" hidden="1" customHeight="1" x14ac:dyDescent="0.25">
      <c r="A2649" s="57">
        <v>45254</v>
      </c>
      <c r="B2649" s="36" t="s">
        <v>5836</v>
      </c>
      <c r="C2649" s="28" t="s">
        <v>2921</v>
      </c>
      <c r="D2649" s="28" t="s">
        <v>2871</v>
      </c>
      <c r="E2649" s="38">
        <v>16640</v>
      </c>
      <c r="F2649" s="67">
        <v>256250</v>
      </c>
      <c r="G2649" s="38">
        <v>53812.5</v>
      </c>
      <c r="H2649" s="56">
        <v>326702.5</v>
      </c>
      <c r="I2649" s="28" t="s">
        <v>19</v>
      </c>
      <c r="J2649" s="43"/>
    </row>
    <row r="2650" spans="1:10" customFormat="1" ht="15.75" hidden="1" customHeight="1" x14ac:dyDescent="0.25">
      <c r="A2650" s="57">
        <v>45254</v>
      </c>
      <c r="B2650" s="36" t="s">
        <v>5837</v>
      </c>
      <c r="C2650" s="28" t="s">
        <v>3235</v>
      </c>
      <c r="D2650" s="28" t="s">
        <v>2904</v>
      </c>
      <c r="E2650" s="38">
        <v>9200</v>
      </c>
      <c r="F2650" s="67">
        <v>128125</v>
      </c>
      <c r="G2650" s="38">
        <v>26906.25</v>
      </c>
      <c r="H2650" s="56">
        <v>164231.25</v>
      </c>
      <c r="I2650" s="28" t="s">
        <v>19</v>
      </c>
      <c r="J2650" s="43"/>
    </row>
    <row r="2651" spans="1:10" customFormat="1" ht="15.75" hidden="1" customHeight="1" x14ac:dyDescent="0.25">
      <c r="A2651" s="57">
        <v>45254</v>
      </c>
      <c r="B2651" s="36" t="s">
        <v>5838</v>
      </c>
      <c r="C2651" s="28" t="s">
        <v>2870</v>
      </c>
      <c r="D2651" s="28" t="s">
        <v>2904</v>
      </c>
      <c r="E2651" s="38">
        <v>10400</v>
      </c>
      <c r="F2651" s="67">
        <v>106000</v>
      </c>
      <c r="G2651" s="38">
        <v>22260</v>
      </c>
      <c r="H2651" s="56">
        <v>138660</v>
      </c>
      <c r="I2651" s="28" t="s">
        <v>19</v>
      </c>
      <c r="J2651" s="43"/>
    </row>
    <row r="2652" spans="1:10" customFormat="1" ht="15.75" hidden="1" customHeight="1" x14ac:dyDescent="0.25">
      <c r="A2652" s="57">
        <v>45254</v>
      </c>
      <c r="B2652" s="36" t="s">
        <v>5839</v>
      </c>
      <c r="C2652" s="28" t="s">
        <v>2903</v>
      </c>
      <c r="D2652" s="28" t="s">
        <v>2922</v>
      </c>
      <c r="E2652" s="38">
        <v>10400</v>
      </c>
      <c r="F2652" s="67">
        <v>159000</v>
      </c>
      <c r="G2652" s="38">
        <v>33390</v>
      </c>
      <c r="H2652" s="56">
        <v>202790</v>
      </c>
      <c r="I2652" s="28" t="s">
        <v>19</v>
      </c>
      <c r="J2652" s="43"/>
    </row>
    <row r="2653" spans="1:10" customFormat="1" ht="15.75" hidden="1" customHeight="1" x14ac:dyDescent="0.25">
      <c r="A2653" s="57">
        <v>45254</v>
      </c>
      <c r="B2653" s="36" t="s">
        <v>5840</v>
      </c>
      <c r="C2653" s="28" t="s">
        <v>2903</v>
      </c>
      <c r="D2653" s="28" t="s">
        <v>4122</v>
      </c>
      <c r="E2653" s="38">
        <v>10400</v>
      </c>
      <c r="F2653" s="67">
        <v>106000</v>
      </c>
      <c r="G2653" s="38">
        <v>22260</v>
      </c>
      <c r="H2653" s="56">
        <v>138660</v>
      </c>
      <c r="I2653" s="28" t="s">
        <v>19</v>
      </c>
      <c r="J2653" s="43"/>
    </row>
    <row r="2654" spans="1:10" customFormat="1" ht="15.75" hidden="1" customHeight="1" x14ac:dyDescent="0.25">
      <c r="A2654" s="57">
        <v>45254</v>
      </c>
      <c r="B2654" s="36" t="s">
        <v>5841</v>
      </c>
      <c r="C2654" s="28" t="s">
        <v>2921</v>
      </c>
      <c r="D2654" s="28" t="s">
        <v>5623</v>
      </c>
      <c r="E2654" s="38">
        <v>20800</v>
      </c>
      <c r="F2654" s="67">
        <v>212000</v>
      </c>
      <c r="G2654" s="38">
        <v>44520</v>
      </c>
      <c r="H2654" s="56">
        <v>277320</v>
      </c>
      <c r="I2654" s="28" t="s">
        <v>19</v>
      </c>
      <c r="J2654" s="43"/>
    </row>
    <row r="2655" spans="1:10" customFormat="1" ht="15.75" hidden="1" customHeight="1" x14ac:dyDescent="0.25">
      <c r="A2655" s="57">
        <v>45254</v>
      </c>
      <c r="B2655" s="36" t="s">
        <v>5842</v>
      </c>
      <c r="C2655" s="28" t="s">
        <v>4121</v>
      </c>
      <c r="D2655" s="28" t="s">
        <v>2877</v>
      </c>
      <c r="E2655" s="38">
        <v>31200</v>
      </c>
      <c r="F2655" s="67">
        <v>477000</v>
      </c>
      <c r="G2655" s="38">
        <v>100170</v>
      </c>
      <c r="H2655" s="56">
        <v>608370</v>
      </c>
      <c r="I2655" s="28" t="s">
        <v>19</v>
      </c>
      <c r="J2655" s="43"/>
    </row>
    <row r="2656" spans="1:10" customFormat="1" ht="15.75" hidden="1" customHeight="1" x14ac:dyDescent="0.25">
      <c r="A2656" s="57">
        <v>45254</v>
      </c>
      <c r="B2656" s="36" t="s">
        <v>5843</v>
      </c>
      <c r="C2656" s="28" t="s">
        <v>5622</v>
      </c>
      <c r="D2656" s="28" t="s">
        <v>2925</v>
      </c>
      <c r="E2656" s="38">
        <v>10400</v>
      </c>
      <c r="F2656" s="67">
        <v>106000</v>
      </c>
      <c r="G2656" s="38">
        <v>22260</v>
      </c>
      <c r="H2656" s="56">
        <v>138660</v>
      </c>
      <c r="I2656" s="28" t="s">
        <v>19</v>
      </c>
      <c r="J2656" s="43"/>
    </row>
    <row r="2657" spans="1:10" customFormat="1" ht="15.75" hidden="1" customHeight="1" x14ac:dyDescent="0.25">
      <c r="A2657" s="57">
        <v>45254</v>
      </c>
      <c r="B2657" s="36" t="s">
        <v>5844</v>
      </c>
      <c r="C2657" s="28" t="s">
        <v>2876</v>
      </c>
      <c r="D2657" s="28" t="s">
        <v>3236</v>
      </c>
      <c r="E2657" s="38">
        <v>10400</v>
      </c>
      <c r="F2657" s="67">
        <v>126562.5</v>
      </c>
      <c r="G2657" s="38">
        <v>26578.13</v>
      </c>
      <c r="H2657" s="56">
        <v>163540.63</v>
      </c>
      <c r="I2657" s="28" t="s">
        <v>19</v>
      </c>
      <c r="J2657" s="43"/>
    </row>
    <row r="2658" spans="1:10" customFormat="1" ht="15.75" hidden="1" customHeight="1" x14ac:dyDescent="0.25">
      <c r="A2658" s="57">
        <v>45254</v>
      </c>
      <c r="B2658" s="36" t="s">
        <v>5845</v>
      </c>
      <c r="C2658" s="28" t="s">
        <v>2924</v>
      </c>
      <c r="D2658" s="28" t="s">
        <v>4110</v>
      </c>
      <c r="E2658" s="38">
        <v>16800</v>
      </c>
      <c r="F2658" s="67">
        <v>303125</v>
      </c>
      <c r="G2658" s="38">
        <v>63656.25</v>
      </c>
      <c r="H2658" s="56">
        <v>383581.25</v>
      </c>
      <c r="I2658" s="28" t="s">
        <v>19</v>
      </c>
      <c r="J2658" s="43"/>
    </row>
    <row r="2659" spans="1:10" customFormat="1" ht="15.75" hidden="1" customHeight="1" x14ac:dyDescent="0.25">
      <c r="A2659" s="57">
        <v>45254</v>
      </c>
      <c r="B2659" s="36" t="s">
        <v>5846</v>
      </c>
      <c r="C2659" s="28" t="s">
        <v>3235</v>
      </c>
      <c r="D2659" s="28" t="s">
        <v>2871</v>
      </c>
      <c r="E2659" s="38">
        <v>18400</v>
      </c>
      <c r="F2659" s="67">
        <v>256250</v>
      </c>
      <c r="G2659" s="38">
        <v>53812.5</v>
      </c>
      <c r="H2659" s="56">
        <v>328462.5</v>
      </c>
      <c r="I2659" s="28" t="s">
        <v>19</v>
      </c>
      <c r="J2659" s="43"/>
    </row>
    <row r="2660" spans="1:10" customFormat="1" ht="15.75" hidden="1" customHeight="1" x14ac:dyDescent="0.25">
      <c r="A2660" s="57">
        <v>45254</v>
      </c>
      <c r="B2660" s="36" t="s">
        <v>5847</v>
      </c>
      <c r="C2660" s="28" t="s">
        <v>4109</v>
      </c>
      <c r="D2660" s="28" t="s">
        <v>2946</v>
      </c>
      <c r="E2660" s="38">
        <v>0</v>
      </c>
      <c r="F2660" s="67">
        <v>65625</v>
      </c>
      <c r="G2660" s="38">
        <v>13781.25</v>
      </c>
      <c r="H2660" s="56">
        <v>79406.25</v>
      </c>
      <c r="I2660" s="28" t="s">
        <v>19</v>
      </c>
      <c r="J2660" s="43"/>
    </row>
    <row r="2661" spans="1:10" customFormat="1" ht="15.75" hidden="1" customHeight="1" x14ac:dyDescent="0.25">
      <c r="A2661" s="57">
        <v>45254</v>
      </c>
      <c r="B2661" s="36" t="s">
        <v>5848</v>
      </c>
      <c r="C2661" s="28" t="s">
        <v>2870</v>
      </c>
      <c r="D2661" s="28" t="s">
        <v>2857</v>
      </c>
      <c r="E2661" s="38">
        <v>10400</v>
      </c>
      <c r="F2661" s="67">
        <v>106000</v>
      </c>
      <c r="G2661" s="38">
        <v>22260</v>
      </c>
      <c r="H2661" s="56">
        <v>138660</v>
      </c>
      <c r="I2661" s="28" t="s">
        <v>19</v>
      </c>
      <c r="J2661" s="43"/>
    </row>
    <row r="2662" spans="1:10" customFormat="1" ht="15.75" hidden="1" customHeight="1" x14ac:dyDescent="0.25">
      <c r="A2662" s="57">
        <v>45258</v>
      </c>
      <c r="B2662" s="36" t="s">
        <v>5849</v>
      </c>
      <c r="C2662" s="28" t="s">
        <v>2945</v>
      </c>
      <c r="D2662" s="28" t="s">
        <v>2922</v>
      </c>
      <c r="E2662" s="38">
        <v>7500</v>
      </c>
      <c r="F2662" s="67">
        <v>128125</v>
      </c>
      <c r="G2662" s="38">
        <v>26906.25</v>
      </c>
      <c r="H2662" s="56">
        <v>162531.25</v>
      </c>
      <c r="I2662" s="28" t="s">
        <v>19</v>
      </c>
      <c r="J2662" s="43"/>
    </row>
    <row r="2663" spans="1:10" customFormat="1" ht="15.75" hidden="1" customHeight="1" x14ac:dyDescent="0.25">
      <c r="A2663" s="57">
        <v>45258</v>
      </c>
      <c r="B2663" s="36" t="s">
        <v>5850</v>
      </c>
      <c r="C2663" s="28" t="s">
        <v>2856</v>
      </c>
      <c r="D2663" s="28" t="s">
        <v>2922</v>
      </c>
      <c r="E2663" s="38">
        <v>11000</v>
      </c>
      <c r="F2663" s="67">
        <v>193750</v>
      </c>
      <c r="G2663" s="38">
        <v>40687.5</v>
      </c>
      <c r="H2663" s="56">
        <v>245437.5</v>
      </c>
      <c r="I2663" s="28" t="s">
        <v>19</v>
      </c>
      <c r="J2663" s="43"/>
    </row>
    <row r="2664" spans="1:10" customFormat="1" ht="15.75" hidden="1" customHeight="1" x14ac:dyDescent="0.25">
      <c r="A2664" s="57">
        <v>45258</v>
      </c>
      <c r="B2664" s="36" t="s">
        <v>5851</v>
      </c>
      <c r="C2664" s="28" t="s">
        <v>2921</v>
      </c>
      <c r="D2664" s="28" t="s">
        <v>2868</v>
      </c>
      <c r="E2664" s="38">
        <v>31200</v>
      </c>
      <c r="F2664" s="67">
        <v>318000</v>
      </c>
      <c r="G2664" s="38">
        <v>66780</v>
      </c>
      <c r="H2664" s="56">
        <v>415980</v>
      </c>
      <c r="I2664" s="28" t="s">
        <v>19</v>
      </c>
      <c r="J2664" s="43"/>
    </row>
    <row r="2665" spans="1:10" customFormat="1" ht="15.75" hidden="1" customHeight="1" x14ac:dyDescent="0.25">
      <c r="A2665" s="57">
        <v>45258</v>
      </c>
      <c r="B2665" s="36" t="s">
        <v>5852</v>
      </c>
      <c r="C2665" s="28" t="s">
        <v>2921</v>
      </c>
      <c r="D2665" s="28" t="s">
        <v>4294</v>
      </c>
      <c r="E2665" s="38">
        <v>6500</v>
      </c>
      <c r="F2665" s="67">
        <v>196876</v>
      </c>
      <c r="G2665" s="38">
        <v>41343.96</v>
      </c>
      <c r="H2665" s="56">
        <v>244719.96</v>
      </c>
      <c r="I2665" s="28" t="s">
        <v>19</v>
      </c>
      <c r="J2665" s="43"/>
    </row>
    <row r="2666" spans="1:10" customFormat="1" ht="15.75" hidden="1" customHeight="1" x14ac:dyDescent="0.25">
      <c r="A2666" s="57">
        <v>45258</v>
      </c>
      <c r="B2666" s="36" t="s">
        <v>5853</v>
      </c>
      <c r="C2666" s="28" t="s">
        <v>2867</v>
      </c>
      <c r="D2666" s="28" t="s">
        <v>5566</v>
      </c>
      <c r="E2666" s="38">
        <v>9500</v>
      </c>
      <c r="F2666" s="67">
        <v>140375</v>
      </c>
      <c r="G2666" s="38">
        <v>29478.75</v>
      </c>
      <c r="H2666" s="56">
        <v>179353.75</v>
      </c>
      <c r="I2666" s="28" t="s">
        <v>19</v>
      </c>
      <c r="J2666" s="43"/>
    </row>
    <row r="2667" spans="1:10" customFormat="1" ht="15.75" hidden="1" customHeight="1" x14ac:dyDescent="0.25">
      <c r="A2667" s="57">
        <v>45258</v>
      </c>
      <c r="B2667" s="36" t="s">
        <v>5854</v>
      </c>
      <c r="C2667" s="28" t="s">
        <v>4293</v>
      </c>
      <c r="D2667" s="28" t="s">
        <v>5623</v>
      </c>
      <c r="E2667" s="38">
        <v>10500</v>
      </c>
      <c r="F2667" s="67">
        <v>148438</v>
      </c>
      <c r="G2667" s="38">
        <v>31171.98</v>
      </c>
      <c r="H2667" s="56">
        <v>190109.98</v>
      </c>
      <c r="I2667" s="28" t="s">
        <v>19</v>
      </c>
      <c r="J2667" s="43"/>
    </row>
    <row r="2668" spans="1:10" customFormat="1" ht="15.75" hidden="1" customHeight="1" x14ac:dyDescent="0.25">
      <c r="A2668" s="57">
        <v>45258</v>
      </c>
      <c r="B2668" s="36" t="s">
        <v>5855</v>
      </c>
      <c r="C2668" s="28" t="s">
        <v>5565</v>
      </c>
      <c r="D2668" s="28" t="s">
        <v>2871</v>
      </c>
      <c r="E2668" s="38">
        <v>12900</v>
      </c>
      <c r="F2668" s="67">
        <v>212000</v>
      </c>
      <c r="G2668" s="38">
        <v>44520</v>
      </c>
      <c r="H2668" s="56">
        <v>269420</v>
      </c>
      <c r="I2668" s="28" t="s">
        <v>19</v>
      </c>
      <c r="J2668" s="43"/>
    </row>
    <row r="2669" spans="1:10" customFormat="1" ht="15.75" hidden="1" customHeight="1" x14ac:dyDescent="0.25">
      <c r="A2669" s="57">
        <v>45258</v>
      </c>
      <c r="B2669" s="36" t="s">
        <v>5856</v>
      </c>
      <c r="C2669" s="28" t="s">
        <v>5622</v>
      </c>
      <c r="D2669" s="28" t="s">
        <v>2910</v>
      </c>
      <c r="E2669" s="38">
        <v>12900</v>
      </c>
      <c r="F2669" s="67">
        <v>212000</v>
      </c>
      <c r="G2669" s="38">
        <v>44520</v>
      </c>
      <c r="H2669" s="56">
        <v>269420</v>
      </c>
      <c r="I2669" s="28" t="s">
        <v>19</v>
      </c>
      <c r="J2669" s="43"/>
    </row>
    <row r="2670" spans="1:10" customFormat="1" ht="15.75" hidden="1" customHeight="1" x14ac:dyDescent="0.25">
      <c r="A2670" s="57">
        <v>45258</v>
      </c>
      <c r="B2670" s="36" t="s">
        <v>5857</v>
      </c>
      <c r="C2670" s="28" t="s">
        <v>2870</v>
      </c>
      <c r="D2670" s="28" t="s">
        <v>2946</v>
      </c>
      <c r="E2670" s="38">
        <v>10400</v>
      </c>
      <c r="F2670" s="67">
        <v>106000</v>
      </c>
      <c r="G2670" s="38">
        <v>22260</v>
      </c>
      <c r="H2670" s="56">
        <v>138660</v>
      </c>
      <c r="I2670" s="28" t="s">
        <v>19</v>
      </c>
      <c r="J2670" s="43"/>
    </row>
    <row r="2671" spans="1:10" customFormat="1" ht="15.75" hidden="1" customHeight="1" x14ac:dyDescent="0.25">
      <c r="A2671" s="57">
        <v>45258</v>
      </c>
      <c r="B2671" s="36" t="s">
        <v>5858</v>
      </c>
      <c r="C2671" s="28" t="s">
        <v>2909</v>
      </c>
      <c r="D2671" s="28" t="s">
        <v>4110</v>
      </c>
      <c r="E2671" s="38">
        <v>8500</v>
      </c>
      <c r="F2671" s="67">
        <v>261430</v>
      </c>
      <c r="G2671" s="38">
        <v>54900.3</v>
      </c>
      <c r="H2671" s="56">
        <v>324830.3</v>
      </c>
      <c r="I2671" s="28" t="s">
        <v>19</v>
      </c>
      <c r="J2671" s="43"/>
    </row>
    <row r="2672" spans="1:10" customFormat="1" ht="15.75" hidden="1" customHeight="1" x14ac:dyDescent="0.25">
      <c r="A2672" s="57">
        <v>45258</v>
      </c>
      <c r="B2672" s="36" t="s">
        <v>5859</v>
      </c>
      <c r="C2672" s="28" t="s">
        <v>2945</v>
      </c>
      <c r="D2672" s="28" t="s">
        <v>3236</v>
      </c>
      <c r="E2672" s="38">
        <v>19500</v>
      </c>
      <c r="F2672" s="67">
        <v>296876</v>
      </c>
      <c r="G2672" s="38">
        <v>62343.96</v>
      </c>
      <c r="H2672" s="56">
        <v>378719.96</v>
      </c>
      <c r="I2672" s="28" t="s">
        <v>19</v>
      </c>
      <c r="J2672" s="43"/>
    </row>
    <row r="2673" spans="1:10" customFormat="1" ht="15.75" hidden="1" customHeight="1" x14ac:dyDescent="0.25">
      <c r="A2673" s="57">
        <v>45258</v>
      </c>
      <c r="B2673" s="36" t="s">
        <v>5860</v>
      </c>
      <c r="C2673" s="28" t="s">
        <v>4109</v>
      </c>
      <c r="D2673" s="28" t="s">
        <v>2852</v>
      </c>
      <c r="E2673" s="38">
        <v>7500</v>
      </c>
      <c r="F2673" s="67">
        <v>101250</v>
      </c>
      <c r="G2673" s="38">
        <v>21262.5</v>
      </c>
      <c r="H2673" s="56">
        <v>130012.5</v>
      </c>
      <c r="I2673" s="28" t="s">
        <v>19</v>
      </c>
      <c r="J2673" s="43"/>
    </row>
    <row r="2674" spans="1:10" customFormat="1" ht="15.75" hidden="1" customHeight="1" x14ac:dyDescent="0.25">
      <c r="A2674" s="57">
        <v>45258</v>
      </c>
      <c r="B2674" s="36" t="s">
        <v>5861</v>
      </c>
      <c r="C2674" s="28" t="s">
        <v>3235</v>
      </c>
      <c r="D2674" s="28" t="s">
        <v>3037</v>
      </c>
      <c r="E2674" s="38">
        <v>17000</v>
      </c>
      <c r="F2674" s="67">
        <v>148438</v>
      </c>
      <c r="G2674" s="38">
        <v>31171.98</v>
      </c>
      <c r="H2674" s="56">
        <v>196609.98</v>
      </c>
      <c r="I2674" s="28" t="s">
        <v>19</v>
      </c>
      <c r="J2674" s="43"/>
    </row>
    <row r="2675" spans="1:10" customFormat="1" ht="15.75" hidden="1" customHeight="1" x14ac:dyDescent="0.25">
      <c r="A2675" s="57">
        <v>45258</v>
      </c>
      <c r="B2675" s="36" t="s">
        <v>5862</v>
      </c>
      <c r="C2675" s="28" t="s">
        <v>2851</v>
      </c>
      <c r="D2675" s="28" t="s">
        <v>3269</v>
      </c>
      <c r="E2675" s="38">
        <v>7500</v>
      </c>
      <c r="F2675" s="67">
        <v>110625</v>
      </c>
      <c r="G2675" s="38">
        <v>23231.25</v>
      </c>
      <c r="H2675" s="56">
        <v>141356.25</v>
      </c>
      <c r="I2675" s="28" t="s">
        <v>19</v>
      </c>
      <c r="J2675" s="43"/>
    </row>
    <row r="2676" spans="1:10" customFormat="1" ht="15.75" hidden="1" customHeight="1" x14ac:dyDescent="0.25">
      <c r="A2676" s="57">
        <v>45258</v>
      </c>
      <c r="B2676" s="36" t="s">
        <v>5863</v>
      </c>
      <c r="C2676" s="28" t="s">
        <v>3036</v>
      </c>
      <c r="D2676" s="28" t="s">
        <v>4435</v>
      </c>
      <c r="E2676" s="38">
        <v>12000</v>
      </c>
      <c r="F2676" s="67">
        <v>222657</v>
      </c>
      <c r="G2676" s="38">
        <v>46757.97</v>
      </c>
      <c r="H2676" s="56">
        <v>281414.96999999997</v>
      </c>
      <c r="I2676" s="28" t="s">
        <v>19</v>
      </c>
      <c r="J2676" s="43"/>
    </row>
    <row r="2677" spans="1:10" customFormat="1" ht="15.75" hidden="1" customHeight="1" x14ac:dyDescent="0.25">
      <c r="A2677" s="57">
        <v>45258</v>
      </c>
      <c r="B2677" s="36" t="s">
        <v>5864</v>
      </c>
      <c r="C2677" s="28" t="s">
        <v>3268</v>
      </c>
      <c r="D2677" s="28" t="s">
        <v>3236</v>
      </c>
      <c r="E2677" s="38">
        <v>9500</v>
      </c>
      <c r="F2677" s="67">
        <v>159000</v>
      </c>
      <c r="G2677" s="38">
        <v>33390</v>
      </c>
      <c r="H2677" s="56">
        <v>201890</v>
      </c>
      <c r="I2677" s="28" t="s">
        <v>19</v>
      </c>
      <c r="J2677" s="43"/>
    </row>
    <row r="2678" spans="1:10" customFormat="1" ht="15.75" hidden="1" customHeight="1" x14ac:dyDescent="0.25">
      <c r="A2678" s="57">
        <v>45258</v>
      </c>
      <c r="B2678" s="36" t="s">
        <v>5865</v>
      </c>
      <c r="C2678" s="28" t="s">
        <v>4434</v>
      </c>
      <c r="D2678" s="28" t="s">
        <v>3236</v>
      </c>
      <c r="E2678" s="38">
        <v>12500</v>
      </c>
      <c r="F2678" s="67">
        <v>148438</v>
      </c>
      <c r="G2678" s="38">
        <v>31171.98</v>
      </c>
      <c r="H2678" s="56">
        <v>192109.98</v>
      </c>
      <c r="I2678" s="28" t="s">
        <v>19</v>
      </c>
      <c r="J2678" s="43"/>
    </row>
    <row r="2679" spans="1:10" customFormat="1" ht="15.75" hidden="1" customHeight="1" x14ac:dyDescent="0.25">
      <c r="A2679" s="57">
        <v>45258</v>
      </c>
      <c r="B2679" s="36" t="s">
        <v>5866</v>
      </c>
      <c r="C2679" s="28" t="s">
        <v>3235</v>
      </c>
      <c r="D2679" s="28" t="s">
        <v>2946</v>
      </c>
      <c r="E2679" s="38">
        <v>19000</v>
      </c>
      <c r="F2679" s="67">
        <v>296876</v>
      </c>
      <c r="G2679" s="38">
        <v>62343.96</v>
      </c>
      <c r="H2679" s="56">
        <v>378219.96</v>
      </c>
      <c r="I2679" s="28" t="s">
        <v>19</v>
      </c>
      <c r="J2679" s="43"/>
    </row>
    <row r="2680" spans="1:10" customFormat="1" ht="15.75" hidden="1" customHeight="1" x14ac:dyDescent="0.25">
      <c r="A2680" s="57">
        <v>45258</v>
      </c>
      <c r="B2680" s="36" t="s">
        <v>5867</v>
      </c>
      <c r="C2680" s="28" t="s">
        <v>3235</v>
      </c>
      <c r="D2680" s="28" t="s">
        <v>3037</v>
      </c>
      <c r="E2680" s="38">
        <v>17000</v>
      </c>
      <c r="F2680" s="67">
        <v>148438</v>
      </c>
      <c r="G2680" s="38">
        <v>31171.98</v>
      </c>
      <c r="H2680" s="56">
        <v>196609.98</v>
      </c>
      <c r="I2680" s="28" t="s">
        <v>19</v>
      </c>
      <c r="J2680" s="43"/>
    </row>
    <row r="2681" spans="1:10" customFormat="1" ht="15.75" hidden="1" customHeight="1" x14ac:dyDescent="0.25">
      <c r="A2681" s="57">
        <v>45258</v>
      </c>
      <c r="B2681" s="36" t="s">
        <v>5868</v>
      </c>
      <c r="C2681" s="28" t="s">
        <v>2945</v>
      </c>
      <c r="D2681" s="28" t="s">
        <v>2998</v>
      </c>
      <c r="E2681" s="38">
        <v>8320</v>
      </c>
      <c r="F2681" s="67">
        <v>128000</v>
      </c>
      <c r="G2681" s="38">
        <v>26880</v>
      </c>
      <c r="H2681" s="56">
        <v>163200</v>
      </c>
      <c r="I2681" s="28" t="s">
        <v>19</v>
      </c>
      <c r="J2681" s="43"/>
    </row>
    <row r="2682" spans="1:10" customFormat="1" ht="15.75" hidden="1" customHeight="1" x14ac:dyDescent="0.25">
      <c r="A2682" s="57">
        <v>45258</v>
      </c>
      <c r="B2682" s="36" t="s">
        <v>5869</v>
      </c>
      <c r="C2682" s="28" t="s">
        <v>3036</v>
      </c>
      <c r="D2682" s="28" t="s">
        <v>3015</v>
      </c>
      <c r="E2682" s="38">
        <v>19800</v>
      </c>
      <c r="F2682" s="67">
        <v>337500</v>
      </c>
      <c r="G2682" s="38">
        <v>70875</v>
      </c>
      <c r="H2682" s="56">
        <v>428175</v>
      </c>
      <c r="I2682" s="28" t="s">
        <v>19</v>
      </c>
      <c r="J2682" s="43"/>
    </row>
    <row r="2683" spans="1:10" customFormat="1" ht="15.75" hidden="1" customHeight="1" x14ac:dyDescent="0.25">
      <c r="A2683" s="57">
        <v>45258</v>
      </c>
      <c r="B2683" s="36" t="s">
        <v>5870</v>
      </c>
      <c r="C2683" s="28" t="s">
        <v>2997</v>
      </c>
      <c r="D2683" s="28" t="s">
        <v>2922</v>
      </c>
      <c r="E2683" s="38">
        <v>16640</v>
      </c>
      <c r="F2683" s="67">
        <v>296876</v>
      </c>
      <c r="G2683" s="38">
        <v>62343.96</v>
      </c>
      <c r="H2683" s="56">
        <v>375859.96</v>
      </c>
      <c r="I2683" s="28" t="s">
        <v>19</v>
      </c>
      <c r="J2683" s="43"/>
    </row>
    <row r="2684" spans="1:10" customFormat="1" ht="15.75" hidden="1" customHeight="1" x14ac:dyDescent="0.25">
      <c r="A2684" s="57">
        <v>45258</v>
      </c>
      <c r="B2684" s="36" t="s">
        <v>5871</v>
      </c>
      <c r="C2684" s="28" t="s">
        <v>3014</v>
      </c>
      <c r="D2684" s="28" t="s">
        <v>3037</v>
      </c>
      <c r="E2684" s="38">
        <v>10000</v>
      </c>
      <c r="F2684" s="67">
        <v>309375</v>
      </c>
      <c r="G2684" s="38">
        <v>64968.74</v>
      </c>
      <c r="H2684" s="56">
        <v>384343.74</v>
      </c>
      <c r="I2684" s="28" t="s">
        <v>19</v>
      </c>
      <c r="J2684" s="43"/>
    </row>
    <row r="2685" spans="1:10" customFormat="1" ht="15.75" hidden="1" customHeight="1" x14ac:dyDescent="0.25">
      <c r="A2685" s="57">
        <v>45258</v>
      </c>
      <c r="B2685" s="36" t="s">
        <v>5872</v>
      </c>
      <c r="C2685" s="28" t="s">
        <v>2921</v>
      </c>
      <c r="D2685" s="28" t="s">
        <v>2922</v>
      </c>
      <c r="E2685" s="38">
        <v>9552</v>
      </c>
      <c r="F2685" s="67">
        <v>65625</v>
      </c>
      <c r="G2685" s="38">
        <v>13781.25</v>
      </c>
      <c r="H2685" s="56">
        <v>88958.25</v>
      </c>
      <c r="I2685" s="28" t="s">
        <v>19</v>
      </c>
      <c r="J2685" s="43"/>
    </row>
    <row r="2686" spans="1:10" customFormat="1" ht="15.75" hidden="1" customHeight="1" x14ac:dyDescent="0.25">
      <c r="A2686" s="57">
        <v>45258</v>
      </c>
      <c r="B2686" s="36" t="s">
        <v>5873</v>
      </c>
      <c r="C2686" s="28" t="s">
        <v>3036</v>
      </c>
      <c r="D2686" s="28" t="s">
        <v>3015</v>
      </c>
      <c r="E2686" s="38">
        <v>23999.999999999902</v>
      </c>
      <c r="F2686" s="67">
        <v>445314</v>
      </c>
      <c r="G2686" s="38">
        <v>93515.94</v>
      </c>
      <c r="H2686" s="56">
        <v>562829.93999999994</v>
      </c>
      <c r="I2686" s="28" t="s">
        <v>19</v>
      </c>
      <c r="J2686" s="43"/>
    </row>
    <row r="2687" spans="1:10" customFormat="1" ht="15.75" hidden="1" customHeight="1" x14ac:dyDescent="0.25">
      <c r="A2687" s="57">
        <v>45258</v>
      </c>
      <c r="B2687" s="36" t="s">
        <v>5874</v>
      </c>
      <c r="C2687" s="28" t="s">
        <v>2921</v>
      </c>
      <c r="D2687" s="28" t="s">
        <v>2871</v>
      </c>
      <c r="E2687" s="38">
        <v>0</v>
      </c>
      <c r="F2687" s="67">
        <v>45000</v>
      </c>
      <c r="G2687" s="38">
        <v>9450</v>
      </c>
      <c r="H2687" s="56">
        <v>54450</v>
      </c>
      <c r="I2687" s="28" t="s">
        <v>19</v>
      </c>
      <c r="J2687" s="43"/>
    </row>
    <row r="2688" spans="1:10" customFormat="1" ht="15.75" hidden="1" customHeight="1" x14ac:dyDescent="0.25">
      <c r="A2688" s="57">
        <v>45259</v>
      </c>
      <c r="B2688" s="36" t="s">
        <v>5875</v>
      </c>
      <c r="C2688" s="28" t="s">
        <v>3014</v>
      </c>
      <c r="D2688" s="28" t="s">
        <v>2871</v>
      </c>
      <c r="E2688" s="38">
        <v>36400</v>
      </c>
      <c r="F2688" s="67">
        <v>431250</v>
      </c>
      <c r="G2688" s="38">
        <v>90562.49</v>
      </c>
      <c r="H2688" s="56">
        <v>558212.49</v>
      </c>
      <c r="I2688" s="28" t="s">
        <v>19</v>
      </c>
      <c r="J2688" s="43"/>
    </row>
    <row r="2689" spans="1:10" customFormat="1" ht="15.75" hidden="1" customHeight="1" x14ac:dyDescent="0.25">
      <c r="A2689" s="57">
        <v>45259</v>
      </c>
      <c r="B2689" s="36" t="s">
        <v>5876</v>
      </c>
      <c r="C2689" s="28" t="s">
        <v>2870</v>
      </c>
      <c r="D2689" s="28" t="s">
        <v>5566</v>
      </c>
      <c r="E2689" s="38">
        <v>7900</v>
      </c>
      <c r="F2689" s="67">
        <v>128125</v>
      </c>
      <c r="G2689" s="38">
        <v>26906.25</v>
      </c>
      <c r="H2689" s="56">
        <v>162931.25</v>
      </c>
      <c r="I2689" s="28" t="s">
        <v>19</v>
      </c>
      <c r="J2689" s="43"/>
    </row>
    <row r="2690" spans="1:10" customFormat="1" ht="15.75" hidden="1" customHeight="1" x14ac:dyDescent="0.25">
      <c r="A2690" s="57">
        <v>45259</v>
      </c>
      <c r="B2690" s="36" t="s">
        <v>5877</v>
      </c>
      <c r="C2690" s="28" t="s">
        <v>2870</v>
      </c>
      <c r="D2690" s="28" t="s">
        <v>3563</v>
      </c>
      <c r="E2690" s="38">
        <v>7900</v>
      </c>
      <c r="F2690" s="67">
        <v>128125</v>
      </c>
      <c r="G2690" s="38">
        <v>26906.25</v>
      </c>
      <c r="H2690" s="56">
        <v>162931.25</v>
      </c>
      <c r="I2690" s="28" t="s">
        <v>19</v>
      </c>
      <c r="J2690" s="43"/>
    </row>
    <row r="2691" spans="1:10" customFormat="1" ht="15.75" hidden="1" customHeight="1" x14ac:dyDescent="0.25">
      <c r="A2691" s="57">
        <v>45259</v>
      </c>
      <c r="B2691" s="36" t="s">
        <v>5878</v>
      </c>
      <c r="C2691" s="28" t="s">
        <v>5565</v>
      </c>
      <c r="D2691" s="28" t="s">
        <v>2871</v>
      </c>
      <c r="E2691" s="38">
        <v>7900</v>
      </c>
      <c r="F2691" s="67">
        <v>96875</v>
      </c>
      <c r="G2691" s="38">
        <v>20343.75</v>
      </c>
      <c r="H2691" s="56">
        <v>125118.75</v>
      </c>
      <c r="I2691" s="28" t="s">
        <v>19</v>
      </c>
      <c r="J2691" s="43"/>
    </row>
    <row r="2692" spans="1:10" customFormat="1" ht="15.75" hidden="1" customHeight="1" x14ac:dyDescent="0.25">
      <c r="A2692" s="57">
        <v>45259</v>
      </c>
      <c r="B2692" s="36" t="s">
        <v>5879</v>
      </c>
      <c r="C2692" s="28" t="s">
        <v>3562</v>
      </c>
      <c r="D2692" s="28" t="s">
        <v>2871</v>
      </c>
      <c r="E2692" s="38">
        <v>11500</v>
      </c>
      <c r="F2692" s="67">
        <v>128125</v>
      </c>
      <c r="G2692" s="38">
        <v>26906.25</v>
      </c>
      <c r="H2692" s="56">
        <v>166531.25</v>
      </c>
      <c r="I2692" s="28" t="s">
        <v>19</v>
      </c>
      <c r="J2692" s="43"/>
    </row>
    <row r="2693" spans="1:10" customFormat="1" ht="15.75" hidden="1" customHeight="1" x14ac:dyDescent="0.25">
      <c r="A2693" s="57">
        <v>45259</v>
      </c>
      <c r="B2693" s="36" t="s">
        <v>5880</v>
      </c>
      <c r="C2693" s="28" t="s">
        <v>2870</v>
      </c>
      <c r="D2693" s="28" t="s">
        <v>2922</v>
      </c>
      <c r="E2693" s="38">
        <v>10400</v>
      </c>
      <c r="F2693" s="67">
        <v>106000</v>
      </c>
      <c r="G2693" s="38">
        <v>22260</v>
      </c>
      <c r="H2693" s="56">
        <v>138660</v>
      </c>
      <c r="I2693" s="28" t="s">
        <v>19</v>
      </c>
      <c r="J2693" s="43"/>
    </row>
    <row r="2694" spans="1:10" customFormat="1" ht="15.75" hidden="1" customHeight="1" x14ac:dyDescent="0.25">
      <c r="A2694" s="57">
        <v>45259</v>
      </c>
      <c r="B2694" s="36" t="s">
        <v>5881</v>
      </c>
      <c r="C2694" s="28" t="s">
        <v>2870</v>
      </c>
      <c r="D2694" s="28" t="s">
        <v>5882</v>
      </c>
      <c r="E2694" s="38">
        <v>10400</v>
      </c>
      <c r="F2694" s="67">
        <v>106000</v>
      </c>
      <c r="G2694" s="38">
        <v>22260</v>
      </c>
      <c r="H2694" s="56">
        <v>138660</v>
      </c>
      <c r="I2694" s="28" t="s">
        <v>19</v>
      </c>
      <c r="J2694" s="43"/>
    </row>
    <row r="2695" spans="1:10" customFormat="1" ht="15.75" hidden="1" customHeight="1" x14ac:dyDescent="0.25">
      <c r="A2695" s="57">
        <v>45259</v>
      </c>
      <c r="B2695" s="36" t="s">
        <v>5883</v>
      </c>
      <c r="C2695" s="28" t="s">
        <v>2921</v>
      </c>
      <c r="D2695" s="28" t="s">
        <v>2904</v>
      </c>
      <c r="E2695" s="38">
        <v>37000</v>
      </c>
      <c r="F2695" s="67">
        <v>424000</v>
      </c>
      <c r="G2695" s="38">
        <v>89040</v>
      </c>
      <c r="H2695" s="56">
        <v>550040</v>
      </c>
      <c r="I2695" s="28" t="s">
        <v>19</v>
      </c>
      <c r="J2695" s="43"/>
    </row>
    <row r="2696" spans="1:10" customFormat="1" ht="15.75" hidden="1" customHeight="1" x14ac:dyDescent="0.25">
      <c r="A2696" s="57">
        <v>45259</v>
      </c>
      <c r="B2696" s="36" t="s">
        <v>5884</v>
      </c>
      <c r="C2696" s="28" t="s">
        <v>5885</v>
      </c>
      <c r="D2696" s="28" t="s">
        <v>2904</v>
      </c>
      <c r="E2696" s="38">
        <v>20400</v>
      </c>
      <c r="F2696" s="67">
        <v>318000</v>
      </c>
      <c r="G2696" s="38">
        <v>66780</v>
      </c>
      <c r="H2696" s="56">
        <v>405180</v>
      </c>
      <c r="I2696" s="28" t="s">
        <v>19</v>
      </c>
      <c r="J2696" s="43"/>
    </row>
    <row r="2697" spans="1:10" customFormat="1" ht="15.75" hidden="1" customHeight="1" x14ac:dyDescent="0.25">
      <c r="A2697" s="57">
        <v>45259</v>
      </c>
      <c r="B2697" s="36" t="s">
        <v>5886</v>
      </c>
      <c r="C2697" s="28" t="s">
        <v>2903</v>
      </c>
      <c r="D2697" s="28" t="s">
        <v>2904</v>
      </c>
      <c r="E2697" s="38">
        <v>10400</v>
      </c>
      <c r="F2697" s="67">
        <v>126562.5</v>
      </c>
      <c r="G2697" s="38">
        <v>26578.13</v>
      </c>
      <c r="H2697" s="56">
        <v>163540.63</v>
      </c>
      <c r="I2697" s="28" t="s">
        <v>19</v>
      </c>
      <c r="J2697" s="43"/>
    </row>
    <row r="2698" spans="1:10" customFormat="1" ht="15.75" hidden="1" customHeight="1" x14ac:dyDescent="0.25">
      <c r="A2698" s="57">
        <v>45259</v>
      </c>
      <c r="B2698" s="36" t="s">
        <v>5887</v>
      </c>
      <c r="C2698" s="28" t="s">
        <v>2903</v>
      </c>
      <c r="D2698" s="28" t="s">
        <v>2904</v>
      </c>
      <c r="E2698" s="38">
        <v>10400</v>
      </c>
      <c r="F2698" s="67">
        <v>159000</v>
      </c>
      <c r="G2698" s="38">
        <v>33390</v>
      </c>
      <c r="H2698" s="56">
        <v>202790</v>
      </c>
      <c r="I2698" s="28" t="s">
        <v>19</v>
      </c>
      <c r="J2698" s="43"/>
    </row>
    <row r="2699" spans="1:10" customFormat="1" ht="15.75" hidden="1" customHeight="1" x14ac:dyDescent="0.25">
      <c r="A2699" s="57">
        <v>45259</v>
      </c>
      <c r="B2699" s="36" t="s">
        <v>5888</v>
      </c>
      <c r="C2699" s="28" t="s">
        <v>2903</v>
      </c>
      <c r="D2699" s="28" t="s">
        <v>2955</v>
      </c>
      <c r="E2699" s="38">
        <v>10400</v>
      </c>
      <c r="F2699" s="67">
        <v>126562.5</v>
      </c>
      <c r="G2699" s="38">
        <v>26578.13</v>
      </c>
      <c r="H2699" s="56">
        <v>163540.63</v>
      </c>
      <c r="I2699" s="28" t="s">
        <v>19</v>
      </c>
      <c r="J2699" s="43"/>
    </row>
    <row r="2700" spans="1:10" customFormat="1" ht="15.75" hidden="1" customHeight="1" x14ac:dyDescent="0.25">
      <c r="A2700" s="57">
        <v>45259</v>
      </c>
      <c r="B2700" s="36" t="s">
        <v>5889</v>
      </c>
      <c r="C2700" s="28" t="s">
        <v>2903</v>
      </c>
      <c r="D2700" s="28" t="s">
        <v>5612</v>
      </c>
      <c r="E2700" s="38">
        <v>10400</v>
      </c>
      <c r="F2700" s="67">
        <v>126562.5</v>
      </c>
      <c r="G2700" s="38">
        <v>26578.13</v>
      </c>
      <c r="H2700" s="56">
        <v>163540.63</v>
      </c>
      <c r="I2700" s="28" t="s">
        <v>19</v>
      </c>
      <c r="J2700" s="43"/>
    </row>
    <row r="2701" spans="1:10" customFormat="1" ht="15.75" hidden="1" customHeight="1" x14ac:dyDescent="0.25">
      <c r="A2701" s="57">
        <v>45259</v>
      </c>
      <c r="B2701" s="36" t="s">
        <v>5890</v>
      </c>
      <c r="C2701" s="28" t="s">
        <v>2954</v>
      </c>
      <c r="D2701" s="28" t="s">
        <v>5612</v>
      </c>
      <c r="E2701" s="38">
        <v>10400</v>
      </c>
      <c r="F2701" s="67">
        <v>106000</v>
      </c>
      <c r="G2701" s="38">
        <v>22260</v>
      </c>
      <c r="H2701" s="56">
        <v>138660</v>
      </c>
      <c r="I2701" s="28" t="s">
        <v>19</v>
      </c>
      <c r="J2701" s="43"/>
    </row>
    <row r="2702" spans="1:10" customFormat="1" ht="15.75" hidden="1" customHeight="1" x14ac:dyDescent="0.25">
      <c r="A2702" s="57">
        <v>45259</v>
      </c>
      <c r="B2702" s="36" t="s">
        <v>5891</v>
      </c>
      <c r="C2702" s="28" t="s">
        <v>5611</v>
      </c>
      <c r="D2702" s="28" t="s">
        <v>4060</v>
      </c>
      <c r="E2702" s="38">
        <v>10400</v>
      </c>
      <c r="F2702" s="67">
        <v>106000</v>
      </c>
      <c r="G2702" s="38">
        <v>22260</v>
      </c>
      <c r="H2702" s="56">
        <v>138660</v>
      </c>
      <c r="I2702" s="28" t="s">
        <v>19</v>
      </c>
      <c r="J2702" s="43"/>
    </row>
    <row r="2703" spans="1:10" customFormat="1" ht="15.75" hidden="1" customHeight="1" x14ac:dyDescent="0.25">
      <c r="A2703" s="57">
        <v>45259</v>
      </c>
      <c r="B2703" s="36" t="s">
        <v>5892</v>
      </c>
      <c r="C2703" s="28" t="s">
        <v>5611</v>
      </c>
      <c r="D2703" s="28" t="s">
        <v>2877</v>
      </c>
      <c r="E2703" s="38">
        <v>10400</v>
      </c>
      <c r="F2703" s="67">
        <v>106000</v>
      </c>
      <c r="G2703" s="38">
        <v>22260</v>
      </c>
      <c r="H2703" s="56">
        <v>138660</v>
      </c>
      <c r="I2703" s="28" t="s">
        <v>19</v>
      </c>
      <c r="J2703" s="43"/>
    </row>
    <row r="2704" spans="1:10" customFormat="1" ht="15.75" hidden="1" customHeight="1" x14ac:dyDescent="0.25">
      <c r="A2704" s="57">
        <v>45259</v>
      </c>
      <c r="B2704" s="36" t="s">
        <v>5893</v>
      </c>
      <c r="C2704" s="28" t="s">
        <v>4059</v>
      </c>
      <c r="D2704" s="28" t="s">
        <v>3897</v>
      </c>
      <c r="E2704" s="38">
        <v>10400</v>
      </c>
      <c r="F2704" s="67">
        <v>84375</v>
      </c>
      <c r="G2704" s="38">
        <v>17718.75</v>
      </c>
      <c r="H2704" s="56">
        <v>112493.75</v>
      </c>
      <c r="I2704" s="28" t="s">
        <v>19</v>
      </c>
      <c r="J2704" s="43"/>
    </row>
    <row r="2705" spans="1:10" customFormat="1" ht="15.75" hidden="1" customHeight="1" x14ac:dyDescent="0.25">
      <c r="A2705" s="57">
        <v>45259</v>
      </c>
      <c r="B2705" s="36" t="s">
        <v>5894</v>
      </c>
      <c r="C2705" s="28" t="s">
        <v>2876</v>
      </c>
      <c r="D2705" s="28" t="s">
        <v>2998</v>
      </c>
      <c r="E2705" s="38">
        <v>10400</v>
      </c>
      <c r="F2705" s="67">
        <v>159000</v>
      </c>
      <c r="G2705" s="38">
        <v>33390</v>
      </c>
      <c r="H2705" s="56">
        <v>202790</v>
      </c>
      <c r="I2705" s="28" t="s">
        <v>19</v>
      </c>
      <c r="J2705" s="43"/>
    </row>
    <row r="2706" spans="1:10" customFormat="1" ht="15.75" hidden="1" customHeight="1" x14ac:dyDescent="0.25">
      <c r="A2706" s="57">
        <v>45259</v>
      </c>
      <c r="B2706" s="36" t="s">
        <v>5895</v>
      </c>
      <c r="C2706" s="28" t="s">
        <v>3896</v>
      </c>
      <c r="D2706" s="28" t="s">
        <v>2943</v>
      </c>
      <c r="E2706" s="38">
        <v>3800</v>
      </c>
      <c r="F2706" s="67">
        <v>81250</v>
      </c>
      <c r="G2706" s="38">
        <v>17062.5</v>
      </c>
      <c r="H2706" s="56">
        <v>102112.5</v>
      </c>
      <c r="I2706" s="28" t="s">
        <v>19</v>
      </c>
      <c r="J2706" s="43"/>
    </row>
    <row r="2707" spans="1:10" customFormat="1" ht="15.75" hidden="1" customHeight="1" x14ac:dyDescent="0.25">
      <c r="A2707" s="57">
        <v>45259</v>
      </c>
      <c r="B2707" s="36" t="s">
        <v>5896</v>
      </c>
      <c r="C2707" s="28" t="s">
        <v>2997</v>
      </c>
      <c r="D2707" s="28" t="s">
        <v>3037</v>
      </c>
      <c r="E2707" s="38">
        <v>28600</v>
      </c>
      <c r="F2707" s="67">
        <v>226563</v>
      </c>
      <c r="G2707" s="38">
        <v>47578.23</v>
      </c>
      <c r="H2707" s="56">
        <v>302741.23</v>
      </c>
      <c r="I2707" s="28" t="s">
        <v>19</v>
      </c>
      <c r="J2707" s="43"/>
    </row>
    <row r="2708" spans="1:10" customFormat="1" ht="15.75" hidden="1" customHeight="1" x14ac:dyDescent="0.25">
      <c r="A2708" s="57">
        <v>45259</v>
      </c>
      <c r="B2708" s="36" t="s">
        <v>5897</v>
      </c>
      <c r="C2708" s="28" t="s">
        <v>2942</v>
      </c>
      <c r="D2708" s="28" t="s">
        <v>2910</v>
      </c>
      <c r="E2708" s="38">
        <v>11000</v>
      </c>
      <c r="F2708" s="67">
        <v>96875</v>
      </c>
      <c r="G2708" s="38">
        <v>20343.75</v>
      </c>
      <c r="H2708" s="56">
        <v>128218.75</v>
      </c>
      <c r="I2708" s="28" t="s">
        <v>19</v>
      </c>
      <c r="J2708" s="43"/>
    </row>
    <row r="2709" spans="1:10" customFormat="1" ht="15.75" hidden="1" customHeight="1" x14ac:dyDescent="0.25">
      <c r="A2709" s="57">
        <v>45260</v>
      </c>
      <c r="B2709" s="36" t="s">
        <v>5898</v>
      </c>
      <c r="C2709" s="28" t="s">
        <v>3036</v>
      </c>
      <c r="D2709" s="28" t="s">
        <v>2922</v>
      </c>
      <c r="E2709" s="38">
        <v>41399.999999999898</v>
      </c>
      <c r="F2709" s="67">
        <v>445314</v>
      </c>
      <c r="G2709" s="38">
        <v>93515.94</v>
      </c>
      <c r="H2709" s="56">
        <v>580229.93999999994</v>
      </c>
      <c r="I2709" s="28" t="s">
        <v>19</v>
      </c>
      <c r="J2709" s="43"/>
    </row>
    <row r="2710" spans="1:10" customFormat="1" ht="15.75" hidden="1" customHeight="1" x14ac:dyDescent="0.25">
      <c r="A2710" s="57">
        <v>45260</v>
      </c>
      <c r="B2710" s="36" t="s">
        <v>5899</v>
      </c>
      <c r="C2710" s="28" t="s">
        <v>2909</v>
      </c>
      <c r="D2710" s="28" t="s">
        <v>4145</v>
      </c>
      <c r="E2710" s="38">
        <v>9800</v>
      </c>
      <c r="F2710" s="67">
        <v>148438</v>
      </c>
      <c r="G2710" s="38">
        <v>31171.98</v>
      </c>
      <c r="H2710" s="56">
        <v>189409.98</v>
      </c>
      <c r="I2710" s="28" t="s">
        <v>19</v>
      </c>
      <c r="J2710" s="43"/>
    </row>
    <row r="2711" spans="1:10" customFormat="1" ht="15.75" hidden="1" customHeight="1" x14ac:dyDescent="0.25">
      <c r="A2711" s="57">
        <v>45260</v>
      </c>
      <c r="B2711" s="36" t="s">
        <v>5900</v>
      </c>
      <c r="C2711" s="28" t="s">
        <v>2921</v>
      </c>
      <c r="D2711" s="28" t="s">
        <v>2925</v>
      </c>
      <c r="E2711" s="38">
        <v>0</v>
      </c>
      <c r="F2711" s="67">
        <v>45000</v>
      </c>
      <c r="G2711" s="38">
        <v>9450</v>
      </c>
      <c r="H2711" s="56">
        <v>54450</v>
      </c>
      <c r="I2711" s="28" t="s">
        <v>19</v>
      </c>
      <c r="J2711" s="43"/>
    </row>
    <row r="2712" spans="1:10" customFormat="1" ht="15.75" hidden="1" customHeight="1" x14ac:dyDescent="0.25">
      <c r="A2712" s="57">
        <v>45260</v>
      </c>
      <c r="B2712" s="36" t="s">
        <v>5901</v>
      </c>
      <c r="C2712" s="28" t="s">
        <v>4144</v>
      </c>
      <c r="D2712" s="28" t="s">
        <v>2922</v>
      </c>
      <c r="E2712" s="38">
        <v>10400</v>
      </c>
      <c r="F2712" s="67">
        <v>106000</v>
      </c>
      <c r="G2712" s="38">
        <v>22260</v>
      </c>
      <c r="H2712" s="56">
        <v>138660</v>
      </c>
      <c r="I2712" s="28" t="s">
        <v>19</v>
      </c>
      <c r="J2712" s="43"/>
    </row>
    <row r="2713" spans="1:10" customFormat="1" ht="15.75" hidden="1" customHeight="1" x14ac:dyDescent="0.25">
      <c r="A2713" s="57">
        <v>45260</v>
      </c>
      <c r="B2713" s="36" t="s">
        <v>5902</v>
      </c>
      <c r="C2713" s="28" t="s">
        <v>2924</v>
      </c>
      <c r="D2713" s="28" t="s">
        <v>2904</v>
      </c>
      <c r="E2713" s="38">
        <v>26100</v>
      </c>
      <c r="F2713" s="67">
        <v>128125</v>
      </c>
      <c r="G2713" s="38">
        <v>26906.25</v>
      </c>
      <c r="H2713" s="56">
        <v>181131.25</v>
      </c>
      <c r="I2713" s="28" t="s">
        <v>19</v>
      </c>
      <c r="J2713" s="43"/>
    </row>
    <row r="2714" spans="1:10" customFormat="1" ht="15.75" hidden="1" customHeight="1" x14ac:dyDescent="0.25">
      <c r="A2714" s="57">
        <v>45260</v>
      </c>
      <c r="B2714" s="36" t="s">
        <v>5903</v>
      </c>
      <c r="C2714" s="28" t="s">
        <v>2921</v>
      </c>
      <c r="D2714" s="28" t="s">
        <v>2893</v>
      </c>
      <c r="E2714" s="38">
        <v>11680</v>
      </c>
      <c r="F2714" s="67">
        <v>296876</v>
      </c>
      <c r="G2714" s="38">
        <v>62343.96</v>
      </c>
      <c r="H2714" s="56">
        <v>370899.96</v>
      </c>
      <c r="I2714" s="28" t="s">
        <v>19</v>
      </c>
      <c r="J2714" s="43"/>
    </row>
    <row r="2715" spans="1:10" customFormat="1" ht="15.75" hidden="1" customHeight="1" x14ac:dyDescent="0.25">
      <c r="A2715" s="57">
        <v>45260</v>
      </c>
      <c r="B2715" s="36" t="s">
        <v>5904</v>
      </c>
      <c r="C2715" s="28" t="s">
        <v>2903</v>
      </c>
      <c r="D2715" s="28" t="s">
        <v>3451</v>
      </c>
      <c r="E2715" s="38">
        <v>0</v>
      </c>
      <c r="F2715" s="67">
        <v>65625</v>
      </c>
      <c r="G2715" s="38">
        <v>13781.25</v>
      </c>
      <c r="H2715" s="56">
        <v>79406.25</v>
      </c>
      <c r="I2715" s="28" t="s">
        <v>19</v>
      </c>
      <c r="J2715" s="43"/>
    </row>
    <row r="2716" spans="1:10" customFormat="1" ht="15.75" hidden="1" customHeight="1" x14ac:dyDescent="0.25">
      <c r="A2716" s="57">
        <v>45260</v>
      </c>
      <c r="B2716" s="36" t="s">
        <v>5905</v>
      </c>
      <c r="C2716" s="28" t="s">
        <v>2892</v>
      </c>
      <c r="D2716" s="28" t="s">
        <v>4566</v>
      </c>
      <c r="E2716" s="38">
        <v>0</v>
      </c>
      <c r="F2716" s="67">
        <v>51562</v>
      </c>
      <c r="G2716" s="38">
        <v>10828.02</v>
      </c>
      <c r="H2716" s="56">
        <v>62390.02</v>
      </c>
      <c r="I2716" s="28" t="s">
        <v>19</v>
      </c>
      <c r="J2716" s="43"/>
    </row>
    <row r="2717" spans="1:10" customFormat="1" ht="15.75" hidden="1" customHeight="1" x14ac:dyDescent="0.25">
      <c r="A2717" s="57">
        <v>45260</v>
      </c>
      <c r="B2717" s="36" t="s">
        <v>5906</v>
      </c>
      <c r="C2717" s="28" t="s">
        <v>3450</v>
      </c>
      <c r="D2717" s="28" t="s">
        <v>2943</v>
      </c>
      <c r="E2717" s="38">
        <v>0</v>
      </c>
      <c r="F2717" s="67">
        <v>65625</v>
      </c>
      <c r="G2717" s="38">
        <v>13781.25</v>
      </c>
      <c r="H2717" s="56">
        <v>79406.25</v>
      </c>
      <c r="I2717" s="28" t="s">
        <v>19</v>
      </c>
      <c r="J2717" s="43"/>
    </row>
    <row r="2718" spans="1:10" customFormat="1" ht="15.75" hidden="1" customHeight="1" x14ac:dyDescent="0.25">
      <c r="A2718" s="57">
        <v>45260</v>
      </c>
      <c r="B2718" s="36" t="s">
        <v>5907</v>
      </c>
      <c r="C2718" s="28" t="s">
        <v>4565</v>
      </c>
      <c r="D2718" s="28" t="s">
        <v>4566</v>
      </c>
      <c r="E2718" s="38">
        <v>0</v>
      </c>
      <c r="F2718" s="67">
        <v>35292.5</v>
      </c>
      <c r="G2718" s="38">
        <v>7411.42</v>
      </c>
      <c r="H2718" s="56">
        <v>42703.92</v>
      </c>
      <c r="I2718" s="28" t="s">
        <v>19</v>
      </c>
      <c r="J2718" s="43"/>
    </row>
    <row r="2719" spans="1:10" customFormat="1" ht="15.75" hidden="1" customHeight="1" x14ac:dyDescent="0.25">
      <c r="A2719" s="57">
        <v>45260</v>
      </c>
      <c r="B2719" s="36" t="s">
        <v>5908</v>
      </c>
      <c r="C2719" s="28" t="s">
        <v>2942</v>
      </c>
      <c r="D2719" s="28" t="s">
        <v>3037</v>
      </c>
      <c r="E2719" s="38">
        <v>0</v>
      </c>
      <c r="F2719" s="67">
        <v>120000</v>
      </c>
      <c r="G2719" s="38">
        <v>25200</v>
      </c>
      <c r="H2719" s="56">
        <v>145200</v>
      </c>
      <c r="I2719" s="28" t="s">
        <v>19</v>
      </c>
      <c r="J2719" s="43"/>
    </row>
    <row r="2720" spans="1:10" customFormat="1" ht="15.75" hidden="1" customHeight="1" x14ac:dyDescent="0.25">
      <c r="A2720" s="57">
        <v>45260</v>
      </c>
      <c r="B2720" s="36" t="s">
        <v>5909</v>
      </c>
      <c r="C2720" s="28" t="s">
        <v>4565</v>
      </c>
      <c r="D2720" s="28" t="s">
        <v>3949</v>
      </c>
      <c r="E2720" s="38">
        <v>0</v>
      </c>
      <c r="F2720" s="67">
        <v>60000</v>
      </c>
      <c r="G2720" s="38">
        <v>12600</v>
      </c>
      <c r="H2720" s="56">
        <v>72600</v>
      </c>
      <c r="I2720" s="28" t="s">
        <v>19</v>
      </c>
      <c r="J2720" s="43"/>
    </row>
    <row r="2721" spans="1:10" customFormat="1" ht="15.75" hidden="1" customHeight="1" x14ac:dyDescent="0.25">
      <c r="A2721" s="57">
        <v>45260</v>
      </c>
      <c r="B2721" s="36" t="s">
        <v>5910</v>
      </c>
      <c r="C2721" s="28" t="s">
        <v>3036</v>
      </c>
      <c r="D2721" s="28" t="s">
        <v>2922</v>
      </c>
      <c r="E2721" s="38">
        <v>22000</v>
      </c>
      <c r="F2721" s="67">
        <v>290625</v>
      </c>
      <c r="G2721" s="38">
        <v>61031.25</v>
      </c>
      <c r="H2721" s="56">
        <v>373656.25</v>
      </c>
      <c r="I2721" s="28" t="s">
        <v>19</v>
      </c>
      <c r="J2721" s="43"/>
    </row>
    <row r="2722" spans="1:10" customFormat="1" ht="15.75" hidden="1" customHeight="1" x14ac:dyDescent="0.25">
      <c r="A2722" s="57">
        <v>45260</v>
      </c>
      <c r="B2722" s="36" t="s">
        <v>5911</v>
      </c>
      <c r="C2722" s="28" t="s">
        <v>3948</v>
      </c>
      <c r="D2722" s="28" t="s">
        <v>3161</v>
      </c>
      <c r="E2722" s="38">
        <v>12600</v>
      </c>
      <c r="F2722" s="67">
        <v>193750</v>
      </c>
      <c r="G2722" s="38">
        <v>40687.5</v>
      </c>
      <c r="H2722" s="56">
        <v>247037.5</v>
      </c>
      <c r="I2722" s="28" t="s">
        <v>19</v>
      </c>
      <c r="J2722" s="43"/>
    </row>
    <row r="2723" spans="1:10" customFormat="1" ht="15.75" hidden="1" customHeight="1" x14ac:dyDescent="0.25">
      <c r="A2723" s="57">
        <v>45260</v>
      </c>
      <c r="B2723" s="36" t="s">
        <v>5912</v>
      </c>
      <c r="C2723" s="28" t="s">
        <v>2921</v>
      </c>
      <c r="D2723" s="28" t="s">
        <v>2973</v>
      </c>
      <c r="E2723" s="38">
        <v>0</v>
      </c>
      <c r="F2723" s="67">
        <v>45000</v>
      </c>
      <c r="G2723" s="38">
        <v>9450</v>
      </c>
      <c r="H2723" s="56">
        <v>54450</v>
      </c>
      <c r="I2723" s="28" t="s">
        <v>19</v>
      </c>
      <c r="J2723" s="43"/>
    </row>
    <row r="2724" spans="1:10" customFormat="1" ht="15.75" hidden="1" customHeight="1" x14ac:dyDescent="0.25">
      <c r="A2724" s="57">
        <v>45260</v>
      </c>
      <c r="B2724" s="28" t="s">
        <v>5913</v>
      </c>
      <c r="C2724" s="28" t="s">
        <v>3160</v>
      </c>
      <c r="D2724" s="28" t="s">
        <v>3177</v>
      </c>
      <c r="E2724" s="38">
        <v>505776</v>
      </c>
      <c r="F2724" s="67">
        <v>4938250</v>
      </c>
      <c r="G2724" s="38">
        <v>1037032.5</v>
      </c>
      <c r="H2724" s="56">
        <v>6481058.5</v>
      </c>
      <c r="I2724" s="28" t="s">
        <v>19</v>
      </c>
      <c r="J2724" s="43"/>
    </row>
    <row r="2725" spans="1:10" customFormat="1" ht="15.75" hidden="1" customHeight="1" x14ac:dyDescent="0.25">
      <c r="A2725" s="57">
        <v>45260</v>
      </c>
      <c r="B2725" s="36" t="s">
        <v>5914</v>
      </c>
      <c r="C2725" s="28" t="s">
        <v>2972</v>
      </c>
      <c r="D2725" s="28" t="s">
        <v>5915</v>
      </c>
      <c r="E2725" s="38">
        <v>11000</v>
      </c>
      <c r="F2725" s="67">
        <v>145312.5</v>
      </c>
      <c r="G2725" s="38">
        <v>30515.63</v>
      </c>
      <c r="H2725" s="56">
        <v>186828.13</v>
      </c>
      <c r="I2725" s="28" t="s">
        <v>19</v>
      </c>
      <c r="J2725" s="43"/>
    </row>
    <row r="2726" spans="1:10" customFormat="1" ht="15.75" hidden="1" customHeight="1" x14ac:dyDescent="0.25">
      <c r="A2726" s="57">
        <v>45260</v>
      </c>
      <c r="B2726" s="36" t="s">
        <v>5916</v>
      </c>
      <c r="C2726" s="28" t="s">
        <v>3176</v>
      </c>
      <c r="D2726" s="28" t="s">
        <v>3008</v>
      </c>
      <c r="E2726" s="38">
        <v>16700</v>
      </c>
      <c r="F2726" s="67">
        <v>202500</v>
      </c>
      <c r="G2726" s="38">
        <v>42525</v>
      </c>
      <c r="H2726" s="56">
        <v>261725</v>
      </c>
      <c r="I2726" s="28" t="s">
        <v>19</v>
      </c>
      <c r="J2726" s="43"/>
    </row>
    <row r="2727" spans="1:10" customFormat="1" ht="15.75" hidden="1" customHeight="1" x14ac:dyDescent="0.25">
      <c r="A2727" s="57">
        <v>45260</v>
      </c>
      <c r="B2727" s="36" t="s">
        <v>5917</v>
      </c>
      <c r="C2727" s="28" t="s">
        <v>5918</v>
      </c>
      <c r="D2727" s="28" t="s">
        <v>2913</v>
      </c>
      <c r="E2727" s="38">
        <v>10400</v>
      </c>
      <c r="F2727" s="67">
        <v>106000</v>
      </c>
      <c r="G2727" s="38">
        <v>22260</v>
      </c>
      <c r="H2727" s="56">
        <v>138660</v>
      </c>
      <c r="I2727" s="28" t="s">
        <v>19</v>
      </c>
      <c r="J2727" s="43"/>
    </row>
    <row r="2728" spans="1:10" customFormat="1" ht="15.75" hidden="1" customHeight="1" x14ac:dyDescent="0.25">
      <c r="A2728" s="57">
        <v>45260</v>
      </c>
      <c r="B2728" s="36" t="s">
        <v>5919</v>
      </c>
      <c r="C2728" s="28" t="s">
        <v>3007</v>
      </c>
      <c r="D2728" s="28" t="s">
        <v>2913</v>
      </c>
      <c r="E2728" s="38">
        <v>0</v>
      </c>
      <c r="F2728" s="67">
        <v>78438</v>
      </c>
      <c r="G2728" s="38">
        <v>16471.98</v>
      </c>
      <c r="H2728" s="56">
        <v>94909.98</v>
      </c>
      <c r="I2728" s="28" t="s">
        <v>19</v>
      </c>
      <c r="J2728" s="43"/>
    </row>
    <row r="2729" spans="1:10" customFormat="1" ht="15.75" hidden="1" customHeight="1" x14ac:dyDescent="0.25">
      <c r="A2729" s="57">
        <v>45260</v>
      </c>
      <c r="B2729" s="36" t="s">
        <v>5920</v>
      </c>
      <c r="C2729" s="28" t="s">
        <v>2912</v>
      </c>
      <c r="D2729" s="28" t="s">
        <v>4783</v>
      </c>
      <c r="E2729" s="38">
        <v>15000</v>
      </c>
      <c r="F2729" s="67">
        <v>223657</v>
      </c>
      <c r="G2729" s="38">
        <v>46967.97</v>
      </c>
      <c r="H2729" s="56">
        <v>285624.96999999997</v>
      </c>
      <c r="I2729" s="28" t="s">
        <v>19</v>
      </c>
      <c r="J2729" s="43"/>
    </row>
    <row r="2730" spans="1:10" customFormat="1" ht="15.75" hidden="1" customHeight="1" x14ac:dyDescent="0.25">
      <c r="A2730" s="57">
        <v>45260</v>
      </c>
      <c r="B2730" s="36" t="s">
        <v>5921</v>
      </c>
      <c r="C2730" s="28" t="s">
        <v>2912</v>
      </c>
      <c r="D2730" s="28" t="s">
        <v>5360</v>
      </c>
      <c r="E2730" s="38">
        <v>12500</v>
      </c>
      <c r="F2730" s="67">
        <v>148438</v>
      </c>
      <c r="G2730" s="38">
        <v>31171.98</v>
      </c>
      <c r="H2730" s="56">
        <v>192109.98</v>
      </c>
      <c r="I2730" s="28" t="s">
        <v>19</v>
      </c>
      <c r="J2730" s="43"/>
    </row>
    <row r="2731" spans="1:10" customFormat="1" ht="15.75" hidden="1" customHeight="1" x14ac:dyDescent="0.25">
      <c r="A2731" s="57">
        <v>45260</v>
      </c>
      <c r="B2731" s="36" t="s">
        <v>5922</v>
      </c>
      <c r="C2731" s="28" t="s">
        <v>4782</v>
      </c>
      <c r="D2731" s="28" t="s">
        <v>2922</v>
      </c>
      <c r="E2731" s="38">
        <v>5000</v>
      </c>
      <c r="F2731" s="67">
        <v>103125</v>
      </c>
      <c r="G2731" s="38">
        <v>21656.25</v>
      </c>
      <c r="H2731" s="56">
        <v>129781.25</v>
      </c>
      <c r="I2731" s="28" t="s">
        <v>19</v>
      </c>
      <c r="J2731" s="43"/>
    </row>
    <row r="2732" spans="1:10" customFormat="1" ht="15.75" hidden="1" customHeight="1" x14ac:dyDescent="0.25">
      <c r="A2732" s="57">
        <v>45260</v>
      </c>
      <c r="B2732" s="36" t="s">
        <v>5923</v>
      </c>
      <c r="C2732" s="28" t="s">
        <v>5359</v>
      </c>
      <c r="D2732" s="28" t="s">
        <v>5612</v>
      </c>
      <c r="E2732" s="38">
        <v>16960</v>
      </c>
      <c r="F2732" s="67">
        <v>296876</v>
      </c>
      <c r="G2732" s="38">
        <v>62343.96</v>
      </c>
      <c r="H2732" s="56">
        <v>376179.96</v>
      </c>
      <c r="I2732" s="28" t="s">
        <v>19</v>
      </c>
      <c r="J2732" s="43"/>
    </row>
    <row r="2733" spans="1:10" customFormat="1" ht="15.75" hidden="1" customHeight="1" x14ac:dyDescent="0.25">
      <c r="A2733" s="57">
        <v>45260</v>
      </c>
      <c r="B2733" s="36" t="s">
        <v>5924</v>
      </c>
      <c r="C2733" s="28" t="s">
        <v>2921</v>
      </c>
      <c r="D2733" s="28" t="s">
        <v>2893</v>
      </c>
      <c r="E2733" s="38">
        <v>45300</v>
      </c>
      <c r="F2733" s="67">
        <v>425001</v>
      </c>
      <c r="G2733" s="38">
        <v>89250.21</v>
      </c>
      <c r="H2733" s="56">
        <v>559551.21</v>
      </c>
      <c r="I2733" s="28" t="s">
        <v>19</v>
      </c>
      <c r="J2733" s="43"/>
    </row>
    <row r="2734" spans="1:10" customFormat="1" ht="15.75" hidden="1" customHeight="1" x14ac:dyDescent="0.25">
      <c r="A2734" s="57">
        <v>45260</v>
      </c>
      <c r="B2734" s="36" t="s">
        <v>5925</v>
      </c>
      <c r="C2734" s="28" t="s">
        <v>5611</v>
      </c>
      <c r="D2734" s="28" t="s">
        <v>5612</v>
      </c>
      <c r="E2734" s="38">
        <v>12500</v>
      </c>
      <c r="F2734" s="67">
        <v>110715</v>
      </c>
      <c r="G2734" s="38">
        <v>23250.15</v>
      </c>
      <c r="H2734" s="56">
        <v>146465.15</v>
      </c>
      <c r="I2734" s="28" t="s">
        <v>19</v>
      </c>
      <c r="J2734" s="43"/>
    </row>
    <row r="2735" spans="1:10" customFormat="1" ht="15.75" hidden="1" customHeight="1" x14ac:dyDescent="0.25">
      <c r="A2735" s="57">
        <v>45260</v>
      </c>
      <c r="B2735" s="36" t="s">
        <v>5926</v>
      </c>
      <c r="C2735" s="28" t="s">
        <v>2892</v>
      </c>
      <c r="D2735" s="28" t="s">
        <v>3273</v>
      </c>
      <c r="E2735" s="38">
        <v>17000</v>
      </c>
      <c r="F2735" s="67">
        <v>126562.5</v>
      </c>
      <c r="G2735" s="38">
        <v>26578.13</v>
      </c>
      <c r="H2735" s="56">
        <v>170140.63</v>
      </c>
      <c r="I2735" s="28" t="s">
        <v>19</v>
      </c>
      <c r="J2735" s="43"/>
    </row>
    <row r="2736" spans="1:10" customFormat="1" ht="15.75" hidden="1" customHeight="1" x14ac:dyDescent="0.25">
      <c r="A2736" s="57">
        <v>45260</v>
      </c>
      <c r="B2736" s="36" t="s">
        <v>5927</v>
      </c>
      <c r="C2736" s="28" t="s">
        <v>5611</v>
      </c>
      <c r="D2736" s="28" t="s">
        <v>2970</v>
      </c>
      <c r="E2736" s="38">
        <v>8300</v>
      </c>
      <c r="F2736" s="67">
        <v>96875</v>
      </c>
      <c r="G2736" s="38">
        <v>20343.75</v>
      </c>
      <c r="H2736" s="56">
        <v>125518.75</v>
      </c>
      <c r="I2736" s="28" t="s">
        <v>19</v>
      </c>
      <c r="J2736" s="43"/>
    </row>
    <row r="2737" spans="1:10" customFormat="1" ht="15.75" hidden="1" customHeight="1" x14ac:dyDescent="0.25">
      <c r="A2737" s="79">
        <v>45260</v>
      </c>
      <c r="B2737" s="41" t="s">
        <v>5928</v>
      </c>
      <c r="C2737" s="41" t="s">
        <v>3272</v>
      </c>
      <c r="D2737" s="41" t="s">
        <v>2970</v>
      </c>
      <c r="E2737" s="39">
        <v>34000</v>
      </c>
      <c r="F2737" s="42">
        <v>212000</v>
      </c>
      <c r="G2737" s="39">
        <v>44520</v>
      </c>
      <c r="H2737" s="66">
        <v>290520</v>
      </c>
      <c r="I2737" s="41" t="s">
        <v>19</v>
      </c>
      <c r="J2737" s="49"/>
    </row>
    <row r="2738" spans="1:10" customFormat="1" ht="15.75" hidden="1" customHeight="1" x14ac:dyDescent="0.25">
      <c r="A2738" s="57">
        <v>45260</v>
      </c>
      <c r="B2738" s="36" t="s">
        <v>5929</v>
      </c>
      <c r="C2738" s="28" t="s">
        <v>2969</v>
      </c>
      <c r="D2738" s="28" t="s">
        <v>2922</v>
      </c>
      <c r="E2738" s="38">
        <v>18999.999999999902</v>
      </c>
      <c r="F2738" s="67">
        <v>447095</v>
      </c>
      <c r="G2738" s="38">
        <v>93889.95</v>
      </c>
      <c r="H2738" s="56">
        <v>559984.94999999995</v>
      </c>
      <c r="I2738" s="28" t="s">
        <v>19</v>
      </c>
      <c r="J2738" s="43"/>
    </row>
    <row r="2739" spans="1:10" customFormat="1" ht="15.75" hidden="1" customHeight="1" x14ac:dyDescent="0.25">
      <c r="A2739" s="57">
        <v>45260</v>
      </c>
      <c r="B2739" s="36" t="s">
        <v>5930</v>
      </c>
      <c r="C2739" s="28" t="s">
        <v>2969</v>
      </c>
      <c r="D2739" s="28" t="s">
        <v>3461</v>
      </c>
      <c r="E2739" s="38">
        <v>19000</v>
      </c>
      <c r="F2739" s="67">
        <v>372876</v>
      </c>
      <c r="G2739" s="38">
        <v>78303.960000000006</v>
      </c>
      <c r="H2739" s="56">
        <v>470179.96</v>
      </c>
      <c r="I2739" s="28" t="s">
        <v>19</v>
      </c>
      <c r="J2739" s="43"/>
    </row>
    <row r="2740" spans="1:10" customFormat="1" ht="15.75" hidden="1" customHeight="1" x14ac:dyDescent="0.25">
      <c r="A2740" s="57">
        <v>45260</v>
      </c>
      <c r="B2740" s="36" t="s">
        <v>5931</v>
      </c>
      <c r="C2740" s="28" t="s">
        <v>2921</v>
      </c>
      <c r="D2740" s="28" t="s">
        <v>5932</v>
      </c>
      <c r="E2740" s="38">
        <v>62400</v>
      </c>
      <c r="F2740" s="67">
        <v>599250</v>
      </c>
      <c r="G2740" s="38">
        <v>125842.5</v>
      </c>
      <c r="H2740" s="56">
        <v>787492.5</v>
      </c>
      <c r="I2740" s="28" t="s">
        <v>19</v>
      </c>
      <c r="J2740" s="43"/>
    </row>
    <row r="2741" spans="1:10" customFormat="1" ht="15.75" hidden="1" customHeight="1" x14ac:dyDescent="0.25">
      <c r="A2741" s="57">
        <v>45260</v>
      </c>
      <c r="B2741" s="36" t="s">
        <v>5933</v>
      </c>
      <c r="C2741" s="28" t="s">
        <v>3460</v>
      </c>
      <c r="D2741" s="28" t="s">
        <v>4122</v>
      </c>
      <c r="E2741" s="38">
        <v>7000</v>
      </c>
      <c r="F2741" s="67">
        <v>212000</v>
      </c>
      <c r="G2741" s="38">
        <v>44520</v>
      </c>
      <c r="H2741" s="56">
        <v>263520</v>
      </c>
      <c r="I2741" s="28" t="s">
        <v>19</v>
      </c>
      <c r="J2741" s="43"/>
    </row>
    <row r="2742" spans="1:10" customFormat="1" ht="15.75" hidden="1" customHeight="1" x14ac:dyDescent="0.25">
      <c r="A2742" s="57">
        <v>45260</v>
      </c>
      <c r="B2742" s="36" t="s">
        <v>5934</v>
      </c>
      <c r="C2742" s="28" t="s">
        <v>5935</v>
      </c>
      <c r="D2742" s="28" t="s">
        <v>2904</v>
      </c>
      <c r="E2742" s="38">
        <v>20800</v>
      </c>
      <c r="F2742" s="67">
        <v>318000</v>
      </c>
      <c r="G2742" s="38">
        <v>66780</v>
      </c>
      <c r="H2742" s="56">
        <v>405580</v>
      </c>
      <c r="I2742" s="28" t="s">
        <v>19</v>
      </c>
      <c r="J2742" s="43"/>
    </row>
    <row r="2743" spans="1:10" customFormat="1" ht="15.75" hidden="1" customHeight="1" x14ac:dyDescent="0.25">
      <c r="A2743" s="57">
        <v>45260</v>
      </c>
      <c r="B2743" s="36" t="s">
        <v>5936</v>
      </c>
      <c r="C2743" s="28" t="s">
        <v>4121</v>
      </c>
      <c r="D2743" s="28" t="s">
        <v>3037</v>
      </c>
      <c r="E2743" s="38">
        <v>10400</v>
      </c>
      <c r="F2743" s="67">
        <v>159000</v>
      </c>
      <c r="G2743" s="38">
        <v>33390</v>
      </c>
      <c r="H2743" s="56">
        <v>202790</v>
      </c>
      <c r="I2743" s="28" t="s">
        <v>19</v>
      </c>
      <c r="J2743" s="43"/>
    </row>
    <row r="2744" spans="1:10" customFormat="1" ht="15.75" hidden="1" customHeight="1" x14ac:dyDescent="0.25">
      <c r="A2744" s="57">
        <v>45260</v>
      </c>
      <c r="B2744" s="36" t="s">
        <v>5937</v>
      </c>
      <c r="C2744" s="28" t="s">
        <v>2903</v>
      </c>
      <c r="D2744" s="28" t="s">
        <v>2904</v>
      </c>
      <c r="E2744" s="38">
        <v>10400</v>
      </c>
      <c r="F2744" s="67">
        <v>106000</v>
      </c>
      <c r="G2744" s="38">
        <v>22260</v>
      </c>
      <c r="H2744" s="56">
        <v>138660</v>
      </c>
      <c r="I2744" s="28" t="s">
        <v>19</v>
      </c>
      <c r="J2744" s="43"/>
    </row>
    <row r="2745" spans="1:10" customFormat="1" ht="15.75" hidden="1" customHeight="1" x14ac:dyDescent="0.25">
      <c r="A2745" s="57">
        <v>45260</v>
      </c>
      <c r="B2745" s="36" t="s">
        <v>5938</v>
      </c>
      <c r="C2745" s="28" t="s">
        <v>3036</v>
      </c>
      <c r="D2745" s="28" t="s">
        <v>3177</v>
      </c>
      <c r="E2745" s="38">
        <v>20800</v>
      </c>
      <c r="F2745" s="67">
        <v>212000</v>
      </c>
      <c r="G2745" s="38">
        <v>44520</v>
      </c>
      <c r="H2745" s="56">
        <v>277320</v>
      </c>
      <c r="I2745" s="28" t="s">
        <v>19</v>
      </c>
      <c r="J2745" s="43"/>
    </row>
    <row r="2746" spans="1:10" customFormat="1" ht="15.75" hidden="1" customHeight="1" x14ac:dyDescent="0.25">
      <c r="A2746" s="57">
        <v>45260</v>
      </c>
      <c r="B2746" s="36" t="s">
        <v>5939</v>
      </c>
      <c r="C2746" s="28" t="s">
        <v>2903</v>
      </c>
      <c r="D2746" s="28" t="s">
        <v>2973</v>
      </c>
      <c r="E2746" s="38">
        <v>17000</v>
      </c>
      <c r="F2746" s="67">
        <v>106000</v>
      </c>
      <c r="G2746" s="38">
        <v>22260</v>
      </c>
      <c r="H2746" s="56">
        <v>145260</v>
      </c>
      <c r="I2746" s="28" t="s">
        <v>19</v>
      </c>
      <c r="J2746" s="43"/>
    </row>
    <row r="2747" spans="1:10" customFormat="1" ht="15.75" hidden="1" customHeight="1" x14ac:dyDescent="0.25">
      <c r="A2747" s="57">
        <v>45260</v>
      </c>
      <c r="B2747" s="36" t="s">
        <v>5940</v>
      </c>
      <c r="C2747" s="28" t="s">
        <v>3176</v>
      </c>
      <c r="D2747" s="28" t="s">
        <v>3347</v>
      </c>
      <c r="E2747" s="38">
        <v>22000</v>
      </c>
      <c r="F2747" s="67">
        <v>242187.5</v>
      </c>
      <c r="G2747" s="38">
        <v>50859.38</v>
      </c>
      <c r="H2747" s="56">
        <v>315046.88</v>
      </c>
      <c r="I2747" s="28" t="s">
        <v>19</v>
      </c>
      <c r="J2747" s="43"/>
    </row>
    <row r="2748" spans="1:10" customFormat="1" ht="15.75" hidden="1" customHeight="1" x14ac:dyDescent="0.25">
      <c r="A2748" s="57">
        <v>45260</v>
      </c>
      <c r="B2748" s="36" t="s">
        <v>5941</v>
      </c>
      <c r="C2748" s="28" t="s">
        <v>2972</v>
      </c>
      <c r="D2748" s="28" t="s">
        <v>3242</v>
      </c>
      <c r="E2748" s="38">
        <v>53000</v>
      </c>
      <c r="F2748" s="67">
        <v>168750</v>
      </c>
      <c r="G2748" s="38">
        <v>35437.5</v>
      </c>
      <c r="H2748" s="56">
        <v>257187.5</v>
      </c>
      <c r="I2748" s="28" t="s">
        <v>19</v>
      </c>
      <c r="J2748" s="43"/>
    </row>
    <row r="2749" spans="1:10" customFormat="1" ht="15.75" hidden="1" customHeight="1" x14ac:dyDescent="0.25">
      <c r="A2749" s="57">
        <v>45260</v>
      </c>
      <c r="B2749" s="36" t="s">
        <v>5942</v>
      </c>
      <c r="C2749" s="28" t="s">
        <v>3346</v>
      </c>
      <c r="D2749" s="28" t="s">
        <v>5943</v>
      </c>
      <c r="E2749" s="38">
        <v>0</v>
      </c>
      <c r="F2749" s="67">
        <v>218000</v>
      </c>
      <c r="G2749" s="38">
        <v>45780</v>
      </c>
      <c r="H2749" s="56">
        <v>263780</v>
      </c>
      <c r="I2749" s="28" t="s">
        <v>19</v>
      </c>
      <c r="J2749" s="43"/>
    </row>
    <row r="2750" spans="1:10" customFormat="1" ht="15.75" hidden="1" customHeight="1" x14ac:dyDescent="0.25">
      <c r="A2750" s="57">
        <v>45260</v>
      </c>
      <c r="B2750" s="36" t="s">
        <v>5944</v>
      </c>
      <c r="C2750" s="28" t="s">
        <v>3241</v>
      </c>
      <c r="D2750" s="28" t="s">
        <v>2973</v>
      </c>
      <c r="E2750" s="38">
        <v>51000</v>
      </c>
      <c r="F2750" s="67">
        <v>274750</v>
      </c>
      <c r="G2750" s="38">
        <v>57697.5</v>
      </c>
      <c r="H2750" s="56">
        <v>383447.5</v>
      </c>
      <c r="I2750" s="28" t="s">
        <v>19</v>
      </c>
      <c r="J2750" s="43"/>
    </row>
    <row r="2751" spans="1:10" customFormat="1" ht="15.75" hidden="1" customHeight="1" x14ac:dyDescent="0.25">
      <c r="A2751" s="57">
        <v>45260</v>
      </c>
      <c r="B2751" s="36" t="s">
        <v>5945</v>
      </c>
      <c r="C2751" s="28" t="s">
        <v>5946</v>
      </c>
      <c r="D2751" s="28" t="s">
        <v>2922</v>
      </c>
      <c r="E2751" s="38">
        <v>36000</v>
      </c>
      <c r="F2751" s="67">
        <v>1676200</v>
      </c>
      <c r="G2751" s="38">
        <v>352002</v>
      </c>
      <c r="H2751" s="56">
        <v>2064202</v>
      </c>
      <c r="I2751" s="28" t="s">
        <v>19</v>
      </c>
      <c r="J2751" s="43"/>
    </row>
    <row r="2752" spans="1:10" customFormat="1" ht="15.75" hidden="1" customHeight="1" x14ac:dyDescent="0.25">
      <c r="A2752" s="57">
        <v>45260</v>
      </c>
      <c r="B2752" s="36" t="s">
        <v>5947</v>
      </c>
      <c r="C2752" s="28" t="s">
        <v>2972</v>
      </c>
      <c r="D2752" s="28" t="s">
        <v>2922</v>
      </c>
      <c r="E2752" s="38">
        <v>26500</v>
      </c>
      <c r="F2752" s="67">
        <v>106000</v>
      </c>
      <c r="G2752" s="38">
        <v>22260</v>
      </c>
      <c r="H2752" s="56">
        <v>154760</v>
      </c>
      <c r="I2752" s="28" t="s">
        <v>19</v>
      </c>
      <c r="J2752" s="43"/>
    </row>
    <row r="2753" spans="1:10" customFormat="1" ht="15.75" hidden="1" customHeight="1" x14ac:dyDescent="0.25">
      <c r="A2753" s="57">
        <v>45260</v>
      </c>
      <c r="B2753" s="36" t="s">
        <v>5948</v>
      </c>
      <c r="C2753" s="28" t="s">
        <v>2921</v>
      </c>
      <c r="D2753" s="28" t="s">
        <v>2904</v>
      </c>
      <c r="E2753" s="38">
        <v>53000</v>
      </c>
      <c r="F2753" s="67">
        <v>212000</v>
      </c>
      <c r="G2753" s="38">
        <v>44520</v>
      </c>
      <c r="H2753" s="56">
        <v>309520</v>
      </c>
      <c r="I2753" s="28" t="s">
        <v>19</v>
      </c>
      <c r="J2753" s="43"/>
    </row>
    <row r="2754" spans="1:10" customFormat="1" ht="15.75" hidden="1" customHeight="1" x14ac:dyDescent="0.25">
      <c r="A2754" s="57">
        <v>45260</v>
      </c>
      <c r="B2754" s="36" t="s">
        <v>5949</v>
      </c>
      <c r="C2754" s="28" t="s">
        <v>2921</v>
      </c>
      <c r="D2754" s="28" t="s">
        <v>3008</v>
      </c>
      <c r="E2754" s="38">
        <v>26500</v>
      </c>
      <c r="F2754" s="67">
        <v>106000</v>
      </c>
      <c r="G2754" s="38">
        <v>22260</v>
      </c>
      <c r="H2754" s="56">
        <v>154760</v>
      </c>
      <c r="I2754" s="28" t="s">
        <v>19</v>
      </c>
      <c r="J2754" s="43"/>
    </row>
    <row r="2755" spans="1:10" customFormat="1" ht="15.75" hidden="1" customHeight="1" x14ac:dyDescent="0.25">
      <c r="A2755" s="57">
        <v>45260</v>
      </c>
      <c r="B2755" s="36" t="s">
        <v>5950</v>
      </c>
      <c r="C2755" s="28" t="s">
        <v>2903</v>
      </c>
      <c r="D2755" s="28" t="s">
        <v>2910</v>
      </c>
      <c r="E2755" s="38">
        <v>26500</v>
      </c>
      <c r="F2755" s="67">
        <v>109000</v>
      </c>
      <c r="G2755" s="38">
        <v>22890</v>
      </c>
      <c r="H2755" s="56">
        <v>158390</v>
      </c>
      <c r="I2755" s="28" t="s">
        <v>19</v>
      </c>
      <c r="J2755" s="43"/>
    </row>
    <row r="2756" spans="1:10" customFormat="1" ht="15.75" hidden="1" customHeight="1" x14ac:dyDescent="0.25">
      <c r="A2756" s="57">
        <v>45260</v>
      </c>
      <c r="B2756" s="36" t="s">
        <v>5951</v>
      </c>
      <c r="C2756" s="28" t="s">
        <v>3007</v>
      </c>
      <c r="D2756" s="28" t="s">
        <v>2884</v>
      </c>
      <c r="E2756" s="38">
        <v>26500</v>
      </c>
      <c r="F2756" s="67">
        <v>106000</v>
      </c>
      <c r="G2756" s="38">
        <v>22260</v>
      </c>
      <c r="H2756" s="56">
        <v>154760</v>
      </c>
      <c r="I2756" s="28" t="s">
        <v>19</v>
      </c>
      <c r="J2756" s="43"/>
    </row>
    <row r="2757" spans="1:10" customFormat="1" ht="15.75" hidden="1" customHeight="1" x14ac:dyDescent="0.25">
      <c r="A2757" s="57">
        <v>45260</v>
      </c>
      <c r="B2757" s="36" t="s">
        <v>5952</v>
      </c>
      <c r="C2757" s="28" t="s">
        <v>2909</v>
      </c>
      <c r="D2757" s="28" t="s">
        <v>3133</v>
      </c>
      <c r="E2757" s="38">
        <v>12000</v>
      </c>
      <c r="F2757" s="67">
        <v>256250</v>
      </c>
      <c r="G2757" s="38">
        <v>53812.5</v>
      </c>
      <c r="H2757" s="56">
        <v>322062.5</v>
      </c>
      <c r="I2757" s="28" t="s">
        <v>19</v>
      </c>
      <c r="J2757" s="43"/>
    </row>
    <row r="2758" spans="1:10" customFormat="1" ht="15.75" hidden="1" customHeight="1" x14ac:dyDescent="0.25">
      <c r="A2758" s="57">
        <v>45260</v>
      </c>
      <c r="B2758" s="36" t="s">
        <v>5953</v>
      </c>
      <c r="C2758" s="28" t="s">
        <v>2883</v>
      </c>
      <c r="D2758" s="28" t="s">
        <v>5954</v>
      </c>
      <c r="E2758" s="38">
        <v>11000</v>
      </c>
      <c r="F2758" s="67">
        <v>84375</v>
      </c>
      <c r="G2758" s="38">
        <v>17718.75</v>
      </c>
      <c r="H2758" s="56">
        <v>113093.75</v>
      </c>
      <c r="I2758" s="28" t="s">
        <v>19</v>
      </c>
      <c r="J2758" s="43"/>
    </row>
    <row r="2759" spans="1:10" customFormat="1" ht="15.75" hidden="1" customHeight="1" x14ac:dyDescent="0.25">
      <c r="A2759" s="57">
        <v>45260</v>
      </c>
      <c r="B2759" s="28" t="s">
        <v>5955</v>
      </c>
      <c r="C2759" s="28" t="s">
        <v>3132</v>
      </c>
      <c r="D2759" s="28" t="s">
        <v>2896</v>
      </c>
      <c r="E2759" s="38">
        <v>0</v>
      </c>
      <c r="F2759" s="67">
        <v>1333999</v>
      </c>
      <c r="G2759" s="38">
        <v>280139.78999999998</v>
      </c>
      <c r="H2759" s="56">
        <v>1614138.79</v>
      </c>
      <c r="I2759" s="28" t="s">
        <v>103</v>
      </c>
      <c r="J2759" s="43"/>
    </row>
    <row r="2760" spans="1:10" customFormat="1" ht="15.75" hidden="1" customHeight="1" x14ac:dyDescent="0.25">
      <c r="A2760" s="57">
        <v>45260</v>
      </c>
      <c r="B2760" s="58" t="s">
        <v>5956</v>
      </c>
      <c r="C2760" s="59" t="s">
        <v>5957</v>
      </c>
      <c r="D2760" s="59" t="s">
        <v>3242</v>
      </c>
      <c r="E2760" s="60">
        <v>0</v>
      </c>
      <c r="F2760" s="115">
        <v>515482</v>
      </c>
      <c r="G2760" s="60">
        <v>108251.22</v>
      </c>
      <c r="H2760" s="61">
        <v>623733.22</v>
      </c>
      <c r="I2760" s="59" t="s">
        <v>103</v>
      </c>
      <c r="J2760" s="43"/>
    </row>
    <row r="2761" spans="1:10" ht="15.75" hidden="1" customHeight="1" x14ac:dyDescent="0.25">
      <c r="A2761" s="127">
        <v>45260</v>
      </c>
      <c r="B2761" s="121" t="s">
        <v>5958</v>
      </c>
      <c r="C2761" s="121" t="s">
        <v>2895</v>
      </c>
      <c r="D2761" s="121" t="s">
        <v>4415</v>
      </c>
      <c r="E2761" s="173">
        <v>0</v>
      </c>
      <c r="F2761" s="174">
        <v>464755</v>
      </c>
      <c r="G2761" s="173">
        <v>97598.55</v>
      </c>
      <c r="H2761" s="173">
        <v>562353.55000000005</v>
      </c>
      <c r="I2761" s="121" t="s">
        <v>103</v>
      </c>
      <c r="J2761" s="43"/>
    </row>
    <row r="2762" spans="1:10" customFormat="1" ht="15.75" hidden="1" customHeight="1" x14ac:dyDescent="0.25">
      <c r="A2762" s="170">
        <v>45260</v>
      </c>
      <c r="B2762" s="158" t="s">
        <v>5959</v>
      </c>
      <c r="C2762" s="55" t="s">
        <v>3241</v>
      </c>
      <c r="D2762" s="55" t="s">
        <v>2857</v>
      </c>
      <c r="E2762" s="159">
        <v>-3.7252902984619103E-11</v>
      </c>
      <c r="F2762" s="171">
        <v>260585</v>
      </c>
      <c r="G2762" s="159">
        <v>54722.85</v>
      </c>
      <c r="H2762" s="161">
        <v>315307.84999999998</v>
      </c>
      <c r="I2762" s="55" t="s">
        <v>103</v>
      </c>
      <c r="J2762" s="43"/>
    </row>
    <row r="2763" spans="1:10" customFormat="1" ht="15.75" hidden="1" customHeight="1" x14ac:dyDescent="0.25">
      <c r="A2763" s="57">
        <v>45260</v>
      </c>
      <c r="B2763" s="36" t="s">
        <v>5960</v>
      </c>
      <c r="C2763" s="28" t="s">
        <v>4414</v>
      </c>
      <c r="D2763" s="28" t="s">
        <v>4110</v>
      </c>
      <c r="E2763" s="38">
        <v>0</v>
      </c>
      <c r="F2763" s="67">
        <v>344450</v>
      </c>
      <c r="G2763" s="38">
        <v>72334.5</v>
      </c>
      <c r="H2763" s="56">
        <v>416784.5</v>
      </c>
      <c r="I2763" s="28" t="s">
        <v>103</v>
      </c>
      <c r="J2763" s="43"/>
    </row>
    <row r="2764" spans="1:10" customFormat="1" ht="15.75" hidden="1" customHeight="1" x14ac:dyDescent="0.25">
      <c r="A2764" s="57">
        <v>45260</v>
      </c>
      <c r="B2764" s="36" t="s">
        <v>5961</v>
      </c>
      <c r="C2764" s="28" t="s">
        <v>2856</v>
      </c>
      <c r="D2764" s="28" t="s">
        <v>3291</v>
      </c>
      <c r="E2764" s="38">
        <v>0</v>
      </c>
      <c r="F2764" s="67">
        <v>11104346.359999999</v>
      </c>
      <c r="G2764" s="38">
        <v>2331912.73</v>
      </c>
      <c r="H2764" s="56">
        <v>13436259.09</v>
      </c>
      <c r="I2764" s="28" t="s">
        <v>103</v>
      </c>
      <c r="J2764" s="43"/>
    </row>
    <row r="2765" spans="1:10" customFormat="1" ht="15.75" hidden="1" customHeight="1" x14ac:dyDescent="0.25">
      <c r="A2765" s="57">
        <v>45260</v>
      </c>
      <c r="B2765" s="36" t="s">
        <v>5962</v>
      </c>
      <c r="C2765" s="28" t="s">
        <v>4109</v>
      </c>
      <c r="D2765" s="28" t="s">
        <v>3723</v>
      </c>
      <c r="E2765" s="38">
        <v>0</v>
      </c>
      <c r="F2765" s="67">
        <v>53560</v>
      </c>
      <c r="G2765" s="38">
        <v>11247.6</v>
      </c>
      <c r="H2765" s="56">
        <v>64807.6</v>
      </c>
      <c r="I2765" s="28" t="s">
        <v>103</v>
      </c>
      <c r="J2765" s="43"/>
    </row>
    <row r="2766" spans="1:10" customFormat="1" ht="15.75" hidden="1" customHeight="1" x14ac:dyDescent="0.25">
      <c r="A2766" s="57">
        <v>45260</v>
      </c>
      <c r="B2766" s="36" t="s">
        <v>5963</v>
      </c>
      <c r="C2766" s="28" t="s">
        <v>3290</v>
      </c>
      <c r="D2766" s="28" t="s">
        <v>2893</v>
      </c>
      <c r="E2766" s="38">
        <v>0</v>
      </c>
      <c r="F2766" s="67">
        <v>222690</v>
      </c>
      <c r="G2766" s="38">
        <v>46764.9</v>
      </c>
      <c r="H2766" s="56">
        <v>269454.90000000002</v>
      </c>
      <c r="I2766" s="28" t="s">
        <v>103</v>
      </c>
      <c r="J2766" s="43"/>
    </row>
    <row r="2767" spans="1:10" customFormat="1" ht="15.75" hidden="1" customHeight="1" x14ac:dyDescent="0.25">
      <c r="A2767" s="57">
        <v>45260</v>
      </c>
      <c r="B2767" s="36" t="s">
        <v>5964</v>
      </c>
      <c r="C2767" s="28" t="s">
        <v>3722</v>
      </c>
      <c r="D2767" s="28" t="s">
        <v>2922</v>
      </c>
      <c r="E2767" s="38">
        <v>0</v>
      </c>
      <c r="F2767" s="67">
        <v>266500</v>
      </c>
      <c r="G2767" s="38">
        <v>55965</v>
      </c>
      <c r="H2767" s="56">
        <v>322465</v>
      </c>
      <c r="I2767" s="28" t="s">
        <v>103</v>
      </c>
      <c r="J2767" s="43"/>
    </row>
    <row r="2768" spans="1:10" customFormat="1" ht="15.75" hidden="1" customHeight="1" x14ac:dyDescent="0.25">
      <c r="A2768" s="57">
        <v>45260</v>
      </c>
      <c r="B2768" s="36" t="s">
        <v>5965</v>
      </c>
      <c r="C2768" s="28" t="s">
        <v>2892</v>
      </c>
      <c r="D2768" s="28" t="s">
        <v>3967</v>
      </c>
      <c r="E2768" s="38">
        <v>0</v>
      </c>
      <c r="F2768" s="67">
        <v>210876</v>
      </c>
      <c r="G2768" s="38">
        <v>44283.96</v>
      </c>
      <c r="H2768" s="56">
        <v>255159.96</v>
      </c>
      <c r="I2768" s="28" t="s">
        <v>103</v>
      </c>
      <c r="J2768" s="43"/>
    </row>
    <row r="2769" spans="1:10" customFormat="1" ht="15.75" hidden="1" customHeight="1" x14ac:dyDescent="0.25">
      <c r="A2769" s="57">
        <v>45260</v>
      </c>
      <c r="B2769" s="36" t="s">
        <v>5966</v>
      </c>
      <c r="C2769" s="28" t="s">
        <v>2921</v>
      </c>
      <c r="D2769" s="28" t="s">
        <v>1141</v>
      </c>
      <c r="E2769" s="38">
        <v>0</v>
      </c>
      <c r="F2769" s="67">
        <v>353920</v>
      </c>
      <c r="G2769" s="38">
        <v>74323.199999999997</v>
      </c>
      <c r="H2769" s="56">
        <v>428243.20000000001</v>
      </c>
      <c r="I2769" s="28" t="s">
        <v>103</v>
      </c>
      <c r="J2769" s="43"/>
    </row>
    <row r="2770" spans="1:10" customFormat="1" ht="15.75" hidden="1" customHeight="1" x14ac:dyDescent="0.25">
      <c r="A2770" s="57">
        <v>45260</v>
      </c>
      <c r="B2770" s="36" t="s">
        <v>5967</v>
      </c>
      <c r="C2770" s="28" t="s">
        <v>3966</v>
      </c>
      <c r="D2770" s="28" t="s">
        <v>3008</v>
      </c>
      <c r="E2770" s="38">
        <v>0</v>
      </c>
      <c r="F2770" s="67">
        <v>634636</v>
      </c>
      <c r="G2770" s="38">
        <v>133273.56</v>
      </c>
      <c r="H2770" s="56">
        <v>767909.56</v>
      </c>
      <c r="I2770" s="28" t="s">
        <v>103</v>
      </c>
      <c r="J2770" s="43"/>
    </row>
    <row r="2771" spans="1:10" customFormat="1" ht="15.75" hidden="1" customHeight="1" x14ac:dyDescent="0.25">
      <c r="A2771" s="57">
        <v>45260</v>
      </c>
      <c r="B2771" s="36" t="s">
        <v>5968</v>
      </c>
      <c r="C2771" s="28" t="s">
        <v>1140</v>
      </c>
      <c r="D2771" s="28" t="s">
        <v>3118</v>
      </c>
      <c r="E2771" s="38">
        <v>0</v>
      </c>
      <c r="F2771" s="67">
        <v>679130</v>
      </c>
      <c r="G2771" s="38">
        <v>142617.29999999999</v>
      </c>
      <c r="H2771" s="56">
        <v>821747.3</v>
      </c>
      <c r="I2771" s="28" t="s">
        <v>103</v>
      </c>
      <c r="J2771" s="43"/>
    </row>
    <row r="2772" spans="1:10" customFormat="1" ht="15.75" hidden="1" customHeight="1" x14ac:dyDescent="0.25">
      <c r="A2772" s="57">
        <v>45260</v>
      </c>
      <c r="B2772" s="36" t="s">
        <v>5969</v>
      </c>
      <c r="C2772" s="28" t="s">
        <v>3007</v>
      </c>
      <c r="D2772" s="28" t="s">
        <v>5970</v>
      </c>
      <c r="E2772" s="38">
        <v>0</v>
      </c>
      <c r="F2772" s="67">
        <v>341050</v>
      </c>
      <c r="G2772" s="38">
        <v>71620.5</v>
      </c>
      <c r="H2772" s="56">
        <v>412670.5</v>
      </c>
      <c r="I2772" s="28" t="s">
        <v>103</v>
      </c>
      <c r="J2772" s="43"/>
    </row>
    <row r="2773" spans="1:10" customFormat="1" ht="15.75" hidden="1" customHeight="1" x14ac:dyDescent="0.25">
      <c r="A2773" s="57">
        <v>45260</v>
      </c>
      <c r="B2773" s="36" t="s">
        <v>5971</v>
      </c>
      <c r="C2773" s="28" t="s">
        <v>3117</v>
      </c>
      <c r="D2773" s="28" t="s">
        <v>3177</v>
      </c>
      <c r="E2773" s="38">
        <v>0</v>
      </c>
      <c r="F2773" s="67">
        <v>26950</v>
      </c>
      <c r="G2773" s="38">
        <v>5659.5</v>
      </c>
      <c r="H2773" s="56">
        <v>32609.5</v>
      </c>
      <c r="I2773" s="28" t="s">
        <v>103</v>
      </c>
      <c r="J2773" s="43"/>
    </row>
    <row r="2774" spans="1:10" customFormat="1" ht="15.75" hidden="1" customHeight="1" x14ac:dyDescent="0.25">
      <c r="A2774" s="57">
        <v>45260</v>
      </c>
      <c r="B2774" s="36" t="s">
        <v>5972</v>
      </c>
      <c r="C2774" s="28" t="s">
        <v>5973</v>
      </c>
      <c r="D2774" s="28" t="s">
        <v>3560</v>
      </c>
      <c r="E2774" s="38">
        <v>0</v>
      </c>
      <c r="F2774" s="67">
        <v>2575545</v>
      </c>
      <c r="G2774" s="67">
        <v>540864.44999999995</v>
      </c>
      <c r="H2774" s="110">
        <v>3116409.45</v>
      </c>
      <c r="I2774" s="28" t="s">
        <v>103</v>
      </c>
      <c r="J2774" s="43"/>
    </row>
    <row r="2775" spans="1:10" customFormat="1" ht="15.75" hidden="1" customHeight="1" x14ac:dyDescent="0.25">
      <c r="A2775" s="57">
        <v>45260</v>
      </c>
      <c r="B2775" s="36" t="s">
        <v>5974</v>
      </c>
      <c r="C2775" s="28" t="s">
        <v>3176</v>
      </c>
      <c r="D2775" s="28" t="s">
        <v>2922</v>
      </c>
      <c r="E2775" s="38">
        <v>21000</v>
      </c>
      <c r="F2775" s="67">
        <v>515625</v>
      </c>
      <c r="G2775" s="38">
        <v>108281.24</v>
      </c>
      <c r="H2775" s="56">
        <v>644906.23999999999</v>
      </c>
      <c r="I2775" s="28" t="s">
        <v>19</v>
      </c>
      <c r="J2775" s="43"/>
    </row>
    <row r="2776" spans="1:10" customFormat="1" ht="15.75" hidden="1" customHeight="1" x14ac:dyDescent="0.25">
      <c r="A2776" s="57">
        <v>45260</v>
      </c>
      <c r="B2776" s="36" t="s">
        <v>5975</v>
      </c>
      <c r="C2776" s="28" t="s">
        <v>3559</v>
      </c>
      <c r="D2776" s="28" t="s">
        <v>3015</v>
      </c>
      <c r="E2776" s="38">
        <v>14000</v>
      </c>
      <c r="F2776" s="67">
        <v>128125</v>
      </c>
      <c r="G2776" s="38">
        <v>26906.25</v>
      </c>
      <c r="H2776" s="56">
        <v>169031.25</v>
      </c>
      <c r="I2776" s="28" t="s">
        <v>19</v>
      </c>
      <c r="J2776" s="43"/>
    </row>
    <row r="2777" spans="1:10" customFormat="1" ht="15.75" hidden="1" customHeight="1" x14ac:dyDescent="0.25">
      <c r="A2777" s="57">
        <v>45260</v>
      </c>
      <c r="B2777" s="36" t="s">
        <v>5976</v>
      </c>
      <c r="C2777" s="28" t="s">
        <v>2921</v>
      </c>
      <c r="D2777" s="28" t="s">
        <v>3141</v>
      </c>
      <c r="E2777" s="38">
        <v>7800</v>
      </c>
      <c r="F2777" s="67">
        <v>148438</v>
      </c>
      <c r="G2777" s="38">
        <v>31171.98</v>
      </c>
      <c r="H2777" s="56">
        <v>187409.98</v>
      </c>
      <c r="I2777" s="28" t="s">
        <v>19</v>
      </c>
      <c r="J2777" s="43"/>
    </row>
    <row r="2778" spans="1:10" customFormat="1" ht="15.75" hidden="1" customHeight="1" x14ac:dyDescent="0.25">
      <c r="A2778" s="57">
        <v>45260</v>
      </c>
      <c r="B2778" s="36" t="s">
        <v>5977</v>
      </c>
      <c r="C2778" s="28" t="s">
        <v>3014</v>
      </c>
      <c r="D2778" s="28" t="s">
        <v>3347</v>
      </c>
      <c r="E2778" s="38">
        <v>34000</v>
      </c>
      <c r="F2778" s="67">
        <v>168750</v>
      </c>
      <c r="G2778" s="38">
        <v>35437.5</v>
      </c>
      <c r="H2778" s="56">
        <v>238187.5</v>
      </c>
      <c r="I2778" s="28" t="s">
        <v>19</v>
      </c>
      <c r="J2778" s="43"/>
    </row>
    <row r="2779" spans="1:10" customFormat="1" ht="15.75" hidden="1" customHeight="1" x14ac:dyDescent="0.25">
      <c r="A2779" s="57">
        <v>45260</v>
      </c>
      <c r="B2779" s="36" t="s">
        <v>5978</v>
      </c>
      <c r="C2779" s="28" t="s">
        <v>3140</v>
      </c>
      <c r="D2779" s="28" t="s">
        <v>2852</v>
      </c>
      <c r="E2779" s="38">
        <v>0</v>
      </c>
      <c r="F2779" s="67">
        <v>50700</v>
      </c>
      <c r="G2779" s="38">
        <v>10647</v>
      </c>
      <c r="H2779" s="56">
        <v>61347</v>
      </c>
      <c r="I2779" s="28" t="s">
        <v>103</v>
      </c>
      <c r="J2779" s="43"/>
    </row>
    <row r="2780" spans="1:10" customFormat="1" ht="15.75" hidden="1" customHeight="1" x14ac:dyDescent="0.25">
      <c r="A2780" s="57">
        <v>45260</v>
      </c>
      <c r="B2780" s="36" t="s">
        <v>5979</v>
      </c>
      <c r="C2780" s="28" t="s">
        <v>3346</v>
      </c>
      <c r="D2780" s="28" t="s">
        <v>3723</v>
      </c>
      <c r="E2780" s="38">
        <v>0</v>
      </c>
      <c r="F2780" s="67">
        <v>546060</v>
      </c>
      <c r="G2780" s="38">
        <v>114672.6</v>
      </c>
      <c r="H2780" s="56">
        <v>660732.6</v>
      </c>
      <c r="I2780" s="28" t="s">
        <v>103</v>
      </c>
      <c r="J2780" s="43"/>
    </row>
    <row r="2781" spans="1:10" customFormat="1" ht="15.75" hidden="1" customHeight="1" x14ac:dyDescent="0.25">
      <c r="A2781" s="57">
        <v>45238</v>
      </c>
      <c r="B2781" s="36" t="s">
        <v>5980</v>
      </c>
      <c r="C2781" s="28" t="s">
        <v>2851</v>
      </c>
      <c r="D2781" s="28" t="s">
        <v>3269</v>
      </c>
      <c r="E2781" s="38">
        <v>0</v>
      </c>
      <c r="F2781" s="67">
        <v>1553430</v>
      </c>
      <c r="G2781" s="38">
        <v>326220.3</v>
      </c>
      <c r="H2781" s="56">
        <v>1879650.3</v>
      </c>
      <c r="I2781" s="28" t="s">
        <v>19</v>
      </c>
      <c r="J2781" s="43"/>
    </row>
    <row r="2782" spans="1:10" customFormat="1" ht="15.75" hidden="1" customHeight="1" x14ac:dyDescent="0.25">
      <c r="A2782" s="57">
        <v>45253</v>
      </c>
      <c r="B2782" s="36" t="s">
        <v>5981</v>
      </c>
      <c r="C2782" s="28" t="s">
        <v>3722</v>
      </c>
      <c r="D2782" s="28" t="s">
        <v>2922</v>
      </c>
      <c r="E2782" s="38">
        <v>0</v>
      </c>
      <c r="F2782" s="67">
        <v>-82500</v>
      </c>
      <c r="G2782" s="38">
        <v>-17325</v>
      </c>
      <c r="H2782" s="56">
        <v>-99825</v>
      </c>
      <c r="I2782" s="28" t="s">
        <v>19</v>
      </c>
      <c r="J2782" s="43"/>
    </row>
    <row r="2783" spans="1:10" customFormat="1" ht="15.75" hidden="1" customHeight="1" x14ac:dyDescent="0.25">
      <c r="A2783" s="57">
        <v>45253</v>
      </c>
      <c r="B2783" s="36" t="s">
        <v>3981</v>
      </c>
      <c r="C2783" s="28" t="s">
        <v>4337</v>
      </c>
      <c r="D2783" s="28" t="s">
        <v>4466</v>
      </c>
      <c r="E2783" s="38">
        <v>0</v>
      </c>
      <c r="F2783" s="67">
        <v>1120730</v>
      </c>
      <c r="G2783" s="38">
        <v>0</v>
      </c>
      <c r="H2783" s="56">
        <v>0</v>
      </c>
      <c r="I2783" s="28" t="s">
        <v>103</v>
      </c>
      <c r="J2783" s="43"/>
    </row>
    <row r="2784" spans="1:10" customFormat="1" ht="15.75" hidden="1" customHeight="1" x14ac:dyDescent="0.25">
      <c r="A2784" s="57">
        <v>45253</v>
      </c>
      <c r="B2784" s="36" t="s">
        <v>3981</v>
      </c>
      <c r="C2784" s="28" t="s">
        <v>2930</v>
      </c>
      <c r="D2784" s="28" t="s">
        <v>3242</v>
      </c>
      <c r="E2784" s="38">
        <v>0</v>
      </c>
      <c r="F2784" s="67">
        <v>136220</v>
      </c>
      <c r="G2784" s="38">
        <v>0</v>
      </c>
      <c r="H2784" s="56">
        <v>0</v>
      </c>
      <c r="I2784" s="28" t="s">
        <v>103</v>
      </c>
      <c r="J2784" s="43"/>
    </row>
    <row r="2785" spans="1:10" customFormat="1" ht="15.75" hidden="1" customHeight="1" x14ac:dyDescent="0.25">
      <c r="A2785" s="57">
        <v>45272</v>
      </c>
      <c r="B2785" s="36" t="s">
        <v>5982</v>
      </c>
      <c r="C2785" s="28" t="s">
        <v>3007</v>
      </c>
      <c r="D2785" s="28" t="s">
        <v>3008</v>
      </c>
      <c r="E2785" s="38">
        <v>5000</v>
      </c>
      <c r="F2785" s="67">
        <v>110625</v>
      </c>
      <c r="G2785" s="38">
        <v>23231.25</v>
      </c>
      <c r="H2785" s="56">
        <v>138856.25</v>
      </c>
      <c r="I2785" s="28" t="s">
        <v>19</v>
      </c>
      <c r="J2785" s="43"/>
    </row>
    <row r="2786" spans="1:10" customFormat="1" ht="15.75" hidden="1" customHeight="1" x14ac:dyDescent="0.25">
      <c r="A2786" s="57">
        <v>45272</v>
      </c>
      <c r="B2786" s="36" t="s">
        <v>5983</v>
      </c>
      <c r="C2786" s="28" t="s">
        <v>3176</v>
      </c>
      <c r="D2786" s="28" t="s">
        <v>3177</v>
      </c>
      <c r="E2786" s="38">
        <v>17000</v>
      </c>
      <c r="F2786" s="67">
        <v>106000</v>
      </c>
      <c r="G2786" s="38">
        <v>22260</v>
      </c>
      <c r="H2786" s="56">
        <v>145260</v>
      </c>
      <c r="I2786" s="28" t="s">
        <v>19</v>
      </c>
      <c r="J2786" s="43"/>
    </row>
    <row r="2787" spans="1:10" customFormat="1" ht="15.75" hidden="1" customHeight="1" x14ac:dyDescent="0.25">
      <c r="A2787" s="57">
        <v>45272</v>
      </c>
      <c r="B2787" s="36" t="s">
        <v>5984</v>
      </c>
      <c r="C2787" s="28" t="s">
        <v>3627</v>
      </c>
      <c r="D2787" s="28" t="s">
        <v>3628</v>
      </c>
      <c r="E2787" s="38">
        <v>6500</v>
      </c>
      <c r="F2787" s="67">
        <v>110625</v>
      </c>
      <c r="G2787" s="38">
        <v>23231.25</v>
      </c>
      <c r="H2787" s="56">
        <v>140356.25</v>
      </c>
      <c r="I2787" s="28" t="s">
        <v>19</v>
      </c>
      <c r="J2787" s="43"/>
    </row>
    <row r="2788" spans="1:10" customFormat="1" ht="15.75" hidden="1" customHeight="1" x14ac:dyDescent="0.25">
      <c r="A2788" s="57">
        <v>45272</v>
      </c>
      <c r="B2788" s="36" t="s">
        <v>5985</v>
      </c>
      <c r="C2788" s="28" t="s">
        <v>2957</v>
      </c>
      <c r="D2788" s="28" t="s">
        <v>2958</v>
      </c>
      <c r="E2788" s="38">
        <v>3500</v>
      </c>
      <c r="F2788" s="67">
        <v>78438</v>
      </c>
      <c r="G2788" s="38">
        <v>16471.98</v>
      </c>
      <c r="H2788" s="56">
        <v>98409.98</v>
      </c>
      <c r="I2788" s="28" t="s">
        <v>19</v>
      </c>
      <c r="J2788" s="43"/>
    </row>
    <row r="2789" spans="1:10" customFormat="1" ht="15.75" hidden="1" customHeight="1" x14ac:dyDescent="0.25">
      <c r="A2789" s="57">
        <v>45272</v>
      </c>
      <c r="B2789" s="36" t="s">
        <v>5986</v>
      </c>
      <c r="C2789" s="28" t="s">
        <v>2921</v>
      </c>
      <c r="D2789" s="28" t="s">
        <v>2922</v>
      </c>
      <c r="E2789" s="38">
        <v>28000</v>
      </c>
      <c r="F2789" s="67">
        <v>296876</v>
      </c>
      <c r="G2789" s="38">
        <v>62343.96</v>
      </c>
      <c r="H2789" s="56">
        <v>387219.96</v>
      </c>
      <c r="I2789" s="28" t="s">
        <v>19</v>
      </c>
      <c r="J2789" s="43"/>
    </row>
    <row r="2790" spans="1:10" customFormat="1" ht="15.75" hidden="1" customHeight="1" x14ac:dyDescent="0.25">
      <c r="A2790" s="57">
        <v>45272</v>
      </c>
      <c r="B2790" s="36" t="s">
        <v>5987</v>
      </c>
      <c r="C2790" s="28" t="s">
        <v>2954</v>
      </c>
      <c r="D2790" s="28" t="s">
        <v>2955</v>
      </c>
      <c r="E2790" s="38">
        <v>19500</v>
      </c>
      <c r="F2790" s="67">
        <v>148438</v>
      </c>
      <c r="G2790" s="38">
        <v>31171.98</v>
      </c>
      <c r="H2790" s="56">
        <v>199109.98</v>
      </c>
      <c r="I2790" s="28" t="s">
        <v>19</v>
      </c>
      <c r="J2790" s="43"/>
    </row>
    <row r="2791" spans="1:10" customFormat="1" ht="15.75" hidden="1" customHeight="1" x14ac:dyDescent="0.25">
      <c r="A2791" s="57">
        <v>45272</v>
      </c>
      <c r="B2791" s="36" t="s">
        <v>5988</v>
      </c>
      <c r="C2791" s="28" t="s">
        <v>3014</v>
      </c>
      <c r="D2791" s="28" t="s">
        <v>3015</v>
      </c>
      <c r="E2791" s="38">
        <v>25000</v>
      </c>
      <c r="F2791" s="67">
        <v>296876</v>
      </c>
      <c r="G2791" s="38">
        <v>62343.96</v>
      </c>
      <c r="H2791" s="56">
        <v>384219.96</v>
      </c>
      <c r="I2791" s="28" t="s">
        <v>19</v>
      </c>
      <c r="J2791" s="43"/>
    </row>
    <row r="2792" spans="1:10" customFormat="1" ht="15.75" hidden="1" customHeight="1" x14ac:dyDescent="0.25">
      <c r="A2792" s="57">
        <v>45272</v>
      </c>
      <c r="B2792" s="36" t="s">
        <v>5989</v>
      </c>
      <c r="C2792" s="28" t="s">
        <v>2909</v>
      </c>
      <c r="D2792" s="28" t="s">
        <v>2910</v>
      </c>
      <c r="E2792" s="38">
        <v>12500</v>
      </c>
      <c r="F2792" s="67">
        <v>222657</v>
      </c>
      <c r="G2792" s="38">
        <v>46757.97</v>
      </c>
      <c r="H2792" s="56">
        <v>281914.96999999997</v>
      </c>
      <c r="I2792" s="28" t="s">
        <v>19</v>
      </c>
      <c r="J2792" s="43"/>
    </row>
    <row r="2793" spans="1:10" customFormat="1" ht="15.75" hidden="1" customHeight="1" x14ac:dyDescent="0.25">
      <c r="A2793" s="57">
        <v>45272</v>
      </c>
      <c r="B2793" s="36" t="s">
        <v>5990</v>
      </c>
      <c r="C2793" s="28" t="s">
        <v>2942</v>
      </c>
      <c r="D2793" s="28" t="s">
        <v>2943</v>
      </c>
      <c r="E2793" s="38">
        <v>31920</v>
      </c>
      <c r="F2793" s="67">
        <v>190375</v>
      </c>
      <c r="G2793" s="38">
        <v>39978.75</v>
      </c>
      <c r="H2793" s="56">
        <v>262273.75</v>
      </c>
      <c r="I2793" s="28" t="s">
        <v>19</v>
      </c>
      <c r="J2793" s="43"/>
    </row>
    <row r="2794" spans="1:10" customFormat="1" ht="15.75" hidden="1" customHeight="1" x14ac:dyDescent="0.25">
      <c r="A2794" s="57">
        <v>45272</v>
      </c>
      <c r="B2794" s="36" t="s">
        <v>5991</v>
      </c>
      <c r="C2794" s="28" t="s">
        <v>2909</v>
      </c>
      <c r="D2794" s="28" t="s">
        <v>2910</v>
      </c>
      <c r="E2794" s="38">
        <v>21900</v>
      </c>
      <c r="F2794" s="67">
        <v>128125</v>
      </c>
      <c r="G2794" s="38">
        <v>26906.25</v>
      </c>
      <c r="H2794" s="56">
        <v>176931.25</v>
      </c>
      <c r="I2794" s="28" t="s">
        <v>19</v>
      </c>
      <c r="J2794" s="43"/>
    </row>
    <row r="2795" spans="1:10" customFormat="1" ht="15.75" hidden="1" customHeight="1" x14ac:dyDescent="0.25">
      <c r="A2795" s="57">
        <v>45272</v>
      </c>
      <c r="B2795" s="36" t="s">
        <v>5992</v>
      </c>
      <c r="C2795" s="28" t="s">
        <v>2924</v>
      </c>
      <c r="D2795" s="28" t="s">
        <v>2925</v>
      </c>
      <c r="E2795" s="38">
        <v>11200</v>
      </c>
      <c r="F2795" s="67">
        <v>193750</v>
      </c>
      <c r="G2795" s="38">
        <v>40687.5</v>
      </c>
      <c r="H2795" s="56">
        <v>245637.5</v>
      </c>
      <c r="I2795" s="28" t="s">
        <v>19</v>
      </c>
      <c r="J2795" s="43"/>
    </row>
    <row r="2796" spans="1:10" customFormat="1" ht="15.75" hidden="1" customHeight="1" x14ac:dyDescent="0.25">
      <c r="A2796" s="57">
        <v>45272</v>
      </c>
      <c r="B2796" s="36" t="s">
        <v>5993</v>
      </c>
      <c r="C2796" s="28" t="s">
        <v>2945</v>
      </c>
      <c r="D2796" s="28" t="s">
        <v>2946</v>
      </c>
      <c r="E2796" s="38">
        <v>12800</v>
      </c>
      <c r="F2796" s="67">
        <v>128125</v>
      </c>
      <c r="G2796" s="38">
        <v>26906.25</v>
      </c>
      <c r="H2796" s="56">
        <v>167831.25</v>
      </c>
      <c r="I2796" s="28" t="s">
        <v>19</v>
      </c>
      <c r="J2796" s="43"/>
    </row>
    <row r="2797" spans="1:10" customFormat="1" ht="15.75" hidden="1" customHeight="1" x14ac:dyDescent="0.25">
      <c r="A2797" s="57">
        <v>45272</v>
      </c>
      <c r="B2797" s="36" t="s">
        <v>5994</v>
      </c>
      <c r="C2797" s="28" t="s">
        <v>2942</v>
      </c>
      <c r="D2797" s="28" t="s">
        <v>2943</v>
      </c>
      <c r="E2797" s="38">
        <v>26500</v>
      </c>
      <c r="F2797" s="67">
        <v>84375</v>
      </c>
      <c r="G2797" s="38">
        <v>17718.75</v>
      </c>
      <c r="H2797" s="56">
        <v>128593.75</v>
      </c>
      <c r="I2797" s="28" t="s">
        <v>19</v>
      </c>
      <c r="J2797" s="43"/>
    </row>
    <row r="2798" spans="1:10" customFormat="1" ht="15.75" hidden="1" customHeight="1" x14ac:dyDescent="0.25">
      <c r="A2798" s="57">
        <v>45272</v>
      </c>
      <c r="B2798" s="36" t="s">
        <v>5995</v>
      </c>
      <c r="C2798" s="28" t="s">
        <v>2942</v>
      </c>
      <c r="D2798" s="28" t="s">
        <v>2943</v>
      </c>
      <c r="E2798" s="38">
        <v>26500</v>
      </c>
      <c r="F2798" s="67">
        <v>84375</v>
      </c>
      <c r="G2798" s="38">
        <v>17718.75</v>
      </c>
      <c r="H2798" s="56">
        <v>128593.75</v>
      </c>
      <c r="I2798" s="28" t="s">
        <v>19</v>
      </c>
      <c r="J2798" s="43"/>
    </row>
    <row r="2799" spans="1:10" customFormat="1" ht="15.75" hidden="1" customHeight="1" x14ac:dyDescent="0.25">
      <c r="A2799" s="57">
        <v>45272</v>
      </c>
      <c r="B2799" s="36" t="s">
        <v>5996</v>
      </c>
      <c r="C2799" s="28" t="s">
        <v>2909</v>
      </c>
      <c r="D2799" s="28" t="s">
        <v>2910</v>
      </c>
      <c r="E2799" s="38">
        <v>18200</v>
      </c>
      <c r="F2799" s="67">
        <v>256250</v>
      </c>
      <c r="G2799" s="38">
        <v>53812.5</v>
      </c>
      <c r="H2799" s="56">
        <v>328262.5</v>
      </c>
      <c r="I2799" s="28" t="s">
        <v>19</v>
      </c>
      <c r="J2799" s="43"/>
    </row>
    <row r="2800" spans="1:10" customFormat="1" ht="15.75" hidden="1" customHeight="1" x14ac:dyDescent="0.25">
      <c r="A2800" s="57">
        <v>45272</v>
      </c>
      <c r="B2800" s="36" t="s">
        <v>5997</v>
      </c>
      <c r="C2800" s="28" t="s">
        <v>2924</v>
      </c>
      <c r="D2800" s="28" t="s">
        <v>2925</v>
      </c>
      <c r="E2800" s="38">
        <v>12000</v>
      </c>
      <c r="F2800" s="67">
        <v>193750</v>
      </c>
      <c r="G2800" s="38">
        <v>40687.5</v>
      </c>
      <c r="H2800" s="56">
        <v>246437.5</v>
      </c>
      <c r="I2800" s="28" t="s">
        <v>19</v>
      </c>
      <c r="J2800" s="43"/>
    </row>
    <row r="2801" spans="1:10" customFormat="1" ht="15.75" hidden="1" customHeight="1" x14ac:dyDescent="0.25">
      <c r="A2801" s="57">
        <v>45272</v>
      </c>
      <c r="B2801" s="36" t="s">
        <v>5998</v>
      </c>
      <c r="C2801" s="28" t="s">
        <v>1140</v>
      </c>
      <c r="D2801" s="28" t="s">
        <v>1141</v>
      </c>
      <c r="E2801" s="38">
        <v>24000</v>
      </c>
      <c r="F2801" s="67">
        <v>240625</v>
      </c>
      <c r="G2801" s="38">
        <v>50531.25</v>
      </c>
      <c r="H2801" s="56">
        <v>315156.25</v>
      </c>
      <c r="I2801" s="28" t="s">
        <v>19</v>
      </c>
      <c r="J2801" s="43"/>
    </row>
    <row r="2802" spans="1:10" customFormat="1" ht="15.75" hidden="1" customHeight="1" x14ac:dyDescent="0.25">
      <c r="A2802" s="57">
        <v>45272</v>
      </c>
      <c r="B2802" s="36" t="s">
        <v>5999</v>
      </c>
      <c r="C2802" s="28" t="s">
        <v>2972</v>
      </c>
      <c r="D2802" s="28" t="s">
        <v>2973</v>
      </c>
      <c r="E2802" s="38">
        <v>24000</v>
      </c>
      <c r="F2802" s="67">
        <v>192187.5</v>
      </c>
      <c r="G2802" s="38">
        <v>40359.370000000003</v>
      </c>
      <c r="H2802" s="56">
        <v>256546.87</v>
      </c>
      <c r="I2802" s="28" t="s">
        <v>19</v>
      </c>
      <c r="J2802" s="43"/>
    </row>
    <row r="2803" spans="1:10" customFormat="1" ht="15.75" hidden="1" customHeight="1" x14ac:dyDescent="0.25">
      <c r="A2803" s="57">
        <v>45272</v>
      </c>
      <c r="B2803" s="36" t="s">
        <v>6000</v>
      </c>
      <c r="C2803" s="28" t="s">
        <v>2957</v>
      </c>
      <c r="D2803" s="28" t="s">
        <v>2958</v>
      </c>
      <c r="E2803" s="38">
        <v>8400</v>
      </c>
      <c r="F2803" s="67">
        <v>128125</v>
      </c>
      <c r="G2803" s="38">
        <v>26906.25</v>
      </c>
      <c r="H2803" s="56">
        <v>163431.25</v>
      </c>
      <c r="I2803" s="28" t="s">
        <v>19</v>
      </c>
      <c r="J2803" s="43"/>
    </row>
    <row r="2804" spans="1:10" customFormat="1" ht="15.75" hidden="1" customHeight="1" x14ac:dyDescent="0.25">
      <c r="A2804" s="57">
        <v>45273</v>
      </c>
      <c r="B2804" s="36" t="s">
        <v>6001</v>
      </c>
      <c r="C2804" s="28" t="s">
        <v>2921</v>
      </c>
      <c r="D2804" s="28" t="s">
        <v>2922</v>
      </c>
      <c r="E2804" s="38">
        <v>0</v>
      </c>
      <c r="F2804" s="67">
        <v>45000</v>
      </c>
      <c r="G2804" s="38">
        <v>9450</v>
      </c>
      <c r="H2804" s="56">
        <v>54450</v>
      </c>
      <c r="I2804" s="28" t="s">
        <v>19</v>
      </c>
      <c r="J2804" s="43"/>
    </row>
    <row r="2805" spans="1:10" customFormat="1" ht="15.75" hidden="1" customHeight="1" x14ac:dyDescent="0.25">
      <c r="A2805" s="57">
        <v>45273</v>
      </c>
      <c r="B2805" s="36" t="s">
        <v>6002</v>
      </c>
      <c r="C2805" s="28" t="s">
        <v>2924</v>
      </c>
      <c r="D2805" s="28" t="s">
        <v>2925</v>
      </c>
      <c r="E2805" s="38">
        <v>12000</v>
      </c>
      <c r="F2805" s="67">
        <v>193750</v>
      </c>
      <c r="G2805" s="38">
        <v>40687.5</v>
      </c>
      <c r="H2805" s="56">
        <v>246437.5</v>
      </c>
      <c r="I2805" s="28" t="s">
        <v>19</v>
      </c>
      <c r="J2805" s="43"/>
    </row>
    <row r="2806" spans="1:10" customFormat="1" ht="15.75" hidden="1" customHeight="1" x14ac:dyDescent="0.25">
      <c r="A2806" s="57">
        <v>45273</v>
      </c>
      <c r="B2806" s="36" t="s">
        <v>6003</v>
      </c>
      <c r="C2806" s="28" t="s">
        <v>2945</v>
      </c>
      <c r="D2806" s="28" t="s">
        <v>2946</v>
      </c>
      <c r="E2806" s="38">
        <v>12800</v>
      </c>
      <c r="F2806" s="67">
        <v>128125</v>
      </c>
      <c r="G2806" s="38">
        <v>26906.25</v>
      </c>
      <c r="H2806" s="56">
        <v>167831.25</v>
      </c>
      <c r="I2806" s="28" t="s">
        <v>19</v>
      </c>
      <c r="J2806" s="43"/>
    </row>
    <row r="2807" spans="1:10" customFormat="1" ht="15.75" hidden="1" customHeight="1" x14ac:dyDescent="0.25">
      <c r="A2807" s="57">
        <v>45273</v>
      </c>
      <c r="B2807" s="36" t="s">
        <v>6004</v>
      </c>
      <c r="C2807" s="28" t="s">
        <v>2856</v>
      </c>
      <c r="D2807" s="28" t="s">
        <v>2857</v>
      </c>
      <c r="E2807" s="38">
        <v>22100</v>
      </c>
      <c r="F2807" s="67">
        <v>126562.5</v>
      </c>
      <c r="G2807" s="38">
        <v>26578.13</v>
      </c>
      <c r="H2807" s="56">
        <v>175240.63</v>
      </c>
      <c r="I2807" s="28" t="s">
        <v>19</v>
      </c>
      <c r="J2807" s="43"/>
    </row>
    <row r="2808" spans="1:10" customFormat="1" ht="15.75" hidden="1" customHeight="1" x14ac:dyDescent="0.25">
      <c r="A2808" s="57">
        <v>45273</v>
      </c>
      <c r="B2808" s="36" t="s">
        <v>6005</v>
      </c>
      <c r="C2808" s="28" t="s">
        <v>3748</v>
      </c>
      <c r="D2808" s="28" t="s">
        <v>3749</v>
      </c>
      <c r="E2808" s="38">
        <v>11300</v>
      </c>
      <c r="F2808" s="67">
        <v>128125</v>
      </c>
      <c r="G2808" s="38">
        <v>26906.25</v>
      </c>
      <c r="H2808" s="56">
        <v>166331.25</v>
      </c>
      <c r="I2808" s="28" t="s">
        <v>19</v>
      </c>
      <c r="J2808" s="43"/>
    </row>
    <row r="2809" spans="1:10" customFormat="1" ht="15.75" hidden="1" customHeight="1" x14ac:dyDescent="0.25">
      <c r="A2809" s="57">
        <v>45274</v>
      </c>
      <c r="B2809" s="36" t="s">
        <v>6006</v>
      </c>
      <c r="C2809" s="28" t="s">
        <v>2867</v>
      </c>
      <c r="D2809" s="28" t="s">
        <v>2868</v>
      </c>
      <c r="E2809" s="38">
        <v>27100</v>
      </c>
      <c r="F2809" s="67">
        <v>226562.5</v>
      </c>
      <c r="G2809" s="38">
        <v>47578.12</v>
      </c>
      <c r="H2809" s="56">
        <v>301240.62</v>
      </c>
      <c r="I2809" s="28" t="s">
        <v>19</v>
      </c>
      <c r="J2809" s="43"/>
    </row>
    <row r="2810" spans="1:10" customFormat="1" ht="15.75" hidden="1" customHeight="1" x14ac:dyDescent="0.25">
      <c r="A2810" s="57">
        <v>45274</v>
      </c>
      <c r="B2810" s="36" t="s">
        <v>6007</v>
      </c>
      <c r="C2810" s="28" t="s">
        <v>3450</v>
      </c>
      <c r="D2810" s="28" t="s">
        <v>3451</v>
      </c>
      <c r="E2810" s="38">
        <v>24300</v>
      </c>
      <c r="F2810" s="67">
        <v>118750</v>
      </c>
      <c r="G2810" s="38">
        <v>24937.5</v>
      </c>
      <c r="H2810" s="56">
        <v>167987.5</v>
      </c>
      <c r="I2810" s="28" t="s">
        <v>19</v>
      </c>
      <c r="J2810" s="43"/>
    </row>
    <row r="2811" spans="1:10" customFormat="1" ht="15.75" hidden="1" customHeight="1" x14ac:dyDescent="0.25">
      <c r="A2811" s="57">
        <v>45274</v>
      </c>
      <c r="B2811" s="36" t="s">
        <v>6008</v>
      </c>
      <c r="C2811" s="28" t="s">
        <v>5607</v>
      </c>
      <c r="D2811" s="28" t="s">
        <v>5608</v>
      </c>
      <c r="E2811" s="38">
        <v>18500</v>
      </c>
      <c r="F2811" s="67">
        <v>242187.5</v>
      </c>
      <c r="G2811" s="38">
        <v>50859.38</v>
      </c>
      <c r="H2811" s="56">
        <v>311546.88</v>
      </c>
      <c r="I2811" s="28" t="s">
        <v>19</v>
      </c>
      <c r="J2811" s="43"/>
    </row>
    <row r="2812" spans="1:10" customFormat="1" ht="15.75" hidden="1" customHeight="1" x14ac:dyDescent="0.25">
      <c r="A2812" s="57">
        <v>45274</v>
      </c>
      <c r="B2812" s="36" t="s">
        <v>6009</v>
      </c>
      <c r="C2812" s="28" t="s">
        <v>2924</v>
      </c>
      <c r="D2812" s="28" t="s">
        <v>2925</v>
      </c>
      <c r="E2812" s="38">
        <v>5600</v>
      </c>
      <c r="F2812" s="67">
        <v>128125</v>
      </c>
      <c r="G2812" s="38">
        <v>26906.25</v>
      </c>
      <c r="H2812" s="56">
        <v>160631.25</v>
      </c>
      <c r="I2812" s="28" t="s">
        <v>19</v>
      </c>
      <c r="J2812" s="43"/>
    </row>
    <row r="2813" spans="1:10" customFormat="1" ht="15.75" hidden="1" customHeight="1" x14ac:dyDescent="0.25">
      <c r="A2813" s="57">
        <v>45274</v>
      </c>
      <c r="B2813" s="36" t="s">
        <v>6010</v>
      </c>
      <c r="C2813" s="28" t="s">
        <v>2924</v>
      </c>
      <c r="D2813" s="28" t="s">
        <v>2925</v>
      </c>
      <c r="E2813" s="38">
        <v>5600</v>
      </c>
      <c r="F2813" s="67">
        <v>128125</v>
      </c>
      <c r="G2813" s="38">
        <v>26906.25</v>
      </c>
      <c r="H2813" s="56">
        <v>160631.25</v>
      </c>
      <c r="I2813" s="28" t="s">
        <v>19</v>
      </c>
      <c r="J2813" s="43"/>
    </row>
    <row r="2814" spans="1:10" customFormat="1" ht="15.75" hidden="1" customHeight="1" x14ac:dyDescent="0.25">
      <c r="A2814" s="57">
        <v>45274</v>
      </c>
      <c r="B2814" s="36" t="s">
        <v>6011</v>
      </c>
      <c r="C2814" s="28" t="s">
        <v>5611</v>
      </c>
      <c r="D2814" s="28" t="s">
        <v>5612</v>
      </c>
      <c r="E2814" s="38">
        <v>26500</v>
      </c>
      <c r="F2814" s="67">
        <v>84375</v>
      </c>
      <c r="G2814" s="38">
        <v>17718.75</v>
      </c>
      <c r="H2814" s="56">
        <v>128593.75</v>
      </c>
      <c r="I2814" s="28" t="s">
        <v>19</v>
      </c>
      <c r="J2814" s="43"/>
    </row>
    <row r="2815" spans="1:10" customFormat="1" ht="15.75" hidden="1" customHeight="1" x14ac:dyDescent="0.25">
      <c r="A2815" s="57">
        <v>45274</v>
      </c>
      <c r="B2815" s="36" t="s">
        <v>6012</v>
      </c>
      <c r="C2815" s="28" t="s">
        <v>2870</v>
      </c>
      <c r="D2815" s="28" t="s">
        <v>2871</v>
      </c>
      <c r="E2815" s="38">
        <v>16500</v>
      </c>
      <c r="F2815" s="67">
        <v>128125</v>
      </c>
      <c r="G2815" s="38">
        <v>26906.25</v>
      </c>
      <c r="H2815" s="56">
        <v>171531.25</v>
      </c>
      <c r="I2815" s="28" t="s">
        <v>19</v>
      </c>
      <c r="J2815" s="43"/>
    </row>
    <row r="2816" spans="1:10" customFormat="1" ht="15.75" hidden="1" customHeight="1" x14ac:dyDescent="0.25">
      <c r="A2816" s="57">
        <v>45274</v>
      </c>
      <c r="B2816" s="36" t="s">
        <v>6013</v>
      </c>
      <c r="C2816" s="28" t="s">
        <v>4414</v>
      </c>
      <c r="D2816" s="28" t="s">
        <v>4415</v>
      </c>
      <c r="E2816" s="38">
        <v>5600</v>
      </c>
      <c r="F2816" s="67">
        <v>256250</v>
      </c>
      <c r="G2816" s="38">
        <v>53812.5</v>
      </c>
      <c r="H2816" s="56">
        <v>315662.5</v>
      </c>
      <c r="I2816" s="28" t="s">
        <v>19</v>
      </c>
      <c r="J2816" s="43"/>
    </row>
    <row r="2817" spans="1:10" customFormat="1" ht="15.75" hidden="1" customHeight="1" x14ac:dyDescent="0.25">
      <c r="A2817" s="57">
        <v>45274</v>
      </c>
      <c r="B2817" s="36" t="s">
        <v>6014</v>
      </c>
      <c r="C2817" s="28" t="s">
        <v>2945</v>
      </c>
      <c r="D2817" s="28" t="s">
        <v>2946</v>
      </c>
      <c r="E2817" s="38">
        <v>8800</v>
      </c>
      <c r="F2817" s="67">
        <v>148438</v>
      </c>
      <c r="G2817" s="38">
        <v>31171.98</v>
      </c>
      <c r="H2817" s="56">
        <v>188409.98</v>
      </c>
      <c r="I2817" s="28" t="s">
        <v>19</v>
      </c>
      <c r="J2817" s="43"/>
    </row>
    <row r="2818" spans="1:10" customFormat="1" ht="15.75" hidden="1" customHeight="1" x14ac:dyDescent="0.25">
      <c r="A2818" s="57">
        <v>45274</v>
      </c>
      <c r="B2818" s="36" t="s">
        <v>6015</v>
      </c>
      <c r="C2818" s="28" t="s">
        <v>2903</v>
      </c>
      <c r="D2818" s="28" t="s">
        <v>2904</v>
      </c>
      <c r="E2818" s="38">
        <v>26500</v>
      </c>
      <c r="F2818" s="67">
        <v>163500</v>
      </c>
      <c r="G2818" s="38">
        <v>34335</v>
      </c>
      <c r="H2818" s="56">
        <v>224335</v>
      </c>
      <c r="I2818" s="28" t="s">
        <v>19</v>
      </c>
      <c r="J2818" s="43"/>
    </row>
    <row r="2819" spans="1:10" customFormat="1" ht="15.75" hidden="1" customHeight="1" x14ac:dyDescent="0.25">
      <c r="A2819" s="57">
        <v>45274</v>
      </c>
      <c r="B2819" s="36" t="s">
        <v>6016</v>
      </c>
      <c r="C2819" s="28" t="s">
        <v>2903</v>
      </c>
      <c r="D2819" s="28" t="s">
        <v>2904</v>
      </c>
      <c r="E2819" s="38">
        <v>26500</v>
      </c>
      <c r="F2819" s="67">
        <v>163500</v>
      </c>
      <c r="G2819" s="38">
        <v>34335</v>
      </c>
      <c r="H2819" s="56">
        <v>224335</v>
      </c>
      <c r="I2819" s="28" t="s">
        <v>19</v>
      </c>
      <c r="J2819" s="43"/>
    </row>
    <row r="2820" spans="1:10" customFormat="1" ht="15.75" hidden="1" customHeight="1" x14ac:dyDescent="0.25">
      <c r="A2820" s="57">
        <v>45274</v>
      </c>
      <c r="B2820" s="36" t="s">
        <v>6017</v>
      </c>
      <c r="C2820" s="28" t="s">
        <v>2903</v>
      </c>
      <c r="D2820" s="28" t="s">
        <v>2904</v>
      </c>
      <c r="E2820" s="38">
        <v>26500</v>
      </c>
      <c r="F2820" s="67">
        <v>163500</v>
      </c>
      <c r="G2820" s="38">
        <v>34335</v>
      </c>
      <c r="H2820" s="56">
        <v>224335</v>
      </c>
      <c r="I2820" s="28" t="s">
        <v>19</v>
      </c>
      <c r="J2820" s="43"/>
    </row>
    <row r="2821" spans="1:10" customFormat="1" ht="15.75" hidden="1" customHeight="1" x14ac:dyDescent="0.25">
      <c r="A2821" s="57">
        <v>45274</v>
      </c>
      <c r="B2821" s="36" t="s">
        <v>6018</v>
      </c>
      <c r="C2821" s="28" t="s">
        <v>2863</v>
      </c>
      <c r="D2821" s="28" t="s">
        <v>2864</v>
      </c>
      <c r="E2821" s="38">
        <v>26500</v>
      </c>
      <c r="F2821" s="67">
        <v>106000</v>
      </c>
      <c r="G2821" s="38">
        <v>22260</v>
      </c>
      <c r="H2821" s="56">
        <v>154760</v>
      </c>
      <c r="I2821" s="28" t="s">
        <v>19</v>
      </c>
      <c r="J2821" s="43"/>
    </row>
    <row r="2822" spans="1:10" customFormat="1" ht="15.75" hidden="1" customHeight="1" x14ac:dyDescent="0.25">
      <c r="A2822" s="57">
        <v>45274</v>
      </c>
      <c r="B2822" s="36" t="s">
        <v>6019</v>
      </c>
      <c r="C2822" s="28" t="s">
        <v>2921</v>
      </c>
      <c r="D2822" s="28" t="s">
        <v>2922</v>
      </c>
      <c r="E2822" s="38">
        <v>26500</v>
      </c>
      <c r="F2822" s="67">
        <v>106000</v>
      </c>
      <c r="G2822" s="38">
        <v>22260</v>
      </c>
      <c r="H2822" s="56">
        <v>154760</v>
      </c>
      <c r="I2822" s="28" t="s">
        <v>19</v>
      </c>
      <c r="J2822" s="43"/>
    </row>
    <row r="2823" spans="1:10" customFormat="1" ht="15.75" hidden="1" customHeight="1" x14ac:dyDescent="0.25">
      <c r="A2823" s="57">
        <v>45274</v>
      </c>
      <c r="B2823" s="36" t="s">
        <v>6020</v>
      </c>
      <c r="C2823" s="28" t="s">
        <v>2945</v>
      </c>
      <c r="D2823" s="28" t="s">
        <v>2946</v>
      </c>
      <c r="E2823" s="38">
        <v>17600</v>
      </c>
      <c r="F2823" s="67">
        <v>276438</v>
      </c>
      <c r="G2823" s="38">
        <v>58051.98</v>
      </c>
      <c r="H2823" s="56">
        <v>352089.98</v>
      </c>
      <c r="I2823" s="28" t="s">
        <v>19</v>
      </c>
      <c r="J2823" s="43"/>
    </row>
    <row r="2824" spans="1:10" customFormat="1" ht="15.75" hidden="1" customHeight="1" x14ac:dyDescent="0.25">
      <c r="A2824" s="57">
        <v>45274</v>
      </c>
      <c r="B2824" s="36" t="s">
        <v>6021</v>
      </c>
      <c r="C2824" s="28" t="s">
        <v>2945</v>
      </c>
      <c r="D2824" s="28" t="s">
        <v>2946</v>
      </c>
      <c r="E2824" s="38">
        <v>8800</v>
      </c>
      <c r="F2824" s="67">
        <v>148438</v>
      </c>
      <c r="G2824" s="38">
        <v>31171.98</v>
      </c>
      <c r="H2824" s="56">
        <v>188409.98</v>
      </c>
      <c r="I2824" s="28" t="s">
        <v>19</v>
      </c>
      <c r="J2824" s="43"/>
    </row>
    <row r="2825" spans="1:10" customFormat="1" ht="15.75" hidden="1" customHeight="1" x14ac:dyDescent="0.25">
      <c r="A2825" s="57">
        <v>45274</v>
      </c>
      <c r="B2825" s="36" t="s">
        <v>6022</v>
      </c>
      <c r="C2825" s="28" t="s">
        <v>2945</v>
      </c>
      <c r="D2825" s="28" t="s">
        <v>2946</v>
      </c>
      <c r="E2825" s="38">
        <v>8800</v>
      </c>
      <c r="F2825" s="67">
        <v>148438</v>
      </c>
      <c r="G2825" s="38">
        <v>31171.98</v>
      </c>
      <c r="H2825" s="56">
        <v>188409.98</v>
      </c>
      <c r="I2825" s="28" t="s">
        <v>19</v>
      </c>
      <c r="J2825" s="43"/>
    </row>
    <row r="2826" spans="1:10" customFormat="1" ht="15.75" hidden="1" customHeight="1" x14ac:dyDescent="0.25">
      <c r="A2826" s="57">
        <v>45274</v>
      </c>
      <c r="B2826" s="36" t="s">
        <v>6023</v>
      </c>
      <c r="C2826" s="28" t="s">
        <v>2945</v>
      </c>
      <c r="D2826" s="28" t="s">
        <v>2946</v>
      </c>
      <c r="E2826" s="38">
        <v>21600</v>
      </c>
      <c r="F2826" s="67">
        <v>276563</v>
      </c>
      <c r="G2826" s="38">
        <v>58078.23</v>
      </c>
      <c r="H2826" s="56">
        <v>356241.23</v>
      </c>
      <c r="I2826" s="28" t="s">
        <v>19</v>
      </c>
      <c r="J2826" s="43"/>
    </row>
    <row r="2827" spans="1:10" customFormat="1" ht="15.75" hidden="1" customHeight="1" x14ac:dyDescent="0.25">
      <c r="A2827" s="57">
        <v>45274</v>
      </c>
      <c r="B2827" s="36" t="s">
        <v>6024</v>
      </c>
      <c r="C2827" s="28" t="s">
        <v>3854</v>
      </c>
      <c r="D2827" s="28" t="s">
        <v>3855</v>
      </c>
      <c r="E2827" s="38">
        <v>20700</v>
      </c>
      <c r="F2827" s="67">
        <v>145312.5</v>
      </c>
      <c r="G2827" s="38">
        <v>30515.63</v>
      </c>
      <c r="H2827" s="56">
        <v>196528.13</v>
      </c>
      <c r="I2827" s="28" t="s">
        <v>19</v>
      </c>
      <c r="J2827" s="43"/>
    </row>
    <row r="2828" spans="1:10" customFormat="1" ht="15.75" hidden="1" customHeight="1" x14ac:dyDescent="0.25">
      <c r="A2828" s="57">
        <v>45274</v>
      </c>
      <c r="B2828" s="36" t="s">
        <v>6025</v>
      </c>
      <c r="C2828" s="28" t="s">
        <v>2903</v>
      </c>
      <c r="D2828" s="28" t="s">
        <v>2904</v>
      </c>
      <c r="E2828" s="38">
        <v>26500</v>
      </c>
      <c r="F2828" s="67">
        <v>126562.5</v>
      </c>
      <c r="G2828" s="38">
        <v>26578.13</v>
      </c>
      <c r="H2828" s="56">
        <v>179640.63</v>
      </c>
      <c r="I2828" s="28" t="s">
        <v>19</v>
      </c>
      <c r="J2828" s="43"/>
    </row>
    <row r="2829" spans="1:10" customFormat="1" ht="15.75" hidden="1" customHeight="1" x14ac:dyDescent="0.25">
      <c r="A2829" s="57">
        <v>45275</v>
      </c>
      <c r="B2829" s="36" t="s">
        <v>6026</v>
      </c>
      <c r="C2829" s="28" t="s">
        <v>2856</v>
      </c>
      <c r="D2829" s="28" t="s">
        <v>2857</v>
      </c>
      <c r="E2829" s="38">
        <v>20600</v>
      </c>
      <c r="F2829" s="67">
        <v>290625</v>
      </c>
      <c r="G2829" s="38">
        <v>61031.25</v>
      </c>
      <c r="H2829" s="56">
        <v>372256.25</v>
      </c>
      <c r="I2829" s="28" t="s">
        <v>19</v>
      </c>
      <c r="J2829" s="43"/>
    </row>
    <row r="2830" spans="1:10" customFormat="1" ht="15.75" hidden="1" customHeight="1" x14ac:dyDescent="0.25">
      <c r="A2830" s="57">
        <v>45275</v>
      </c>
      <c r="B2830" s="36" t="s">
        <v>6027</v>
      </c>
      <c r="C2830" s="28" t="s">
        <v>2856</v>
      </c>
      <c r="D2830" s="28" t="s">
        <v>2857</v>
      </c>
      <c r="E2830" s="38">
        <v>20600</v>
      </c>
      <c r="F2830" s="67">
        <v>226562.5</v>
      </c>
      <c r="G2830" s="38">
        <v>47578.12</v>
      </c>
      <c r="H2830" s="56">
        <v>294740.62</v>
      </c>
      <c r="I2830" s="28" t="s">
        <v>19</v>
      </c>
      <c r="J2830" s="43"/>
    </row>
    <row r="2831" spans="1:10" customFormat="1" ht="15.75" hidden="1" customHeight="1" x14ac:dyDescent="0.25">
      <c r="A2831" s="57">
        <v>45275</v>
      </c>
      <c r="B2831" s="36" t="s">
        <v>6028</v>
      </c>
      <c r="C2831" s="28" t="s">
        <v>2903</v>
      </c>
      <c r="D2831" s="28" t="s">
        <v>2904</v>
      </c>
      <c r="E2831" s="38">
        <v>26500</v>
      </c>
      <c r="F2831" s="67">
        <v>126562.5</v>
      </c>
      <c r="G2831" s="38">
        <v>26578.13</v>
      </c>
      <c r="H2831" s="56">
        <v>179640.63</v>
      </c>
      <c r="I2831" s="28" t="s">
        <v>19</v>
      </c>
      <c r="J2831" s="43"/>
    </row>
    <row r="2832" spans="1:10" customFormat="1" ht="15.75" hidden="1" customHeight="1" x14ac:dyDescent="0.25">
      <c r="A2832" s="57">
        <v>45278</v>
      </c>
      <c r="B2832" s="36" t="s">
        <v>6029</v>
      </c>
      <c r="C2832" s="28" t="s">
        <v>2867</v>
      </c>
      <c r="D2832" s="28" t="s">
        <v>2868</v>
      </c>
      <c r="E2832" s="38">
        <v>12500</v>
      </c>
      <c r="F2832" s="67">
        <v>184560</v>
      </c>
      <c r="G2832" s="38">
        <v>38757.599999999999</v>
      </c>
      <c r="H2832" s="56">
        <v>235817.60000000001</v>
      </c>
      <c r="I2832" s="28" t="s">
        <v>19</v>
      </c>
      <c r="J2832" s="43"/>
    </row>
    <row r="2833" spans="1:10" customFormat="1" ht="15.75" hidden="1" customHeight="1" x14ac:dyDescent="0.25">
      <c r="A2833" s="57">
        <v>45278</v>
      </c>
      <c r="B2833" s="36" t="s">
        <v>6030</v>
      </c>
      <c r="C2833" s="28" t="s">
        <v>2867</v>
      </c>
      <c r="D2833" s="28" t="s">
        <v>2868</v>
      </c>
      <c r="E2833" s="38">
        <v>12500</v>
      </c>
      <c r="F2833" s="67">
        <v>184560</v>
      </c>
      <c r="G2833" s="38">
        <v>38757.599999999999</v>
      </c>
      <c r="H2833" s="56">
        <v>235817.60000000001</v>
      </c>
      <c r="I2833" s="28" t="s">
        <v>19</v>
      </c>
      <c r="J2833" s="43"/>
    </row>
    <row r="2834" spans="1:10" customFormat="1" ht="15.75" hidden="1" customHeight="1" x14ac:dyDescent="0.25">
      <c r="A2834" s="57">
        <v>45278</v>
      </c>
      <c r="B2834" s="36" t="s">
        <v>6031</v>
      </c>
      <c r="C2834" s="28" t="s">
        <v>3703</v>
      </c>
      <c r="D2834" s="28" t="s">
        <v>3704</v>
      </c>
      <c r="E2834" s="38">
        <v>4200</v>
      </c>
      <c r="F2834" s="67">
        <v>101250</v>
      </c>
      <c r="G2834" s="38">
        <v>21262.5</v>
      </c>
      <c r="H2834" s="56">
        <v>126712.5</v>
      </c>
      <c r="I2834" s="28" t="s">
        <v>19</v>
      </c>
      <c r="J2834" s="43"/>
    </row>
    <row r="2835" spans="1:10" customFormat="1" ht="15.75" hidden="1" customHeight="1" x14ac:dyDescent="0.25">
      <c r="A2835" s="57">
        <v>45278</v>
      </c>
      <c r="B2835" s="36" t="s">
        <v>6032</v>
      </c>
      <c r="C2835" s="28" t="s">
        <v>3241</v>
      </c>
      <c r="D2835" s="28" t="s">
        <v>3242</v>
      </c>
      <c r="E2835" s="38">
        <v>40800</v>
      </c>
      <c r="F2835" s="67">
        <v>637750</v>
      </c>
      <c r="G2835" s="38">
        <v>133927.5</v>
      </c>
      <c r="H2835" s="56">
        <v>812477.5</v>
      </c>
      <c r="I2835" s="28" t="s">
        <v>19</v>
      </c>
      <c r="J2835" s="43"/>
    </row>
    <row r="2836" spans="1:10" customFormat="1" ht="15.75" hidden="1" customHeight="1" x14ac:dyDescent="0.25">
      <c r="A2836" s="57">
        <v>45278</v>
      </c>
      <c r="B2836" s="36" t="s">
        <v>6033</v>
      </c>
      <c r="C2836" s="28" t="s">
        <v>3067</v>
      </c>
      <c r="D2836" s="28" t="s">
        <v>3068</v>
      </c>
      <c r="E2836" s="38">
        <v>26500</v>
      </c>
      <c r="F2836" s="67">
        <v>106000</v>
      </c>
      <c r="G2836" s="38">
        <v>22260</v>
      </c>
      <c r="H2836" s="56">
        <v>154760</v>
      </c>
      <c r="I2836" s="28" t="s">
        <v>19</v>
      </c>
      <c r="J2836" s="43"/>
    </row>
    <row r="2837" spans="1:10" customFormat="1" ht="15.75" hidden="1" customHeight="1" x14ac:dyDescent="0.25">
      <c r="A2837" s="57">
        <v>45278</v>
      </c>
      <c r="B2837" s="36" t="s">
        <v>6034</v>
      </c>
      <c r="C2837" s="28" t="s">
        <v>2867</v>
      </c>
      <c r="D2837" s="28" t="s">
        <v>2868</v>
      </c>
      <c r="E2837" s="38">
        <v>12500</v>
      </c>
      <c r="F2837" s="67">
        <v>276840</v>
      </c>
      <c r="G2837" s="38">
        <v>58136.4</v>
      </c>
      <c r="H2837" s="56">
        <v>347476.4</v>
      </c>
      <c r="I2837" s="28" t="s">
        <v>19</v>
      </c>
      <c r="J2837" s="43"/>
    </row>
    <row r="2838" spans="1:10" customFormat="1" ht="15.75" hidden="1" customHeight="1" x14ac:dyDescent="0.25">
      <c r="A2838" s="57">
        <v>45278</v>
      </c>
      <c r="B2838" s="36" t="s">
        <v>6035</v>
      </c>
      <c r="C2838" s="28" t="s">
        <v>4099</v>
      </c>
      <c r="D2838" s="28" t="s">
        <v>4100</v>
      </c>
      <c r="E2838" s="38">
        <v>6800</v>
      </c>
      <c r="F2838" s="67">
        <v>110625</v>
      </c>
      <c r="G2838" s="38">
        <v>23231.25</v>
      </c>
      <c r="H2838" s="56">
        <v>140656.25</v>
      </c>
      <c r="I2838" s="28" t="s">
        <v>19</v>
      </c>
      <c r="J2838" s="43"/>
    </row>
    <row r="2839" spans="1:10" customFormat="1" ht="15.75" hidden="1" customHeight="1" x14ac:dyDescent="0.25">
      <c r="A2839" s="57">
        <v>45278</v>
      </c>
      <c r="B2839" s="36" t="s">
        <v>6036</v>
      </c>
      <c r="C2839" s="28" t="s">
        <v>4144</v>
      </c>
      <c r="D2839" s="28" t="s">
        <v>4145</v>
      </c>
      <c r="E2839" s="38">
        <v>18500</v>
      </c>
      <c r="F2839" s="67">
        <v>276840</v>
      </c>
      <c r="G2839" s="38">
        <v>58136.4</v>
      </c>
      <c r="H2839" s="56">
        <v>353476.4</v>
      </c>
      <c r="I2839" s="28" t="s">
        <v>19</v>
      </c>
      <c r="J2839" s="43"/>
    </row>
    <row r="2840" spans="1:10" customFormat="1" ht="15.75" hidden="1" customHeight="1" x14ac:dyDescent="0.25">
      <c r="A2840" s="57">
        <v>45278</v>
      </c>
      <c r="B2840" s="36" t="s">
        <v>6037</v>
      </c>
      <c r="C2840" s="28" t="s">
        <v>3011</v>
      </c>
      <c r="D2840" s="28" t="s">
        <v>3012</v>
      </c>
      <c r="E2840" s="38">
        <v>58900</v>
      </c>
      <c r="F2840" s="67">
        <v>564250</v>
      </c>
      <c r="G2840" s="38">
        <v>118492.5</v>
      </c>
      <c r="H2840" s="56">
        <v>741642.5</v>
      </c>
      <c r="I2840" s="28" t="s">
        <v>19</v>
      </c>
      <c r="J2840" s="43"/>
    </row>
    <row r="2841" spans="1:10" customFormat="1" ht="15.75" hidden="1" customHeight="1" x14ac:dyDescent="0.25">
      <c r="A2841" s="57">
        <v>45278</v>
      </c>
      <c r="B2841" s="36" t="s">
        <v>6038</v>
      </c>
      <c r="C2841" s="28" t="s">
        <v>2892</v>
      </c>
      <c r="D2841" s="28" t="s">
        <v>2893</v>
      </c>
      <c r="E2841" s="38">
        <v>3800</v>
      </c>
      <c r="F2841" s="67">
        <v>70400</v>
      </c>
      <c r="G2841" s="38">
        <v>14784</v>
      </c>
      <c r="H2841" s="56">
        <v>88984</v>
      </c>
      <c r="I2841" s="28" t="s">
        <v>19</v>
      </c>
      <c r="J2841" s="43"/>
    </row>
    <row r="2842" spans="1:10" customFormat="1" ht="15.75" hidden="1" customHeight="1" x14ac:dyDescent="0.25">
      <c r="A2842" s="57">
        <v>45278</v>
      </c>
      <c r="B2842" s="36" t="s">
        <v>6039</v>
      </c>
      <c r="C2842" s="28" t="s">
        <v>2867</v>
      </c>
      <c r="D2842" s="28" t="s">
        <v>2868</v>
      </c>
      <c r="E2842" s="38">
        <v>18000</v>
      </c>
      <c r="F2842" s="67">
        <v>369120</v>
      </c>
      <c r="G2842" s="38">
        <v>77515.199999999997</v>
      </c>
      <c r="H2842" s="56">
        <v>464635.2</v>
      </c>
      <c r="I2842" s="28" t="s">
        <v>19</v>
      </c>
      <c r="J2842" s="43"/>
    </row>
    <row r="2843" spans="1:10" customFormat="1" ht="15.75" hidden="1" customHeight="1" x14ac:dyDescent="0.25">
      <c r="A2843" s="57">
        <v>45278</v>
      </c>
      <c r="B2843" s="36" t="s">
        <v>6040</v>
      </c>
      <c r="C2843" s="28" t="s">
        <v>2883</v>
      </c>
      <c r="D2843" s="28" t="s">
        <v>2884</v>
      </c>
      <c r="E2843" s="38">
        <v>5500</v>
      </c>
      <c r="F2843" s="67">
        <v>106000</v>
      </c>
      <c r="G2843" s="38">
        <v>22260</v>
      </c>
      <c r="H2843" s="56">
        <v>133760</v>
      </c>
      <c r="I2843" s="28" t="s">
        <v>19</v>
      </c>
      <c r="J2843" s="43"/>
    </row>
    <row r="2844" spans="1:10" customFormat="1" ht="15.75" hidden="1" customHeight="1" x14ac:dyDescent="0.25">
      <c r="A2844" s="57">
        <v>45278</v>
      </c>
      <c r="B2844" s="36" t="s">
        <v>6041</v>
      </c>
      <c r="C2844" s="28" t="s">
        <v>2921</v>
      </c>
      <c r="D2844" s="28" t="s">
        <v>2922</v>
      </c>
      <c r="E2844" s="38">
        <v>11000</v>
      </c>
      <c r="F2844" s="67">
        <v>593752</v>
      </c>
      <c r="G2844" s="38">
        <v>124687.92</v>
      </c>
      <c r="H2844" s="56">
        <v>729439.92</v>
      </c>
      <c r="I2844" s="28" t="s">
        <v>19</v>
      </c>
      <c r="J2844" s="43"/>
    </row>
    <row r="2845" spans="1:10" customFormat="1" ht="15.75" hidden="1" customHeight="1" x14ac:dyDescent="0.25">
      <c r="A2845" s="57">
        <v>45278</v>
      </c>
      <c r="B2845" s="36" t="s">
        <v>6042</v>
      </c>
      <c r="C2845" s="28" t="s">
        <v>2945</v>
      </c>
      <c r="D2845" s="28" t="s">
        <v>2946</v>
      </c>
      <c r="E2845" s="38">
        <v>9000</v>
      </c>
      <c r="F2845" s="67">
        <v>296876</v>
      </c>
      <c r="G2845" s="38">
        <v>62343.96</v>
      </c>
      <c r="H2845" s="56">
        <v>368219.96</v>
      </c>
      <c r="I2845" s="28" t="s">
        <v>19</v>
      </c>
      <c r="J2845" s="43"/>
    </row>
    <row r="2846" spans="1:10" customFormat="1" ht="15.75" hidden="1" customHeight="1" x14ac:dyDescent="0.25">
      <c r="A2846" s="57">
        <v>45279</v>
      </c>
      <c r="B2846" s="36" t="s">
        <v>6043</v>
      </c>
      <c r="C2846" s="28" t="s">
        <v>5283</v>
      </c>
      <c r="D2846" s="28" t="s">
        <v>5284</v>
      </c>
      <c r="E2846" s="38">
        <v>140000</v>
      </c>
      <c r="F2846" s="67">
        <v>6000000</v>
      </c>
      <c r="G2846" s="38">
        <v>1260000</v>
      </c>
      <c r="H2846" s="56">
        <v>7400000</v>
      </c>
      <c r="I2846" s="28" t="s">
        <v>19</v>
      </c>
      <c r="J2846" s="43"/>
    </row>
    <row r="2847" spans="1:10" customFormat="1" ht="15.75" hidden="1" customHeight="1" x14ac:dyDescent="0.25">
      <c r="A2847" s="57">
        <v>45279</v>
      </c>
      <c r="B2847" s="36" t="s">
        <v>6044</v>
      </c>
      <c r="C2847" s="28" t="s">
        <v>2921</v>
      </c>
      <c r="D2847" s="28" t="s">
        <v>2922</v>
      </c>
      <c r="E2847" s="38">
        <v>26500</v>
      </c>
      <c r="F2847" s="67">
        <v>106000</v>
      </c>
      <c r="G2847" s="38">
        <v>22260</v>
      </c>
      <c r="H2847" s="56">
        <v>154760</v>
      </c>
      <c r="I2847" s="28" t="s">
        <v>19</v>
      </c>
      <c r="J2847" s="43"/>
    </row>
    <row r="2848" spans="1:10" customFormat="1" ht="15.75" hidden="1" customHeight="1" x14ac:dyDescent="0.25">
      <c r="A2848" s="57">
        <v>45279</v>
      </c>
      <c r="B2848" s="36" t="s">
        <v>6045</v>
      </c>
      <c r="C2848" s="28" t="s">
        <v>2921</v>
      </c>
      <c r="D2848" s="28" t="s">
        <v>2922</v>
      </c>
      <c r="E2848" s="38">
        <v>53000</v>
      </c>
      <c r="F2848" s="67">
        <v>212000</v>
      </c>
      <c r="G2848" s="38">
        <v>44520</v>
      </c>
      <c r="H2848" s="56">
        <v>309520</v>
      </c>
      <c r="I2848" s="28" t="s">
        <v>19</v>
      </c>
      <c r="J2848" s="43"/>
    </row>
    <row r="2849" spans="1:10" customFormat="1" ht="15.75" hidden="1" customHeight="1" x14ac:dyDescent="0.25">
      <c r="A2849" s="57">
        <v>45279</v>
      </c>
      <c r="B2849" s="36" t="s">
        <v>6046</v>
      </c>
      <c r="C2849" s="28" t="s">
        <v>2921</v>
      </c>
      <c r="D2849" s="28" t="s">
        <v>2922</v>
      </c>
      <c r="E2849" s="38">
        <v>26500</v>
      </c>
      <c r="F2849" s="67">
        <v>106000</v>
      </c>
      <c r="G2849" s="38">
        <v>22260</v>
      </c>
      <c r="H2849" s="56">
        <v>154760</v>
      </c>
      <c r="I2849" s="28" t="s">
        <v>19</v>
      </c>
      <c r="J2849" s="43"/>
    </row>
    <row r="2850" spans="1:10" customFormat="1" ht="15.75" hidden="1" customHeight="1" x14ac:dyDescent="0.25">
      <c r="A2850" s="57">
        <v>45279</v>
      </c>
      <c r="B2850" s="36" t="s">
        <v>6047</v>
      </c>
      <c r="C2850" s="28" t="s">
        <v>3176</v>
      </c>
      <c r="D2850" s="28" t="s">
        <v>3177</v>
      </c>
      <c r="E2850" s="38">
        <v>26500</v>
      </c>
      <c r="F2850" s="67">
        <v>106000</v>
      </c>
      <c r="G2850" s="38">
        <v>22260</v>
      </c>
      <c r="H2850" s="56">
        <v>154760</v>
      </c>
      <c r="I2850" s="28" t="s">
        <v>19</v>
      </c>
      <c r="J2850" s="43"/>
    </row>
    <row r="2851" spans="1:10" customFormat="1" ht="15.75" hidden="1" customHeight="1" x14ac:dyDescent="0.25">
      <c r="A2851" s="57">
        <v>45279</v>
      </c>
      <c r="B2851" s="36" t="s">
        <v>6048</v>
      </c>
      <c r="C2851" s="28" t="s">
        <v>2903</v>
      </c>
      <c r="D2851" s="28" t="s">
        <v>2904</v>
      </c>
      <c r="E2851" s="38">
        <v>26500</v>
      </c>
      <c r="F2851" s="67">
        <v>126562.5</v>
      </c>
      <c r="G2851" s="38">
        <v>26578.13</v>
      </c>
      <c r="H2851" s="56">
        <v>179640.63</v>
      </c>
      <c r="I2851" s="28" t="s">
        <v>19</v>
      </c>
      <c r="J2851" s="43"/>
    </row>
    <row r="2852" spans="1:10" customFormat="1" ht="15.75" hidden="1" customHeight="1" x14ac:dyDescent="0.25">
      <c r="A2852" s="57">
        <v>45279</v>
      </c>
      <c r="B2852" s="36" t="s">
        <v>6049</v>
      </c>
      <c r="C2852" s="28" t="s">
        <v>2903</v>
      </c>
      <c r="D2852" s="28" t="s">
        <v>2904</v>
      </c>
      <c r="E2852" s="38">
        <v>26500</v>
      </c>
      <c r="F2852" s="67">
        <v>163500</v>
      </c>
      <c r="G2852" s="38">
        <v>34335</v>
      </c>
      <c r="H2852" s="56">
        <v>224335</v>
      </c>
      <c r="I2852" s="28" t="s">
        <v>19</v>
      </c>
      <c r="J2852" s="43"/>
    </row>
    <row r="2853" spans="1:10" customFormat="1" ht="15.75" hidden="1" customHeight="1" x14ac:dyDescent="0.25">
      <c r="A2853" s="57">
        <v>45279</v>
      </c>
      <c r="B2853" s="36" t="s">
        <v>6050</v>
      </c>
      <c r="C2853" s="28" t="s">
        <v>2903</v>
      </c>
      <c r="D2853" s="28" t="s">
        <v>2904</v>
      </c>
      <c r="E2853" s="38">
        <v>26500</v>
      </c>
      <c r="F2853" s="67">
        <v>109000</v>
      </c>
      <c r="G2853" s="38">
        <v>22890</v>
      </c>
      <c r="H2853" s="56">
        <v>158390</v>
      </c>
      <c r="I2853" s="28" t="s">
        <v>19</v>
      </c>
      <c r="J2853" s="43"/>
    </row>
    <row r="2854" spans="1:10" customFormat="1" ht="15.75" hidden="1" customHeight="1" x14ac:dyDescent="0.25">
      <c r="A2854" s="57">
        <v>45279</v>
      </c>
      <c r="B2854" s="36" t="s">
        <v>6051</v>
      </c>
      <c r="C2854" s="28" t="s">
        <v>2903</v>
      </c>
      <c r="D2854" s="28" t="s">
        <v>2904</v>
      </c>
      <c r="E2854" s="38">
        <v>26500</v>
      </c>
      <c r="F2854" s="67">
        <v>163500</v>
      </c>
      <c r="G2854" s="38">
        <v>34335</v>
      </c>
      <c r="H2854" s="56">
        <v>224335</v>
      </c>
      <c r="I2854" s="28" t="s">
        <v>19</v>
      </c>
      <c r="J2854" s="43"/>
    </row>
    <row r="2855" spans="1:10" customFormat="1" ht="15.75" hidden="1" customHeight="1" x14ac:dyDescent="0.25">
      <c r="A2855" s="57">
        <v>45279</v>
      </c>
      <c r="B2855" s="36" t="s">
        <v>6052</v>
      </c>
      <c r="C2855" s="28" t="s">
        <v>4121</v>
      </c>
      <c r="D2855" s="28" t="s">
        <v>4122</v>
      </c>
      <c r="E2855" s="38">
        <v>26500</v>
      </c>
      <c r="F2855" s="67">
        <v>159000</v>
      </c>
      <c r="G2855" s="38">
        <v>33390</v>
      </c>
      <c r="H2855" s="56">
        <v>218890</v>
      </c>
      <c r="I2855" s="28" t="s">
        <v>19</v>
      </c>
      <c r="J2855" s="43"/>
    </row>
    <row r="2856" spans="1:10" customFormat="1" ht="15.75" hidden="1" customHeight="1" x14ac:dyDescent="0.25">
      <c r="A2856" s="57">
        <v>45279</v>
      </c>
      <c r="B2856" s="36" t="s">
        <v>6053</v>
      </c>
      <c r="C2856" s="28" t="s">
        <v>2945</v>
      </c>
      <c r="D2856" s="28" t="s">
        <v>2946</v>
      </c>
      <c r="E2856" s="38">
        <v>12800</v>
      </c>
      <c r="F2856" s="67">
        <v>128125</v>
      </c>
      <c r="G2856" s="38">
        <v>26906.25</v>
      </c>
      <c r="H2856" s="56">
        <v>167831.25</v>
      </c>
      <c r="I2856" s="28" t="s">
        <v>19</v>
      </c>
      <c r="J2856" s="43"/>
    </row>
    <row r="2857" spans="1:10" customFormat="1" ht="15.75" hidden="1" customHeight="1" x14ac:dyDescent="0.25">
      <c r="A2857" s="57">
        <v>45279</v>
      </c>
      <c r="B2857" s="36" t="s">
        <v>6054</v>
      </c>
      <c r="C2857" s="28" t="s">
        <v>3358</v>
      </c>
      <c r="D2857" s="28" t="s">
        <v>3359</v>
      </c>
      <c r="E2857" s="38">
        <v>12800</v>
      </c>
      <c r="F2857" s="67">
        <v>290625</v>
      </c>
      <c r="G2857" s="38">
        <v>61031.25</v>
      </c>
      <c r="H2857" s="56">
        <v>364456.25</v>
      </c>
      <c r="I2857" s="28" t="s">
        <v>19</v>
      </c>
      <c r="J2857" s="43"/>
    </row>
    <row r="2858" spans="1:10" customFormat="1" ht="15.75" hidden="1" customHeight="1" x14ac:dyDescent="0.25">
      <c r="A2858" s="57">
        <v>45279</v>
      </c>
      <c r="B2858" s="36" t="s">
        <v>6055</v>
      </c>
      <c r="C2858" s="28" t="s">
        <v>2912</v>
      </c>
      <c r="D2858" s="28" t="s">
        <v>2913</v>
      </c>
      <c r="E2858" s="38">
        <v>20500</v>
      </c>
      <c r="F2858" s="67">
        <v>192187.5</v>
      </c>
      <c r="G2858" s="38">
        <v>40359.370000000003</v>
      </c>
      <c r="H2858" s="56">
        <v>253046.87</v>
      </c>
      <c r="I2858" s="28" t="s">
        <v>19</v>
      </c>
      <c r="J2858" s="43"/>
    </row>
    <row r="2859" spans="1:10" customFormat="1" ht="15.75" hidden="1" customHeight="1" x14ac:dyDescent="0.25">
      <c r="A2859" s="57">
        <v>45279</v>
      </c>
      <c r="B2859" s="36" t="s">
        <v>6056</v>
      </c>
      <c r="C2859" s="28" t="s">
        <v>2921</v>
      </c>
      <c r="D2859" s="28" t="s">
        <v>2922</v>
      </c>
      <c r="E2859" s="38">
        <v>0</v>
      </c>
      <c r="F2859" s="67">
        <v>45000</v>
      </c>
      <c r="G2859" s="38">
        <v>9450</v>
      </c>
      <c r="H2859" s="56">
        <v>54450</v>
      </c>
      <c r="I2859" s="28" t="s">
        <v>19</v>
      </c>
      <c r="J2859" s="43"/>
    </row>
    <row r="2860" spans="1:10" customFormat="1" ht="15.75" hidden="1" customHeight="1" x14ac:dyDescent="0.25">
      <c r="A2860" s="57">
        <v>45279</v>
      </c>
      <c r="B2860" s="36" t="s">
        <v>6057</v>
      </c>
      <c r="C2860" s="28" t="s">
        <v>2945</v>
      </c>
      <c r="D2860" s="28" t="s">
        <v>2946</v>
      </c>
      <c r="E2860" s="38">
        <v>20100</v>
      </c>
      <c r="F2860" s="67">
        <v>128125</v>
      </c>
      <c r="G2860" s="38">
        <v>26906.25</v>
      </c>
      <c r="H2860" s="56">
        <v>175131.25</v>
      </c>
      <c r="I2860" s="28" t="s">
        <v>19</v>
      </c>
      <c r="J2860" s="43"/>
    </row>
    <row r="2861" spans="1:10" customFormat="1" ht="15.75" hidden="1" customHeight="1" x14ac:dyDescent="0.25">
      <c r="A2861" s="57">
        <v>45279</v>
      </c>
      <c r="B2861" s="36" t="s">
        <v>6058</v>
      </c>
      <c r="C2861" s="28" t="s">
        <v>2867</v>
      </c>
      <c r="D2861" s="28" t="s">
        <v>2868</v>
      </c>
      <c r="E2861" s="38">
        <v>20500</v>
      </c>
      <c r="F2861" s="67">
        <v>192187.5</v>
      </c>
      <c r="G2861" s="38">
        <v>40359.370000000003</v>
      </c>
      <c r="H2861" s="56">
        <v>253046.87</v>
      </c>
      <c r="I2861" s="28" t="s">
        <v>19</v>
      </c>
      <c r="J2861" s="43"/>
    </row>
    <row r="2862" spans="1:10" customFormat="1" ht="15.75" hidden="1" customHeight="1" x14ac:dyDescent="0.25">
      <c r="A2862" s="57">
        <v>45286</v>
      </c>
      <c r="B2862" s="36" t="s">
        <v>6059</v>
      </c>
      <c r="C2862" s="28" t="s">
        <v>3014</v>
      </c>
      <c r="D2862" s="28" t="s">
        <v>3015</v>
      </c>
      <c r="E2862" s="38">
        <v>53000</v>
      </c>
      <c r="F2862" s="67">
        <v>253125</v>
      </c>
      <c r="G2862" s="38">
        <v>53156.26</v>
      </c>
      <c r="H2862" s="56">
        <v>359281.26</v>
      </c>
      <c r="I2862" s="28" t="s">
        <v>19</v>
      </c>
      <c r="J2862" s="43"/>
    </row>
    <row r="2863" spans="1:10" customFormat="1" ht="15.75" hidden="1" customHeight="1" x14ac:dyDescent="0.25">
      <c r="A2863" s="57">
        <v>45286</v>
      </c>
      <c r="B2863" s="36" t="s">
        <v>6060</v>
      </c>
      <c r="C2863" s="28" t="s">
        <v>3966</v>
      </c>
      <c r="D2863" s="28" t="s">
        <v>3967</v>
      </c>
      <c r="E2863" s="38">
        <v>22100</v>
      </c>
      <c r="F2863" s="67">
        <v>303125</v>
      </c>
      <c r="G2863" s="38">
        <v>63656.25</v>
      </c>
      <c r="H2863" s="56">
        <v>388881.25</v>
      </c>
      <c r="I2863" s="28" t="s">
        <v>19</v>
      </c>
      <c r="J2863" s="43"/>
    </row>
    <row r="2864" spans="1:10" customFormat="1" ht="15.75" hidden="1" customHeight="1" x14ac:dyDescent="0.25">
      <c r="A2864" s="57">
        <v>45286</v>
      </c>
      <c r="B2864" s="36" t="s">
        <v>6061</v>
      </c>
      <c r="C2864" s="28" t="s">
        <v>3165</v>
      </c>
      <c r="D2864" s="28" t="s">
        <v>3166</v>
      </c>
      <c r="E2864" s="38">
        <v>23000</v>
      </c>
      <c r="F2864" s="67">
        <v>303125</v>
      </c>
      <c r="G2864" s="38">
        <v>63656.25</v>
      </c>
      <c r="H2864" s="56">
        <v>389781.25</v>
      </c>
      <c r="I2864" s="28" t="s">
        <v>19</v>
      </c>
      <c r="J2864" s="43"/>
    </row>
    <row r="2865" spans="1:10" customFormat="1" ht="15.75" hidden="1" customHeight="1" x14ac:dyDescent="0.25">
      <c r="A2865" s="57">
        <v>45287</v>
      </c>
      <c r="B2865" s="58" t="s">
        <v>6062</v>
      </c>
      <c r="C2865" s="59" t="s">
        <v>2856</v>
      </c>
      <c r="D2865" s="59" t="s">
        <v>2857</v>
      </c>
      <c r="E2865" s="60">
        <v>53000</v>
      </c>
      <c r="F2865" s="115">
        <v>254250</v>
      </c>
      <c r="G2865" s="60">
        <v>53392.5</v>
      </c>
      <c r="H2865" s="61">
        <v>360642.5</v>
      </c>
      <c r="I2865" s="59" t="s">
        <v>19</v>
      </c>
      <c r="J2865" s="43"/>
    </row>
    <row r="2866" spans="1:10" ht="15.75" hidden="1" customHeight="1" x14ac:dyDescent="0.25">
      <c r="A2866" s="127">
        <v>45287</v>
      </c>
      <c r="B2866" s="121" t="s">
        <v>6063</v>
      </c>
      <c r="C2866" s="121" t="s">
        <v>2895</v>
      </c>
      <c r="D2866" s="121" t="s">
        <v>2896</v>
      </c>
      <c r="E2866" s="173">
        <v>26500</v>
      </c>
      <c r="F2866" s="174">
        <v>84375</v>
      </c>
      <c r="G2866" s="173">
        <v>17718.75</v>
      </c>
      <c r="H2866" s="173">
        <v>128593.75</v>
      </c>
      <c r="I2866" s="121" t="s">
        <v>19</v>
      </c>
      <c r="J2866" s="43"/>
    </row>
    <row r="2867" spans="1:10" customFormat="1" ht="15.75" hidden="1" customHeight="1" x14ac:dyDescent="0.25">
      <c r="A2867" s="170">
        <v>45287</v>
      </c>
      <c r="B2867" s="158" t="s">
        <v>6064</v>
      </c>
      <c r="C2867" s="55" t="s">
        <v>2921</v>
      </c>
      <c r="D2867" s="55" t="s">
        <v>2922</v>
      </c>
      <c r="E2867" s="159">
        <v>0</v>
      </c>
      <c r="F2867" s="171">
        <v>45000</v>
      </c>
      <c r="G2867" s="159">
        <v>9450</v>
      </c>
      <c r="H2867" s="161">
        <v>54450</v>
      </c>
      <c r="I2867" s="55" t="s">
        <v>19</v>
      </c>
      <c r="J2867" s="43"/>
    </row>
    <row r="2868" spans="1:10" customFormat="1" ht="15.75" hidden="1" customHeight="1" x14ac:dyDescent="0.25">
      <c r="A2868" s="57">
        <v>45287</v>
      </c>
      <c r="B2868" s="36" t="s">
        <v>6065</v>
      </c>
      <c r="C2868" s="28" t="s">
        <v>3007</v>
      </c>
      <c r="D2868" s="28" t="s">
        <v>3008</v>
      </c>
      <c r="E2868" s="38">
        <v>0</v>
      </c>
      <c r="F2868" s="67">
        <v>47000</v>
      </c>
      <c r="G2868" s="38">
        <v>9870</v>
      </c>
      <c r="H2868" s="56">
        <v>56870</v>
      </c>
      <c r="I2868" s="28" t="s">
        <v>19</v>
      </c>
      <c r="J2868" s="43"/>
    </row>
    <row r="2869" spans="1:10" customFormat="1" ht="15.75" hidden="1" customHeight="1" x14ac:dyDescent="0.25">
      <c r="A2869" s="57">
        <v>45287</v>
      </c>
      <c r="B2869" s="36" t="s">
        <v>6066</v>
      </c>
      <c r="C2869" s="28" t="s">
        <v>3187</v>
      </c>
      <c r="D2869" s="28" t="s">
        <v>3188</v>
      </c>
      <c r="E2869" s="38">
        <v>11000</v>
      </c>
      <c r="F2869" s="67">
        <v>84375</v>
      </c>
      <c r="G2869" s="38">
        <v>17718.75</v>
      </c>
      <c r="H2869" s="56">
        <v>113093.75</v>
      </c>
      <c r="I2869" s="28" t="s">
        <v>19</v>
      </c>
      <c r="J2869" s="43"/>
    </row>
    <row r="2870" spans="1:10" customFormat="1" ht="15.75" hidden="1" customHeight="1" x14ac:dyDescent="0.25">
      <c r="A2870" s="57">
        <v>45288</v>
      </c>
      <c r="B2870" s="36" t="s">
        <v>6067</v>
      </c>
      <c r="C2870" s="28" t="s">
        <v>2903</v>
      </c>
      <c r="D2870" s="28" t="s">
        <v>2904</v>
      </c>
      <c r="E2870" s="38">
        <v>26500</v>
      </c>
      <c r="F2870" s="67">
        <v>228500</v>
      </c>
      <c r="G2870" s="38">
        <v>47985</v>
      </c>
      <c r="H2870" s="56">
        <v>302985</v>
      </c>
      <c r="I2870" s="28" t="s">
        <v>19</v>
      </c>
      <c r="J2870" s="43"/>
    </row>
    <row r="2871" spans="1:10" customFormat="1" ht="15.75" hidden="1" customHeight="1" x14ac:dyDescent="0.25">
      <c r="A2871" s="57">
        <v>45288</v>
      </c>
      <c r="B2871" s="36" t="s">
        <v>6068</v>
      </c>
      <c r="C2871" s="28" t="s">
        <v>2903</v>
      </c>
      <c r="D2871" s="28" t="s">
        <v>2904</v>
      </c>
      <c r="E2871" s="38">
        <v>26500</v>
      </c>
      <c r="F2871" s="67">
        <v>228500</v>
      </c>
      <c r="G2871" s="38">
        <v>47985</v>
      </c>
      <c r="H2871" s="56">
        <v>302985</v>
      </c>
      <c r="I2871" s="28" t="s">
        <v>19</v>
      </c>
      <c r="J2871" s="43"/>
    </row>
    <row r="2872" spans="1:10" customFormat="1" ht="15.75" hidden="1" customHeight="1" x14ac:dyDescent="0.25">
      <c r="A2872" s="57">
        <v>45288</v>
      </c>
      <c r="B2872" s="36" t="s">
        <v>6069</v>
      </c>
      <c r="C2872" s="28" t="s">
        <v>2903</v>
      </c>
      <c r="D2872" s="28" t="s">
        <v>2904</v>
      </c>
      <c r="E2872" s="38">
        <v>26500</v>
      </c>
      <c r="F2872" s="67">
        <v>228500</v>
      </c>
      <c r="G2872" s="38">
        <v>47985</v>
      </c>
      <c r="H2872" s="56">
        <v>302985</v>
      </c>
      <c r="I2872" s="28" t="s">
        <v>19</v>
      </c>
      <c r="J2872" s="43"/>
    </row>
    <row r="2873" spans="1:10" customFormat="1" ht="15.75" hidden="1" customHeight="1" x14ac:dyDescent="0.25">
      <c r="A2873" s="57">
        <v>45288</v>
      </c>
      <c r="B2873" s="36" t="s">
        <v>6070</v>
      </c>
      <c r="C2873" s="28" t="s">
        <v>2903</v>
      </c>
      <c r="D2873" s="28" t="s">
        <v>2904</v>
      </c>
      <c r="E2873" s="38">
        <v>26500</v>
      </c>
      <c r="F2873" s="67">
        <v>228500</v>
      </c>
      <c r="G2873" s="38">
        <v>47985</v>
      </c>
      <c r="H2873" s="56">
        <v>302985</v>
      </c>
      <c r="I2873" s="28" t="s">
        <v>19</v>
      </c>
      <c r="J2873" s="43"/>
    </row>
    <row r="2874" spans="1:10" customFormat="1" ht="15.75" hidden="1" customHeight="1" x14ac:dyDescent="0.25">
      <c r="A2874" s="57">
        <v>45288</v>
      </c>
      <c r="B2874" s="36" t="s">
        <v>6071</v>
      </c>
      <c r="C2874" s="28" t="s">
        <v>2903</v>
      </c>
      <c r="D2874" s="28" t="s">
        <v>2904</v>
      </c>
      <c r="E2874" s="38">
        <v>26500</v>
      </c>
      <c r="F2874" s="67">
        <v>228500</v>
      </c>
      <c r="G2874" s="38">
        <v>47985</v>
      </c>
      <c r="H2874" s="56">
        <v>302985</v>
      </c>
      <c r="I2874" s="28" t="s">
        <v>19</v>
      </c>
      <c r="J2874" s="43"/>
    </row>
    <row r="2875" spans="1:10" customFormat="1" ht="15.75" hidden="1" customHeight="1" x14ac:dyDescent="0.25">
      <c r="A2875" s="57">
        <v>45288</v>
      </c>
      <c r="B2875" s="36" t="s">
        <v>6072</v>
      </c>
      <c r="C2875" s="28" t="s">
        <v>2903</v>
      </c>
      <c r="D2875" s="28" t="s">
        <v>2904</v>
      </c>
      <c r="E2875" s="38">
        <v>26500</v>
      </c>
      <c r="F2875" s="67">
        <v>228500</v>
      </c>
      <c r="G2875" s="38">
        <v>47985</v>
      </c>
      <c r="H2875" s="56">
        <v>302985</v>
      </c>
      <c r="I2875" s="28" t="s">
        <v>19</v>
      </c>
      <c r="J2875" s="43"/>
    </row>
    <row r="2876" spans="1:10" customFormat="1" ht="15.75" hidden="1" customHeight="1" x14ac:dyDescent="0.25">
      <c r="A2876" s="57">
        <v>45288</v>
      </c>
      <c r="B2876" s="36" t="s">
        <v>6073</v>
      </c>
      <c r="C2876" s="28" t="s">
        <v>2867</v>
      </c>
      <c r="D2876" s="28" t="s">
        <v>2868</v>
      </c>
      <c r="E2876" s="38">
        <v>21500</v>
      </c>
      <c r="F2876" s="67">
        <v>490000</v>
      </c>
      <c r="G2876" s="38">
        <v>102900</v>
      </c>
      <c r="H2876" s="56">
        <v>614400</v>
      </c>
      <c r="I2876" s="28" t="s">
        <v>19</v>
      </c>
      <c r="J2876" s="43"/>
    </row>
    <row r="2877" spans="1:10" customFormat="1" ht="15.75" hidden="1" customHeight="1" x14ac:dyDescent="0.25">
      <c r="A2877" s="57">
        <v>45288</v>
      </c>
      <c r="B2877" s="58" t="s">
        <v>6074</v>
      </c>
      <c r="C2877" s="59" t="s">
        <v>3176</v>
      </c>
      <c r="D2877" s="59" t="s">
        <v>3177</v>
      </c>
      <c r="E2877" s="60">
        <v>79500</v>
      </c>
      <c r="F2877" s="115">
        <v>672000</v>
      </c>
      <c r="G2877" s="60">
        <v>141120</v>
      </c>
      <c r="H2877" s="61">
        <v>892620</v>
      </c>
      <c r="I2877" s="59" t="s">
        <v>19</v>
      </c>
      <c r="J2877" s="43"/>
    </row>
    <row r="2878" spans="1:10" ht="15.75" hidden="1" customHeight="1" x14ac:dyDescent="0.25">
      <c r="A2878" s="127">
        <v>45288</v>
      </c>
      <c r="B2878" s="121" t="s">
        <v>6075</v>
      </c>
      <c r="C2878" s="121" t="s">
        <v>2895</v>
      </c>
      <c r="D2878" s="121" t="s">
        <v>2896</v>
      </c>
      <c r="E2878" s="173">
        <v>26500</v>
      </c>
      <c r="F2878" s="174">
        <v>224000</v>
      </c>
      <c r="G2878" s="173">
        <v>47040</v>
      </c>
      <c r="H2878" s="173">
        <v>297540</v>
      </c>
      <c r="I2878" s="121" t="s">
        <v>19</v>
      </c>
      <c r="J2878" s="43"/>
    </row>
    <row r="2879" spans="1:10" customFormat="1" ht="15.75" hidden="1" customHeight="1" x14ac:dyDescent="0.25">
      <c r="A2879" s="170">
        <v>45288</v>
      </c>
      <c r="B2879" s="158" t="s">
        <v>6076</v>
      </c>
      <c r="C2879" s="55" t="s">
        <v>2921</v>
      </c>
      <c r="D2879" s="55" t="s">
        <v>2922</v>
      </c>
      <c r="E2879" s="159">
        <v>0</v>
      </c>
      <c r="F2879" s="171">
        <v>85000</v>
      </c>
      <c r="G2879" s="159">
        <v>17850</v>
      </c>
      <c r="H2879" s="161">
        <v>102850</v>
      </c>
      <c r="I2879" s="55" t="s">
        <v>19</v>
      </c>
      <c r="J2879" s="43"/>
    </row>
    <row r="2880" spans="1:10" customFormat="1" ht="15.75" hidden="1" customHeight="1" x14ac:dyDescent="0.25">
      <c r="A2880" s="57">
        <v>45288</v>
      </c>
      <c r="B2880" s="36" t="s">
        <v>6077</v>
      </c>
      <c r="C2880" s="28" t="s">
        <v>2867</v>
      </c>
      <c r="D2880" s="28" t="s">
        <v>2868</v>
      </c>
      <c r="E2880" s="38">
        <v>10500</v>
      </c>
      <c r="F2880" s="67">
        <v>286000</v>
      </c>
      <c r="G2880" s="38">
        <v>60060</v>
      </c>
      <c r="H2880" s="56">
        <v>356560</v>
      </c>
      <c r="I2880" s="28" t="s">
        <v>19</v>
      </c>
      <c r="J2880" s="43"/>
    </row>
    <row r="2881" spans="1:10" customFormat="1" ht="15.75" hidden="1" customHeight="1" x14ac:dyDescent="0.25">
      <c r="A2881" s="57">
        <v>45288</v>
      </c>
      <c r="B2881" s="36" t="s">
        <v>6078</v>
      </c>
      <c r="C2881" s="28" t="s">
        <v>2863</v>
      </c>
      <c r="D2881" s="28" t="s">
        <v>2864</v>
      </c>
      <c r="E2881" s="38">
        <v>12500</v>
      </c>
      <c r="F2881" s="67">
        <v>153800</v>
      </c>
      <c r="G2881" s="38">
        <v>32298</v>
      </c>
      <c r="H2881" s="56">
        <v>198598</v>
      </c>
      <c r="I2881" s="28" t="s">
        <v>19</v>
      </c>
      <c r="J2881" s="43"/>
    </row>
    <row r="2882" spans="1:10" customFormat="1" ht="15.75" hidden="1" customHeight="1" x14ac:dyDescent="0.25">
      <c r="A2882" s="57">
        <v>45288</v>
      </c>
      <c r="B2882" s="36" t="s">
        <v>6079</v>
      </c>
      <c r="C2882" s="28" t="s">
        <v>3358</v>
      </c>
      <c r="D2882" s="28" t="s">
        <v>3359</v>
      </c>
      <c r="E2882" s="38">
        <v>45500</v>
      </c>
      <c r="F2882" s="67">
        <v>562500</v>
      </c>
      <c r="G2882" s="38">
        <v>118125</v>
      </c>
      <c r="H2882" s="56">
        <v>726125</v>
      </c>
      <c r="I2882" s="28" t="s">
        <v>19</v>
      </c>
      <c r="J2882" s="43"/>
    </row>
    <row r="2883" spans="1:10" customFormat="1" ht="15.75" hidden="1" customHeight="1" x14ac:dyDescent="0.25">
      <c r="A2883" s="57">
        <v>45288</v>
      </c>
      <c r="B2883" s="36" t="s">
        <v>6080</v>
      </c>
      <c r="C2883" s="28" t="s">
        <v>3450</v>
      </c>
      <c r="D2883" s="28" t="s">
        <v>3451</v>
      </c>
      <c r="E2883" s="38">
        <v>53000</v>
      </c>
      <c r="F2883" s="67">
        <v>190375</v>
      </c>
      <c r="G2883" s="38">
        <v>39978.75</v>
      </c>
      <c r="H2883" s="56">
        <v>283353.75</v>
      </c>
      <c r="I2883" s="28" t="s">
        <v>19</v>
      </c>
      <c r="J2883" s="43"/>
    </row>
    <row r="2884" spans="1:10" customFormat="1" ht="15.75" hidden="1" customHeight="1" x14ac:dyDescent="0.25">
      <c r="A2884" s="57">
        <v>45288</v>
      </c>
      <c r="B2884" s="36" t="s">
        <v>6081</v>
      </c>
      <c r="C2884" s="28" t="s">
        <v>3007</v>
      </c>
      <c r="D2884" s="28" t="s">
        <v>3008</v>
      </c>
      <c r="E2884" s="38">
        <v>10000</v>
      </c>
      <c r="F2884" s="67">
        <v>700000</v>
      </c>
      <c r="G2884" s="38">
        <v>147000</v>
      </c>
      <c r="H2884" s="56">
        <v>857000</v>
      </c>
      <c r="I2884" s="28" t="s">
        <v>19</v>
      </c>
      <c r="J2884" s="43"/>
    </row>
    <row r="2885" spans="1:10" customFormat="1" ht="15.75" hidden="1" customHeight="1" x14ac:dyDescent="0.25">
      <c r="A2885" s="57">
        <v>45288</v>
      </c>
      <c r="B2885" s="36" t="s">
        <v>6082</v>
      </c>
      <c r="C2885" s="28" t="s">
        <v>2867</v>
      </c>
      <c r="D2885" s="28" t="s">
        <v>2868</v>
      </c>
      <c r="E2885" s="38">
        <v>8500</v>
      </c>
      <c r="F2885" s="67">
        <v>222657</v>
      </c>
      <c r="G2885" s="38">
        <v>46757.97</v>
      </c>
      <c r="H2885" s="56">
        <v>277914.96999999997</v>
      </c>
      <c r="I2885" s="28" t="s">
        <v>19</v>
      </c>
      <c r="J2885" s="43"/>
    </row>
    <row r="2886" spans="1:10" customFormat="1" ht="15.75" hidden="1" customHeight="1" x14ac:dyDescent="0.25">
      <c r="A2886" s="57">
        <v>45288</v>
      </c>
      <c r="B2886" s="36" t="s">
        <v>6083</v>
      </c>
      <c r="C2886" s="28" t="s">
        <v>3176</v>
      </c>
      <c r="D2886" s="28" t="s">
        <v>3177</v>
      </c>
      <c r="E2886" s="38">
        <v>53000</v>
      </c>
      <c r="F2886" s="67">
        <v>212000</v>
      </c>
      <c r="G2886" s="38">
        <v>44520</v>
      </c>
      <c r="H2886" s="56">
        <v>309520</v>
      </c>
      <c r="I2886" s="28" t="s">
        <v>19</v>
      </c>
      <c r="J2886" s="43"/>
    </row>
    <row r="2887" spans="1:10" customFormat="1" ht="15.75" hidden="1" customHeight="1" x14ac:dyDescent="0.25">
      <c r="A2887" s="57">
        <v>45288</v>
      </c>
      <c r="B2887" s="36" t="s">
        <v>6084</v>
      </c>
      <c r="C2887" s="28" t="s">
        <v>3014</v>
      </c>
      <c r="D2887" s="28" t="s">
        <v>3015</v>
      </c>
      <c r="E2887" s="38">
        <v>26500</v>
      </c>
      <c r="F2887" s="67">
        <v>224000</v>
      </c>
      <c r="G2887" s="38">
        <v>47040</v>
      </c>
      <c r="H2887" s="56">
        <v>297540</v>
      </c>
      <c r="I2887" s="28" t="s">
        <v>19</v>
      </c>
      <c r="J2887" s="43"/>
    </row>
    <row r="2888" spans="1:10" customFormat="1" ht="15.75" hidden="1" customHeight="1" x14ac:dyDescent="0.25">
      <c r="A2888" s="57">
        <v>45288</v>
      </c>
      <c r="B2888" s="36" t="s">
        <v>6085</v>
      </c>
      <c r="C2888" s="28" t="s">
        <v>4181</v>
      </c>
      <c r="D2888" s="28" t="s">
        <v>4182</v>
      </c>
      <c r="E2888" s="38">
        <v>26500</v>
      </c>
      <c r="F2888" s="67">
        <v>106000</v>
      </c>
      <c r="G2888" s="38">
        <v>22260</v>
      </c>
      <c r="H2888" s="56">
        <v>154760</v>
      </c>
      <c r="I2888" s="28" t="s">
        <v>19</v>
      </c>
      <c r="J2888" s="43"/>
    </row>
    <row r="2889" spans="1:10" customFormat="1" ht="15.75" hidden="1" customHeight="1" x14ac:dyDescent="0.25">
      <c r="A2889" s="57">
        <v>45288</v>
      </c>
      <c r="B2889" s="36" t="s">
        <v>6086</v>
      </c>
      <c r="C2889" s="28" t="s">
        <v>4181</v>
      </c>
      <c r="D2889" s="28" t="s">
        <v>4182</v>
      </c>
      <c r="E2889" s="38">
        <v>26500</v>
      </c>
      <c r="F2889" s="67">
        <v>106000</v>
      </c>
      <c r="G2889" s="38">
        <v>22260</v>
      </c>
      <c r="H2889" s="56">
        <v>154760</v>
      </c>
      <c r="I2889" s="28" t="s">
        <v>19</v>
      </c>
      <c r="J2889" s="43"/>
    </row>
    <row r="2890" spans="1:10" customFormat="1" ht="15.75" hidden="1" customHeight="1" x14ac:dyDescent="0.25">
      <c r="A2890" s="57">
        <v>45289</v>
      </c>
      <c r="B2890" s="36" t="s">
        <v>6087</v>
      </c>
      <c r="C2890" s="28" t="s">
        <v>2972</v>
      </c>
      <c r="D2890" s="28" t="s">
        <v>2973</v>
      </c>
      <c r="E2890" s="38">
        <v>11100</v>
      </c>
      <c r="F2890" s="67">
        <v>192187.5</v>
      </c>
      <c r="G2890" s="38">
        <v>40359.370000000003</v>
      </c>
      <c r="H2890" s="56">
        <v>243646.87</v>
      </c>
      <c r="I2890" s="28" t="s">
        <v>19</v>
      </c>
      <c r="J2890" s="43"/>
    </row>
    <row r="2891" spans="1:10" customFormat="1" ht="15.75" hidden="1" customHeight="1" x14ac:dyDescent="0.25">
      <c r="A2891" s="57">
        <v>45289</v>
      </c>
      <c r="B2891" s="36" t="s">
        <v>6088</v>
      </c>
      <c r="C2891" s="28" t="s">
        <v>2851</v>
      </c>
      <c r="D2891" s="28" t="s">
        <v>2852</v>
      </c>
      <c r="E2891" s="38">
        <v>5600</v>
      </c>
      <c r="F2891" s="67">
        <v>128125</v>
      </c>
      <c r="G2891" s="38">
        <v>26906.25</v>
      </c>
      <c r="H2891" s="56">
        <v>160631.25</v>
      </c>
      <c r="I2891" s="28" t="s">
        <v>19</v>
      </c>
      <c r="J2891" s="43"/>
    </row>
    <row r="2892" spans="1:10" customFormat="1" ht="15.75" hidden="1" customHeight="1" x14ac:dyDescent="0.25">
      <c r="A2892" s="57">
        <v>45289</v>
      </c>
      <c r="B2892" s="36" t="s">
        <v>6089</v>
      </c>
      <c r="C2892" s="28" t="s">
        <v>3083</v>
      </c>
      <c r="D2892" s="28" t="s">
        <v>3084</v>
      </c>
      <c r="E2892" s="38">
        <v>53000</v>
      </c>
      <c r="F2892" s="67">
        <v>168750</v>
      </c>
      <c r="G2892" s="38">
        <v>35437.5</v>
      </c>
      <c r="H2892" s="56">
        <v>257187.5</v>
      </c>
      <c r="I2892" s="28" t="s">
        <v>19</v>
      </c>
      <c r="J2892" s="43"/>
    </row>
    <row r="2893" spans="1:10" customFormat="1" ht="15.75" hidden="1" customHeight="1" x14ac:dyDescent="0.25">
      <c r="A2893" s="57">
        <v>45289</v>
      </c>
      <c r="B2893" s="36" t="s">
        <v>6090</v>
      </c>
      <c r="C2893" s="28" t="s">
        <v>4501</v>
      </c>
      <c r="D2893" s="28" t="s">
        <v>4502</v>
      </c>
      <c r="E2893" s="38">
        <v>26500</v>
      </c>
      <c r="F2893" s="67">
        <v>84375</v>
      </c>
      <c r="G2893" s="38">
        <v>17718.75</v>
      </c>
      <c r="H2893" s="56">
        <v>128593.75</v>
      </c>
      <c r="I2893" s="28" t="s">
        <v>19</v>
      </c>
      <c r="J2893" s="43"/>
    </row>
    <row r="2894" spans="1:10" customFormat="1" ht="15.75" hidden="1" customHeight="1" x14ac:dyDescent="0.25">
      <c r="A2894" s="57">
        <v>45289</v>
      </c>
      <c r="B2894" s="36" t="s">
        <v>6091</v>
      </c>
      <c r="C2894" s="28" t="s">
        <v>3854</v>
      </c>
      <c r="D2894" s="28" t="s">
        <v>3855</v>
      </c>
      <c r="E2894" s="38">
        <v>2012</v>
      </c>
      <c r="F2894" s="67">
        <v>101205</v>
      </c>
      <c r="G2894" s="38">
        <v>21253.05</v>
      </c>
      <c r="H2894" s="56">
        <v>124470.05</v>
      </c>
      <c r="I2894" s="28" t="s">
        <v>19</v>
      </c>
      <c r="J2894" s="43"/>
    </row>
    <row r="2895" spans="1:10" customFormat="1" ht="15.75" hidden="1" customHeight="1" x14ac:dyDescent="0.25">
      <c r="A2895" s="57">
        <v>45289</v>
      </c>
      <c r="B2895" s="36" t="s">
        <v>6092</v>
      </c>
      <c r="C2895" s="28" t="s">
        <v>4337</v>
      </c>
      <c r="D2895" s="28" t="s">
        <v>4338</v>
      </c>
      <c r="E2895" s="38">
        <v>22500</v>
      </c>
      <c r="F2895" s="67">
        <v>192187.5</v>
      </c>
      <c r="G2895" s="38">
        <v>40359.370000000003</v>
      </c>
      <c r="H2895" s="56">
        <v>255046.87</v>
      </c>
      <c r="I2895" s="28" t="s">
        <v>19</v>
      </c>
      <c r="J2895" s="43"/>
    </row>
    <row r="2896" spans="1:10" customFormat="1" ht="15.75" hidden="1" customHeight="1" x14ac:dyDescent="0.25">
      <c r="A2896" s="57">
        <v>45289</v>
      </c>
      <c r="B2896" s="36" t="s">
        <v>6093</v>
      </c>
      <c r="C2896" s="28" t="s">
        <v>4779</v>
      </c>
      <c r="D2896" s="28" t="s">
        <v>4780</v>
      </c>
      <c r="E2896" s="38">
        <v>2100</v>
      </c>
      <c r="F2896" s="67">
        <v>174000</v>
      </c>
      <c r="G2896" s="38">
        <v>36540</v>
      </c>
      <c r="H2896" s="56">
        <v>212640</v>
      </c>
      <c r="I2896" s="28" t="s">
        <v>19</v>
      </c>
      <c r="J2896" s="43"/>
    </row>
    <row r="2897" spans="1:10" customFormat="1" ht="15.75" hidden="1" customHeight="1" x14ac:dyDescent="0.25">
      <c r="A2897" s="57">
        <v>45289</v>
      </c>
      <c r="B2897" s="36" t="s">
        <v>6094</v>
      </c>
      <c r="C2897" s="28" t="s">
        <v>2851</v>
      </c>
      <c r="D2897" s="28" t="s">
        <v>2852</v>
      </c>
      <c r="E2897" s="38">
        <v>5600</v>
      </c>
      <c r="F2897" s="67">
        <v>128125</v>
      </c>
      <c r="G2897" s="38">
        <v>26906.25</v>
      </c>
      <c r="H2897" s="56">
        <v>160631.25</v>
      </c>
      <c r="I2897" s="28" t="s">
        <v>19</v>
      </c>
      <c r="J2897" s="43"/>
    </row>
    <row r="2898" spans="1:10" customFormat="1" ht="15.75" hidden="1" customHeight="1" x14ac:dyDescent="0.25">
      <c r="A2898" s="57">
        <v>45289</v>
      </c>
      <c r="B2898" s="36" t="s">
        <v>6095</v>
      </c>
      <c r="C2898" s="28" t="s">
        <v>3603</v>
      </c>
      <c r="D2898" s="28" t="s">
        <v>3604</v>
      </c>
      <c r="E2898" s="38">
        <v>20600</v>
      </c>
      <c r="F2898" s="67">
        <v>126562.5</v>
      </c>
      <c r="G2898" s="38">
        <v>26578.13</v>
      </c>
      <c r="H2898" s="56">
        <v>173740.63</v>
      </c>
      <c r="I2898" s="28" t="s">
        <v>19</v>
      </c>
      <c r="J2898" s="43"/>
    </row>
    <row r="2899" spans="1:10" customFormat="1" ht="15.75" hidden="1" customHeight="1" x14ac:dyDescent="0.25">
      <c r="A2899" s="57">
        <v>45289</v>
      </c>
      <c r="B2899" s="36" t="s">
        <v>6096</v>
      </c>
      <c r="C2899" s="28" t="s">
        <v>3383</v>
      </c>
      <c r="D2899" s="28" t="s">
        <v>3384</v>
      </c>
      <c r="E2899" s="38">
        <v>3000</v>
      </c>
      <c r="F2899" s="67">
        <v>101250</v>
      </c>
      <c r="G2899" s="38">
        <v>21262.5</v>
      </c>
      <c r="H2899" s="56">
        <v>125512.5</v>
      </c>
      <c r="I2899" s="28" t="s">
        <v>19</v>
      </c>
      <c r="J2899" s="43"/>
    </row>
    <row r="2900" spans="1:10" customFormat="1" ht="15.75" hidden="1" customHeight="1" x14ac:dyDescent="0.25">
      <c r="A2900" s="57">
        <v>45289</v>
      </c>
      <c r="B2900" s="36" t="s">
        <v>6097</v>
      </c>
      <c r="C2900" s="28" t="s">
        <v>2921</v>
      </c>
      <c r="D2900" s="28" t="s">
        <v>2922</v>
      </c>
      <c r="E2900" s="38">
        <v>0</v>
      </c>
      <c r="F2900" s="67">
        <v>54000</v>
      </c>
      <c r="G2900" s="38">
        <v>11340</v>
      </c>
      <c r="H2900" s="56">
        <v>65340</v>
      </c>
      <c r="I2900" s="28" t="s">
        <v>19</v>
      </c>
      <c r="J2900" s="43"/>
    </row>
    <row r="2901" spans="1:10" customFormat="1" ht="15.75" hidden="1" customHeight="1" x14ac:dyDescent="0.25">
      <c r="A2901" s="57">
        <v>45289</v>
      </c>
      <c r="B2901" s="36" t="s">
        <v>6098</v>
      </c>
      <c r="C2901" s="28" t="s">
        <v>2856</v>
      </c>
      <c r="D2901" s="28" t="s">
        <v>2857</v>
      </c>
      <c r="E2901" s="38">
        <v>58370</v>
      </c>
      <c r="F2901" s="67">
        <v>190375</v>
      </c>
      <c r="G2901" s="38">
        <v>39978.75</v>
      </c>
      <c r="H2901" s="56">
        <v>288723.75</v>
      </c>
      <c r="I2901" s="28" t="s">
        <v>19</v>
      </c>
      <c r="J2901" s="43"/>
    </row>
    <row r="2902" spans="1:10" customFormat="1" ht="15.75" hidden="1" customHeight="1" x14ac:dyDescent="0.25">
      <c r="A2902" s="57">
        <v>45289</v>
      </c>
      <c r="B2902" s="36" t="s">
        <v>6099</v>
      </c>
      <c r="C2902" s="28" t="s">
        <v>2880</v>
      </c>
      <c r="D2902" s="28" t="s">
        <v>2881</v>
      </c>
      <c r="E2902" s="38">
        <v>35000</v>
      </c>
      <c r="F2902" s="67">
        <v>492625</v>
      </c>
      <c r="G2902" s="38">
        <v>103451.25</v>
      </c>
      <c r="H2902" s="56">
        <v>631076.25</v>
      </c>
      <c r="I2902" s="28" t="s">
        <v>19</v>
      </c>
      <c r="J2902" s="43"/>
    </row>
    <row r="2903" spans="1:10" customFormat="1" ht="15.75" hidden="1" customHeight="1" x14ac:dyDescent="0.25">
      <c r="A2903" s="57">
        <v>45289</v>
      </c>
      <c r="B2903" s="36" t="s">
        <v>6100</v>
      </c>
      <c r="C2903" s="28" t="s">
        <v>2867</v>
      </c>
      <c r="D2903" s="28" t="s">
        <v>2868</v>
      </c>
      <c r="E2903" s="38">
        <v>9000</v>
      </c>
      <c r="F2903" s="67">
        <v>222657</v>
      </c>
      <c r="G2903" s="38">
        <v>46757.97</v>
      </c>
      <c r="H2903" s="56">
        <v>278414.96999999997</v>
      </c>
      <c r="I2903" s="28" t="s">
        <v>19</v>
      </c>
      <c r="J2903" s="43"/>
    </row>
    <row r="2904" spans="1:10" customFormat="1" ht="15.75" hidden="1" customHeight="1" x14ac:dyDescent="0.25">
      <c r="A2904" s="57">
        <v>45289</v>
      </c>
      <c r="B2904" s="36" t="s">
        <v>6101</v>
      </c>
      <c r="C2904" s="28" t="s">
        <v>2867</v>
      </c>
      <c r="D2904" s="28" t="s">
        <v>2868</v>
      </c>
      <c r="E2904" s="38">
        <v>11000</v>
      </c>
      <c r="F2904" s="67">
        <v>331657</v>
      </c>
      <c r="G2904" s="38">
        <v>69647.97</v>
      </c>
      <c r="H2904" s="56">
        <v>412304.97</v>
      </c>
      <c r="I2904" s="28" t="s">
        <v>19</v>
      </c>
      <c r="J2904" s="43"/>
    </row>
    <row r="2905" spans="1:10" customFormat="1" ht="15.75" hidden="1" customHeight="1" x14ac:dyDescent="0.25">
      <c r="A2905" s="57">
        <v>45289</v>
      </c>
      <c r="B2905" s="36" t="s">
        <v>6102</v>
      </c>
      <c r="C2905" s="28" t="s">
        <v>2867</v>
      </c>
      <c r="D2905" s="28" t="s">
        <v>2868</v>
      </c>
      <c r="E2905" s="38">
        <v>2500</v>
      </c>
      <c r="F2905" s="67">
        <v>109000</v>
      </c>
      <c r="G2905" s="38">
        <v>22890</v>
      </c>
      <c r="H2905" s="56">
        <v>134390</v>
      </c>
      <c r="I2905" s="28" t="s">
        <v>19</v>
      </c>
      <c r="J2905" s="43"/>
    </row>
    <row r="2906" spans="1:10" customFormat="1" ht="15.75" hidden="1" customHeight="1" x14ac:dyDescent="0.25">
      <c r="A2906" s="57">
        <v>45289</v>
      </c>
      <c r="B2906" s="36" t="s">
        <v>6103</v>
      </c>
      <c r="C2906" s="28" t="s">
        <v>3176</v>
      </c>
      <c r="D2906" s="28" t="s">
        <v>3177</v>
      </c>
      <c r="E2906" s="38">
        <v>12000</v>
      </c>
      <c r="F2906" s="67">
        <v>256250</v>
      </c>
      <c r="G2906" s="38">
        <v>53812.5</v>
      </c>
      <c r="H2906" s="56">
        <v>322062.5</v>
      </c>
      <c r="I2906" s="28" t="s">
        <v>19</v>
      </c>
      <c r="J2906" s="43"/>
    </row>
    <row r="2907" spans="1:10" customFormat="1" ht="15.75" hidden="1" customHeight="1" x14ac:dyDescent="0.25">
      <c r="A2907" s="57">
        <v>45289</v>
      </c>
      <c r="B2907" s="36" t="s">
        <v>6104</v>
      </c>
      <c r="C2907" s="28" t="s">
        <v>2856</v>
      </c>
      <c r="D2907" s="28" t="s">
        <v>2857</v>
      </c>
      <c r="E2907" s="38">
        <v>24000</v>
      </c>
      <c r="F2907" s="67">
        <v>512500</v>
      </c>
      <c r="G2907" s="38">
        <v>107625</v>
      </c>
      <c r="H2907" s="56">
        <v>644125</v>
      </c>
      <c r="I2907" s="28" t="s">
        <v>19</v>
      </c>
      <c r="J2907" s="43"/>
    </row>
    <row r="2908" spans="1:10" customFormat="1" ht="15.75" hidden="1" customHeight="1" x14ac:dyDescent="0.25">
      <c r="A2908" s="57">
        <v>45289</v>
      </c>
      <c r="B2908" s="36" t="s">
        <v>6105</v>
      </c>
      <c r="C2908" s="28" t="s">
        <v>3176</v>
      </c>
      <c r="D2908" s="28" t="s">
        <v>3177</v>
      </c>
      <c r="E2908" s="38">
        <v>18000</v>
      </c>
      <c r="F2908" s="67">
        <v>494876</v>
      </c>
      <c r="G2908" s="38">
        <v>103923.96</v>
      </c>
      <c r="H2908" s="56">
        <v>616799.96</v>
      </c>
      <c r="I2908" s="28" t="s">
        <v>19</v>
      </c>
      <c r="J2908" s="43"/>
    </row>
    <row r="2909" spans="1:10" customFormat="1" ht="15.75" hidden="1" customHeight="1" x14ac:dyDescent="0.25">
      <c r="A2909" s="57">
        <v>45289</v>
      </c>
      <c r="B2909" s="36" t="s">
        <v>6106</v>
      </c>
      <c r="C2909" s="28" t="s">
        <v>2867</v>
      </c>
      <c r="D2909" s="28" t="s">
        <v>2868</v>
      </c>
      <c r="E2909" s="38">
        <v>9000</v>
      </c>
      <c r="F2909" s="67">
        <v>361876</v>
      </c>
      <c r="G2909" s="38">
        <v>75993.960000000006</v>
      </c>
      <c r="H2909" s="56">
        <v>446869.96</v>
      </c>
      <c r="I2909" s="28" t="s">
        <v>19</v>
      </c>
      <c r="J2909" s="43"/>
    </row>
    <row r="2910" spans="1:10" customFormat="1" ht="15.75" hidden="1" customHeight="1" x14ac:dyDescent="0.25">
      <c r="A2910" s="57">
        <v>45289</v>
      </c>
      <c r="B2910" s="36" t="s">
        <v>6107</v>
      </c>
      <c r="C2910" s="28" t="s">
        <v>3450</v>
      </c>
      <c r="D2910" s="28" t="s">
        <v>3451</v>
      </c>
      <c r="E2910" s="38">
        <v>24000</v>
      </c>
      <c r="F2910" s="67">
        <v>576562.5</v>
      </c>
      <c r="G2910" s="38">
        <v>121078.12</v>
      </c>
      <c r="H2910" s="56">
        <v>721640.62</v>
      </c>
      <c r="I2910" s="28" t="s">
        <v>19</v>
      </c>
      <c r="J2910" s="43"/>
    </row>
    <row r="2911" spans="1:10" customFormat="1" ht="15.75" hidden="1" customHeight="1" x14ac:dyDescent="0.25">
      <c r="A2911" s="57">
        <v>45289</v>
      </c>
      <c r="B2911" s="36" t="s">
        <v>6108</v>
      </c>
      <c r="C2911" s="28" t="s">
        <v>2870</v>
      </c>
      <c r="D2911" s="28" t="s">
        <v>2871</v>
      </c>
      <c r="E2911" s="38">
        <v>16500</v>
      </c>
      <c r="F2911" s="67">
        <v>128125</v>
      </c>
      <c r="G2911" s="38">
        <v>26906.25</v>
      </c>
      <c r="H2911" s="56">
        <v>171531.25</v>
      </c>
      <c r="I2911" s="28" t="s">
        <v>19</v>
      </c>
      <c r="J2911" s="43"/>
    </row>
    <row r="2912" spans="1:10" customFormat="1" ht="15.75" hidden="1" customHeight="1" x14ac:dyDescent="0.25">
      <c r="A2912" s="57">
        <v>45289</v>
      </c>
      <c r="B2912" s="36" t="s">
        <v>6109</v>
      </c>
      <c r="C2912" s="28" t="s">
        <v>2972</v>
      </c>
      <c r="D2912" s="28" t="s">
        <v>2973</v>
      </c>
      <c r="E2912" s="38">
        <v>30500</v>
      </c>
      <c r="F2912" s="67">
        <v>414187.5</v>
      </c>
      <c r="G2912" s="38">
        <v>86979.37</v>
      </c>
      <c r="H2912" s="56">
        <v>531666.87</v>
      </c>
      <c r="I2912" s="28" t="s">
        <v>19</v>
      </c>
      <c r="J2912" s="43"/>
    </row>
    <row r="2913" spans="1:10" customFormat="1" ht="15.75" hidden="1" customHeight="1" x14ac:dyDescent="0.25">
      <c r="A2913" s="57">
        <v>45289</v>
      </c>
      <c r="B2913" s="36" t="s">
        <v>6110</v>
      </c>
      <c r="C2913" s="28" t="s">
        <v>5611</v>
      </c>
      <c r="D2913" s="28" t="s">
        <v>5612</v>
      </c>
      <c r="E2913" s="38">
        <v>20500</v>
      </c>
      <c r="F2913" s="67">
        <v>131250</v>
      </c>
      <c r="G2913" s="38">
        <v>27562.5</v>
      </c>
      <c r="H2913" s="56">
        <v>179312.5</v>
      </c>
      <c r="I2913" s="28" t="s">
        <v>19</v>
      </c>
      <c r="J2913" s="43"/>
    </row>
    <row r="2914" spans="1:10" customFormat="1" ht="15.75" hidden="1" customHeight="1" x14ac:dyDescent="0.25">
      <c r="A2914" s="57">
        <v>45289</v>
      </c>
      <c r="B2914" s="36" t="s">
        <v>6111</v>
      </c>
      <c r="C2914" s="28" t="s">
        <v>2921</v>
      </c>
      <c r="D2914" s="28" t="s">
        <v>2922</v>
      </c>
      <c r="E2914" s="38">
        <v>26500</v>
      </c>
      <c r="F2914" s="67">
        <v>106000</v>
      </c>
      <c r="G2914" s="38">
        <v>22260</v>
      </c>
      <c r="H2914" s="56">
        <v>154760</v>
      </c>
      <c r="I2914" s="28" t="s">
        <v>19</v>
      </c>
      <c r="J2914" s="43"/>
    </row>
    <row r="2915" spans="1:10" customFormat="1" ht="15.75" hidden="1" customHeight="1" x14ac:dyDescent="0.25">
      <c r="A2915" s="57">
        <v>45289</v>
      </c>
      <c r="B2915" s="36" t="s">
        <v>6112</v>
      </c>
      <c r="C2915" s="28" t="s">
        <v>2921</v>
      </c>
      <c r="D2915" s="28" t="s">
        <v>2922</v>
      </c>
      <c r="E2915" s="38">
        <v>75000</v>
      </c>
      <c r="F2915" s="67">
        <v>424000</v>
      </c>
      <c r="G2915" s="38">
        <v>89040</v>
      </c>
      <c r="H2915" s="56">
        <v>588040</v>
      </c>
      <c r="I2915" s="28" t="s">
        <v>19</v>
      </c>
      <c r="J2915" s="43"/>
    </row>
    <row r="2916" spans="1:10" customFormat="1" ht="15.75" hidden="1" customHeight="1" x14ac:dyDescent="0.25">
      <c r="A2916" s="57">
        <v>45289</v>
      </c>
      <c r="B2916" s="36" t="s">
        <v>6113</v>
      </c>
      <c r="C2916" s="28" t="s">
        <v>2851</v>
      </c>
      <c r="D2916" s="28" t="s">
        <v>2852</v>
      </c>
      <c r="E2916" s="38">
        <v>53000</v>
      </c>
      <c r="F2916" s="67">
        <v>318000</v>
      </c>
      <c r="G2916" s="38">
        <v>66780</v>
      </c>
      <c r="H2916" s="56">
        <v>437780</v>
      </c>
      <c r="I2916" s="28" t="s">
        <v>19</v>
      </c>
      <c r="J2916" s="43"/>
    </row>
    <row r="2917" spans="1:10" customFormat="1" ht="15.75" hidden="1" customHeight="1" x14ac:dyDescent="0.25">
      <c r="A2917" s="57">
        <v>45289</v>
      </c>
      <c r="B2917" s="36" t="s">
        <v>6114</v>
      </c>
      <c r="C2917" s="28" t="s">
        <v>4827</v>
      </c>
      <c r="D2917" s="28" t="s">
        <v>4828</v>
      </c>
      <c r="E2917" s="38">
        <v>26500</v>
      </c>
      <c r="F2917" s="67">
        <v>106000</v>
      </c>
      <c r="G2917" s="38">
        <v>22260</v>
      </c>
      <c r="H2917" s="56">
        <v>154760</v>
      </c>
      <c r="I2917" s="28" t="s">
        <v>19</v>
      </c>
      <c r="J2917" s="43"/>
    </row>
    <row r="2918" spans="1:10" customFormat="1" ht="15.75" hidden="1" customHeight="1" x14ac:dyDescent="0.25">
      <c r="A2918" s="57">
        <v>45289</v>
      </c>
      <c r="B2918" s="36" t="s">
        <v>6115</v>
      </c>
      <c r="C2918" s="28" t="s">
        <v>4827</v>
      </c>
      <c r="D2918" s="28" t="s">
        <v>4828</v>
      </c>
      <c r="E2918" s="38">
        <v>26500</v>
      </c>
      <c r="F2918" s="67">
        <v>106000</v>
      </c>
      <c r="G2918" s="38">
        <v>22260</v>
      </c>
      <c r="H2918" s="56">
        <v>154760</v>
      </c>
      <c r="I2918" s="28" t="s">
        <v>19</v>
      </c>
      <c r="J2918" s="43"/>
    </row>
    <row r="2919" spans="1:10" customFormat="1" ht="15.75" hidden="1" customHeight="1" x14ac:dyDescent="0.25">
      <c r="A2919" s="57">
        <v>45289</v>
      </c>
      <c r="B2919" s="36" t="s">
        <v>6116</v>
      </c>
      <c r="C2919" s="28" t="s">
        <v>3007</v>
      </c>
      <c r="D2919" s="28" t="s">
        <v>3008</v>
      </c>
      <c r="E2919" s="38">
        <v>26500</v>
      </c>
      <c r="F2919" s="67">
        <v>106000</v>
      </c>
      <c r="G2919" s="38">
        <v>22260</v>
      </c>
      <c r="H2919" s="56">
        <v>154760</v>
      </c>
      <c r="I2919" s="28" t="s">
        <v>19</v>
      </c>
      <c r="J2919" s="43"/>
    </row>
    <row r="2920" spans="1:10" customFormat="1" ht="15.75" hidden="1" customHeight="1" x14ac:dyDescent="0.25">
      <c r="A2920" s="57">
        <v>45289</v>
      </c>
      <c r="B2920" s="36" t="s">
        <v>6117</v>
      </c>
      <c r="C2920" s="28" t="s">
        <v>3014</v>
      </c>
      <c r="D2920" s="28" t="s">
        <v>3015</v>
      </c>
      <c r="E2920" s="38">
        <v>26500</v>
      </c>
      <c r="F2920" s="67">
        <v>168750</v>
      </c>
      <c r="G2920" s="38">
        <v>35437.5</v>
      </c>
      <c r="H2920" s="56">
        <v>230687.5</v>
      </c>
      <c r="I2920" s="28" t="s">
        <v>19</v>
      </c>
      <c r="J2920" s="43"/>
    </row>
    <row r="2921" spans="1:10" customFormat="1" ht="15.75" hidden="1" customHeight="1" x14ac:dyDescent="0.25">
      <c r="A2921" s="57">
        <v>45289</v>
      </c>
      <c r="B2921" s="36" t="s">
        <v>6118</v>
      </c>
      <c r="C2921" s="28" t="s">
        <v>2870</v>
      </c>
      <c r="D2921" s="28" t="s">
        <v>2871</v>
      </c>
      <c r="E2921" s="38">
        <v>26500</v>
      </c>
      <c r="F2921" s="67">
        <v>84375</v>
      </c>
      <c r="G2921" s="38">
        <v>17718.75</v>
      </c>
      <c r="H2921" s="56">
        <v>128593.75</v>
      </c>
      <c r="I2921" s="28" t="s">
        <v>19</v>
      </c>
      <c r="J2921" s="43"/>
    </row>
    <row r="2922" spans="1:10" customFormat="1" ht="15.75" hidden="1" customHeight="1" x14ac:dyDescent="0.25">
      <c r="A2922" s="57">
        <v>45289</v>
      </c>
      <c r="B2922" s="36" t="s">
        <v>6119</v>
      </c>
      <c r="C2922" s="28" t="s">
        <v>2856</v>
      </c>
      <c r="D2922" s="28" t="s">
        <v>2857</v>
      </c>
      <c r="E2922" s="38">
        <v>53000</v>
      </c>
      <c r="F2922" s="67">
        <v>212000</v>
      </c>
      <c r="G2922" s="38">
        <v>44520</v>
      </c>
      <c r="H2922" s="56">
        <v>309520</v>
      </c>
      <c r="I2922" s="28" t="s">
        <v>19</v>
      </c>
      <c r="J2922" s="43"/>
    </row>
    <row r="2923" spans="1:10" customFormat="1" ht="15.75" hidden="1" customHeight="1" x14ac:dyDescent="0.25">
      <c r="A2923" s="57">
        <v>45289</v>
      </c>
      <c r="B2923" s="36" t="s">
        <v>6120</v>
      </c>
      <c r="C2923" s="28" t="s">
        <v>3176</v>
      </c>
      <c r="D2923" s="28" t="s">
        <v>3177</v>
      </c>
      <c r="E2923" s="38">
        <v>26500</v>
      </c>
      <c r="F2923" s="67">
        <v>84375</v>
      </c>
      <c r="G2923" s="38">
        <v>17718.75</v>
      </c>
      <c r="H2923" s="56">
        <v>128593.75</v>
      </c>
      <c r="I2923" s="28" t="s">
        <v>19</v>
      </c>
      <c r="J2923" s="43"/>
    </row>
    <row r="2924" spans="1:10" customFormat="1" ht="15.75" hidden="1" customHeight="1" x14ac:dyDescent="0.25">
      <c r="A2924" s="57">
        <v>45289</v>
      </c>
      <c r="B2924" s="36" t="s">
        <v>6121</v>
      </c>
      <c r="C2924" s="28" t="s">
        <v>3007</v>
      </c>
      <c r="D2924" s="28" t="s">
        <v>3008</v>
      </c>
      <c r="E2924" s="38">
        <v>25000</v>
      </c>
      <c r="F2924" s="67">
        <v>422937.5</v>
      </c>
      <c r="G2924" s="38">
        <v>88816.88</v>
      </c>
      <c r="H2924" s="56">
        <v>536754.38</v>
      </c>
      <c r="I2924" s="28" t="s">
        <v>19</v>
      </c>
      <c r="J2924" s="43"/>
    </row>
    <row r="2925" spans="1:10" customFormat="1" ht="15.75" hidden="1" customHeight="1" x14ac:dyDescent="0.25">
      <c r="A2925" s="57">
        <v>45289</v>
      </c>
      <c r="B2925" s="36" t="s">
        <v>6122</v>
      </c>
      <c r="C2925" s="28" t="s">
        <v>2945</v>
      </c>
      <c r="D2925" s="28" t="s">
        <v>2946</v>
      </c>
      <c r="E2925" s="38">
        <v>9120</v>
      </c>
      <c r="F2925" s="67">
        <v>361876</v>
      </c>
      <c r="G2925" s="38">
        <v>75993.960000000006</v>
      </c>
      <c r="H2925" s="56">
        <v>446989.96</v>
      </c>
      <c r="I2925" s="28" t="s">
        <v>19</v>
      </c>
      <c r="J2925" s="43"/>
    </row>
    <row r="2926" spans="1:10" customFormat="1" ht="15.75" hidden="1" customHeight="1" x14ac:dyDescent="0.25">
      <c r="A2926" s="57">
        <v>45289</v>
      </c>
      <c r="B2926" s="36" t="s">
        <v>6123</v>
      </c>
      <c r="C2926" s="28" t="s">
        <v>2903</v>
      </c>
      <c r="D2926" s="28" t="s">
        <v>2904</v>
      </c>
      <c r="E2926" s="38">
        <v>26500</v>
      </c>
      <c r="F2926" s="67">
        <v>218000</v>
      </c>
      <c r="G2926" s="38">
        <v>45780</v>
      </c>
      <c r="H2926" s="56">
        <v>290280</v>
      </c>
      <c r="I2926" s="28" t="s">
        <v>19</v>
      </c>
      <c r="J2926" s="43"/>
    </row>
    <row r="2927" spans="1:10" customFormat="1" ht="15.75" hidden="1" customHeight="1" x14ac:dyDescent="0.25">
      <c r="A2927" s="57">
        <v>45289</v>
      </c>
      <c r="B2927" s="36" t="s">
        <v>6124</v>
      </c>
      <c r="C2927" s="28" t="s">
        <v>2867</v>
      </c>
      <c r="D2927" s="28" t="s">
        <v>2868</v>
      </c>
      <c r="E2927" s="38">
        <v>26500</v>
      </c>
      <c r="F2927" s="67">
        <v>106000</v>
      </c>
      <c r="G2927" s="38">
        <v>22260</v>
      </c>
      <c r="H2927" s="56">
        <v>154760</v>
      </c>
      <c r="I2927" s="28" t="s">
        <v>19</v>
      </c>
      <c r="J2927" s="43"/>
    </row>
    <row r="2928" spans="1:10" customFormat="1" ht="15.75" hidden="1" customHeight="1" x14ac:dyDescent="0.25">
      <c r="A2928" s="57">
        <v>45289</v>
      </c>
      <c r="B2928" s="36" t="s">
        <v>6125</v>
      </c>
      <c r="C2928" s="28" t="s">
        <v>2912</v>
      </c>
      <c r="D2928" s="28" t="s">
        <v>2913</v>
      </c>
      <c r="E2928" s="38">
        <v>8500</v>
      </c>
      <c r="F2928" s="67">
        <v>148438</v>
      </c>
      <c r="G2928" s="38">
        <v>31171.98</v>
      </c>
      <c r="H2928" s="56">
        <v>188109.98</v>
      </c>
      <c r="I2928" s="28" t="s">
        <v>19</v>
      </c>
      <c r="J2928" s="43"/>
    </row>
    <row r="2929" spans="1:10" customFormat="1" ht="15.75" hidden="1" customHeight="1" x14ac:dyDescent="0.25">
      <c r="A2929" s="57">
        <v>45289</v>
      </c>
      <c r="B2929" s="36" t="s">
        <v>6126</v>
      </c>
      <c r="C2929" s="28" t="s">
        <v>2867</v>
      </c>
      <c r="D2929" s="28" t="s">
        <v>2868</v>
      </c>
      <c r="E2929" s="38">
        <v>6200</v>
      </c>
      <c r="F2929" s="67">
        <v>530000</v>
      </c>
      <c r="G2929" s="38">
        <v>111300</v>
      </c>
      <c r="H2929" s="56">
        <v>647500</v>
      </c>
      <c r="I2929" s="28" t="s">
        <v>19</v>
      </c>
      <c r="J2929" s="43"/>
    </row>
    <row r="2930" spans="1:10" customFormat="1" ht="15.75" hidden="1" customHeight="1" x14ac:dyDescent="0.25">
      <c r="A2930" s="57">
        <v>45289</v>
      </c>
      <c r="B2930" s="36" t="s">
        <v>6127</v>
      </c>
      <c r="C2930" s="28" t="s">
        <v>3007</v>
      </c>
      <c r="D2930" s="28" t="s">
        <v>3008</v>
      </c>
      <c r="E2930" s="38">
        <v>12500</v>
      </c>
      <c r="F2930" s="67">
        <v>161000</v>
      </c>
      <c r="G2930" s="38">
        <v>33810</v>
      </c>
      <c r="H2930" s="56">
        <v>207310</v>
      </c>
      <c r="I2930" s="28" t="s">
        <v>19</v>
      </c>
      <c r="J2930" s="43"/>
    </row>
    <row r="2931" spans="1:10" customFormat="1" ht="15.75" hidden="1" customHeight="1" x14ac:dyDescent="0.25">
      <c r="A2931" s="57">
        <v>45289</v>
      </c>
      <c r="B2931" s="36" t="s">
        <v>6128</v>
      </c>
      <c r="C2931" s="28" t="s">
        <v>3033</v>
      </c>
      <c r="D2931" s="28" t="s">
        <v>3034</v>
      </c>
      <c r="E2931" s="38">
        <v>3700</v>
      </c>
      <c r="F2931" s="67">
        <v>65625</v>
      </c>
      <c r="G2931" s="38">
        <v>13781.25</v>
      </c>
      <c r="H2931" s="56">
        <v>83106.25</v>
      </c>
      <c r="I2931" s="28" t="s">
        <v>19</v>
      </c>
      <c r="J2931" s="43"/>
    </row>
    <row r="2932" spans="1:10" customFormat="1" ht="15.75" hidden="1" customHeight="1" x14ac:dyDescent="0.25">
      <c r="A2932" s="57">
        <v>45289</v>
      </c>
      <c r="B2932" s="36" t="s">
        <v>6129</v>
      </c>
      <c r="C2932" s="28" t="s">
        <v>3007</v>
      </c>
      <c r="D2932" s="28" t="s">
        <v>3008</v>
      </c>
      <c r="E2932" s="38">
        <v>0</v>
      </c>
      <c r="F2932" s="67">
        <v>36000</v>
      </c>
      <c r="G2932" s="38">
        <v>7560</v>
      </c>
      <c r="H2932" s="56">
        <v>43560</v>
      </c>
      <c r="I2932" s="28" t="s">
        <v>19</v>
      </c>
      <c r="J2932" s="43"/>
    </row>
    <row r="2933" spans="1:10" customFormat="1" ht="15.75" hidden="1" customHeight="1" x14ac:dyDescent="0.25">
      <c r="A2933" s="57">
        <v>45289</v>
      </c>
      <c r="B2933" s="36" t="s">
        <v>6130</v>
      </c>
      <c r="C2933" s="28" t="s">
        <v>2892</v>
      </c>
      <c r="D2933" s="28" t="s">
        <v>2893</v>
      </c>
      <c r="E2933" s="38">
        <v>3800</v>
      </c>
      <c r="F2933" s="67">
        <v>81250</v>
      </c>
      <c r="G2933" s="38">
        <v>17062.5</v>
      </c>
      <c r="H2933" s="56">
        <v>102112.5</v>
      </c>
      <c r="I2933" s="28" t="s">
        <v>19</v>
      </c>
      <c r="J2933" s="43"/>
    </row>
    <row r="2934" spans="1:10" customFormat="1" ht="15.75" hidden="1" customHeight="1" x14ac:dyDescent="0.25">
      <c r="A2934" s="57">
        <v>45289</v>
      </c>
      <c r="B2934" s="36" t="s">
        <v>6131</v>
      </c>
      <c r="C2934" s="28" t="s">
        <v>3165</v>
      </c>
      <c r="D2934" s="28" t="s">
        <v>3166</v>
      </c>
      <c r="E2934" s="38">
        <v>26000</v>
      </c>
      <c r="F2934" s="67">
        <v>256250</v>
      </c>
      <c r="G2934" s="38">
        <v>53812.5</v>
      </c>
      <c r="H2934" s="56">
        <v>336062.5</v>
      </c>
      <c r="I2934" s="28" t="s">
        <v>19</v>
      </c>
      <c r="J2934" s="43"/>
    </row>
    <row r="2935" spans="1:10" customFormat="1" ht="15.75" hidden="1" customHeight="1" x14ac:dyDescent="0.25">
      <c r="A2935" s="57">
        <v>45289</v>
      </c>
      <c r="B2935" s="36" t="s">
        <v>6132</v>
      </c>
      <c r="C2935" s="28" t="s">
        <v>2903</v>
      </c>
      <c r="D2935" s="28" t="s">
        <v>2904</v>
      </c>
      <c r="E2935" s="38">
        <v>32000</v>
      </c>
      <c r="F2935" s="67">
        <v>168750</v>
      </c>
      <c r="G2935" s="38">
        <v>35437.5</v>
      </c>
      <c r="H2935" s="56">
        <v>236187.5</v>
      </c>
      <c r="I2935" s="28" t="s">
        <v>19</v>
      </c>
      <c r="J2935" s="43"/>
    </row>
    <row r="2936" spans="1:10" customFormat="1" ht="15.75" hidden="1" customHeight="1" x14ac:dyDescent="0.25">
      <c r="A2936" s="57">
        <v>45289</v>
      </c>
      <c r="B2936" s="36" t="s">
        <v>6133</v>
      </c>
      <c r="C2936" s="28" t="s">
        <v>2942</v>
      </c>
      <c r="D2936" s="28" t="s">
        <v>2943</v>
      </c>
      <c r="E2936" s="38">
        <v>11500</v>
      </c>
      <c r="F2936" s="67">
        <v>96875</v>
      </c>
      <c r="G2936" s="38">
        <v>20343.75</v>
      </c>
      <c r="H2936" s="56">
        <v>128718.75</v>
      </c>
      <c r="I2936" s="28" t="s">
        <v>19</v>
      </c>
      <c r="J2936" s="43"/>
    </row>
    <row r="2937" spans="1:10" customFormat="1" ht="15.75" hidden="1" customHeight="1" x14ac:dyDescent="0.25">
      <c r="A2937" s="57">
        <v>45289</v>
      </c>
      <c r="B2937" s="36" t="s">
        <v>6134</v>
      </c>
      <c r="C2937" s="28" t="s">
        <v>2945</v>
      </c>
      <c r="D2937" s="28" t="s">
        <v>2946</v>
      </c>
      <c r="E2937" s="38">
        <v>0</v>
      </c>
      <c r="F2937" s="67">
        <v>65625</v>
      </c>
      <c r="G2937" s="38">
        <v>13781.25</v>
      </c>
      <c r="H2937" s="56">
        <v>79406.25</v>
      </c>
      <c r="I2937" s="28" t="s">
        <v>19</v>
      </c>
      <c r="J2937" s="43"/>
    </row>
    <row r="2938" spans="1:10" customFormat="1" ht="15.75" hidden="1" customHeight="1" x14ac:dyDescent="0.25">
      <c r="A2938" s="57">
        <v>45289</v>
      </c>
      <c r="B2938" s="36" t="s">
        <v>6135</v>
      </c>
      <c r="C2938" s="28" t="s">
        <v>2892</v>
      </c>
      <c r="D2938" s="28" t="s">
        <v>2893</v>
      </c>
      <c r="E2938" s="38">
        <v>0</v>
      </c>
      <c r="F2938" s="67">
        <v>65625</v>
      </c>
      <c r="G2938" s="38">
        <v>13781.25</v>
      </c>
      <c r="H2938" s="56">
        <v>79406.25</v>
      </c>
      <c r="I2938" s="28" t="s">
        <v>19</v>
      </c>
      <c r="J2938" s="43"/>
    </row>
    <row r="2939" spans="1:10" customFormat="1" ht="15.75" hidden="1" customHeight="1" x14ac:dyDescent="0.25">
      <c r="A2939" s="57">
        <v>45289</v>
      </c>
      <c r="B2939" s="36" t="s">
        <v>6136</v>
      </c>
      <c r="C2939" s="28" t="s">
        <v>2892</v>
      </c>
      <c r="D2939" s="28" t="s">
        <v>2893</v>
      </c>
      <c r="E2939" s="38">
        <v>2900</v>
      </c>
      <c r="F2939" s="67">
        <v>101250</v>
      </c>
      <c r="G2939" s="38">
        <v>21262.5</v>
      </c>
      <c r="H2939" s="56">
        <v>125412.5</v>
      </c>
      <c r="I2939" s="28" t="s">
        <v>19</v>
      </c>
      <c r="J2939" s="43"/>
    </row>
    <row r="2940" spans="1:10" customFormat="1" ht="15.75" hidden="1" customHeight="1" x14ac:dyDescent="0.25">
      <c r="A2940" s="57">
        <v>45289</v>
      </c>
      <c r="B2940" s="36" t="s">
        <v>6137</v>
      </c>
      <c r="C2940" s="28" t="s">
        <v>2856</v>
      </c>
      <c r="D2940" s="28" t="s">
        <v>2857</v>
      </c>
      <c r="E2940" s="38">
        <v>0</v>
      </c>
      <c r="F2940" s="67">
        <v>65625</v>
      </c>
      <c r="G2940" s="38">
        <v>13781.25</v>
      </c>
      <c r="H2940" s="56">
        <v>79406.25</v>
      </c>
      <c r="I2940" s="28" t="s">
        <v>19</v>
      </c>
      <c r="J2940" s="43"/>
    </row>
    <row r="2941" spans="1:10" customFormat="1" ht="15.75" hidden="1" customHeight="1" x14ac:dyDescent="0.25">
      <c r="A2941" s="57">
        <v>45289</v>
      </c>
      <c r="B2941" s="36" t="s">
        <v>6138</v>
      </c>
      <c r="C2941" s="28" t="s">
        <v>2942</v>
      </c>
      <c r="D2941" s="28" t="s">
        <v>2943</v>
      </c>
      <c r="E2941" s="38">
        <v>0</v>
      </c>
      <c r="F2941" s="67">
        <v>65625</v>
      </c>
      <c r="G2941" s="38">
        <v>13781.25</v>
      </c>
      <c r="H2941" s="56">
        <v>79406.25</v>
      </c>
      <c r="I2941" s="28" t="s">
        <v>19</v>
      </c>
      <c r="J2941" s="43"/>
    </row>
    <row r="2942" spans="1:10" customFormat="1" ht="15.75" hidden="1" customHeight="1" x14ac:dyDescent="0.25">
      <c r="A2942" s="57">
        <v>45289</v>
      </c>
      <c r="B2942" s="36" t="s">
        <v>6139</v>
      </c>
      <c r="C2942" s="28" t="s">
        <v>2924</v>
      </c>
      <c r="D2942" s="28" t="s">
        <v>2925</v>
      </c>
      <c r="E2942" s="38">
        <v>0</v>
      </c>
      <c r="F2942" s="67">
        <v>65625</v>
      </c>
      <c r="G2942" s="38">
        <v>13781.25</v>
      </c>
      <c r="H2942" s="56">
        <v>79406.25</v>
      </c>
      <c r="I2942" s="28" t="s">
        <v>19</v>
      </c>
      <c r="J2942" s="43"/>
    </row>
    <row r="2943" spans="1:10" customFormat="1" ht="15.75" hidden="1" customHeight="1" x14ac:dyDescent="0.25">
      <c r="A2943" s="57">
        <v>45289</v>
      </c>
      <c r="B2943" s="36" t="s">
        <v>6140</v>
      </c>
      <c r="C2943" s="28" t="s">
        <v>3854</v>
      </c>
      <c r="D2943" s="28" t="s">
        <v>3855</v>
      </c>
      <c r="E2943" s="38">
        <v>12000</v>
      </c>
      <c r="F2943" s="67">
        <v>184000</v>
      </c>
      <c r="G2943" s="38">
        <v>38640</v>
      </c>
      <c r="H2943" s="56">
        <v>234640</v>
      </c>
      <c r="I2943" s="28" t="s">
        <v>19</v>
      </c>
      <c r="J2943" s="43"/>
    </row>
    <row r="2944" spans="1:10" customFormat="1" ht="15.75" hidden="1" customHeight="1" x14ac:dyDescent="0.25">
      <c r="A2944" s="57">
        <v>45289</v>
      </c>
      <c r="B2944" s="59" t="s">
        <v>6141</v>
      </c>
      <c r="C2944" s="59" t="s">
        <v>3132</v>
      </c>
      <c r="D2944" s="59" t="s">
        <v>3133</v>
      </c>
      <c r="E2944" s="60">
        <v>0</v>
      </c>
      <c r="F2944" s="115">
        <v>620610</v>
      </c>
      <c r="G2944" s="60">
        <v>130328.1</v>
      </c>
      <c r="H2944" s="61">
        <v>750938.1</v>
      </c>
      <c r="I2944" s="59" t="s">
        <v>103</v>
      </c>
      <c r="J2944" s="43"/>
    </row>
    <row r="2945" spans="1:10" ht="15.75" hidden="1" customHeight="1" x14ac:dyDescent="0.25">
      <c r="A2945" s="127">
        <v>45289</v>
      </c>
      <c r="B2945" s="121" t="s">
        <v>6142</v>
      </c>
      <c r="C2945" s="121" t="s">
        <v>2895</v>
      </c>
      <c r="D2945" s="121" t="s">
        <v>2896</v>
      </c>
      <c r="E2945" s="173">
        <v>0</v>
      </c>
      <c r="F2945" s="174">
        <v>627695</v>
      </c>
      <c r="G2945" s="173">
        <v>131815.95000000001</v>
      </c>
      <c r="H2945" s="173">
        <v>759510.95</v>
      </c>
      <c r="I2945" s="121" t="s">
        <v>103</v>
      </c>
      <c r="J2945" s="43"/>
    </row>
    <row r="2946" spans="1:10" customFormat="1" ht="15.75" hidden="1" customHeight="1" x14ac:dyDescent="0.25">
      <c r="A2946" s="170">
        <v>45289</v>
      </c>
      <c r="B2946" s="158" t="s">
        <v>6143</v>
      </c>
      <c r="C2946" s="55" t="s">
        <v>3241</v>
      </c>
      <c r="D2946" s="55" t="s">
        <v>3242</v>
      </c>
      <c r="E2946" s="159">
        <v>0</v>
      </c>
      <c r="F2946" s="171">
        <v>419195</v>
      </c>
      <c r="G2946" s="159">
        <v>88030.95</v>
      </c>
      <c r="H2946" s="161">
        <v>507225.95</v>
      </c>
      <c r="I2946" s="55" t="s">
        <v>103</v>
      </c>
      <c r="J2946" s="43"/>
    </row>
    <row r="2947" spans="1:10" customFormat="1" ht="15.75" hidden="1" customHeight="1" x14ac:dyDescent="0.25">
      <c r="A2947" s="57">
        <v>45289</v>
      </c>
      <c r="B2947" s="36" t="s">
        <v>6144</v>
      </c>
      <c r="C2947" s="28" t="s">
        <v>4414</v>
      </c>
      <c r="D2947" s="28" t="s">
        <v>4415</v>
      </c>
      <c r="E2947" s="38">
        <v>0</v>
      </c>
      <c r="F2947" s="67">
        <v>358007</v>
      </c>
      <c r="G2947" s="38">
        <v>75181.47</v>
      </c>
      <c r="H2947" s="56">
        <v>433188.47</v>
      </c>
      <c r="I2947" s="28" t="s">
        <v>103</v>
      </c>
      <c r="J2947" s="43"/>
    </row>
    <row r="2948" spans="1:10" customFormat="1" ht="15.75" hidden="1" customHeight="1" x14ac:dyDescent="0.25">
      <c r="A2948" s="57">
        <v>45289</v>
      </c>
      <c r="B2948" s="36" t="s">
        <v>6145</v>
      </c>
      <c r="C2948" s="28" t="s">
        <v>2856</v>
      </c>
      <c r="D2948" s="28" t="s">
        <v>2857</v>
      </c>
      <c r="E2948" s="38">
        <v>0</v>
      </c>
      <c r="F2948" s="67">
        <v>10676070.779999999</v>
      </c>
      <c r="G2948" s="38">
        <v>2241974.87</v>
      </c>
      <c r="H2948" s="56">
        <v>12918045.65</v>
      </c>
      <c r="I2948" s="28" t="s">
        <v>103</v>
      </c>
      <c r="J2948" s="43"/>
    </row>
    <row r="2949" spans="1:10" customFormat="1" ht="15.75" hidden="1" customHeight="1" x14ac:dyDescent="0.25">
      <c r="A2949" s="57">
        <v>45289</v>
      </c>
      <c r="B2949" s="36" t="s">
        <v>6146</v>
      </c>
      <c r="C2949" s="28" t="s">
        <v>2957</v>
      </c>
      <c r="D2949" s="28" t="s">
        <v>2958</v>
      </c>
      <c r="E2949" s="38">
        <v>0</v>
      </c>
      <c r="F2949" s="67">
        <v>305177.33</v>
      </c>
      <c r="G2949" s="38">
        <v>64087.24</v>
      </c>
      <c r="H2949" s="56">
        <v>369264.57</v>
      </c>
      <c r="I2949" s="28" t="s">
        <v>103</v>
      </c>
      <c r="J2949" s="43"/>
    </row>
    <row r="2950" spans="1:10" customFormat="1" ht="15.75" hidden="1" customHeight="1" x14ac:dyDescent="0.25">
      <c r="A2950" s="57">
        <v>45289</v>
      </c>
      <c r="B2950" s="36" t="s">
        <v>6147</v>
      </c>
      <c r="C2950" s="28" t="s">
        <v>3290</v>
      </c>
      <c r="D2950" s="28" t="s">
        <v>3291</v>
      </c>
      <c r="E2950" s="38">
        <v>0</v>
      </c>
      <c r="F2950" s="67">
        <v>222690</v>
      </c>
      <c r="G2950" s="38">
        <v>46764.9</v>
      </c>
      <c r="H2950" s="56">
        <v>269454.90000000002</v>
      </c>
      <c r="I2950" s="28" t="s">
        <v>19</v>
      </c>
      <c r="J2950" s="43"/>
    </row>
    <row r="2951" spans="1:10" customFormat="1" ht="15.75" hidden="1" customHeight="1" x14ac:dyDescent="0.25">
      <c r="A2951" s="57">
        <v>45289</v>
      </c>
      <c r="B2951" s="36" t="s">
        <v>6148</v>
      </c>
      <c r="C2951" s="28" t="s">
        <v>3722</v>
      </c>
      <c r="D2951" s="28" t="s">
        <v>3723</v>
      </c>
      <c r="E2951" s="38">
        <v>0</v>
      </c>
      <c r="F2951" s="67">
        <v>130240</v>
      </c>
      <c r="G2951" s="38">
        <v>27350.400000000001</v>
      </c>
      <c r="H2951" s="56">
        <v>157590.39999999999</v>
      </c>
      <c r="I2951" s="28" t="s">
        <v>103</v>
      </c>
      <c r="J2951" s="43"/>
    </row>
    <row r="2952" spans="1:10" customFormat="1" ht="15.75" hidden="1" customHeight="1" x14ac:dyDescent="0.25">
      <c r="A2952" s="57">
        <v>45289</v>
      </c>
      <c r="B2952" s="36" t="s">
        <v>6149</v>
      </c>
      <c r="C2952" s="28" t="s">
        <v>2892</v>
      </c>
      <c r="D2952" s="28" t="s">
        <v>2893</v>
      </c>
      <c r="E2952" s="38">
        <v>0</v>
      </c>
      <c r="F2952" s="67">
        <v>211526</v>
      </c>
      <c r="G2952" s="38">
        <v>44420.46</v>
      </c>
      <c r="H2952" s="56">
        <v>255946.46</v>
      </c>
      <c r="I2952" s="28" t="s">
        <v>103</v>
      </c>
      <c r="J2952" s="43"/>
    </row>
    <row r="2953" spans="1:10" customFormat="1" ht="15.75" hidden="1" customHeight="1" x14ac:dyDescent="0.25">
      <c r="A2953" s="57">
        <v>45289</v>
      </c>
      <c r="B2953" s="36" t="s">
        <v>6150</v>
      </c>
      <c r="C2953" s="28" t="s">
        <v>3346</v>
      </c>
      <c r="D2953" s="28" t="s">
        <v>3347</v>
      </c>
      <c r="E2953" s="38">
        <v>0</v>
      </c>
      <c r="F2953" s="67">
        <v>542100</v>
      </c>
      <c r="G2953" s="38">
        <v>113841</v>
      </c>
      <c r="H2953" s="56">
        <v>655941</v>
      </c>
      <c r="I2953" s="28" t="s">
        <v>103</v>
      </c>
      <c r="J2953" s="43"/>
    </row>
    <row r="2954" spans="1:10" customFormat="1" ht="15.75" hidden="1" customHeight="1" x14ac:dyDescent="0.25">
      <c r="A2954" s="57">
        <v>45289</v>
      </c>
      <c r="B2954" s="36" t="s">
        <v>6151</v>
      </c>
      <c r="C2954" s="28" t="s">
        <v>3966</v>
      </c>
      <c r="D2954" s="28" t="s">
        <v>3967</v>
      </c>
      <c r="E2954" s="38">
        <v>0</v>
      </c>
      <c r="F2954" s="67">
        <v>682722</v>
      </c>
      <c r="G2954" s="38">
        <v>143371.62</v>
      </c>
      <c r="H2954" s="56">
        <v>826093.62</v>
      </c>
      <c r="I2954" s="28" t="s">
        <v>103</v>
      </c>
      <c r="J2954" s="43"/>
    </row>
    <row r="2955" spans="1:10" customFormat="1" ht="15.75" hidden="1" customHeight="1" x14ac:dyDescent="0.25">
      <c r="A2955" s="57">
        <v>45289</v>
      </c>
      <c r="B2955" s="36" t="s">
        <v>6152</v>
      </c>
      <c r="C2955" s="28" t="s">
        <v>3140</v>
      </c>
      <c r="D2955" s="28" t="s">
        <v>3141</v>
      </c>
      <c r="E2955" s="38">
        <v>0</v>
      </c>
      <c r="F2955" s="67">
        <v>50700</v>
      </c>
      <c r="G2955" s="38">
        <v>10647</v>
      </c>
      <c r="H2955" s="56">
        <v>61347</v>
      </c>
      <c r="I2955" s="28" t="s">
        <v>103</v>
      </c>
      <c r="J2955" s="43"/>
    </row>
    <row r="2956" spans="1:10" customFormat="1" ht="15.75" hidden="1" customHeight="1" x14ac:dyDescent="0.25">
      <c r="A2956" s="57">
        <v>45289</v>
      </c>
      <c r="B2956" s="36" t="s">
        <v>6153</v>
      </c>
      <c r="C2956" s="28" t="s">
        <v>1140</v>
      </c>
      <c r="D2956" s="28" t="s">
        <v>1141</v>
      </c>
      <c r="E2956" s="38">
        <v>0</v>
      </c>
      <c r="F2956" s="67">
        <v>1122479.43</v>
      </c>
      <c r="G2956" s="38">
        <v>235720.68</v>
      </c>
      <c r="H2956" s="56">
        <v>1358200.11</v>
      </c>
      <c r="I2956" s="28" t="s">
        <v>103</v>
      </c>
      <c r="J2956" s="43"/>
    </row>
    <row r="2957" spans="1:10" customFormat="1" ht="15.75" hidden="1" customHeight="1" x14ac:dyDescent="0.25">
      <c r="A2957" s="57">
        <v>45289</v>
      </c>
      <c r="B2957" s="36" t="s">
        <v>6154</v>
      </c>
      <c r="C2957" s="28" t="s">
        <v>5973</v>
      </c>
      <c r="D2957" s="28" t="s">
        <v>5970</v>
      </c>
      <c r="E2957" s="38">
        <v>0</v>
      </c>
      <c r="F2957" s="67">
        <v>958261</v>
      </c>
      <c r="G2957" s="67">
        <v>201234.81</v>
      </c>
      <c r="H2957" s="110">
        <v>1159495.81</v>
      </c>
      <c r="I2957" s="28" t="s">
        <v>103</v>
      </c>
      <c r="J2957" s="43"/>
    </row>
    <row r="2958" spans="1:10" customFormat="1" ht="15.75" hidden="1" customHeight="1" x14ac:dyDescent="0.25">
      <c r="A2958" s="57">
        <v>45289</v>
      </c>
      <c r="B2958" s="36" t="s">
        <v>6155</v>
      </c>
      <c r="C2958" s="28" t="s">
        <v>3007</v>
      </c>
      <c r="D2958" s="28" t="s">
        <v>3008</v>
      </c>
      <c r="E2958" s="38">
        <v>0</v>
      </c>
      <c r="F2958" s="67">
        <v>236850</v>
      </c>
      <c r="G2958" s="38">
        <v>49738.5</v>
      </c>
      <c r="H2958" s="56">
        <v>286588.5</v>
      </c>
      <c r="I2958" s="28" t="s">
        <v>103</v>
      </c>
      <c r="J2958" s="43"/>
    </row>
    <row r="2959" spans="1:10" customFormat="1" ht="15.75" hidden="1" customHeight="1" x14ac:dyDescent="0.25">
      <c r="A2959" s="57">
        <v>45289</v>
      </c>
      <c r="B2959" s="36" t="s">
        <v>6156</v>
      </c>
      <c r="C2959" s="28" t="s">
        <v>3117</v>
      </c>
      <c r="D2959" s="28" t="s">
        <v>3118</v>
      </c>
      <c r="E2959" s="38">
        <v>0</v>
      </c>
      <c r="F2959" s="67">
        <v>142670</v>
      </c>
      <c r="G2959" s="38">
        <v>29960.7</v>
      </c>
      <c r="H2959" s="56">
        <v>172630.7</v>
      </c>
      <c r="I2959" s="28" t="s">
        <v>103</v>
      </c>
      <c r="J2959" s="43"/>
    </row>
    <row r="2960" spans="1:10" customFormat="1" ht="15.75" hidden="1" customHeight="1" x14ac:dyDescent="0.25">
      <c r="A2960" s="57">
        <v>45289</v>
      </c>
      <c r="B2960" s="36" t="s">
        <v>6157</v>
      </c>
      <c r="C2960" s="28" t="s">
        <v>3014</v>
      </c>
      <c r="D2960" s="28" t="s">
        <v>3015</v>
      </c>
      <c r="E2960" s="38">
        <v>7500</v>
      </c>
      <c r="F2960" s="67">
        <v>148438</v>
      </c>
      <c r="G2960" s="38">
        <v>31171.98</v>
      </c>
      <c r="H2960" s="56">
        <v>187109.98</v>
      </c>
      <c r="I2960" s="28" t="s">
        <v>19</v>
      </c>
      <c r="J2960" s="43"/>
    </row>
    <row r="2961" spans="1:10" customFormat="1" ht="15.75" hidden="1" customHeight="1" x14ac:dyDescent="0.25">
      <c r="A2961" s="57">
        <v>45291</v>
      </c>
      <c r="B2961" s="36" t="s">
        <v>6158</v>
      </c>
      <c r="C2961" s="28" t="s">
        <v>3165</v>
      </c>
      <c r="D2961" s="28" t="s">
        <v>3166</v>
      </c>
      <c r="E2961" s="38">
        <v>79500</v>
      </c>
      <c r="F2961" s="67">
        <v>477000</v>
      </c>
      <c r="G2961" s="38">
        <v>100170</v>
      </c>
      <c r="H2961" s="56">
        <v>656670</v>
      </c>
      <c r="I2961" s="28" t="s">
        <v>19</v>
      </c>
      <c r="J2961" s="43"/>
    </row>
    <row r="2962" spans="1:10" customFormat="1" ht="15.75" hidden="1" customHeight="1" x14ac:dyDescent="0.25">
      <c r="A2962" s="57">
        <v>45291</v>
      </c>
      <c r="B2962" s="36" t="s">
        <v>6159</v>
      </c>
      <c r="C2962" s="28" t="s">
        <v>2867</v>
      </c>
      <c r="D2962" s="28" t="s">
        <v>2868</v>
      </c>
      <c r="E2962" s="38">
        <v>26500</v>
      </c>
      <c r="F2962" s="67">
        <v>106000</v>
      </c>
      <c r="G2962" s="38">
        <v>22260</v>
      </c>
      <c r="H2962" s="56">
        <v>154760</v>
      </c>
      <c r="I2962" s="28" t="s">
        <v>19</v>
      </c>
      <c r="J2962" s="43"/>
    </row>
    <row r="2963" spans="1:10" customFormat="1" ht="15.75" hidden="1" customHeight="1" x14ac:dyDescent="0.25">
      <c r="A2963" s="57">
        <v>45291</v>
      </c>
      <c r="B2963" s="28" t="s">
        <v>6160</v>
      </c>
      <c r="C2963" s="28" t="s">
        <v>3160</v>
      </c>
      <c r="D2963" s="28" t="s">
        <v>3161</v>
      </c>
      <c r="E2963" s="38">
        <v>225719</v>
      </c>
      <c r="F2963" s="67">
        <v>3312000</v>
      </c>
      <c r="G2963" s="38">
        <v>695520</v>
      </c>
      <c r="H2963" s="56">
        <v>4233239</v>
      </c>
      <c r="I2963" s="28" t="s">
        <v>19</v>
      </c>
      <c r="J2963" s="43"/>
    </row>
    <row r="2964" spans="1:10" customFormat="1" ht="15.75" hidden="1" customHeight="1" x14ac:dyDescent="0.25">
      <c r="A2964" s="57">
        <v>45291</v>
      </c>
      <c r="B2964" s="36" t="s">
        <v>6161</v>
      </c>
      <c r="C2964" s="28" t="s">
        <v>5109</v>
      </c>
      <c r="D2964" s="28" t="s">
        <v>5110</v>
      </c>
      <c r="E2964" s="38">
        <v>12000</v>
      </c>
      <c r="F2964" s="67">
        <v>361876</v>
      </c>
      <c r="G2964" s="38">
        <v>75993.960000000006</v>
      </c>
      <c r="H2964" s="56">
        <v>449869.96</v>
      </c>
      <c r="I2964" s="28" t="s">
        <v>19</v>
      </c>
      <c r="J2964" s="43"/>
    </row>
    <row r="2965" spans="1:10" customFormat="1" ht="15.75" hidden="1" customHeight="1" x14ac:dyDescent="0.25">
      <c r="A2965" s="57">
        <v>45291</v>
      </c>
      <c r="B2965" s="36" t="s">
        <v>6162</v>
      </c>
      <c r="C2965" s="28" t="s">
        <v>5109</v>
      </c>
      <c r="D2965" s="28" t="s">
        <v>5110</v>
      </c>
      <c r="E2965" s="38">
        <v>12000</v>
      </c>
      <c r="F2965" s="67">
        <v>361876</v>
      </c>
      <c r="G2965" s="38">
        <v>75993.960000000006</v>
      </c>
      <c r="H2965" s="56">
        <v>449869.96</v>
      </c>
      <c r="I2965" s="28" t="s">
        <v>19</v>
      </c>
      <c r="J2965" s="43"/>
    </row>
    <row r="2966" spans="1:10" customFormat="1" ht="15.75" hidden="1" customHeight="1" x14ac:dyDescent="0.25">
      <c r="A2966" s="57">
        <v>45291</v>
      </c>
      <c r="B2966" s="36" t="s">
        <v>6163</v>
      </c>
      <c r="C2966" s="28" t="s">
        <v>2921</v>
      </c>
      <c r="D2966" s="28" t="s">
        <v>2922</v>
      </c>
      <c r="E2966" s="38">
        <v>4000</v>
      </c>
      <c r="F2966" s="67">
        <v>85000</v>
      </c>
      <c r="G2966" s="38">
        <v>17850</v>
      </c>
      <c r="H2966" s="56">
        <v>106850</v>
      </c>
      <c r="I2966" s="28" t="s">
        <v>19</v>
      </c>
      <c r="J2966" s="43"/>
    </row>
    <row r="2967" spans="1:10" customFormat="1" ht="15.75" hidden="1" customHeight="1" x14ac:dyDescent="0.25">
      <c r="A2967" s="57">
        <v>45272</v>
      </c>
      <c r="B2967" s="36" t="s">
        <v>6164</v>
      </c>
      <c r="C2967" s="28" t="s">
        <v>2851</v>
      </c>
      <c r="D2967" s="28" t="s">
        <v>2852</v>
      </c>
      <c r="E2967" s="38">
        <v>0</v>
      </c>
      <c r="F2967" s="67">
        <v>4752469.03</v>
      </c>
      <c r="G2967" s="38">
        <v>998018.5</v>
      </c>
      <c r="H2967" s="56">
        <v>5750487.5300000003</v>
      </c>
      <c r="I2967" s="28" t="s">
        <v>103</v>
      </c>
      <c r="J2967" s="43"/>
    </row>
    <row r="2968" spans="1:10" customFormat="1" ht="15.75" hidden="1" customHeight="1" x14ac:dyDescent="0.25">
      <c r="A2968" s="57">
        <v>45272</v>
      </c>
      <c r="B2968" s="36" t="s">
        <v>6165</v>
      </c>
      <c r="C2968" s="28" t="s">
        <v>2851</v>
      </c>
      <c r="D2968" s="28" t="s">
        <v>2852</v>
      </c>
      <c r="E2968" s="38">
        <v>28000</v>
      </c>
      <c r="F2968" s="67">
        <v>640625</v>
      </c>
      <c r="G2968" s="38">
        <v>134531.25</v>
      </c>
      <c r="H2968" s="56">
        <v>803156.25</v>
      </c>
      <c r="I2968" s="28" t="s">
        <v>19</v>
      </c>
      <c r="J2968" s="43"/>
    </row>
    <row r="2969" spans="1:10" customFormat="1" ht="15.75" hidden="1" customHeight="1" x14ac:dyDescent="0.25">
      <c r="A2969" s="57">
        <v>45279</v>
      </c>
      <c r="B2969" s="36" t="s">
        <v>6166</v>
      </c>
      <c r="C2969" s="28" t="s">
        <v>2912</v>
      </c>
      <c r="D2969" s="28" t="s">
        <v>2913</v>
      </c>
      <c r="E2969" s="38">
        <v>-20500</v>
      </c>
      <c r="F2969" s="67">
        <v>-192187.5</v>
      </c>
      <c r="G2969" s="38">
        <v>-40359.370000000003</v>
      </c>
      <c r="H2969" s="56">
        <v>-253046.87</v>
      </c>
      <c r="I2969" s="28" t="s">
        <v>19</v>
      </c>
      <c r="J2969" s="43"/>
    </row>
    <row r="2970" spans="1:10" customFormat="1" ht="15.75" hidden="1" customHeight="1" x14ac:dyDescent="0.25">
      <c r="A2970" s="57">
        <v>45289</v>
      </c>
      <c r="B2970" s="36" t="s">
        <v>6167</v>
      </c>
      <c r="C2970" s="28" t="s">
        <v>2924</v>
      </c>
      <c r="D2970" s="28" t="s">
        <v>2925</v>
      </c>
      <c r="E2970" s="38">
        <v>0</v>
      </c>
      <c r="F2970" s="67">
        <v>-65625</v>
      </c>
      <c r="G2970" s="38">
        <v>-13781.25</v>
      </c>
      <c r="H2970" s="56">
        <v>-79406.25</v>
      </c>
      <c r="I2970" s="28" t="s">
        <v>19</v>
      </c>
      <c r="J2970" s="43"/>
    </row>
    <row r="2971" spans="1:10" customFormat="1" ht="15.75" hidden="1" customHeight="1" x14ac:dyDescent="0.25">
      <c r="A2971" s="57">
        <v>45291</v>
      </c>
      <c r="B2971" s="36" t="s">
        <v>3981</v>
      </c>
      <c r="C2971" s="28" t="s">
        <v>4337</v>
      </c>
      <c r="D2971" s="28">
        <v>0</v>
      </c>
      <c r="E2971" s="38">
        <v>0</v>
      </c>
      <c r="F2971" s="67">
        <v>1017972</v>
      </c>
      <c r="G2971" s="38">
        <v>213774.12</v>
      </c>
      <c r="H2971" s="56">
        <v>1231746.1200000001</v>
      </c>
      <c r="I2971" s="28" t="s">
        <v>103</v>
      </c>
      <c r="J2971" s="43"/>
    </row>
    <row r="2972" spans="1:10" customFormat="1" ht="15.75" hidden="1" customHeight="1" x14ac:dyDescent="0.25">
      <c r="A2972" s="57">
        <v>45291</v>
      </c>
      <c r="B2972" s="36" t="s">
        <v>3981</v>
      </c>
      <c r="C2972" s="28" t="s">
        <v>2930</v>
      </c>
      <c r="D2972" s="28">
        <v>0</v>
      </c>
      <c r="E2972" s="38">
        <v>0</v>
      </c>
      <c r="F2972" s="67">
        <v>143675</v>
      </c>
      <c r="G2972" s="38">
        <v>30171.75</v>
      </c>
      <c r="H2972" s="56">
        <v>173846.75</v>
      </c>
      <c r="I2972" s="28" t="s">
        <v>103</v>
      </c>
      <c r="J2972" s="43"/>
    </row>
    <row r="2973" spans="1:10" customFormat="1" ht="15.75" hidden="1" customHeight="1" x14ac:dyDescent="0.25">
      <c r="A2973" s="57">
        <v>45299</v>
      </c>
      <c r="B2973" s="36" t="s">
        <v>6168</v>
      </c>
      <c r="C2973" s="28" t="s">
        <v>2851</v>
      </c>
      <c r="D2973" s="28" t="s">
        <v>2852</v>
      </c>
      <c r="E2973" s="38">
        <v>17000</v>
      </c>
      <c r="F2973" s="67">
        <v>296876</v>
      </c>
      <c r="G2973" s="38">
        <v>62343.96</v>
      </c>
      <c r="H2973" s="56">
        <v>376219.96</v>
      </c>
      <c r="I2973" s="28" t="s">
        <v>19</v>
      </c>
      <c r="J2973" s="43"/>
    </row>
    <row r="2974" spans="1:10" customFormat="1" ht="15.75" hidden="1" customHeight="1" x14ac:dyDescent="0.25">
      <c r="A2974" s="57">
        <v>45299</v>
      </c>
      <c r="B2974" s="36" t="s">
        <v>6169</v>
      </c>
      <c r="C2974" s="28" t="s">
        <v>2921</v>
      </c>
      <c r="D2974" s="28" t="s">
        <v>2922</v>
      </c>
      <c r="E2974" s="38">
        <v>0</v>
      </c>
      <c r="F2974" s="67">
        <v>46000</v>
      </c>
      <c r="G2974" s="38">
        <v>9660</v>
      </c>
      <c r="H2974" s="56">
        <v>55660</v>
      </c>
      <c r="I2974" s="28" t="s">
        <v>19</v>
      </c>
      <c r="J2974" s="43"/>
    </row>
    <row r="2975" spans="1:10" customFormat="1" ht="15.75" hidden="1" customHeight="1" x14ac:dyDescent="0.25">
      <c r="A2975" s="57">
        <v>45300</v>
      </c>
      <c r="B2975" s="36" t="s">
        <v>6170</v>
      </c>
      <c r="C2975" s="28" t="s">
        <v>3041</v>
      </c>
      <c r="D2975" s="28" t="s">
        <v>3042</v>
      </c>
      <c r="E2975" s="38">
        <v>26500</v>
      </c>
      <c r="F2975" s="67">
        <v>106000</v>
      </c>
      <c r="G2975" s="38">
        <v>22260</v>
      </c>
      <c r="H2975" s="56">
        <v>154760</v>
      </c>
      <c r="I2975" s="28" t="s">
        <v>19</v>
      </c>
      <c r="J2975" s="43"/>
    </row>
    <row r="2976" spans="1:10" customFormat="1" ht="15.75" hidden="1" customHeight="1" x14ac:dyDescent="0.25">
      <c r="A2976" s="57">
        <v>45300</v>
      </c>
      <c r="B2976" s="36" t="s">
        <v>6171</v>
      </c>
      <c r="C2976" s="28" t="s">
        <v>3041</v>
      </c>
      <c r="D2976" s="28" t="s">
        <v>3042</v>
      </c>
      <c r="E2976" s="38">
        <v>26500</v>
      </c>
      <c r="F2976" s="67">
        <v>106000</v>
      </c>
      <c r="G2976" s="38">
        <v>22260</v>
      </c>
      <c r="H2976" s="56">
        <v>154760</v>
      </c>
      <c r="I2976" s="28" t="s">
        <v>19</v>
      </c>
      <c r="J2976" s="43"/>
    </row>
    <row r="2977" spans="1:10" customFormat="1" ht="15.75" hidden="1" customHeight="1" x14ac:dyDescent="0.25">
      <c r="A2977" s="57">
        <v>45300</v>
      </c>
      <c r="B2977" s="36" t="s">
        <v>6172</v>
      </c>
      <c r="C2977" s="28" t="s">
        <v>3041</v>
      </c>
      <c r="D2977" s="28" t="s">
        <v>3042</v>
      </c>
      <c r="E2977" s="38">
        <v>26500</v>
      </c>
      <c r="F2977" s="67">
        <v>106000</v>
      </c>
      <c r="G2977" s="38">
        <v>22260</v>
      </c>
      <c r="H2977" s="56">
        <v>154760</v>
      </c>
      <c r="I2977" s="28" t="s">
        <v>19</v>
      </c>
      <c r="J2977" s="43"/>
    </row>
    <row r="2978" spans="1:10" customFormat="1" ht="15.75" hidden="1" customHeight="1" x14ac:dyDescent="0.25">
      <c r="A2978" s="57">
        <v>45300</v>
      </c>
      <c r="B2978" s="36" t="s">
        <v>6173</v>
      </c>
      <c r="C2978" s="28" t="s">
        <v>4827</v>
      </c>
      <c r="D2978" s="28" t="s">
        <v>4828</v>
      </c>
      <c r="E2978" s="38">
        <v>11000</v>
      </c>
      <c r="F2978" s="67">
        <v>148438</v>
      </c>
      <c r="G2978" s="38">
        <v>31171.98</v>
      </c>
      <c r="H2978" s="56">
        <v>190609.98</v>
      </c>
      <c r="I2978" s="28" t="s">
        <v>19</v>
      </c>
      <c r="J2978" s="43"/>
    </row>
    <row r="2979" spans="1:10" customFormat="1" ht="15.75" hidden="1" customHeight="1" x14ac:dyDescent="0.25">
      <c r="A2979" s="57">
        <v>45300</v>
      </c>
      <c r="B2979" s="36" t="s">
        <v>6174</v>
      </c>
      <c r="C2979" s="28" t="s">
        <v>4827</v>
      </c>
      <c r="D2979" s="28" t="s">
        <v>4828</v>
      </c>
      <c r="E2979" s="38">
        <v>11000</v>
      </c>
      <c r="F2979" s="67">
        <v>148438</v>
      </c>
      <c r="G2979" s="38">
        <v>31171.98</v>
      </c>
      <c r="H2979" s="56">
        <v>190609.98</v>
      </c>
      <c r="I2979" s="28" t="s">
        <v>19</v>
      </c>
      <c r="J2979" s="43"/>
    </row>
    <row r="2980" spans="1:10" customFormat="1" ht="15.75" hidden="1" customHeight="1" x14ac:dyDescent="0.25">
      <c r="A2980" s="57">
        <v>45300</v>
      </c>
      <c r="B2980" s="36" t="s">
        <v>6175</v>
      </c>
      <c r="C2980" s="28" t="s">
        <v>2921</v>
      </c>
      <c r="D2980" s="28" t="s">
        <v>2922</v>
      </c>
      <c r="E2980" s="38">
        <v>0</v>
      </c>
      <c r="F2980" s="67">
        <v>46000</v>
      </c>
      <c r="G2980" s="38">
        <v>9660</v>
      </c>
      <c r="H2980" s="56">
        <v>55660</v>
      </c>
      <c r="I2980" s="28" t="s">
        <v>19</v>
      </c>
      <c r="J2980" s="43"/>
    </row>
    <row r="2981" spans="1:10" customFormat="1" ht="15.75" hidden="1" customHeight="1" x14ac:dyDescent="0.25">
      <c r="A2981" s="57">
        <v>45301</v>
      </c>
      <c r="B2981" s="36" t="s">
        <v>6176</v>
      </c>
      <c r="C2981" s="28" t="s">
        <v>2954</v>
      </c>
      <c r="D2981" s="28" t="s">
        <v>2955</v>
      </c>
      <c r="E2981" s="38">
        <v>3925</v>
      </c>
      <c r="F2981" s="67">
        <v>132000</v>
      </c>
      <c r="G2981" s="38">
        <v>27720</v>
      </c>
      <c r="H2981" s="56">
        <v>163645</v>
      </c>
      <c r="I2981" s="28" t="s">
        <v>19</v>
      </c>
      <c r="J2981" s="43"/>
    </row>
    <row r="2982" spans="1:10" customFormat="1" ht="15.75" hidden="1" customHeight="1" x14ac:dyDescent="0.25">
      <c r="A2982" s="57">
        <v>45302</v>
      </c>
      <c r="B2982" s="36" t="s">
        <v>6177</v>
      </c>
      <c r="C2982" s="28" t="s">
        <v>3346</v>
      </c>
      <c r="D2982" s="28" t="s">
        <v>3347</v>
      </c>
      <c r="E2982" s="38">
        <v>15600</v>
      </c>
      <c r="F2982" s="67">
        <v>220000</v>
      </c>
      <c r="G2982" s="38">
        <v>46200</v>
      </c>
      <c r="H2982" s="56">
        <v>281800</v>
      </c>
      <c r="I2982" s="28" t="s">
        <v>19</v>
      </c>
      <c r="J2982" s="43"/>
    </row>
    <row r="2983" spans="1:10" customFormat="1" ht="15.75" hidden="1" customHeight="1" x14ac:dyDescent="0.25">
      <c r="A2983" s="57">
        <v>45303</v>
      </c>
      <c r="B2983" s="36" t="s">
        <v>6178</v>
      </c>
      <c r="C2983" s="28" t="s">
        <v>3007</v>
      </c>
      <c r="D2983" s="28" t="s">
        <v>3008</v>
      </c>
      <c r="E2983" s="38">
        <v>26500</v>
      </c>
      <c r="F2983" s="67">
        <v>101000</v>
      </c>
      <c r="G2983" s="38">
        <v>21210</v>
      </c>
      <c r="H2983" s="56">
        <v>148710</v>
      </c>
      <c r="I2983" s="28" t="s">
        <v>19</v>
      </c>
      <c r="J2983" s="43"/>
    </row>
    <row r="2984" spans="1:10" customFormat="1" ht="15.75" hidden="1" customHeight="1" x14ac:dyDescent="0.25">
      <c r="A2984" s="57">
        <v>45303</v>
      </c>
      <c r="B2984" s="36" t="s">
        <v>6179</v>
      </c>
      <c r="C2984" s="28" t="s">
        <v>2856</v>
      </c>
      <c r="D2984" s="28" t="s">
        <v>2857</v>
      </c>
      <c r="E2984" s="38">
        <v>26500</v>
      </c>
      <c r="F2984" s="67">
        <v>101000</v>
      </c>
      <c r="G2984" s="38">
        <v>21210</v>
      </c>
      <c r="H2984" s="56">
        <v>148710</v>
      </c>
      <c r="I2984" s="28" t="s">
        <v>19</v>
      </c>
      <c r="J2984" s="43"/>
    </row>
    <row r="2985" spans="1:10" customFormat="1" ht="15.75" hidden="1" customHeight="1" x14ac:dyDescent="0.25">
      <c r="A2985" s="57">
        <v>45303</v>
      </c>
      <c r="B2985" s="36" t="s">
        <v>6180</v>
      </c>
      <c r="C2985" s="28" t="s">
        <v>2921</v>
      </c>
      <c r="D2985" s="28" t="s">
        <v>2922</v>
      </c>
      <c r="E2985" s="38">
        <v>95200</v>
      </c>
      <c r="F2985" s="67">
        <v>608000</v>
      </c>
      <c r="G2985" s="38">
        <v>127680</v>
      </c>
      <c r="H2985" s="56">
        <v>830880</v>
      </c>
      <c r="I2985" s="28" t="s">
        <v>19</v>
      </c>
      <c r="J2985" s="43"/>
    </row>
    <row r="2986" spans="1:10" customFormat="1" ht="15.75" hidden="1" customHeight="1" x14ac:dyDescent="0.25">
      <c r="A2986" s="57">
        <v>45303</v>
      </c>
      <c r="B2986" s="36" t="s">
        <v>6181</v>
      </c>
      <c r="C2986" s="28" t="s">
        <v>2856</v>
      </c>
      <c r="D2986" s="28" t="s">
        <v>2857</v>
      </c>
      <c r="E2986" s="38">
        <v>47000</v>
      </c>
      <c r="F2986" s="67">
        <v>304000</v>
      </c>
      <c r="G2986" s="38">
        <v>63840</v>
      </c>
      <c r="H2986" s="56">
        <v>414840</v>
      </c>
      <c r="I2986" s="28" t="s">
        <v>19</v>
      </c>
      <c r="J2986" s="43"/>
    </row>
    <row r="2987" spans="1:10" customFormat="1" ht="15.75" hidden="1" customHeight="1" x14ac:dyDescent="0.25">
      <c r="A2987" s="57">
        <v>45303</v>
      </c>
      <c r="B2987" s="36" t="s">
        <v>6182</v>
      </c>
      <c r="C2987" s="28" t="s">
        <v>2867</v>
      </c>
      <c r="D2987" s="28" t="s">
        <v>2868</v>
      </c>
      <c r="E2987" s="38">
        <v>48300</v>
      </c>
      <c r="F2987" s="67">
        <v>253000</v>
      </c>
      <c r="G2987" s="38">
        <v>53130</v>
      </c>
      <c r="H2987" s="56">
        <v>354430</v>
      </c>
      <c r="I2987" s="28" t="s">
        <v>19</v>
      </c>
      <c r="J2987" s="43"/>
    </row>
    <row r="2988" spans="1:10" customFormat="1" ht="15.75" hidden="1" customHeight="1" x14ac:dyDescent="0.25">
      <c r="A2988" s="57">
        <v>45303</v>
      </c>
      <c r="B2988" s="36" t="s">
        <v>6183</v>
      </c>
      <c r="C2988" s="28" t="s">
        <v>2867</v>
      </c>
      <c r="D2988" s="28" t="s">
        <v>2868</v>
      </c>
      <c r="E2988" s="38">
        <v>48300</v>
      </c>
      <c r="F2988" s="67">
        <v>253000</v>
      </c>
      <c r="G2988" s="38">
        <v>53130</v>
      </c>
      <c r="H2988" s="56">
        <v>354430</v>
      </c>
      <c r="I2988" s="28" t="s">
        <v>19</v>
      </c>
      <c r="J2988" s="43"/>
    </row>
    <row r="2989" spans="1:10" customFormat="1" ht="15.75" hidden="1" customHeight="1" x14ac:dyDescent="0.25">
      <c r="A2989" s="57">
        <v>45303</v>
      </c>
      <c r="B2989" s="36" t="s">
        <v>6184</v>
      </c>
      <c r="C2989" s="28" t="s">
        <v>2997</v>
      </c>
      <c r="D2989" s="28" t="s">
        <v>2998</v>
      </c>
      <c r="E2989" s="38">
        <v>17120</v>
      </c>
      <c r="F2989" s="67">
        <v>450000</v>
      </c>
      <c r="G2989" s="38">
        <v>94500</v>
      </c>
      <c r="H2989" s="56">
        <v>561620</v>
      </c>
      <c r="I2989" s="28" t="s">
        <v>19</v>
      </c>
      <c r="J2989" s="43"/>
    </row>
    <row r="2990" spans="1:10" customFormat="1" ht="15.75" hidden="1" customHeight="1" x14ac:dyDescent="0.25">
      <c r="A2990" s="57">
        <v>45303</v>
      </c>
      <c r="B2990" s="36" t="s">
        <v>6185</v>
      </c>
      <c r="C2990" s="28" t="s">
        <v>2921</v>
      </c>
      <c r="D2990" s="28" t="s">
        <v>2922</v>
      </c>
      <c r="E2990" s="38">
        <v>53000</v>
      </c>
      <c r="F2990" s="67">
        <v>304000</v>
      </c>
      <c r="G2990" s="38">
        <v>63840</v>
      </c>
      <c r="H2990" s="56">
        <v>420840</v>
      </c>
      <c r="I2990" s="28" t="s">
        <v>19</v>
      </c>
      <c r="J2990" s="43"/>
    </row>
    <row r="2991" spans="1:10" customFormat="1" ht="15.75" hidden="1" customHeight="1" x14ac:dyDescent="0.25">
      <c r="A2991" s="57">
        <v>45303</v>
      </c>
      <c r="B2991" s="36" t="s">
        <v>6186</v>
      </c>
      <c r="C2991" s="28" t="s">
        <v>4181</v>
      </c>
      <c r="D2991" s="28" t="s">
        <v>4182</v>
      </c>
      <c r="E2991" s="38">
        <v>141600</v>
      </c>
      <c r="F2991" s="67">
        <v>861000</v>
      </c>
      <c r="G2991" s="38">
        <v>180810</v>
      </c>
      <c r="H2991" s="56">
        <v>1183410</v>
      </c>
      <c r="I2991" s="28" t="s">
        <v>19</v>
      </c>
      <c r="J2991" s="43"/>
    </row>
    <row r="2992" spans="1:10" customFormat="1" ht="15.75" hidden="1" customHeight="1" x14ac:dyDescent="0.25">
      <c r="A2992" s="57">
        <v>45303</v>
      </c>
      <c r="B2992" s="36" t="s">
        <v>6187</v>
      </c>
      <c r="C2992" s="28" t="s">
        <v>3007</v>
      </c>
      <c r="D2992" s="28" t="s">
        <v>3008</v>
      </c>
      <c r="E2992" s="38">
        <v>0</v>
      </c>
      <c r="F2992" s="67">
        <v>47000</v>
      </c>
      <c r="G2992" s="38">
        <v>9870</v>
      </c>
      <c r="H2992" s="56">
        <v>56870</v>
      </c>
      <c r="I2992" s="28" t="s">
        <v>19</v>
      </c>
      <c r="J2992" s="43"/>
    </row>
    <row r="2993" spans="1:10" customFormat="1" ht="15.75" hidden="1" customHeight="1" x14ac:dyDescent="0.25">
      <c r="A2993" s="57">
        <v>45306</v>
      </c>
      <c r="B2993" s="36" t="s">
        <v>6188</v>
      </c>
      <c r="C2993" s="28" t="s">
        <v>2909</v>
      </c>
      <c r="D2993" s="28" t="s">
        <v>2910</v>
      </c>
      <c r="E2993" s="38">
        <v>13000</v>
      </c>
      <c r="F2993" s="67">
        <v>337500</v>
      </c>
      <c r="G2993" s="38">
        <v>70875</v>
      </c>
      <c r="H2993" s="56">
        <v>421375</v>
      </c>
      <c r="I2993" s="28" t="s">
        <v>19</v>
      </c>
      <c r="J2993" s="43"/>
    </row>
    <row r="2994" spans="1:10" customFormat="1" ht="15.75" hidden="1" customHeight="1" x14ac:dyDescent="0.25">
      <c r="A2994" s="57">
        <v>45306</v>
      </c>
      <c r="B2994" s="36" t="s">
        <v>6189</v>
      </c>
      <c r="C2994" s="28" t="s">
        <v>2909</v>
      </c>
      <c r="D2994" s="28" t="s">
        <v>2910</v>
      </c>
      <c r="E2994" s="38">
        <v>23500</v>
      </c>
      <c r="F2994" s="67">
        <v>101000</v>
      </c>
      <c r="G2994" s="38">
        <v>21210</v>
      </c>
      <c r="H2994" s="56">
        <v>145710</v>
      </c>
      <c r="I2994" s="28" t="s">
        <v>19</v>
      </c>
      <c r="J2994" s="43"/>
    </row>
    <row r="2995" spans="1:10" customFormat="1" ht="15.75" hidden="1" customHeight="1" x14ac:dyDescent="0.25">
      <c r="A2995" s="57">
        <v>45306</v>
      </c>
      <c r="B2995" s="36" t="s">
        <v>6190</v>
      </c>
      <c r="C2995" s="28" t="s">
        <v>2909</v>
      </c>
      <c r="D2995" s="28" t="s">
        <v>2910</v>
      </c>
      <c r="E2995" s="38">
        <v>23500</v>
      </c>
      <c r="F2995" s="67">
        <v>101000</v>
      </c>
      <c r="G2995" s="38">
        <v>21210</v>
      </c>
      <c r="H2995" s="56">
        <v>145710</v>
      </c>
      <c r="I2995" s="28" t="s">
        <v>19</v>
      </c>
      <c r="J2995" s="43"/>
    </row>
    <row r="2996" spans="1:10" customFormat="1" ht="15.75" hidden="1" customHeight="1" x14ac:dyDescent="0.25">
      <c r="A2996" s="57">
        <v>45306</v>
      </c>
      <c r="B2996" s="36" t="s">
        <v>6191</v>
      </c>
      <c r="C2996" s="28" t="s">
        <v>2909</v>
      </c>
      <c r="D2996" s="28" t="s">
        <v>2910</v>
      </c>
      <c r="E2996" s="38">
        <v>13000</v>
      </c>
      <c r="F2996" s="67">
        <v>337500</v>
      </c>
      <c r="G2996" s="38">
        <v>70875</v>
      </c>
      <c r="H2996" s="56">
        <v>421375</v>
      </c>
      <c r="I2996" s="28" t="s">
        <v>19</v>
      </c>
      <c r="J2996" s="43"/>
    </row>
    <row r="2997" spans="1:10" customFormat="1" ht="15.75" hidden="1" customHeight="1" x14ac:dyDescent="0.25">
      <c r="A2997" s="57">
        <v>45306</v>
      </c>
      <c r="B2997" s="36" t="s">
        <v>6192</v>
      </c>
      <c r="C2997" s="28" t="s">
        <v>3241</v>
      </c>
      <c r="D2997" s="28" t="s">
        <v>3242</v>
      </c>
      <c r="E2997" s="38">
        <v>53000</v>
      </c>
      <c r="F2997" s="67">
        <v>253000</v>
      </c>
      <c r="G2997" s="38">
        <v>53130</v>
      </c>
      <c r="H2997" s="56">
        <v>359130</v>
      </c>
      <c r="I2997" s="28" t="s">
        <v>19</v>
      </c>
      <c r="J2997" s="43"/>
    </row>
    <row r="2998" spans="1:10" customFormat="1" ht="15.75" hidden="1" customHeight="1" x14ac:dyDescent="0.25">
      <c r="A2998" s="57">
        <v>45306</v>
      </c>
      <c r="B2998" s="36" t="s">
        <v>6193</v>
      </c>
      <c r="C2998" s="28" t="s">
        <v>3241</v>
      </c>
      <c r="D2998" s="28" t="s">
        <v>3242</v>
      </c>
      <c r="E2998" s="38">
        <v>53000</v>
      </c>
      <c r="F2998" s="67">
        <v>304000</v>
      </c>
      <c r="G2998" s="38">
        <v>63840</v>
      </c>
      <c r="H2998" s="56">
        <v>420840</v>
      </c>
      <c r="I2998" s="28" t="s">
        <v>19</v>
      </c>
      <c r="J2998" s="43"/>
    </row>
    <row r="2999" spans="1:10" customFormat="1" ht="15.75" hidden="1" customHeight="1" x14ac:dyDescent="0.25">
      <c r="A2999" s="57">
        <v>45306</v>
      </c>
      <c r="B2999" s="36" t="s">
        <v>6194</v>
      </c>
      <c r="C2999" s="28" t="s">
        <v>1140</v>
      </c>
      <c r="D2999" s="28" t="s">
        <v>1141</v>
      </c>
      <c r="E2999" s="38">
        <v>26500</v>
      </c>
      <c r="F2999" s="67">
        <v>152000</v>
      </c>
      <c r="G2999" s="38">
        <v>31920</v>
      </c>
      <c r="H2999" s="56">
        <v>210420</v>
      </c>
      <c r="I2999" s="28" t="s">
        <v>19</v>
      </c>
      <c r="J2999" s="43"/>
    </row>
    <row r="3000" spans="1:10" customFormat="1" ht="15.75" hidden="1" customHeight="1" x14ac:dyDescent="0.25">
      <c r="A3000" s="57">
        <v>45306</v>
      </c>
      <c r="B3000" s="36" t="s">
        <v>6195</v>
      </c>
      <c r="C3000" s="28" t="s">
        <v>5611</v>
      </c>
      <c r="D3000" s="28" t="s">
        <v>5612</v>
      </c>
      <c r="E3000" s="38">
        <v>26500</v>
      </c>
      <c r="F3000" s="67">
        <v>152000</v>
      </c>
      <c r="G3000" s="38">
        <v>31920</v>
      </c>
      <c r="H3000" s="56">
        <v>210420</v>
      </c>
      <c r="I3000" s="28" t="s">
        <v>19</v>
      </c>
      <c r="J3000" s="43"/>
    </row>
    <row r="3001" spans="1:10" customFormat="1" ht="15.75" hidden="1" customHeight="1" x14ac:dyDescent="0.25">
      <c r="A3001" s="57">
        <v>45306</v>
      </c>
      <c r="B3001" s="36" t="s">
        <v>6196</v>
      </c>
      <c r="C3001" s="28" t="s">
        <v>5611</v>
      </c>
      <c r="D3001" s="28" t="s">
        <v>5612</v>
      </c>
      <c r="E3001" s="38">
        <v>26500</v>
      </c>
      <c r="F3001" s="67">
        <v>152000</v>
      </c>
      <c r="G3001" s="38">
        <v>31920</v>
      </c>
      <c r="H3001" s="56">
        <v>210420</v>
      </c>
      <c r="I3001" s="28" t="s">
        <v>19</v>
      </c>
      <c r="J3001" s="43"/>
    </row>
    <row r="3002" spans="1:10" customFormat="1" ht="15.75" hidden="1" customHeight="1" x14ac:dyDescent="0.25">
      <c r="A3002" s="57">
        <v>45306</v>
      </c>
      <c r="B3002" s="36" t="s">
        <v>6197</v>
      </c>
      <c r="C3002" s="28" t="s">
        <v>5611</v>
      </c>
      <c r="D3002" s="28" t="s">
        <v>5612</v>
      </c>
      <c r="E3002" s="38">
        <v>26500</v>
      </c>
      <c r="F3002" s="67">
        <v>101000</v>
      </c>
      <c r="G3002" s="38">
        <v>21210</v>
      </c>
      <c r="H3002" s="56">
        <v>148710</v>
      </c>
      <c r="I3002" s="28" t="s">
        <v>19</v>
      </c>
      <c r="J3002" s="43"/>
    </row>
    <row r="3003" spans="1:10" customFormat="1" ht="15.75" hidden="1" customHeight="1" x14ac:dyDescent="0.25">
      <c r="A3003" s="57">
        <v>45306</v>
      </c>
      <c r="B3003" s="36" t="s">
        <v>6198</v>
      </c>
      <c r="C3003" s="28" t="s">
        <v>2927</v>
      </c>
      <c r="D3003" s="28" t="s">
        <v>2928</v>
      </c>
      <c r="E3003" s="38">
        <v>7400</v>
      </c>
      <c r="F3003" s="67">
        <v>167000</v>
      </c>
      <c r="G3003" s="38">
        <v>35070</v>
      </c>
      <c r="H3003" s="56">
        <v>209470</v>
      </c>
      <c r="I3003" s="28" t="s">
        <v>19</v>
      </c>
      <c r="J3003" s="43"/>
    </row>
    <row r="3004" spans="1:10" customFormat="1" ht="15.75" hidden="1" customHeight="1" x14ac:dyDescent="0.25">
      <c r="A3004" s="57">
        <v>45306</v>
      </c>
      <c r="B3004" s="36" t="s">
        <v>6199</v>
      </c>
      <c r="C3004" s="28" t="s">
        <v>2997</v>
      </c>
      <c r="D3004" s="28" t="s">
        <v>2998</v>
      </c>
      <c r="E3004" s="38">
        <v>13000</v>
      </c>
      <c r="F3004" s="67">
        <v>337500</v>
      </c>
      <c r="G3004" s="38">
        <v>70875</v>
      </c>
      <c r="H3004" s="56">
        <v>421375</v>
      </c>
      <c r="I3004" s="28" t="s">
        <v>19</v>
      </c>
      <c r="J3004" s="43"/>
    </row>
    <row r="3005" spans="1:10" customFormat="1" ht="15.75" hidden="1" customHeight="1" x14ac:dyDescent="0.25">
      <c r="A3005" s="57">
        <v>45306</v>
      </c>
      <c r="B3005" s="36" t="s">
        <v>6200</v>
      </c>
      <c r="C3005" s="28" t="s">
        <v>2867</v>
      </c>
      <c r="D3005" s="28" t="s">
        <v>2868</v>
      </c>
      <c r="E3005" s="38">
        <v>37000</v>
      </c>
      <c r="F3005" s="67">
        <v>1687500</v>
      </c>
      <c r="G3005" s="38">
        <v>354375</v>
      </c>
      <c r="H3005" s="56">
        <v>2078875</v>
      </c>
      <c r="I3005" s="28" t="s">
        <v>19</v>
      </c>
      <c r="J3005" s="43"/>
    </row>
    <row r="3006" spans="1:10" customFormat="1" ht="15.75" hidden="1" customHeight="1" x14ac:dyDescent="0.25">
      <c r="A3006" s="57">
        <v>45306</v>
      </c>
      <c r="B3006" s="36" t="s">
        <v>6201</v>
      </c>
      <c r="C3006" s="28" t="s">
        <v>5611</v>
      </c>
      <c r="D3006" s="28" t="s">
        <v>5612</v>
      </c>
      <c r="E3006" s="38">
        <v>23500</v>
      </c>
      <c r="F3006" s="67">
        <v>152000</v>
      </c>
      <c r="G3006" s="38">
        <v>31920</v>
      </c>
      <c r="H3006" s="56">
        <v>207420</v>
      </c>
      <c r="I3006" s="28" t="s">
        <v>19</v>
      </c>
      <c r="J3006" s="43"/>
    </row>
    <row r="3007" spans="1:10" customFormat="1" ht="15.75" hidden="1" customHeight="1" x14ac:dyDescent="0.25">
      <c r="A3007" s="57">
        <v>45306</v>
      </c>
      <c r="B3007" s="36" t="s">
        <v>6202</v>
      </c>
      <c r="C3007" s="28" t="s">
        <v>2903</v>
      </c>
      <c r="D3007" s="28" t="s">
        <v>2904</v>
      </c>
      <c r="E3007" s="38">
        <v>26500</v>
      </c>
      <c r="F3007" s="67">
        <v>152000</v>
      </c>
      <c r="G3007" s="38">
        <v>31920</v>
      </c>
      <c r="H3007" s="56">
        <v>210420</v>
      </c>
      <c r="I3007" s="28" t="s">
        <v>19</v>
      </c>
      <c r="J3007" s="43"/>
    </row>
    <row r="3008" spans="1:10" customFormat="1" ht="15.75" hidden="1" customHeight="1" x14ac:dyDescent="0.25">
      <c r="A3008" s="57">
        <v>45307</v>
      </c>
      <c r="B3008" s="36" t="s">
        <v>6203</v>
      </c>
      <c r="C3008" s="28" t="s">
        <v>2942</v>
      </c>
      <c r="D3008" s="28" t="s">
        <v>2943</v>
      </c>
      <c r="E3008" s="38">
        <v>21000</v>
      </c>
      <c r="F3008" s="67">
        <v>186000</v>
      </c>
      <c r="G3008" s="38">
        <v>39060</v>
      </c>
      <c r="H3008" s="56">
        <v>246060</v>
      </c>
      <c r="I3008" s="28" t="s">
        <v>19</v>
      </c>
      <c r="J3008" s="43"/>
    </row>
    <row r="3009" spans="1:10" customFormat="1" ht="15.75" hidden="1" customHeight="1" x14ac:dyDescent="0.25">
      <c r="A3009" s="57">
        <v>45307</v>
      </c>
      <c r="B3009" s="36" t="s">
        <v>6204</v>
      </c>
      <c r="C3009" s="28" t="s">
        <v>2945</v>
      </c>
      <c r="D3009" s="28" t="s">
        <v>2946</v>
      </c>
      <c r="E3009" s="38">
        <v>9120</v>
      </c>
      <c r="F3009" s="67">
        <v>225000</v>
      </c>
      <c r="G3009" s="38">
        <v>47250</v>
      </c>
      <c r="H3009" s="56">
        <v>281370</v>
      </c>
      <c r="I3009" s="28" t="s">
        <v>19</v>
      </c>
      <c r="J3009" s="43"/>
    </row>
    <row r="3010" spans="1:10" customFormat="1" ht="15.75" hidden="1" customHeight="1" x14ac:dyDescent="0.25">
      <c r="A3010" s="57">
        <v>45307</v>
      </c>
      <c r="B3010" s="36" t="s">
        <v>6205</v>
      </c>
      <c r="C3010" s="28" t="s">
        <v>2870</v>
      </c>
      <c r="D3010" s="28" t="s">
        <v>2871</v>
      </c>
      <c r="E3010" s="38">
        <v>19300</v>
      </c>
      <c r="F3010" s="67">
        <v>225000</v>
      </c>
      <c r="G3010" s="38">
        <v>47250</v>
      </c>
      <c r="H3010" s="56">
        <v>291550</v>
      </c>
      <c r="I3010" s="28" t="s">
        <v>19</v>
      </c>
      <c r="J3010" s="43"/>
    </row>
    <row r="3011" spans="1:10" customFormat="1" ht="15.75" hidden="1" customHeight="1" x14ac:dyDescent="0.25">
      <c r="A3011" s="57">
        <v>45307</v>
      </c>
      <c r="B3011" s="36" t="s">
        <v>6206</v>
      </c>
      <c r="C3011" s="28" t="s">
        <v>3041</v>
      </c>
      <c r="D3011" s="28" t="s">
        <v>3042</v>
      </c>
      <c r="E3011" s="38">
        <v>18000</v>
      </c>
      <c r="F3011" s="67">
        <v>240000</v>
      </c>
      <c r="G3011" s="38">
        <v>50400</v>
      </c>
      <c r="H3011" s="56">
        <v>308400</v>
      </c>
      <c r="I3011" s="28" t="s">
        <v>19</v>
      </c>
      <c r="J3011" s="43"/>
    </row>
    <row r="3012" spans="1:10" customFormat="1" ht="15.75" hidden="1" customHeight="1" x14ac:dyDescent="0.25">
      <c r="A3012" s="57">
        <v>45307</v>
      </c>
      <c r="B3012" s="36" t="s">
        <v>6207</v>
      </c>
      <c r="C3012" s="28" t="s">
        <v>3041</v>
      </c>
      <c r="D3012" s="28" t="s">
        <v>3042</v>
      </c>
      <c r="E3012" s="38">
        <v>18000</v>
      </c>
      <c r="F3012" s="67">
        <v>240000</v>
      </c>
      <c r="G3012" s="38">
        <v>50400</v>
      </c>
      <c r="H3012" s="56">
        <v>308400</v>
      </c>
      <c r="I3012" s="28" t="s">
        <v>19</v>
      </c>
      <c r="J3012" s="43"/>
    </row>
    <row r="3013" spans="1:10" customFormat="1" ht="15.75" hidden="1" customHeight="1" x14ac:dyDescent="0.25">
      <c r="A3013" s="57">
        <v>45307</v>
      </c>
      <c r="B3013" s="36" t="s">
        <v>6208</v>
      </c>
      <c r="C3013" s="28" t="s">
        <v>2867</v>
      </c>
      <c r="D3013" s="28" t="s">
        <v>2868</v>
      </c>
      <c r="E3013" s="38">
        <v>23500</v>
      </c>
      <c r="F3013" s="67">
        <v>130000</v>
      </c>
      <c r="G3013" s="38">
        <v>27300</v>
      </c>
      <c r="H3013" s="56">
        <v>180800</v>
      </c>
      <c r="I3013" s="28" t="s">
        <v>19</v>
      </c>
      <c r="J3013" s="43"/>
    </row>
    <row r="3014" spans="1:10" customFormat="1" ht="15.75" hidden="1" customHeight="1" x14ac:dyDescent="0.25">
      <c r="A3014" s="57">
        <v>45307</v>
      </c>
      <c r="B3014" s="36" t="s">
        <v>6209</v>
      </c>
      <c r="C3014" s="28" t="s">
        <v>2997</v>
      </c>
      <c r="D3014" s="28" t="s">
        <v>2998</v>
      </c>
      <c r="E3014" s="38">
        <v>21000</v>
      </c>
      <c r="F3014" s="67">
        <v>432500</v>
      </c>
      <c r="G3014" s="38">
        <v>90825</v>
      </c>
      <c r="H3014" s="56">
        <v>544325</v>
      </c>
      <c r="I3014" s="28" t="s">
        <v>19</v>
      </c>
      <c r="J3014" s="43"/>
    </row>
    <row r="3015" spans="1:10" customFormat="1" ht="15.75" hidden="1" customHeight="1" x14ac:dyDescent="0.25">
      <c r="A3015" s="57">
        <v>45308</v>
      </c>
      <c r="B3015" s="36" t="s">
        <v>6210</v>
      </c>
      <c r="C3015" s="28" t="s">
        <v>2957</v>
      </c>
      <c r="D3015" s="28" t="s">
        <v>2958</v>
      </c>
      <c r="E3015" s="38">
        <v>3700</v>
      </c>
      <c r="F3015" s="67">
        <v>121000</v>
      </c>
      <c r="G3015" s="38">
        <v>25410</v>
      </c>
      <c r="H3015" s="56">
        <v>150110</v>
      </c>
      <c r="I3015" s="28" t="s">
        <v>19</v>
      </c>
      <c r="J3015" s="43"/>
    </row>
    <row r="3016" spans="1:10" customFormat="1" ht="15.75" hidden="1" customHeight="1" x14ac:dyDescent="0.25">
      <c r="A3016" s="57">
        <v>45308</v>
      </c>
      <c r="B3016" s="36" t="s">
        <v>6211</v>
      </c>
      <c r="C3016" s="28" t="s">
        <v>2856</v>
      </c>
      <c r="D3016" s="28" t="s">
        <v>2857</v>
      </c>
      <c r="E3016" s="38">
        <v>18000</v>
      </c>
      <c r="F3016" s="67">
        <v>320000</v>
      </c>
      <c r="G3016" s="38">
        <v>67200</v>
      </c>
      <c r="H3016" s="56">
        <v>405200</v>
      </c>
      <c r="I3016" s="28" t="s">
        <v>19</v>
      </c>
      <c r="J3016" s="43"/>
    </row>
    <row r="3017" spans="1:10" customFormat="1" ht="15.75" hidden="1" customHeight="1" x14ac:dyDescent="0.25">
      <c r="A3017" s="57">
        <v>45308</v>
      </c>
      <c r="B3017" s="36" t="s">
        <v>6212</v>
      </c>
      <c r="C3017" s="28" t="s">
        <v>2856</v>
      </c>
      <c r="D3017" s="28" t="s">
        <v>2857</v>
      </c>
      <c r="E3017" s="38">
        <v>9120</v>
      </c>
      <c r="F3017" s="67">
        <v>450000</v>
      </c>
      <c r="G3017" s="38">
        <v>94500</v>
      </c>
      <c r="H3017" s="56">
        <v>553620</v>
      </c>
      <c r="I3017" s="28" t="s">
        <v>19</v>
      </c>
      <c r="J3017" s="43"/>
    </row>
    <row r="3018" spans="1:10" customFormat="1" ht="15.75" hidden="1" customHeight="1" x14ac:dyDescent="0.25">
      <c r="A3018" s="57">
        <v>45308</v>
      </c>
      <c r="B3018" s="36" t="s">
        <v>6213</v>
      </c>
      <c r="C3018" s="28" t="s">
        <v>2856</v>
      </c>
      <c r="D3018" s="28" t="s">
        <v>2857</v>
      </c>
      <c r="E3018" s="38">
        <v>21000</v>
      </c>
      <c r="F3018" s="67">
        <v>415000</v>
      </c>
      <c r="G3018" s="38">
        <v>87150</v>
      </c>
      <c r="H3018" s="56">
        <v>523150</v>
      </c>
      <c r="I3018" s="28" t="s">
        <v>19</v>
      </c>
      <c r="J3018" s="43"/>
    </row>
    <row r="3019" spans="1:10" customFormat="1" ht="15.75" hidden="1" customHeight="1" x14ac:dyDescent="0.25">
      <c r="A3019" s="57">
        <v>45308</v>
      </c>
      <c r="B3019" s="36" t="s">
        <v>6214</v>
      </c>
      <c r="C3019" s="28" t="s">
        <v>1140</v>
      </c>
      <c r="D3019" s="28" t="s">
        <v>1141</v>
      </c>
      <c r="E3019" s="38">
        <v>18000</v>
      </c>
      <c r="F3019" s="67">
        <v>320000</v>
      </c>
      <c r="G3019" s="38">
        <v>67200</v>
      </c>
      <c r="H3019" s="56">
        <v>405200</v>
      </c>
      <c r="I3019" s="28" t="s">
        <v>19</v>
      </c>
      <c r="J3019" s="43"/>
    </row>
    <row r="3020" spans="1:10" customFormat="1" ht="15.75" hidden="1" customHeight="1" x14ac:dyDescent="0.25">
      <c r="A3020" s="57">
        <v>45308</v>
      </c>
      <c r="B3020" s="36" t="s">
        <v>6215</v>
      </c>
      <c r="C3020" s="28" t="s">
        <v>3014</v>
      </c>
      <c r="D3020" s="28" t="s">
        <v>3015</v>
      </c>
      <c r="E3020" s="38">
        <v>15100</v>
      </c>
      <c r="F3020" s="67">
        <v>450000</v>
      </c>
      <c r="G3020" s="38">
        <v>94500</v>
      </c>
      <c r="H3020" s="56">
        <v>559600</v>
      </c>
      <c r="I3020" s="28" t="s">
        <v>19</v>
      </c>
      <c r="J3020" s="43"/>
    </row>
    <row r="3021" spans="1:10" customFormat="1" ht="15.75" hidden="1" customHeight="1" x14ac:dyDescent="0.25">
      <c r="A3021" s="57">
        <v>45308</v>
      </c>
      <c r="B3021" s="36" t="s">
        <v>6216</v>
      </c>
      <c r="C3021" s="28" t="s">
        <v>2867</v>
      </c>
      <c r="D3021" s="28" t="s">
        <v>2868</v>
      </c>
      <c r="E3021" s="38">
        <v>33000</v>
      </c>
      <c r="F3021" s="67">
        <v>380000</v>
      </c>
      <c r="G3021" s="38">
        <v>79800</v>
      </c>
      <c r="H3021" s="56">
        <v>492800</v>
      </c>
      <c r="I3021" s="28" t="s">
        <v>19</v>
      </c>
      <c r="J3021" s="43"/>
    </row>
    <row r="3022" spans="1:10" customFormat="1" ht="15.75" hidden="1" customHeight="1" x14ac:dyDescent="0.25">
      <c r="A3022" s="57">
        <v>45308</v>
      </c>
      <c r="B3022" s="36" t="s">
        <v>6217</v>
      </c>
      <c r="C3022" s="28" t="s">
        <v>4916</v>
      </c>
      <c r="D3022" s="28" t="s">
        <v>4917</v>
      </c>
      <c r="E3022" s="38">
        <v>66000</v>
      </c>
      <c r="F3022" s="67">
        <v>608000</v>
      </c>
      <c r="G3022" s="38">
        <v>127680</v>
      </c>
      <c r="H3022" s="56">
        <v>801680</v>
      </c>
      <c r="I3022" s="28" t="s">
        <v>19</v>
      </c>
      <c r="J3022" s="43"/>
    </row>
    <row r="3023" spans="1:10" customFormat="1" ht="15.75" hidden="1" customHeight="1" x14ac:dyDescent="0.25">
      <c r="A3023" s="57">
        <v>45308</v>
      </c>
      <c r="B3023" s="36" t="s">
        <v>6218</v>
      </c>
      <c r="C3023" s="28" t="s">
        <v>2851</v>
      </c>
      <c r="D3023" s="28" t="s">
        <v>2852</v>
      </c>
      <c r="E3023" s="38">
        <v>23500</v>
      </c>
      <c r="F3023" s="67">
        <v>152000</v>
      </c>
      <c r="G3023" s="38">
        <v>31920</v>
      </c>
      <c r="H3023" s="56">
        <v>207420</v>
      </c>
      <c r="I3023" s="28" t="s">
        <v>19</v>
      </c>
      <c r="J3023" s="43"/>
    </row>
    <row r="3024" spans="1:10" customFormat="1" ht="15.75" hidden="1" customHeight="1" x14ac:dyDescent="0.25">
      <c r="A3024" s="57">
        <v>45308</v>
      </c>
      <c r="B3024" s="36" t="s">
        <v>6219</v>
      </c>
      <c r="C3024" s="28" t="s">
        <v>2867</v>
      </c>
      <c r="D3024" s="28" t="s">
        <v>2868</v>
      </c>
      <c r="E3024" s="38">
        <v>33000</v>
      </c>
      <c r="F3024" s="67">
        <v>304000</v>
      </c>
      <c r="G3024" s="38">
        <v>63840</v>
      </c>
      <c r="H3024" s="56">
        <v>400840</v>
      </c>
      <c r="I3024" s="28" t="s">
        <v>19</v>
      </c>
      <c r="J3024" s="43"/>
    </row>
    <row r="3025" spans="1:10" customFormat="1" ht="15.75" hidden="1" customHeight="1" x14ac:dyDescent="0.25">
      <c r="A3025" s="57">
        <v>45308</v>
      </c>
      <c r="B3025" s="36" t="s">
        <v>6220</v>
      </c>
      <c r="C3025" s="28" t="s">
        <v>2867</v>
      </c>
      <c r="D3025" s="28" t="s">
        <v>2868</v>
      </c>
      <c r="E3025" s="38">
        <v>33000</v>
      </c>
      <c r="F3025" s="67">
        <v>304000</v>
      </c>
      <c r="G3025" s="38">
        <v>63840</v>
      </c>
      <c r="H3025" s="56">
        <v>400840</v>
      </c>
      <c r="I3025" s="28" t="s">
        <v>19</v>
      </c>
      <c r="J3025" s="43"/>
    </row>
    <row r="3026" spans="1:10" customFormat="1" ht="15.75" hidden="1" customHeight="1" x14ac:dyDescent="0.25">
      <c r="A3026" s="57">
        <v>45308</v>
      </c>
      <c r="B3026" s="36" t="s">
        <v>6221</v>
      </c>
      <c r="C3026" s="28" t="s">
        <v>3007</v>
      </c>
      <c r="D3026" s="28" t="s">
        <v>3008</v>
      </c>
      <c r="E3026" s="38">
        <v>47000</v>
      </c>
      <c r="F3026" s="67">
        <v>304000</v>
      </c>
      <c r="G3026" s="38">
        <v>63840</v>
      </c>
      <c r="H3026" s="56">
        <v>414840</v>
      </c>
      <c r="I3026" s="28" t="s">
        <v>19</v>
      </c>
      <c r="J3026" s="43"/>
    </row>
    <row r="3027" spans="1:10" customFormat="1" ht="15.75" hidden="1" customHeight="1" x14ac:dyDescent="0.25">
      <c r="A3027" s="57">
        <v>45308</v>
      </c>
      <c r="B3027" s="36" t="s">
        <v>6222</v>
      </c>
      <c r="C3027" s="28" t="s">
        <v>2921</v>
      </c>
      <c r="D3027" s="28" t="s">
        <v>2922</v>
      </c>
      <c r="E3027" s="38">
        <v>8200</v>
      </c>
      <c r="F3027" s="67">
        <v>105000</v>
      </c>
      <c r="G3027" s="38">
        <v>22050</v>
      </c>
      <c r="H3027" s="56">
        <v>135250</v>
      </c>
      <c r="I3027" s="28" t="s">
        <v>19</v>
      </c>
      <c r="J3027" s="43"/>
    </row>
    <row r="3028" spans="1:10" customFormat="1" ht="15.75" hidden="1" customHeight="1" x14ac:dyDescent="0.25">
      <c r="A3028" s="57">
        <v>45308</v>
      </c>
      <c r="B3028" s="36" t="s">
        <v>6223</v>
      </c>
      <c r="C3028" s="28" t="s">
        <v>5611</v>
      </c>
      <c r="D3028" s="28" t="s">
        <v>5612</v>
      </c>
      <c r="E3028" s="38">
        <v>16000</v>
      </c>
      <c r="F3028" s="67">
        <v>210000</v>
      </c>
      <c r="G3028" s="38">
        <v>44100</v>
      </c>
      <c r="H3028" s="56">
        <v>270100</v>
      </c>
      <c r="I3028" s="28" t="s">
        <v>19</v>
      </c>
      <c r="J3028" s="43"/>
    </row>
    <row r="3029" spans="1:10" customFormat="1" ht="15.75" hidden="1" customHeight="1" x14ac:dyDescent="0.25">
      <c r="A3029" s="57">
        <v>45308</v>
      </c>
      <c r="B3029" s="36" t="s">
        <v>6224</v>
      </c>
      <c r="C3029" s="28" t="s">
        <v>5611</v>
      </c>
      <c r="D3029" s="28" t="s">
        <v>5612</v>
      </c>
      <c r="E3029" s="38">
        <v>16000</v>
      </c>
      <c r="F3029" s="67">
        <v>210000</v>
      </c>
      <c r="G3029" s="38">
        <v>44100</v>
      </c>
      <c r="H3029" s="56">
        <v>270100</v>
      </c>
      <c r="I3029" s="28" t="s">
        <v>19</v>
      </c>
      <c r="J3029" s="43"/>
    </row>
    <row r="3030" spans="1:10" customFormat="1" ht="15.75" hidden="1" customHeight="1" x14ac:dyDescent="0.25">
      <c r="A3030" s="57">
        <v>45308</v>
      </c>
      <c r="B3030" s="36" t="s">
        <v>6225</v>
      </c>
      <c r="C3030" s="28" t="s">
        <v>2903</v>
      </c>
      <c r="D3030" s="28" t="s">
        <v>2904</v>
      </c>
      <c r="E3030" s="38">
        <v>26500</v>
      </c>
      <c r="F3030" s="67">
        <v>174000</v>
      </c>
      <c r="G3030" s="38">
        <v>36540</v>
      </c>
      <c r="H3030" s="56">
        <v>237040</v>
      </c>
      <c r="I3030" s="28" t="s">
        <v>19</v>
      </c>
      <c r="J3030" s="43"/>
    </row>
    <row r="3031" spans="1:10" customFormat="1" ht="15.75" hidden="1" customHeight="1" x14ac:dyDescent="0.25">
      <c r="A3031" s="57">
        <v>45308</v>
      </c>
      <c r="B3031" s="36" t="s">
        <v>6226</v>
      </c>
      <c r="C3031" s="28" t="s">
        <v>2903</v>
      </c>
      <c r="D3031" s="28" t="s">
        <v>2904</v>
      </c>
      <c r="E3031" s="38">
        <v>26500</v>
      </c>
      <c r="F3031" s="67">
        <v>174000</v>
      </c>
      <c r="G3031" s="38">
        <v>36540</v>
      </c>
      <c r="H3031" s="56">
        <v>237040</v>
      </c>
      <c r="I3031" s="28" t="s">
        <v>19</v>
      </c>
      <c r="J3031" s="43"/>
    </row>
    <row r="3032" spans="1:10" customFormat="1" ht="15.75" hidden="1" customHeight="1" x14ac:dyDescent="0.25">
      <c r="A3032" s="57">
        <v>45308</v>
      </c>
      <c r="B3032" s="36" t="s">
        <v>6227</v>
      </c>
      <c r="C3032" s="28" t="s">
        <v>2903</v>
      </c>
      <c r="D3032" s="28" t="s">
        <v>2904</v>
      </c>
      <c r="E3032" s="38">
        <v>26500</v>
      </c>
      <c r="F3032" s="67">
        <v>174000</v>
      </c>
      <c r="G3032" s="38">
        <v>36540</v>
      </c>
      <c r="H3032" s="56">
        <v>237040</v>
      </c>
      <c r="I3032" s="28" t="s">
        <v>19</v>
      </c>
      <c r="J3032" s="43"/>
    </row>
    <row r="3033" spans="1:10" customFormat="1" ht="15.75" hidden="1" customHeight="1" x14ac:dyDescent="0.25">
      <c r="A3033" s="57">
        <v>45308</v>
      </c>
      <c r="B3033" s="36" t="s">
        <v>6228</v>
      </c>
      <c r="C3033" s="28" t="s">
        <v>2903</v>
      </c>
      <c r="D3033" s="28" t="s">
        <v>2904</v>
      </c>
      <c r="E3033" s="38">
        <v>26500</v>
      </c>
      <c r="F3033" s="67">
        <v>174000</v>
      </c>
      <c r="G3033" s="38">
        <v>36540</v>
      </c>
      <c r="H3033" s="56">
        <v>237040</v>
      </c>
      <c r="I3033" s="28" t="s">
        <v>19</v>
      </c>
      <c r="J3033" s="43"/>
    </row>
    <row r="3034" spans="1:10" customFormat="1" ht="15.75" hidden="1" customHeight="1" x14ac:dyDescent="0.25">
      <c r="A3034" s="57">
        <v>45308</v>
      </c>
      <c r="B3034" s="36" t="s">
        <v>6229</v>
      </c>
      <c r="C3034" s="28" t="s">
        <v>2903</v>
      </c>
      <c r="D3034" s="28" t="s">
        <v>2904</v>
      </c>
      <c r="E3034" s="38">
        <v>26500</v>
      </c>
      <c r="F3034" s="67">
        <v>174000</v>
      </c>
      <c r="G3034" s="38">
        <v>36540</v>
      </c>
      <c r="H3034" s="56">
        <v>237040</v>
      </c>
      <c r="I3034" s="28" t="s">
        <v>19</v>
      </c>
      <c r="J3034" s="43"/>
    </row>
    <row r="3035" spans="1:10" customFormat="1" ht="15.75" hidden="1" customHeight="1" x14ac:dyDescent="0.25">
      <c r="A3035" s="57">
        <v>45308</v>
      </c>
      <c r="B3035" s="36" t="s">
        <v>6230</v>
      </c>
      <c r="C3035" s="28" t="s">
        <v>2903</v>
      </c>
      <c r="D3035" s="28" t="s">
        <v>2904</v>
      </c>
      <c r="E3035" s="38">
        <v>26500</v>
      </c>
      <c r="F3035" s="67">
        <v>109000</v>
      </c>
      <c r="G3035" s="38">
        <v>22890</v>
      </c>
      <c r="H3035" s="56">
        <v>158390</v>
      </c>
      <c r="I3035" s="28" t="s">
        <v>19</v>
      </c>
      <c r="J3035" s="43"/>
    </row>
    <row r="3036" spans="1:10" customFormat="1" ht="15.75" hidden="1" customHeight="1" x14ac:dyDescent="0.25">
      <c r="A3036" s="57">
        <v>45308</v>
      </c>
      <c r="B3036" s="36" t="s">
        <v>6231</v>
      </c>
      <c r="C3036" s="28" t="s">
        <v>2903</v>
      </c>
      <c r="D3036" s="28" t="s">
        <v>2904</v>
      </c>
      <c r="E3036" s="38">
        <v>32000</v>
      </c>
      <c r="F3036" s="67">
        <v>84375</v>
      </c>
      <c r="G3036" s="38">
        <v>17718.75</v>
      </c>
      <c r="H3036" s="56">
        <v>134093.75</v>
      </c>
      <c r="I3036" s="28" t="s">
        <v>19</v>
      </c>
      <c r="J3036" s="43"/>
    </row>
    <row r="3037" spans="1:10" customFormat="1" ht="15.75" hidden="1" customHeight="1" x14ac:dyDescent="0.25">
      <c r="A3037" s="57">
        <v>45309</v>
      </c>
      <c r="B3037" s="36" t="s">
        <v>6232</v>
      </c>
      <c r="C3037" s="28" t="s">
        <v>2921</v>
      </c>
      <c r="D3037" s="28" t="s">
        <v>2922</v>
      </c>
      <c r="E3037" s="38">
        <v>0</v>
      </c>
      <c r="F3037" s="67">
        <v>122000</v>
      </c>
      <c r="G3037" s="38">
        <v>25620</v>
      </c>
      <c r="H3037" s="56">
        <v>147620</v>
      </c>
      <c r="I3037" s="28" t="s">
        <v>19</v>
      </c>
      <c r="J3037" s="43"/>
    </row>
    <row r="3038" spans="1:10" customFormat="1" ht="15.75" hidden="1" customHeight="1" x14ac:dyDescent="0.25">
      <c r="A3038" s="57">
        <v>45309</v>
      </c>
      <c r="B3038" s="36" t="s">
        <v>6233</v>
      </c>
      <c r="C3038" s="28" t="s">
        <v>2851</v>
      </c>
      <c r="D3038" s="28" t="s">
        <v>2852</v>
      </c>
      <c r="E3038" s="38">
        <v>5600</v>
      </c>
      <c r="F3038" s="67">
        <v>210000</v>
      </c>
      <c r="G3038" s="38">
        <v>44100</v>
      </c>
      <c r="H3038" s="56">
        <v>259700</v>
      </c>
      <c r="I3038" s="28" t="s">
        <v>19</v>
      </c>
      <c r="J3038" s="43"/>
    </row>
    <row r="3039" spans="1:10" customFormat="1" ht="15.75" hidden="1" customHeight="1" x14ac:dyDescent="0.25">
      <c r="A3039" s="57">
        <v>45309</v>
      </c>
      <c r="B3039" s="36" t="s">
        <v>6234</v>
      </c>
      <c r="C3039" s="28" t="s">
        <v>2903</v>
      </c>
      <c r="D3039" s="28" t="s">
        <v>2904</v>
      </c>
      <c r="E3039" s="38">
        <v>0</v>
      </c>
      <c r="F3039" s="67">
        <v>45000</v>
      </c>
      <c r="G3039" s="38">
        <v>9450</v>
      </c>
      <c r="H3039" s="56">
        <v>54450</v>
      </c>
      <c r="I3039" s="28" t="s">
        <v>19</v>
      </c>
      <c r="J3039" s="43"/>
    </row>
    <row r="3040" spans="1:10" customFormat="1" ht="15.75" hidden="1" customHeight="1" x14ac:dyDescent="0.25">
      <c r="A3040" s="57">
        <v>45309</v>
      </c>
      <c r="B3040" s="36" t="s">
        <v>6235</v>
      </c>
      <c r="C3040" s="28" t="s">
        <v>2945</v>
      </c>
      <c r="D3040" s="28" t="s">
        <v>2946</v>
      </c>
      <c r="E3040" s="38">
        <v>9500</v>
      </c>
      <c r="F3040" s="67">
        <v>145000</v>
      </c>
      <c r="G3040" s="38">
        <v>30450</v>
      </c>
      <c r="H3040" s="56">
        <v>184950</v>
      </c>
      <c r="I3040" s="28" t="s">
        <v>19</v>
      </c>
      <c r="J3040" s="43"/>
    </row>
    <row r="3041" spans="1:10" customFormat="1" ht="15.75" hidden="1" customHeight="1" x14ac:dyDescent="0.25">
      <c r="A3041" s="57">
        <v>45309</v>
      </c>
      <c r="B3041" s="36" t="s">
        <v>6236</v>
      </c>
      <c r="C3041" s="28" t="s">
        <v>2903</v>
      </c>
      <c r="D3041" s="28" t="s">
        <v>2904</v>
      </c>
      <c r="E3041" s="38">
        <v>26500</v>
      </c>
      <c r="F3041" s="67">
        <v>174000</v>
      </c>
      <c r="G3041" s="38">
        <v>36540</v>
      </c>
      <c r="H3041" s="56">
        <v>237040</v>
      </c>
      <c r="I3041" s="28" t="s">
        <v>19</v>
      </c>
      <c r="J3041" s="43"/>
    </row>
    <row r="3042" spans="1:10" customFormat="1" ht="15.75" hidden="1" customHeight="1" x14ac:dyDescent="0.25">
      <c r="A3042" s="57">
        <v>45309</v>
      </c>
      <c r="B3042" s="36" t="s">
        <v>6237</v>
      </c>
      <c r="C3042" s="28" t="s">
        <v>4854</v>
      </c>
      <c r="D3042" s="28" t="s">
        <v>4855</v>
      </c>
      <c r="E3042" s="38">
        <v>3700</v>
      </c>
      <c r="F3042" s="67">
        <v>250500</v>
      </c>
      <c r="G3042" s="38">
        <v>52605</v>
      </c>
      <c r="H3042" s="56">
        <v>306805</v>
      </c>
      <c r="I3042" s="28" t="s">
        <v>19</v>
      </c>
      <c r="J3042" s="43"/>
    </row>
    <row r="3043" spans="1:10" customFormat="1" ht="15.75" hidden="1" customHeight="1" x14ac:dyDescent="0.25">
      <c r="A3043" s="57">
        <v>45309</v>
      </c>
      <c r="B3043" s="36" t="s">
        <v>6238</v>
      </c>
      <c r="C3043" s="28" t="s">
        <v>3014</v>
      </c>
      <c r="D3043" s="28" t="s">
        <v>3015</v>
      </c>
      <c r="E3043" s="38">
        <v>8800</v>
      </c>
      <c r="F3043" s="67">
        <v>225000</v>
      </c>
      <c r="G3043" s="38">
        <v>47250</v>
      </c>
      <c r="H3043" s="56">
        <v>281050</v>
      </c>
      <c r="I3043" s="28" t="s">
        <v>19</v>
      </c>
      <c r="J3043" s="43"/>
    </row>
    <row r="3044" spans="1:10" customFormat="1" ht="15.75" hidden="1" customHeight="1" x14ac:dyDescent="0.25">
      <c r="A3044" s="57">
        <v>45309</v>
      </c>
      <c r="B3044" s="36" t="s">
        <v>6239</v>
      </c>
      <c r="C3044" s="28" t="s">
        <v>2867</v>
      </c>
      <c r="D3044" s="28" t="s">
        <v>2868</v>
      </c>
      <c r="E3044" s="38">
        <v>33000</v>
      </c>
      <c r="F3044" s="67">
        <v>304000</v>
      </c>
      <c r="G3044" s="38">
        <v>63840</v>
      </c>
      <c r="H3044" s="56">
        <v>400840</v>
      </c>
      <c r="I3044" s="28" t="s">
        <v>19</v>
      </c>
      <c r="J3044" s="43"/>
    </row>
    <row r="3045" spans="1:10" customFormat="1" ht="15.75" hidden="1" customHeight="1" x14ac:dyDescent="0.25">
      <c r="A3045" s="57">
        <v>45309</v>
      </c>
      <c r="B3045" s="36" t="s">
        <v>6240</v>
      </c>
      <c r="C3045" s="28" t="s">
        <v>2909</v>
      </c>
      <c r="D3045" s="28" t="s">
        <v>2910</v>
      </c>
      <c r="E3045" s="38">
        <v>18000</v>
      </c>
      <c r="F3045" s="67">
        <v>225000</v>
      </c>
      <c r="G3045" s="38">
        <v>47250</v>
      </c>
      <c r="H3045" s="56">
        <v>290250</v>
      </c>
      <c r="I3045" s="28" t="s">
        <v>19</v>
      </c>
      <c r="J3045" s="43"/>
    </row>
    <row r="3046" spans="1:10" customFormat="1" ht="15.75" hidden="1" customHeight="1" x14ac:dyDescent="0.25">
      <c r="A3046" s="57">
        <v>45309</v>
      </c>
      <c r="B3046" s="36" t="s">
        <v>6241</v>
      </c>
      <c r="C3046" s="28" t="s">
        <v>2909</v>
      </c>
      <c r="D3046" s="28" t="s">
        <v>2910</v>
      </c>
      <c r="E3046" s="38">
        <v>18000</v>
      </c>
      <c r="F3046" s="67">
        <v>337500</v>
      </c>
      <c r="G3046" s="38">
        <v>70875</v>
      </c>
      <c r="H3046" s="56">
        <v>426375</v>
      </c>
      <c r="I3046" s="28" t="s">
        <v>19</v>
      </c>
      <c r="J3046" s="43"/>
    </row>
    <row r="3047" spans="1:10" customFormat="1" ht="15.75" hidden="1" customHeight="1" x14ac:dyDescent="0.25">
      <c r="A3047" s="57">
        <v>45309</v>
      </c>
      <c r="B3047" s="36" t="s">
        <v>6242</v>
      </c>
      <c r="C3047" s="28" t="s">
        <v>2867</v>
      </c>
      <c r="D3047" s="28" t="s">
        <v>2868</v>
      </c>
      <c r="E3047" s="38">
        <v>12500</v>
      </c>
      <c r="F3047" s="67">
        <v>225000</v>
      </c>
      <c r="G3047" s="38">
        <v>47250</v>
      </c>
      <c r="H3047" s="56">
        <v>284750</v>
      </c>
      <c r="I3047" s="28" t="s">
        <v>19</v>
      </c>
      <c r="J3047" s="43"/>
    </row>
    <row r="3048" spans="1:10" customFormat="1" ht="15.75" hidden="1" customHeight="1" x14ac:dyDescent="0.25">
      <c r="A3048" s="57">
        <v>45309</v>
      </c>
      <c r="B3048" s="36" t="s">
        <v>6243</v>
      </c>
      <c r="C3048" s="28" t="s">
        <v>3007</v>
      </c>
      <c r="D3048" s="28" t="s">
        <v>3008</v>
      </c>
      <c r="E3048" s="38">
        <v>23500</v>
      </c>
      <c r="F3048" s="67">
        <v>152000</v>
      </c>
      <c r="G3048" s="38">
        <v>31920</v>
      </c>
      <c r="H3048" s="56">
        <v>207420</v>
      </c>
      <c r="I3048" s="28" t="s">
        <v>19</v>
      </c>
      <c r="J3048" s="43"/>
    </row>
    <row r="3049" spans="1:10" customFormat="1" ht="15.75" hidden="1" customHeight="1" x14ac:dyDescent="0.25">
      <c r="A3049" s="57">
        <v>45309</v>
      </c>
      <c r="B3049" s="36" t="s">
        <v>6244</v>
      </c>
      <c r="C3049" s="28" t="s">
        <v>2921</v>
      </c>
      <c r="D3049" s="28" t="s">
        <v>2922</v>
      </c>
      <c r="E3049" s="38">
        <v>23500</v>
      </c>
      <c r="F3049" s="67">
        <v>152000</v>
      </c>
      <c r="G3049" s="38">
        <v>31920</v>
      </c>
      <c r="H3049" s="56">
        <v>207420</v>
      </c>
      <c r="I3049" s="28" t="s">
        <v>19</v>
      </c>
      <c r="J3049" s="43"/>
    </row>
    <row r="3050" spans="1:10" customFormat="1" ht="15.75" hidden="1" customHeight="1" x14ac:dyDescent="0.25">
      <c r="A3050" s="57">
        <v>45309</v>
      </c>
      <c r="B3050" s="36" t="s">
        <v>6245</v>
      </c>
      <c r="C3050" s="28" t="s">
        <v>2921</v>
      </c>
      <c r="D3050" s="28" t="s">
        <v>2922</v>
      </c>
      <c r="E3050" s="38">
        <v>47000</v>
      </c>
      <c r="F3050" s="67">
        <v>304000</v>
      </c>
      <c r="G3050" s="38">
        <v>63840</v>
      </c>
      <c r="H3050" s="56">
        <v>414840</v>
      </c>
      <c r="I3050" s="28" t="s">
        <v>19</v>
      </c>
      <c r="J3050" s="43"/>
    </row>
    <row r="3051" spans="1:10" customFormat="1" ht="15.75" hidden="1" customHeight="1" x14ac:dyDescent="0.25">
      <c r="A3051" s="57">
        <v>45309</v>
      </c>
      <c r="B3051" s="36" t="s">
        <v>6246</v>
      </c>
      <c r="C3051" s="28" t="s">
        <v>2942</v>
      </c>
      <c r="D3051" s="28" t="s">
        <v>2943</v>
      </c>
      <c r="E3051" s="38">
        <v>23500</v>
      </c>
      <c r="F3051" s="67">
        <v>152000</v>
      </c>
      <c r="G3051" s="38">
        <v>31920</v>
      </c>
      <c r="H3051" s="56">
        <v>207420</v>
      </c>
      <c r="I3051" s="28" t="s">
        <v>19</v>
      </c>
      <c r="J3051" s="43"/>
    </row>
    <row r="3052" spans="1:10" customFormat="1" ht="15.75" hidden="1" customHeight="1" x14ac:dyDescent="0.25">
      <c r="A3052" s="57">
        <v>45309</v>
      </c>
      <c r="B3052" s="36" t="s">
        <v>6247</v>
      </c>
      <c r="C3052" s="28" t="s">
        <v>2972</v>
      </c>
      <c r="D3052" s="28" t="s">
        <v>2973</v>
      </c>
      <c r="E3052" s="38">
        <v>14500</v>
      </c>
      <c r="F3052" s="67">
        <v>647500</v>
      </c>
      <c r="G3052" s="38">
        <v>135975</v>
      </c>
      <c r="H3052" s="56">
        <v>797975</v>
      </c>
      <c r="I3052" s="28" t="s">
        <v>19</v>
      </c>
      <c r="J3052" s="43"/>
    </row>
    <row r="3053" spans="1:10" customFormat="1" ht="15.75" hidden="1" customHeight="1" x14ac:dyDescent="0.25">
      <c r="A3053" s="57">
        <v>45309</v>
      </c>
      <c r="B3053" s="36" t="s">
        <v>6248</v>
      </c>
      <c r="C3053" s="28" t="s">
        <v>5611</v>
      </c>
      <c r="D3053" s="28" t="s">
        <v>5612</v>
      </c>
      <c r="E3053" s="38">
        <v>12413</v>
      </c>
      <c r="F3053" s="67">
        <v>225000</v>
      </c>
      <c r="G3053" s="38">
        <v>47250</v>
      </c>
      <c r="H3053" s="56">
        <v>284663</v>
      </c>
      <c r="I3053" s="28" t="s">
        <v>19</v>
      </c>
      <c r="J3053" s="43"/>
    </row>
    <row r="3054" spans="1:10" customFormat="1" ht="15.75" hidden="1" customHeight="1" x14ac:dyDescent="0.25">
      <c r="A3054" s="57">
        <v>45309</v>
      </c>
      <c r="B3054" s="36" t="s">
        <v>6249</v>
      </c>
      <c r="C3054" s="28" t="s">
        <v>5611</v>
      </c>
      <c r="D3054" s="28" t="s">
        <v>5612</v>
      </c>
      <c r="E3054" s="38">
        <v>12413</v>
      </c>
      <c r="F3054" s="67">
        <v>225000</v>
      </c>
      <c r="G3054" s="38">
        <v>47250</v>
      </c>
      <c r="H3054" s="56">
        <v>284663</v>
      </c>
      <c r="I3054" s="28" t="s">
        <v>19</v>
      </c>
      <c r="J3054" s="43"/>
    </row>
    <row r="3055" spans="1:10" customFormat="1" ht="15.75" hidden="1" customHeight="1" x14ac:dyDescent="0.25">
      <c r="A3055" s="57">
        <v>45309</v>
      </c>
      <c r="B3055" s="36" t="s">
        <v>6250</v>
      </c>
      <c r="C3055" s="28" t="s">
        <v>3041</v>
      </c>
      <c r="D3055" s="28" t="s">
        <v>3042</v>
      </c>
      <c r="E3055" s="38">
        <v>16000</v>
      </c>
      <c r="F3055" s="67">
        <v>185000</v>
      </c>
      <c r="G3055" s="38">
        <v>38850</v>
      </c>
      <c r="H3055" s="56">
        <v>239850</v>
      </c>
      <c r="I3055" s="28" t="s">
        <v>19</v>
      </c>
      <c r="J3055" s="43"/>
    </row>
    <row r="3056" spans="1:10" customFormat="1" ht="15.75" hidden="1" customHeight="1" x14ac:dyDescent="0.25">
      <c r="A3056" s="57">
        <v>45309</v>
      </c>
      <c r="B3056" s="36" t="s">
        <v>6251</v>
      </c>
      <c r="C3056" s="28" t="s">
        <v>2867</v>
      </c>
      <c r="D3056" s="28" t="s">
        <v>2868</v>
      </c>
      <c r="E3056" s="38">
        <v>33000</v>
      </c>
      <c r="F3056" s="67">
        <v>304000</v>
      </c>
      <c r="G3056" s="38">
        <v>63840</v>
      </c>
      <c r="H3056" s="56">
        <v>400840</v>
      </c>
      <c r="I3056" s="28" t="s">
        <v>19</v>
      </c>
      <c r="J3056" s="43"/>
    </row>
    <row r="3057" spans="1:10" customFormat="1" ht="15.75" hidden="1" customHeight="1" x14ac:dyDescent="0.25">
      <c r="A3057" s="57">
        <v>45309</v>
      </c>
      <c r="B3057" s="36" t="s">
        <v>6252</v>
      </c>
      <c r="C3057" s="28" t="s">
        <v>3014</v>
      </c>
      <c r="D3057" s="28" t="s">
        <v>3015</v>
      </c>
      <c r="E3057" s="38">
        <v>23500</v>
      </c>
      <c r="F3057" s="67">
        <v>152000</v>
      </c>
      <c r="G3057" s="38">
        <v>31920</v>
      </c>
      <c r="H3057" s="56">
        <v>207420</v>
      </c>
      <c r="I3057" s="28" t="s">
        <v>19</v>
      </c>
      <c r="J3057" s="43"/>
    </row>
    <row r="3058" spans="1:10" customFormat="1" ht="15.75" hidden="1" customHeight="1" x14ac:dyDescent="0.25">
      <c r="A3058" s="57">
        <v>45309</v>
      </c>
      <c r="B3058" s="36" t="s">
        <v>6253</v>
      </c>
      <c r="C3058" s="28" t="s">
        <v>2856</v>
      </c>
      <c r="D3058" s="28" t="s">
        <v>2857</v>
      </c>
      <c r="E3058" s="38">
        <v>11000</v>
      </c>
      <c r="F3058" s="67">
        <v>225000</v>
      </c>
      <c r="G3058" s="38">
        <v>47250</v>
      </c>
      <c r="H3058" s="56">
        <v>283250</v>
      </c>
      <c r="I3058" s="28" t="s">
        <v>19</v>
      </c>
      <c r="J3058" s="43"/>
    </row>
    <row r="3059" spans="1:10" customFormat="1" ht="15.75" hidden="1" customHeight="1" x14ac:dyDescent="0.25">
      <c r="A3059" s="57">
        <v>45309</v>
      </c>
      <c r="B3059" s="36" t="s">
        <v>6254</v>
      </c>
      <c r="C3059" s="28" t="s">
        <v>2892</v>
      </c>
      <c r="D3059" s="28" t="s">
        <v>2893</v>
      </c>
      <c r="E3059" s="38">
        <v>65000</v>
      </c>
      <c r="F3059" s="67">
        <v>105000</v>
      </c>
      <c r="G3059" s="38">
        <v>22050</v>
      </c>
      <c r="H3059" s="56">
        <v>192050</v>
      </c>
      <c r="I3059" s="28" t="s">
        <v>19</v>
      </c>
      <c r="J3059" s="43"/>
    </row>
    <row r="3060" spans="1:10" customFormat="1" ht="15.75" hidden="1" customHeight="1" x14ac:dyDescent="0.25">
      <c r="A3060" s="57">
        <v>45310</v>
      </c>
      <c r="B3060" s="36" t="s">
        <v>6255</v>
      </c>
      <c r="C3060" s="28" t="s">
        <v>3562</v>
      </c>
      <c r="D3060" s="28" t="s">
        <v>3563</v>
      </c>
      <c r="E3060" s="38">
        <v>11900</v>
      </c>
      <c r="F3060" s="67">
        <v>375000</v>
      </c>
      <c r="G3060" s="38">
        <v>78750</v>
      </c>
      <c r="H3060" s="56">
        <v>465650</v>
      </c>
      <c r="I3060" s="28" t="s">
        <v>19</v>
      </c>
      <c r="J3060" s="43"/>
    </row>
    <row r="3061" spans="1:10" customFormat="1" ht="15.75" hidden="1" customHeight="1" x14ac:dyDescent="0.25">
      <c r="A3061" s="57">
        <v>45310</v>
      </c>
      <c r="B3061" s="36" t="s">
        <v>6256</v>
      </c>
      <c r="C3061" s="28" t="s">
        <v>2856</v>
      </c>
      <c r="D3061" s="28" t="s">
        <v>2857</v>
      </c>
      <c r="E3061" s="38">
        <v>11000</v>
      </c>
      <c r="F3061" s="67">
        <v>240000</v>
      </c>
      <c r="G3061" s="38">
        <v>50400</v>
      </c>
      <c r="H3061" s="56">
        <v>301400</v>
      </c>
      <c r="I3061" s="28" t="s">
        <v>19</v>
      </c>
      <c r="J3061" s="43"/>
    </row>
    <row r="3062" spans="1:10" customFormat="1" ht="15.75" hidden="1" customHeight="1" x14ac:dyDescent="0.25">
      <c r="A3062" s="57">
        <v>45310</v>
      </c>
      <c r="B3062" s="36" t="s">
        <v>6257</v>
      </c>
      <c r="C3062" s="28" t="s">
        <v>2921</v>
      </c>
      <c r="D3062" s="28" t="s">
        <v>2922</v>
      </c>
      <c r="E3062" s="38">
        <v>0</v>
      </c>
      <c r="F3062" s="67">
        <v>46000</v>
      </c>
      <c r="G3062" s="38">
        <v>9660</v>
      </c>
      <c r="H3062" s="56">
        <v>55660</v>
      </c>
      <c r="I3062" s="28" t="s">
        <v>19</v>
      </c>
      <c r="J3062" s="43"/>
    </row>
    <row r="3063" spans="1:10" customFormat="1" ht="15.75" hidden="1" customHeight="1" x14ac:dyDescent="0.25">
      <c r="A3063" s="57">
        <v>45310</v>
      </c>
      <c r="B3063" s="36" t="s">
        <v>6258</v>
      </c>
      <c r="C3063" s="28" t="s">
        <v>2942</v>
      </c>
      <c r="D3063" s="28" t="s">
        <v>2943</v>
      </c>
      <c r="E3063" s="38">
        <v>23500</v>
      </c>
      <c r="F3063" s="67">
        <v>152000</v>
      </c>
      <c r="G3063" s="38">
        <v>31920</v>
      </c>
      <c r="H3063" s="56">
        <v>207420</v>
      </c>
      <c r="I3063" s="28" t="s">
        <v>19</v>
      </c>
      <c r="J3063" s="43"/>
    </row>
    <row r="3064" spans="1:10" customFormat="1" ht="15.75" hidden="1" customHeight="1" x14ac:dyDescent="0.25">
      <c r="A3064" s="57">
        <v>45310</v>
      </c>
      <c r="B3064" s="36" t="s">
        <v>6259</v>
      </c>
      <c r="C3064" s="28" t="s">
        <v>3083</v>
      </c>
      <c r="D3064" s="28" t="s">
        <v>3084</v>
      </c>
      <c r="E3064" s="38">
        <v>47000</v>
      </c>
      <c r="F3064" s="67">
        <v>304000</v>
      </c>
      <c r="G3064" s="38">
        <v>63840</v>
      </c>
      <c r="H3064" s="56">
        <v>414840</v>
      </c>
      <c r="I3064" s="28" t="s">
        <v>19</v>
      </c>
      <c r="J3064" s="43"/>
    </row>
    <row r="3065" spans="1:10" customFormat="1" ht="15.75" hidden="1" customHeight="1" x14ac:dyDescent="0.25">
      <c r="A3065" s="57">
        <v>45310</v>
      </c>
      <c r="B3065" s="36" t="s">
        <v>6260</v>
      </c>
      <c r="C3065" s="28" t="s">
        <v>2867</v>
      </c>
      <c r="D3065" s="28" t="s">
        <v>2868</v>
      </c>
      <c r="E3065" s="38">
        <v>23500</v>
      </c>
      <c r="F3065" s="67">
        <v>152000</v>
      </c>
      <c r="G3065" s="38">
        <v>31920</v>
      </c>
      <c r="H3065" s="56">
        <v>207420</v>
      </c>
      <c r="I3065" s="28" t="s">
        <v>19</v>
      </c>
      <c r="J3065" s="43"/>
    </row>
    <row r="3066" spans="1:10" customFormat="1" ht="15.75" hidden="1" customHeight="1" x14ac:dyDescent="0.25">
      <c r="A3066" s="57">
        <v>45313</v>
      </c>
      <c r="B3066" s="36" t="s">
        <v>6261</v>
      </c>
      <c r="C3066" s="28" t="s">
        <v>2921</v>
      </c>
      <c r="D3066" s="28" t="s">
        <v>2922</v>
      </c>
      <c r="E3066" s="38">
        <v>25200</v>
      </c>
      <c r="F3066" s="67">
        <v>315000</v>
      </c>
      <c r="G3066" s="38">
        <v>66150</v>
      </c>
      <c r="H3066" s="56">
        <v>406350</v>
      </c>
      <c r="I3066" s="28" t="s">
        <v>19</v>
      </c>
      <c r="J3066" s="43"/>
    </row>
    <row r="3067" spans="1:10" customFormat="1" ht="15.75" hidden="1" customHeight="1" x14ac:dyDescent="0.25">
      <c r="A3067" s="57">
        <v>45313</v>
      </c>
      <c r="B3067" s="36" t="s">
        <v>6262</v>
      </c>
      <c r="C3067" s="28" t="s">
        <v>2851</v>
      </c>
      <c r="D3067" s="28" t="s">
        <v>2852</v>
      </c>
      <c r="E3067" s="38">
        <v>17800</v>
      </c>
      <c r="F3067" s="67">
        <v>315000</v>
      </c>
      <c r="G3067" s="38">
        <v>66150</v>
      </c>
      <c r="H3067" s="56">
        <v>398950</v>
      </c>
      <c r="I3067" s="28" t="s">
        <v>19</v>
      </c>
      <c r="J3067" s="43"/>
    </row>
    <row r="3068" spans="1:10" customFormat="1" ht="15.75" hidden="1" customHeight="1" x14ac:dyDescent="0.25">
      <c r="A3068" s="57">
        <v>45313</v>
      </c>
      <c r="B3068" s="36" t="s">
        <v>6263</v>
      </c>
      <c r="C3068" s="28" t="s">
        <v>2942</v>
      </c>
      <c r="D3068" s="28" t="s">
        <v>2943</v>
      </c>
      <c r="E3068" s="38">
        <v>33000</v>
      </c>
      <c r="F3068" s="67">
        <v>304000</v>
      </c>
      <c r="G3068" s="38">
        <v>63840</v>
      </c>
      <c r="H3068" s="56">
        <v>400840</v>
      </c>
      <c r="I3068" s="28" t="s">
        <v>19</v>
      </c>
      <c r="J3068" s="43"/>
    </row>
    <row r="3069" spans="1:10" customFormat="1" ht="15.75" hidden="1" customHeight="1" x14ac:dyDescent="0.25">
      <c r="A3069" s="57">
        <v>45313</v>
      </c>
      <c r="B3069" s="36" t="s">
        <v>6264</v>
      </c>
      <c r="C3069" s="28" t="s">
        <v>2867</v>
      </c>
      <c r="D3069" s="28" t="s">
        <v>2868</v>
      </c>
      <c r="E3069" s="38">
        <v>33000</v>
      </c>
      <c r="F3069" s="67">
        <v>304000</v>
      </c>
      <c r="G3069" s="38">
        <v>63840</v>
      </c>
      <c r="H3069" s="56">
        <v>400840</v>
      </c>
      <c r="I3069" s="28" t="s">
        <v>19</v>
      </c>
      <c r="J3069" s="43"/>
    </row>
    <row r="3070" spans="1:10" customFormat="1" ht="15.75" hidden="1" customHeight="1" x14ac:dyDescent="0.25">
      <c r="A3070" s="57">
        <v>45313</v>
      </c>
      <c r="B3070" s="36" t="s">
        <v>6265</v>
      </c>
      <c r="C3070" s="28" t="s">
        <v>2870</v>
      </c>
      <c r="D3070" s="28" t="s">
        <v>2871</v>
      </c>
      <c r="E3070" s="38">
        <v>23500</v>
      </c>
      <c r="F3070" s="67">
        <v>152000</v>
      </c>
      <c r="G3070" s="38">
        <v>31920</v>
      </c>
      <c r="H3070" s="56">
        <v>207420</v>
      </c>
      <c r="I3070" s="28" t="s">
        <v>19</v>
      </c>
      <c r="J3070" s="43"/>
    </row>
    <row r="3071" spans="1:10" customFormat="1" ht="15.75" hidden="1" customHeight="1" x14ac:dyDescent="0.25">
      <c r="A3071" s="57">
        <v>45313</v>
      </c>
      <c r="B3071" s="36" t="s">
        <v>6266</v>
      </c>
      <c r="C3071" s="28" t="s">
        <v>2886</v>
      </c>
      <c r="D3071" s="28" t="s">
        <v>2887</v>
      </c>
      <c r="E3071" s="38">
        <v>66000</v>
      </c>
      <c r="F3071" s="67">
        <v>608000</v>
      </c>
      <c r="G3071" s="38">
        <v>127680</v>
      </c>
      <c r="H3071" s="56">
        <v>801680</v>
      </c>
      <c r="I3071" s="28" t="s">
        <v>19</v>
      </c>
      <c r="J3071" s="43"/>
    </row>
    <row r="3072" spans="1:10" customFormat="1" ht="15.75" hidden="1" customHeight="1" x14ac:dyDescent="0.25">
      <c r="A3072" s="57">
        <v>45313</v>
      </c>
      <c r="B3072" s="36" t="s">
        <v>6267</v>
      </c>
      <c r="C3072" s="28" t="s">
        <v>4181</v>
      </c>
      <c r="D3072" s="28" t="s">
        <v>4182</v>
      </c>
      <c r="E3072" s="38">
        <v>23500</v>
      </c>
      <c r="F3072" s="67">
        <v>152000</v>
      </c>
      <c r="G3072" s="38">
        <v>31920</v>
      </c>
      <c r="H3072" s="56">
        <v>207420</v>
      </c>
      <c r="I3072" s="28" t="s">
        <v>19</v>
      </c>
      <c r="J3072" s="43"/>
    </row>
    <row r="3073" spans="1:10" customFormat="1" ht="15.75" hidden="1" customHeight="1" x14ac:dyDescent="0.25">
      <c r="A3073" s="57">
        <v>45313</v>
      </c>
      <c r="B3073" s="36" t="s">
        <v>6268</v>
      </c>
      <c r="C3073" s="28" t="s">
        <v>3007</v>
      </c>
      <c r="D3073" s="28" t="s">
        <v>3008</v>
      </c>
      <c r="E3073" s="38">
        <v>19300</v>
      </c>
      <c r="F3073" s="67">
        <v>337500</v>
      </c>
      <c r="G3073" s="38">
        <v>70875</v>
      </c>
      <c r="H3073" s="56">
        <v>427675</v>
      </c>
      <c r="I3073" s="28" t="s">
        <v>19</v>
      </c>
      <c r="J3073" s="43"/>
    </row>
    <row r="3074" spans="1:10" customFormat="1" ht="15.75" hidden="1" customHeight="1" x14ac:dyDescent="0.25">
      <c r="A3074" s="57">
        <v>45313</v>
      </c>
      <c r="B3074" s="36" t="s">
        <v>6269</v>
      </c>
      <c r="C3074" s="28" t="s">
        <v>4827</v>
      </c>
      <c r="D3074" s="28" t="s">
        <v>4828</v>
      </c>
      <c r="E3074" s="38">
        <v>18000</v>
      </c>
      <c r="F3074" s="67">
        <v>262000</v>
      </c>
      <c r="G3074" s="38">
        <v>55020</v>
      </c>
      <c r="H3074" s="56">
        <v>335020</v>
      </c>
      <c r="I3074" s="28" t="s">
        <v>19</v>
      </c>
      <c r="J3074" s="43"/>
    </row>
    <row r="3075" spans="1:10" customFormat="1" ht="15.75" hidden="1" customHeight="1" x14ac:dyDescent="0.25">
      <c r="A3075" s="57">
        <v>45313</v>
      </c>
      <c r="B3075" s="36" t="s">
        <v>6270</v>
      </c>
      <c r="C3075" s="28" t="s">
        <v>2883</v>
      </c>
      <c r="D3075" s="28" t="s">
        <v>2884</v>
      </c>
      <c r="E3075" s="38">
        <v>7400</v>
      </c>
      <c r="F3075" s="67">
        <v>250500</v>
      </c>
      <c r="G3075" s="38">
        <v>52605</v>
      </c>
      <c r="H3075" s="56">
        <v>310505</v>
      </c>
      <c r="I3075" s="28" t="s">
        <v>19</v>
      </c>
      <c r="J3075" s="43"/>
    </row>
    <row r="3076" spans="1:10" customFormat="1" ht="15.75" hidden="1" customHeight="1" x14ac:dyDescent="0.25">
      <c r="A3076" s="57">
        <v>45313</v>
      </c>
      <c r="B3076" s="36" t="s">
        <v>6271</v>
      </c>
      <c r="C3076" s="28" t="s">
        <v>2867</v>
      </c>
      <c r="D3076" s="28" t="s">
        <v>2868</v>
      </c>
      <c r="E3076" s="38">
        <v>14800</v>
      </c>
      <c r="F3076" s="67">
        <v>444600</v>
      </c>
      <c r="G3076" s="38">
        <v>93366</v>
      </c>
      <c r="H3076" s="56">
        <v>552766</v>
      </c>
      <c r="I3076" s="28" t="s">
        <v>19</v>
      </c>
      <c r="J3076" s="43"/>
    </row>
    <row r="3077" spans="1:10" customFormat="1" ht="15.75" hidden="1" customHeight="1" x14ac:dyDescent="0.25">
      <c r="A3077" s="57">
        <v>45313</v>
      </c>
      <c r="B3077" s="36" t="s">
        <v>6272</v>
      </c>
      <c r="C3077" s="28" t="s">
        <v>3007</v>
      </c>
      <c r="D3077" s="28" t="s">
        <v>3008</v>
      </c>
      <c r="E3077" s="38">
        <v>16500</v>
      </c>
      <c r="F3077" s="67">
        <v>210000</v>
      </c>
      <c r="G3077" s="38">
        <v>44100</v>
      </c>
      <c r="H3077" s="56">
        <v>270600</v>
      </c>
      <c r="I3077" s="28" t="s">
        <v>19</v>
      </c>
      <c r="J3077" s="43"/>
    </row>
    <row r="3078" spans="1:10" customFormat="1" ht="15.75" hidden="1" customHeight="1" x14ac:dyDescent="0.25">
      <c r="A3078" s="57">
        <v>45314</v>
      </c>
      <c r="B3078" s="36" t="s">
        <v>6273</v>
      </c>
      <c r="C3078" s="28" t="s">
        <v>4749</v>
      </c>
      <c r="D3078" s="28" t="s">
        <v>4750</v>
      </c>
      <c r="E3078" s="38">
        <v>0</v>
      </c>
      <c r="F3078" s="67">
        <v>69000</v>
      </c>
      <c r="G3078" s="38">
        <v>14490</v>
      </c>
      <c r="H3078" s="56">
        <v>83490</v>
      </c>
      <c r="I3078" s="28" t="s">
        <v>19</v>
      </c>
      <c r="J3078" s="43"/>
    </row>
    <row r="3079" spans="1:10" customFormat="1" ht="15.75" hidden="1" customHeight="1" x14ac:dyDescent="0.25">
      <c r="A3079" s="57">
        <v>45314</v>
      </c>
      <c r="B3079" s="36" t="s">
        <v>6274</v>
      </c>
      <c r="C3079" s="28" t="s">
        <v>3014</v>
      </c>
      <c r="D3079" s="28" t="s">
        <v>3015</v>
      </c>
      <c r="E3079" s="38">
        <v>47000</v>
      </c>
      <c r="F3079" s="67">
        <v>304000</v>
      </c>
      <c r="G3079" s="38">
        <v>63840</v>
      </c>
      <c r="H3079" s="56">
        <v>414840</v>
      </c>
      <c r="I3079" s="28" t="s">
        <v>19</v>
      </c>
      <c r="J3079" s="43"/>
    </row>
    <row r="3080" spans="1:10" customFormat="1" ht="15.75" hidden="1" customHeight="1" x14ac:dyDescent="0.25">
      <c r="A3080" s="57">
        <v>45314</v>
      </c>
      <c r="B3080" s="36" t="s">
        <v>6275</v>
      </c>
      <c r="C3080" s="28" t="s">
        <v>2921</v>
      </c>
      <c r="D3080" s="28" t="s">
        <v>2922</v>
      </c>
      <c r="E3080" s="38">
        <v>15200</v>
      </c>
      <c r="F3080" s="67">
        <v>450000</v>
      </c>
      <c r="G3080" s="38">
        <v>94500</v>
      </c>
      <c r="H3080" s="56">
        <v>559700</v>
      </c>
      <c r="I3080" s="28" t="s">
        <v>19</v>
      </c>
      <c r="J3080" s="43"/>
    </row>
    <row r="3081" spans="1:10" customFormat="1" ht="15.75" hidden="1" customHeight="1" x14ac:dyDescent="0.25">
      <c r="A3081" s="57">
        <v>45314</v>
      </c>
      <c r="B3081" s="36" t="s">
        <v>6276</v>
      </c>
      <c r="C3081" s="28" t="s">
        <v>2867</v>
      </c>
      <c r="D3081" s="28" t="s">
        <v>2868</v>
      </c>
      <c r="E3081" s="38">
        <v>38400</v>
      </c>
      <c r="F3081" s="67">
        <v>555000</v>
      </c>
      <c r="G3081" s="38">
        <v>116550</v>
      </c>
      <c r="H3081" s="56">
        <v>709950</v>
      </c>
      <c r="I3081" s="28" t="s">
        <v>19</v>
      </c>
      <c r="J3081" s="43"/>
    </row>
    <row r="3082" spans="1:10" customFormat="1" ht="15.75" hidden="1" customHeight="1" x14ac:dyDescent="0.25">
      <c r="A3082" s="57">
        <v>45314</v>
      </c>
      <c r="B3082" s="36" t="s">
        <v>6277</v>
      </c>
      <c r="C3082" s="28" t="s">
        <v>6278</v>
      </c>
      <c r="D3082" s="28" t="s">
        <v>6279</v>
      </c>
      <c r="E3082" s="38">
        <v>0</v>
      </c>
      <c r="F3082" s="67">
        <v>90000</v>
      </c>
      <c r="G3082" s="38">
        <v>18900</v>
      </c>
      <c r="H3082" s="56">
        <v>108900</v>
      </c>
      <c r="I3082" s="28" t="s">
        <v>19</v>
      </c>
      <c r="J3082" s="43"/>
    </row>
    <row r="3083" spans="1:10" customFormat="1" ht="15.75" hidden="1" customHeight="1" x14ac:dyDescent="0.25">
      <c r="A3083" s="57">
        <v>45314</v>
      </c>
      <c r="B3083" s="36" t="s">
        <v>6280</v>
      </c>
      <c r="C3083" s="28" t="s">
        <v>2921</v>
      </c>
      <c r="D3083" s="28" t="s">
        <v>2922</v>
      </c>
      <c r="E3083" s="38">
        <v>0</v>
      </c>
      <c r="F3083" s="67">
        <v>95000</v>
      </c>
      <c r="G3083" s="38">
        <v>19950</v>
      </c>
      <c r="H3083" s="56">
        <v>114950</v>
      </c>
      <c r="I3083" s="28" t="s">
        <v>19</v>
      </c>
      <c r="J3083" s="43"/>
    </row>
    <row r="3084" spans="1:10" customFormat="1" ht="15.75" hidden="1" customHeight="1" x14ac:dyDescent="0.25">
      <c r="A3084" s="57">
        <v>45314</v>
      </c>
      <c r="B3084" s="36" t="s">
        <v>6281</v>
      </c>
      <c r="C3084" s="28" t="s">
        <v>2851</v>
      </c>
      <c r="D3084" s="28" t="s">
        <v>2852</v>
      </c>
      <c r="E3084" s="38">
        <v>5600</v>
      </c>
      <c r="F3084" s="67">
        <v>210000</v>
      </c>
      <c r="G3084" s="38">
        <v>44100</v>
      </c>
      <c r="H3084" s="56">
        <v>259700</v>
      </c>
      <c r="I3084" s="28" t="s">
        <v>19</v>
      </c>
      <c r="J3084" s="43"/>
    </row>
    <row r="3085" spans="1:10" customFormat="1" ht="15.75" hidden="1" customHeight="1" x14ac:dyDescent="0.25">
      <c r="A3085" s="57">
        <v>45314</v>
      </c>
      <c r="B3085" s="36" t="s">
        <v>6282</v>
      </c>
      <c r="C3085" s="28" t="s">
        <v>2867</v>
      </c>
      <c r="D3085" s="28" t="s">
        <v>2868</v>
      </c>
      <c r="E3085" s="38">
        <v>17600</v>
      </c>
      <c r="F3085" s="67">
        <v>240000</v>
      </c>
      <c r="G3085" s="38">
        <v>50400</v>
      </c>
      <c r="H3085" s="56">
        <v>308000</v>
      </c>
      <c r="I3085" s="28" t="s">
        <v>19</v>
      </c>
      <c r="J3085" s="43"/>
    </row>
    <row r="3086" spans="1:10" customFormat="1" ht="15.75" hidden="1" customHeight="1" x14ac:dyDescent="0.25">
      <c r="A3086" s="57">
        <v>45314</v>
      </c>
      <c r="B3086" s="36" t="s">
        <v>6283</v>
      </c>
      <c r="C3086" s="28" t="s">
        <v>2851</v>
      </c>
      <c r="D3086" s="28" t="s">
        <v>2852</v>
      </c>
      <c r="E3086" s="38">
        <v>7800</v>
      </c>
      <c r="F3086" s="67">
        <v>225000</v>
      </c>
      <c r="G3086" s="38">
        <v>47250</v>
      </c>
      <c r="H3086" s="56">
        <v>280050</v>
      </c>
      <c r="I3086" s="28" t="s">
        <v>19</v>
      </c>
      <c r="J3086" s="43"/>
    </row>
    <row r="3087" spans="1:10" customFormat="1" ht="15.75" hidden="1" customHeight="1" x14ac:dyDescent="0.25">
      <c r="A3087" s="57">
        <v>45314</v>
      </c>
      <c r="B3087" s="36" t="s">
        <v>6284</v>
      </c>
      <c r="C3087" s="28" t="s">
        <v>3007</v>
      </c>
      <c r="D3087" s="28" t="s">
        <v>3008</v>
      </c>
      <c r="E3087" s="38">
        <v>0</v>
      </c>
      <c r="F3087" s="67">
        <v>47000</v>
      </c>
      <c r="G3087" s="38">
        <v>9870</v>
      </c>
      <c r="H3087" s="56">
        <v>56870</v>
      </c>
      <c r="I3087" s="28" t="s">
        <v>19</v>
      </c>
      <c r="J3087" s="43"/>
    </row>
    <row r="3088" spans="1:10" customFormat="1" ht="15.75" hidden="1" customHeight="1" x14ac:dyDescent="0.25">
      <c r="A3088" s="57">
        <v>45314</v>
      </c>
      <c r="B3088" s="36" t="s">
        <v>6285</v>
      </c>
      <c r="C3088" s="28" t="s">
        <v>2886</v>
      </c>
      <c r="D3088" s="28" t="s">
        <v>2887</v>
      </c>
      <c r="E3088" s="38">
        <v>0</v>
      </c>
      <c r="F3088" s="67">
        <v>190000</v>
      </c>
      <c r="G3088" s="38">
        <v>39900</v>
      </c>
      <c r="H3088" s="56">
        <v>229900</v>
      </c>
      <c r="I3088" s="28" t="s">
        <v>19</v>
      </c>
      <c r="J3088" s="43"/>
    </row>
    <row r="3089" spans="1:10" customFormat="1" ht="15.75" hidden="1" customHeight="1" x14ac:dyDescent="0.25">
      <c r="A3089" s="57">
        <v>45314</v>
      </c>
      <c r="B3089" s="36" t="s">
        <v>6286</v>
      </c>
      <c r="C3089" s="28" t="s">
        <v>2909</v>
      </c>
      <c r="D3089" s="28" t="s">
        <v>2910</v>
      </c>
      <c r="E3089" s="38">
        <v>25000</v>
      </c>
      <c r="F3089" s="67">
        <v>450000</v>
      </c>
      <c r="G3089" s="38">
        <v>94500</v>
      </c>
      <c r="H3089" s="56">
        <v>569500</v>
      </c>
      <c r="I3089" s="28" t="s">
        <v>19</v>
      </c>
      <c r="J3089" s="43"/>
    </row>
    <row r="3090" spans="1:10" customFormat="1" ht="15.75" hidden="1" customHeight="1" x14ac:dyDescent="0.25">
      <c r="A3090" s="57">
        <v>45314</v>
      </c>
      <c r="B3090" s="36" t="s">
        <v>6287</v>
      </c>
      <c r="C3090" s="28" t="s">
        <v>4749</v>
      </c>
      <c r="D3090" s="28" t="s">
        <v>4750</v>
      </c>
      <c r="E3090" s="38">
        <v>0</v>
      </c>
      <c r="F3090" s="67">
        <v>90000</v>
      </c>
      <c r="G3090" s="38">
        <v>18900</v>
      </c>
      <c r="H3090" s="56">
        <v>108900</v>
      </c>
      <c r="I3090" s="28" t="s">
        <v>19</v>
      </c>
      <c r="J3090" s="43"/>
    </row>
    <row r="3091" spans="1:10" customFormat="1" ht="15.75" hidden="1" customHeight="1" x14ac:dyDescent="0.25">
      <c r="A3091" s="57">
        <v>45314</v>
      </c>
      <c r="B3091" s="36" t="s">
        <v>6288</v>
      </c>
      <c r="C3091" s="28" t="s">
        <v>2867</v>
      </c>
      <c r="D3091" s="28" t="s">
        <v>2868</v>
      </c>
      <c r="E3091" s="38">
        <v>65000</v>
      </c>
      <c r="F3091" s="67">
        <v>600000</v>
      </c>
      <c r="G3091" s="38">
        <v>126000</v>
      </c>
      <c r="H3091" s="56">
        <v>791000</v>
      </c>
      <c r="I3091" s="28" t="s">
        <v>19</v>
      </c>
      <c r="J3091" s="43"/>
    </row>
    <row r="3092" spans="1:10" customFormat="1" ht="15.75" hidden="1" customHeight="1" x14ac:dyDescent="0.25">
      <c r="A3092" s="57">
        <v>45315</v>
      </c>
      <c r="B3092" s="36" t="s">
        <v>6289</v>
      </c>
      <c r="C3092" s="28" t="s">
        <v>2867</v>
      </c>
      <c r="D3092" s="28" t="s">
        <v>2868</v>
      </c>
      <c r="E3092" s="38">
        <v>49000</v>
      </c>
      <c r="F3092" s="67">
        <v>630000</v>
      </c>
      <c r="G3092" s="38">
        <v>132300</v>
      </c>
      <c r="H3092" s="56">
        <v>811300</v>
      </c>
      <c r="I3092" s="28" t="s">
        <v>19</v>
      </c>
      <c r="J3092" s="43"/>
    </row>
    <row r="3093" spans="1:10" customFormat="1" ht="15.75" hidden="1" customHeight="1" x14ac:dyDescent="0.25">
      <c r="A3093" s="57">
        <v>45315</v>
      </c>
      <c r="B3093" s="36" t="s">
        <v>6290</v>
      </c>
      <c r="C3093" s="28" t="s">
        <v>4681</v>
      </c>
      <c r="D3093" s="28" t="s">
        <v>4682</v>
      </c>
      <c r="E3093" s="38">
        <v>24000</v>
      </c>
      <c r="F3093" s="67">
        <v>525000</v>
      </c>
      <c r="G3093" s="38">
        <v>110250</v>
      </c>
      <c r="H3093" s="56">
        <v>659250</v>
      </c>
      <c r="I3093" s="28" t="s">
        <v>19</v>
      </c>
      <c r="J3093" s="43"/>
    </row>
    <row r="3094" spans="1:10" customFormat="1" ht="15.75" hidden="1" customHeight="1" x14ac:dyDescent="0.25">
      <c r="A3094" s="57">
        <v>45316</v>
      </c>
      <c r="B3094" s="36" t="s">
        <v>6291</v>
      </c>
      <c r="C3094" s="28" t="s">
        <v>6292</v>
      </c>
      <c r="D3094" s="28" t="s">
        <v>6293</v>
      </c>
      <c r="E3094" s="38">
        <v>26500</v>
      </c>
      <c r="F3094" s="67">
        <v>152000</v>
      </c>
      <c r="G3094" s="38">
        <v>31920</v>
      </c>
      <c r="H3094" s="56">
        <v>210420</v>
      </c>
      <c r="I3094" s="28" t="s">
        <v>19</v>
      </c>
      <c r="J3094" s="43"/>
    </row>
    <row r="3095" spans="1:10" customFormat="1" ht="15.75" hidden="1" customHeight="1" x14ac:dyDescent="0.25">
      <c r="A3095" s="57">
        <v>45316</v>
      </c>
      <c r="B3095" s="36" t="s">
        <v>6294</v>
      </c>
      <c r="C3095" s="28" t="s">
        <v>2997</v>
      </c>
      <c r="D3095" s="28" t="s">
        <v>2998</v>
      </c>
      <c r="E3095" s="38">
        <v>23500</v>
      </c>
      <c r="F3095" s="67">
        <v>152000</v>
      </c>
      <c r="G3095" s="38">
        <v>31920</v>
      </c>
      <c r="H3095" s="56">
        <v>207420</v>
      </c>
      <c r="I3095" s="28" t="s">
        <v>19</v>
      </c>
      <c r="J3095" s="43"/>
    </row>
    <row r="3096" spans="1:10" customFormat="1" ht="15.75" hidden="1" customHeight="1" x14ac:dyDescent="0.25">
      <c r="A3096" s="57">
        <v>45316</v>
      </c>
      <c r="B3096" s="36" t="s">
        <v>6295</v>
      </c>
      <c r="C3096" s="28" t="s">
        <v>2997</v>
      </c>
      <c r="D3096" s="28" t="s">
        <v>2998</v>
      </c>
      <c r="E3096" s="38">
        <v>23500</v>
      </c>
      <c r="F3096" s="67">
        <v>152000</v>
      </c>
      <c r="G3096" s="38">
        <v>31920</v>
      </c>
      <c r="H3096" s="56">
        <v>207420</v>
      </c>
      <c r="I3096" s="28" t="s">
        <v>19</v>
      </c>
      <c r="J3096" s="43"/>
    </row>
    <row r="3097" spans="1:10" customFormat="1" ht="15.75" hidden="1" customHeight="1" x14ac:dyDescent="0.25">
      <c r="A3097" s="57">
        <v>45316</v>
      </c>
      <c r="B3097" s="36" t="s">
        <v>6296</v>
      </c>
      <c r="C3097" s="28" t="s">
        <v>2997</v>
      </c>
      <c r="D3097" s="28" t="s">
        <v>2998</v>
      </c>
      <c r="E3097" s="38">
        <v>23500</v>
      </c>
      <c r="F3097" s="67">
        <v>152000</v>
      </c>
      <c r="G3097" s="38">
        <v>31920</v>
      </c>
      <c r="H3097" s="56">
        <v>207420</v>
      </c>
      <c r="I3097" s="28" t="s">
        <v>19</v>
      </c>
      <c r="J3097" s="43"/>
    </row>
    <row r="3098" spans="1:10" customFormat="1" ht="15.75" hidden="1" customHeight="1" x14ac:dyDescent="0.25">
      <c r="A3098" s="57">
        <v>45316</v>
      </c>
      <c r="B3098" s="36" t="s">
        <v>6297</v>
      </c>
      <c r="C3098" s="28" t="s">
        <v>2903</v>
      </c>
      <c r="D3098" s="28" t="s">
        <v>2904</v>
      </c>
      <c r="E3098" s="38">
        <v>23500</v>
      </c>
      <c r="F3098" s="67">
        <v>152000</v>
      </c>
      <c r="G3098" s="38">
        <v>31920</v>
      </c>
      <c r="H3098" s="56">
        <v>207420</v>
      </c>
      <c r="I3098" s="28" t="s">
        <v>19</v>
      </c>
      <c r="J3098" s="43"/>
    </row>
    <row r="3099" spans="1:10" customFormat="1" ht="15.75" hidden="1" customHeight="1" x14ac:dyDescent="0.25">
      <c r="A3099" s="57">
        <v>45316</v>
      </c>
      <c r="B3099" s="36" t="s">
        <v>6298</v>
      </c>
      <c r="C3099" s="28" t="s">
        <v>2903</v>
      </c>
      <c r="D3099" s="28" t="s">
        <v>2904</v>
      </c>
      <c r="E3099" s="38">
        <v>23500</v>
      </c>
      <c r="F3099" s="67">
        <v>130000</v>
      </c>
      <c r="G3099" s="38">
        <v>27300</v>
      </c>
      <c r="H3099" s="56">
        <v>180800</v>
      </c>
      <c r="I3099" s="28" t="s">
        <v>19</v>
      </c>
      <c r="J3099" s="43"/>
    </row>
    <row r="3100" spans="1:10" customFormat="1" ht="15.75" hidden="1" customHeight="1" x14ac:dyDescent="0.25">
      <c r="A3100" s="57">
        <v>45316</v>
      </c>
      <c r="B3100" s="36" t="s">
        <v>6299</v>
      </c>
      <c r="C3100" s="28" t="s">
        <v>2903</v>
      </c>
      <c r="D3100" s="28" t="s">
        <v>2904</v>
      </c>
      <c r="E3100" s="38">
        <v>23500</v>
      </c>
      <c r="F3100" s="67">
        <v>130000</v>
      </c>
      <c r="G3100" s="38">
        <v>27300</v>
      </c>
      <c r="H3100" s="56">
        <v>180800</v>
      </c>
      <c r="I3100" s="28" t="s">
        <v>19</v>
      </c>
      <c r="J3100" s="43"/>
    </row>
    <row r="3101" spans="1:10" customFormat="1" ht="15.75" hidden="1" customHeight="1" x14ac:dyDescent="0.25">
      <c r="A3101" s="57">
        <v>45316</v>
      </c>
      <c r="B3101" s="36" t="s">
        <v>6300</v>
      </c>
      <c r="C3101" s="28" t="s">
        <v>2906</v>
      </c>
      <c r="D3101" s="28" t="s">
        <v>2907</v>
      </c>
      <c r="E3101" s="38">
        <v>23500</v>
      </c>
      <c r="F3101" s="67">
        <v>130000</v>
      </c>
      <c r="G3101" s="38">
        <v>27300</v>
      </c>
      <c r="H3101" s="56">
        <v>180800</v>
      </c>
      <c r="I3101" s="28" t="s">
        <v>19</v>
      </c>
      <c r="J3101" s="43"/>
    </row>
    <row r="3102" spans="1:10" customFormat="1" ht="15.75" hidden="1" customHeight="1" x14ac:dyDescent="0.25">
      <c r="A3102" s="57">
        <v>45316</v>
      </c>
      <c r="B3102" s="36" t="s">
        <v>6301</v>
      </c>
      <c r="C3102" s="28" t="s">
        <v>2870</v>
      </c>
      <c r="D3102" s="28" t="s">
        <v>2871</v>
      </c>
      <c r="E3102" s="38">
        <v>14000</v>
      </c>
      <c r="F3102" s="67">
        <v>210000</v>
      </c>
      <c r="G3102" s="38">
        <v>44100</v>
      </c>
      <c r="H3102" s="56">
        <v>268100</v>
      </c>
      <c r="I3102" s="28" t="s">
        <v>19</v>
      </c>
      <c r="J3102" s="43"/>
    </row>
    <row r="3103" spans="1:10" customFormat="1" ht="15.75" hidden="1" customHeight="1" x14ac:dyDescent="0.25">
      <c r="A3103" s="57">
        <v>45317</v>
      </c>
      <c r="B3103" s="36" t="s">
        <v>6302</v>
      </c>
      <c r="C3103" s="28" t="s">
        <v>3241</v>
      </c>
      <c r="D3103" s="28" t="s">
        <v>3242</v>
      </c>
      <c r="E3103" s="38">
        <v>23600</v>
      </c>
      <c r="F3103" s="67">
        <v>385000</v>
      </c>
      <c r="G3103" s="38">
        <v>80850</v>
      </c>
      <c r="H3103" s="56">
        <v>489450</v>
      </c>
      <c r="I3103" s="28" t="s">
        <v>19</v>
      </c>
      <c r="J3103" s="43"/>
    </row>
    <row r="3104" spans="1:10" customFormat="1" ht="15.75" hidden="1" customHeight="1" x14ac:dyDescent="0.25">
      <c r="A3104" s="57">
        <v>45317</v>
      </c>
      <c r="B3104" s="36" t="s">
        <v>6303</v>
      </c>
      <c r="C3104" s="28" t="s">
        <v>2909</v>
      </c>
      <c r="D3104" s="28" t="s">
        <v>2910</v>
      </c>
      <c r="E3104" s="38">
        <v>25000</v>
      </c>
      <c r="F3104" s="67">
        <v>315000</v>
      </c>
      <c r="G3104" s="38">
        <v>66150</v>
      </c>
      <c r="H3104" s="56">
        <v>406150</v>
      </c>
      <c r="I3104" s="28" t="s">
        <v>19</v>
      </c>
      <c r="J3104" s="43"/>
    </row>
    <row r="3105" spans="1:10" customFormat="1" ht="15.75" hidden="1" customHeight="1" x14ac:dyDescent="0.25">
      <c r="A3105" s="57">
        <v>45317</v>
      </c>
      <c r="B3105" s="36" t="s">
        <v>6304</v>
      </c>
      <c r="C3105" s="28" t="s">
        <v>2930</v>
      </c>
      <c r="D3105" s="28" t="s">
        <v>2931</v>
      </c>
      <c r="E3105" s="38">
        <v>24000</v>
      </c>
      <c r="F3105" s="67">
        <v>240000</v>
      </c>
      <c r="G3105" s="38">
        <v>50400</v>
      </c>
      <c r="H3105" s="56">
        <v>314400</v>
      </c>
      <c r="I3105" s="28" t="s">
        <v>19</v>
      </c>
      <c r="J3105" s="43"/>
    </row>
    <row r="3106" spans="1:10" customFormat="1" ht="15.75" hidden="1" customHeight="1" x14ac:dyDescent="0.25">
      <c r="A3106" s="57">
        <v>45317</v>
      </c>
      <c r="B3106" s="36" t="s">
        <v>6305</v>
      </c>
      <c r="C3106" s="28" t="s">
        <v>2930</v>
      </c>
      <c r="D3106" s="28" t="s">
        <v>2931</v>
      </c>
      <c r="E3106" s="38">
        <v>24000</v>
      </c>
      <c r="F3106" s="67">
        <v>320000</v>
      </c>
      <c r="G3106" s="38">
        <v>67200</v>
      </c>
      <c r="H3106" s="56">
        <v>411200</v>
      </c>
      <c r="I3106" s="28" t="s">
        <v>19</v>
      </c>
      <c r="J3106" s="43"/>
    </row>
    <row r="3107" spans="1:10" customFormat="1" ht="15.75" hidden="1" customHeight="1" x14ac:dyDescent="0.25">
      <c r="A3107" s="57">
        <v>45317</v>
      </c>
      <c r="B3107" s="36" t="s">
        <v>6306</v>
      </c>
      <c r="C3107" s="28" t="s">
        <v>2851</v>
      </c>
      <c r="D3107" s="28" t="s">
        <v>2852</v>
      </c>
      <c r="E3107" s="38">
        <v>5800</v>
      </c>
      <c r="F3107" s="67">
        <v>210000</v>
      </c>
      <c r="G3107" s="38">
        <v>44100</v>
      </c>
      <c r="H3107" s="56">
        <v>259900</v>
      </c>
      <c r="I3107" s="28" t="s">
        <v>19</v>
      </c>
      <c r="J3107" s="43"/>
    </row>
    <row r="3108" spans="1:10" customFormat="1" ht="15.75" hidden="1" customHeight="1" x14ac:dyDescent="0.25">
      <c r="A3108" s="57">
        <v>45320</v>
      </c>
      <c r="B3108" s="36" t="s">
        <v>6307</v>
      </c>
      <c r="C3108" s="28" t="s">
        <v>2867</v>
      </c>
      <c r="D3108" s="28" t="s">
        <v>2868</v>
      </c>
      <c r="E3108" s="38">
        <v>33000</v>
      </c>
      <c r="F3108" s="67">
        <v>304000</v>
      </c>
      <c r="G3108" s="38">
        <v>63840</v>
      </c>
      <c r="H3108" s="56">
        <v>400840</v>
      </c>
      <c r="I3108" s="28" t="s">
        <v>19</v>
      </c>
      <c r="J3108" s="43"/>
    </row>
    <row r="3109" spans="1:10" customFormat="1" ht="15.75" hidden="1" customHeight="1" x14ac:dyDescent="0.25">
      <c r="A3109" s="57">
        <v>45320</v>
      </c>
      <c r="B3109" s="36" t="s">
        <v>6308</v>
      </c>
      <c r="C3109" s="28" t="s">
        <v>4216</v>
      </c>
      <c r="D3109" s="28" t="s">
        <v>4217</v>
      </c>
      <c r="E3109" s="38">
        <v>0</v>
      </c>
      <c r="F3109" s="67">
        <v>90000</v>
      </c>
      <c r="G3109" s="38">
        <v>18900</v>
      </c>
      <c r="H3109" s="56">
        <v>108900</v>
      </c>
      <c r="I3109" s="28" t="s">
        <v>19</v>
      </c>
      <c r="J3109" s="43"/>
    </row>
    <row r="3110" spans="1:10" customFormat="1" ht="15.75" hidden="1" customHeight="1" x14ac:dyDescent="0.25">
      <c r="A3110" s="57">
        <v>45321</v>
      </c>
      <c r="B3110" s="36" t="s">
        <v>6309</v>
      </c>
      <c r="C3110" s="28" t="s">
        <v>3562</v>
      </c>
      <c r="D3110" s="28" t="s">
        <v>3563</v>
      </c>
      <c r="E3110" s="38">
        <v>13000</v>
      </c>
      <c r="F3110" s="67">
        <v>225000</v>
      </c>
      <c r="G3110" s="38">
        <v>47250</v>
      </c>
      <c r="H3110" s="56">
        <v>285250</v>
      </c>
      <c r="I3110" s="28" t="s">
        <v>19</v>
      </c>
      <c r="J3110" s="43"/>
    </row>
    <row r="3111" spans="1:10" customFormat="1" ht="15.75" hidden="1" customHeight="1" x14ac:dyDescent="0.25">
      <c r="A3111" s="57">
        <v>45321</v>
      </c>
      <c r="B3111" s="36" t="s">
        <v>6310</v>
      </c>
      <c r="C3111" s="28" t="s">
        <v>2909</v>
      </c>
      <c r="D3111" s="28" t="s">
        <v>2910</v>
      </c>
      <c r="E3111" s="38">
        <v>13000</v>
      </c>
      <c r="F3111" s="67">
        <v>337500</v>
      </c>
      <c r="G3111" s="38">
        <v>70875</v>
      </c>
      <c r="H3111" s="56">
        <v>421375</v>
      </c>
      <c r="I3111" s="28" t="s">
        <v>19</v>
      </c>
      <c r="J3111" s="43"/>
    </row>
    <row r="3112" spans="1:10" customFormat="1" ht="15.75" hidden="1" customHeight="1" x14ac:dyDescent="0.25">
      <c r="A3112" s="57">
        <v>45321</v>
      </c>
      <c r="B3112" s="36" t="s">
        <v>6311</v>
      </c>
      <c r="C3112" s="28" t="s">
        <v>2867</v>
      </c>
      <c r="D3112" s="28" t="s">
        <v>2868</v>
      </c>
      <c r="E3112" s="38">
        <v>7400</v>
      </c>
      <c r="F3112" s="67">
        <v>185000</v>
      </c>
      <c r="G3112" s="38">
        <v>38850</v>
      </c>
      <c r="H3112" s="56">
        <v>231250</v>
      </c>
      <c r="I3112" s="28" t="s">
        <v>19</v>
      </c>
      <c r="J3112" s="43"/>
    </row>
    <row r="3113" spans="1:10" customFormat="1" ht="15.75" hidden="1" customHeight="1" x14ac:dyDescent="0.25">
      <c r="A3113" s="57">
        <v>45321</v>
      </c>
      <c r="B3113" s="36" t="s">
        <v>6312</v>
      </c>
      <c r="C3113" s="28" t="s">
        <v>3346</v>
      </c>
      <c r="D3113" s="28" t="s">
        <v>3347</v>
      </c>
      <c r="E3113" s="38">
        <v>0</v>
      </c>
      <c r="F3113" s="67">
        <v>334000</v>
      </c>
      <c r="G3113" s="38">
        <v>70140</v>
      </c>
      <c r="H3113" s="56">
        <v>404140</v>
      </c>
      <c r="I3113" s="28" t="s">
        <v>19</v>
      </c>
      <c r="J3113" s="43"/>
    </row>
    <row r="3114" spans="1:10" customFormat="1" ht="15.75" hidden="1" customHeight="1" x14ac:dyDescent="0.25">
      <c r="A3114" s="57">
        <v>45321</v>
      </c>
      <c r="B3114" s="36" t="s">
        <v>6313</v>
      </c>
      <c r="C3114" s="28" t="s">
        <v>2867</v>
      </c>
      <c r="D3114" s="28" t="s">
        <v>2868</v>
      </c>
      <c r="E3114" s="38">
        <v>7500</v>
      </c>
      <c r="F3114" s="67">
        <v>456000</v>
      </c>
      <c r="G3114" s="38">
        <v>95760</v>
      </c>
      <c r="H3114" s="56">
        <v>559260</v>
      </c>
      <c r="I3114" s="28" t="s">
        <v>19</v>
      </c>
      <c r="J3114" s="43"/>
    </row>
    <row r="3115" spans="1:10" customFormat="1" ht="15.75" hidden="1" customHeight="1" x14ac:dyDescent="0.25">
      <c r="A3115" s="57">
        <v>45321</v>
      </c>
      <c r="B3115" s="36" t="s">
        <v>6314</v>
      </c>
      <c r="C3115" s="28" t="s">
        <v>6315</v>
      </c>
      <c r="D3115" s="28" t="s">
        <v>6316</v>
      </c>
      <c r="E3115" s="38">
        <v>0</v>
      </c>
      <c r="F3115" s="67">
        <v>113000</v>
      </c>
      <c r="G3115" s="38">
        <v>23730</v>
      </c>
      <c r="H3115" s="56">
        <v>136730</v>
      </c>
      <c r="I3115" s="28" t="s">
        <v>19</v>
      </c>
      <c r="J3115" s="43"/>
    </row>
    <row r="3116" spans="1:10" customFormat="1" ht="15.75" hidden="1" customHeight="1" x14ac:dyDescent="0.25">
      <c r="A3116" s="57">
        <v>45321</v>
      </c>
      <c r="B3116" s="36" t="s">
        <v>6317</v>
      </c>
      <c r="C3116" s="28" t="s">
        <v>2921</v>
      </c>
      <c r="D3116" s="28" t="s">
        <v>2922</v>
      </c>
      <c r="E3116" s="38">
        <v>0</v>
      </c>
      <c r="F3116" s="67">
        <v>152000</v>
      </c>
      <c r="G3116" s="38">
        <v>31920</v>
      </c>
      <c r="H3116" s="56">
        <v>183920</v>
      </c>
      <c r="I3116" s="28" t="s">
        <v>19</v>
      </c>
      <c r="J3116" s="43"/>
    </row>
    <row r="3117" spans="1:10" customFormat="1" ht="15.75" hidden="1" customHeight="1" x14ac:dyDescent="0.25">
      <c r="A3117" s="57">
        <v>45321</v>
      </c>
      <c r="B3117" s="36" t="s">
        <v>6318</v>
      </c>
      <c r="C3117" s="28" t="s">
        <v>2903</v>
      </c>
      <c r="D3117" s="28" t="s">
        <v>2904</v>
      </c>
      <c r="E3117" s="38">
        <v>33000</v>
      </c>
      <c r="F3117" s="67">
        <v>304000</v>
      </c>
      <c r="G3117" s="38">
        <v>63840</v>
      </c>
      <c r="H3117" s="56">
        <v>400840</v>
      </c>
      <c r="I3117" s="28" t="s">
        <v>19</v>
      </c>
      <c r="J3117" s="43"/>
    </row>
    <row r="3118" spans="1:10" customFormat="1" ht="15.75" hidden="1" customHeight="1" x14ac:dyDescent="0.25">
      <c r="A3118" s="57">
        <v>45321</v>
      </c>
      <c r="B3118" s="36" t="s">
        <v>6319</v>
      </c>
      <c r="C3118" s="28" t="s">
        <v>2903</v>
      </c>
      <c r="D3118" s="28" t="s">
        <v>2904</v>
      </c>
      <c r="E3118" s="38">
        <v>33000</v>
      </c>
      <c r="F3118" s="67">
        <v>304000</v>
      </c>
      <c r="G3118" s="38">
        <v>63840</v>
      </c>
      <c r="H3118" s="56">
        <v>400840</v>
      </c>
      <c r="I3118" s="28" t="s">
        <v>19</v>
      </c>
      <c r="J3118" s="43"/>
    </row>
    <row r="3119" spans="1:10" customFormat="1" ht="15.75" hidden="1" customHeight="1" x14ac:dyDescent="0.25">
      <c r="A3119" s="57">
        <v>45321</v>
      </c>
      <c r="B3119" s="36" t="s">
        <v>6320</v>
      </c>
      <c r="C3119" s="28" t="s">
        <v>2903</v>
      </c>
      <c r="D3119" s="28" t="s">
        <v>2904</v>
      </c>
      <c r="E3119" s="38">
        <v>33000</v>
      </c>
      <c r="F3119" s="67">
        <v>304000</v>
      </c>
      <c r="G3119" s="38">
        <v>63840</v>
      </c>
      <c r="H3119" s="56">
        <v>400840</v>
      </c>
      <c r="I3119" s="28" t="s">
        <v>19</v>
      </c>
      <c r="J3119" s="43"/>
    </row>
    <row r="3120" spans="1:10" customFormat="1" ht="15.75" hidden="1" customHeight="1" x14ac:dyDescent="0.25">
      <c r="A3120" s="57">
        <v>45321</v>
      </c>
      <c r="B3120" s="36" t="s">
        <v>6321</v>
      </c>
      <c r="C3120" s="28" t="s">
        <v>2870</v>
      </c>
      <c r="D3120" s="28" t="s">
        <v>2871</v>
      </c>
      <c r="E3120" s="38">
        <v>0</v>
      </c>
      <c r="F3120" s="67">
        <v>304000</v>
      </c>
      <c r="G3120" s="38">
        <v>63840</v>
      </c>
      <c r="H3120" s="56">
        <v>367840</v>
      </c>
      <c r="I3120" s="28" t="s">
        <v>19</v>
      </c>
      <c r="J3120" s="43"/>
    </row>
    <row r="3121" spans="1:10" customFormat="1" ht="15.75" hidden="1" customHeight="1" x14ac:dyDescent="0.25">
      <c r="A3121" s="57">
        <v>45321</v>
      </c>
      <c r="B3121" s="36" t="s">
        <v>6322</v>
      </c>
      <c r="C3121" s="28" t="s">
        <v>3241</v>
      </c>
      <c r="D3121" s="28" t="s">
        <v>3242</v>
      </c>
      <c r="E3121" s="38">
        <v>25400</v>
      </c>
      <c r="F3121" s="67">
        <v>975000</v>
      </c>
      <c r="G3121" s="38">
        <v>204750</v>
      </c>
      <c r="H3121" s="56">
        <v>1205150</v>
      </c>
      <c r="I3121" s="28" t="s">
        <v>19</v>
      </c>
      <c r="J3121" s="43"/>
    </row>
    <row r="3122" spans="1:10" customFormat="1" ht="15.75" hidden="1" customHeight="1" x14ac:dyDescent="0.25">
      <c r="A3122" s="57">
        <v>45321</v>
      </c>
      <c r="B3122" s="36" t="s">
        <v>6323</v>
      </c>
      <c r="C3122" s="28" t="s">
        <v>2867</v>
      </c>
      <c r="D3122" s="28" t="s">
        <v>2868</v>
      </c>
      <c r="E3122" s="38">
        <v>33000</v>
      </c>
      <c r="F3122" s="67">
        <v>304000</v>
      </c>
      <c r="G3122" s="38">
        <v>63840</v>
      </c>
      <c r="H3122" s="56">
        <v>400840</v>
      </c>
      <c r="I3122" s="28" t="s">
        <v>19</v>
      </c>
      <c r="J3122" s="43"/>
    </row>
    <row r="3123" spans="1:10" customFormat="1" ht="15.75" hidden="1" customHeight="1" x14ac:dyDescent="0.25">
      <c r="A3123" s="57">
        <v>45321</v>
      </c>
      <c r="B3123" s="36" t="s">
        <v>6324</v>
      </c>
      <c r="C3123" s="28" t="s">
        <v>3067</v>
      </c>
      <c r="D3123" s="28" t="s">
        <v>3068</v>
      </c>
      <c r="E3123" s="38">
        <v>33000</v>
      </c>
      <c r="F3123" s="67">
        <v>304000</v>
      </c>
      <c r="G3123" s="38">
        <v>63840</v>
      </c>
      <c r="H3123" s="56">
        <v>400840</v>
      </c>
      <c r="I3123" s="28" t="s">
        <v>19</v>
      </c>
      <c r="J3123" s="43"/>
    </row>
    <row r="3124" spans="1:10" customFormat="1" ht="15.75" hidden="1" customHeight="1" x14ac:dyDescent="0.25">
      <c r="A3124" s="57">
        <v>45322</v>
      </c>
      <c r="B3124" s="36" t="s">
        <v>6325</v>
      </c>
      <c r="C3124" s="28" t="s">
        <v>6326</v>
      </c>
      <c r="D3124" s="28" t="s">
        <v>6327</v>
      </c>
      <c r="E3124" s="38">
        <v>26500</v>
      </c>
      <c r="F3124" s="67">
        <v>106000</v>
      </c>
      <c r="G3124" s="38">
        <v>22260</v>
      </c>
      <c r="H3124" s="56">
        <v>154760</v>
      </c>
      <c r="I3124" s="28" t="s">
        <v>19</v>
      </c>
      <c r="J3124" s="43"/>
    </row>
    <row r="3125" spans="1:10" customFormat="1" ht="15.75" hidden="1" customHeight="1" x14ac:dyDescent="0.25">
      <c r="A3125" s="57">
        <v>45322</v>
      </c>
      <c r="B3125" s="36" t="s">
        <v>6328</v>
      </c>
      <c r="C3125" s="28" t="s">
        <v>6329</v>
      </c>
      <c r="D3125" s="28" t="s">
        <v>6327</v>
      </c>
      <c r="E3125" s="38">
        <v>9500</v>
      </c>
      <c r="F3125" s="67">
        <v>272657</v>
      </c>
      <c r="G3125" s="38">
        <v>57257.97</v>
      </c>
      <c r="H3125" s="56">
        <v>339414.97</v>
      </c>
      <c r="I3125" s="28" t="s">
        <v>19</v>
      </c>
      <c r="J3125" s="43"/>
    </row>
    <row r="3126" spans="1:10" customFormat="1" ht="15.75" hidden="1" customHeight="1" x14ac:dyDescent="0.25">
      <c r="A3126" s="57">
        <v>45322</v>
      </c>
      <c r="B3126" s="36" t="s">
        <v>6330</v>
      </c>
      <c r="C3126" s="28" t="s">
        <v>6292</v>
      </c>
      <c r="D3126" s="28" t="s">
        <v>6293</v>
      </c>
      <c r="E3126" s="38">
        <v>5600</v>
      </c>
      <c r="F3126" s="67">
        <v>160000</v>
      </c>
      <c r="G3126" s="38">
        <v>33600</v>
      </c>
      <c r="H3126" s="56">
        <v>199200</v>
      </c>
      <c r="I3126" s="28" t="s">
        <v>19</v>
      </c>
      <c r="J3126" s="43"/>
    </row>
    <row r="3127" spans="1:10" customFormat="1" ht="15.75" hidden="1" customHeight="1" x14ac:dyDescent="0.25">
      <c r="A3127" s="57">
        <v>45322</v>
      </c>
      <c r="B3127" s="36" t="s">
        <v>6331</v>
      </c>
      <c r="C3127" s="28" t="s">
        <v>2921</v>
      </c>
      <c r="D3127" s="28" t="s">
        <v>2922</v>
      </c>
      <c r="E3127" s="38">
        <v>23500</v>
      </c>
      <c r="F3127" s="67">
        <v>130000</v>
      </c>
      <c r="G3127" s="38">
        <v>27300</v>
      </c>
      <c r="H3127" s="56">
        <v>180800</v>
      </c>
      <c r="I3127" s="28" t="s">
        <v>19</v>
      </c>
      <c r="J3127" s="43"/>
    </row>
    <row r="3128" spans="1:10" customFormat="1" ht="15.75" hidden="1" customHeight="1" x14ac:dyDescent="0.25">
      <c r="A3128" s="57">
        <v>45322</v>
      </c>
      <c r="B3128" s="36" t="s">
        <v>6332</v>
      </c>
      <c r="C3128" s="28" t="s">
        <v>3007</v>
      </c>
      <c r="D3128" s="28" t="s">
        <v>3008</v>
      </c>
      <c r="E3128" s="38">
        <v>47000</v>
      </c>
      <c r="F3128" s="67">
        <v>304000</v>
      </c>
      <c r="G3128" s="38">
        <v>63840</v>
      </c>
      <c r="H3128" s="56">
        <v>414840</v>
      </c>
      <c r="I3128" s="28" t="s">
        <v>19</v>
      </c>
      <c r="J3128" s="43"/>
    </row>
    <row r="3129" spans="1:10" customFormat="1" ht="15.75" hidden="1" customHeight="1" x14ac:dyDescent="0.25">
      <c r="A3129" s="57">
        <v>45322</v>
      </c>
      <c r="B3129" s="36" t="s">
        <v>6333</v>
      </c>
      <c r="C3129" s="28" t="s">
        <v>2921</v>
      </c>
      <c r="D3129" s="28" t="s">
        <v>2922</v>
      </c>
      <c r="E3129" s="38">
        <v>47000</v>
      </c>
      <c r="F3129" s="67">
        <v>304000</v>
      </c>
      <c r="G3129" s="38">
        <v>63840</v>
      </c>
      <c r="H3129" s="56">
        <v>414840</v>
      </c>
      <c r="I3129" s="28" t="s">
        <v>19</v>
      </c>
      <c r="J3129" s="43"/>
    </row>
    <row r="3130" spans="1:10" customFormat="1" ht="15.75" hidden="1" customHeight="1" x14ac:dyDescent="0.25">
      <c r="A3130" s="57">
        <v>45322</v>
      </c>
      <c r="B3130" s="36" t="s">
        <v>6334</v>
      </c>
      <c r="C3130" s="28" t="s">
        <v>6335</v>
      </c>
      <c r="D3130" s="28" t="s">
        <v>6336</v>
      </c>
      <c r="E3130" s="38">
        <v>17400</v>
      </c>
      <c r="F3130" s="67">
        <v>225000</v>
      </c>
      <c r="G3130" s="38">
        <v>47250</v>
      </c>
      <c r="H3130" s="56">
        <v>289650</v>
      </c>
      <c r="I3130" s="28" t="s">
        <v>19</v>
      </c>
      <c r="J3130" s="43"/>
    </row>
    <row r="3131" spans="1:10" customFormat="1" ht="15.75" hidden="1" customHeight="1" x14ac:dyDescent="0.25">
      <c r="A3131" s="57">
        <v>45322</v>
      </c>
      <c r="B3131" s="36" t="s">
        <v>6337</v>
      </c>
      <c r="C3131" s="28" t="s">
        <v>3703</v>
      </c>
      <c r="D3131" s="28" t="s">
        <v>3704</v>
      </c>
      <c r="E3131" s="38">
        <v>21000</v>
      </c>
      <c r="F3131" s="67">
        <v>360000</v>
      </c>
      <c r="G3131" s="38">
        <v>75600</v>
      </c>
      <c r="H3131" s="56">
        <v>456600</v>
      </c>
      <c r="I3131" s="28" t="s">
        <v>19</v>
      </c>
      <c r="J3131" s="43"/>
    </row>
    <row r="3132" spans="1:10" customFormat="1" ht="15.75" hidden="1" customHeight="1" x14ac:dyDescent="0.25">
      <c r="A3132" s="57">
        <v>45322</v>
      </c>
      <c r="B3132" s="36" t="s">
        <v>6338</v>
      </c>
      <c r="C3132" s="28" t="s">
        <v>2909</v>
      </c>
      <c r="D3132" s="28" t="s">
        <v>2910</v>
      </c>
      <c r="E3132" s="38">
        <v>16500</v>
      </c>
      <c r="F3132" s="67">
        <v>480000</v>
      </c>
      <c r="G3132" s="38">
        <v>100800</v>
      </c>
      <c r="H3132" s="56">
        <v>597300</v>
      </c>
      <c r="I3132" s="28" t="s">
        <v>19</v>
      </c>
      <c r="J3132" s="43"/>
    </row>
    <row r="3133" spans="1:10" customFormat="1" ht="15.75" hidden="1" customHeight="1" x14ac:dyDescent="0.25">
      <c r="A3133" s="57">
        <v>45322</v>
      </c>
      <c r="B3133" s="36" t="s">
        <v>6339</v>
      </c>
      <c r="C3133" s="28" t="s">
        <v>2927</v>
      </c>
      <c r="D3133" s="28" t="s">
        <v>2928</v>
      </c>
      <c r="E3133" s="38">
        <v>11000</v>
      </c>
      <c r="F3133" s="67">
        <v>130000</v>
      </c>
      <c r="G3133" s="38">
        <v>27300</v>
      </c>
      <c r="H3133" s="56">
        <v>168300</v>
      </c>
      <c r="I3133" s="28" t="s">
        <v>19</v>
      </c>
      <c r="J3133" s="43"/>
    </row>
    <row r="3134" spans="1:10" customFormat="1" ht="15.75" hidden="1" customHeight="1" x14ac:dyDescent="0.25">
      <c r="A3134" s="57">
        <v>45322</v>
      </c>
      <c r="B3134" s="36" t="s">
        <v>6340</v>
      </c>
      <c r="C3134" s="28" t="s">
        <v>3014</v>
      </c>
      <c r="D3134" s="28" t="s">
        <v>3015</v>
      </c>
      <c r="E3134" s="38">
        <v>23500</v>
      </c>
      <c r="F3134" s="67">
        <v>152000</v>
      </c>
      <c r="G3134" s="38">
        <v>31920</v>
      </c>
      <c r="H3134" s="56">
        <v>207420</v>
      </c>
      <c r="I3134" s="28" t="s">
        <v>19</v>
      </c>
      <c r="J3134" s="43"/>
    </row>
    <row r="3135" spans="1:10" customFormat="1" ht="15.75" hidden="1" customHeight="1" x14ac:dyDescent="0.25">
      <c r="A3135" s="57">
        <v>45322</v>
      </c>
      <c r="B3135" s="28" t="s">
        <v>6341</v>
      </c>
      <c r="C3135" s="28" t="s">
        <v>3132</v>
      </c>
      <c r="D3135" s="28" t="s">
        <v>3133</v>
      </c>
      <c r="E3135" s="38">
        <v>96000</v>
      </c>
      <c r="F3135" s="67">
        <v>1520000</v>
      </c>
      <c r="G3135" s="38">
        <v>319200</v>
      </c>
      <c r="H3135" s="56">
        <v>1935200</v>
      </c>
      <c r="I3135" s="28" t="s">
        <v>19</v>
      </c>
      <c r="J3135" s="43"/>
    </row>
    <row r="3136" spans="1:10" customFormat="1" ht="15.75" hidden="1" customHeight="1" x14ac:dyDescent="0.25">
      <c r="A3136" s="57">
        <v>45322</v>
      </c>
      <c r="B3136" s="36" t="s">
        <v>6342</v>
      </c>
      <c r="C3136" s="28" t="s">
        <v>6343</v>
      </c>
      <c r="D3136" s="28" t="s">
        <v>6344</v>
      </c>
      <c r="E3136" s="38">
        <v>23500</v>
      </c>
      <c r="F3136" s="67">
        <v>130000</v>
      </c>
      <c r="G3136" s="38">
        <v>27300</v>
      </c>
      <c r="H3136" s="56">
        <v>180800</v>
      </c>
      <c r="I3136" s="28" t="s">
        <v>19</v>
      </c>
      <c r="J3136" s="43"/>
    </row>
    <row r="3137" spans="1:10" customFormat="1" ht="15.75" hidden="1" customHeight="1" x14ac:dyDescent="0.25">
      <c r="A3137" s="57">
        <v>45322</v>
      </c>
      <c r="B3137" s="36" t="s">
        <v>6345</v>
      </c>
      <c r="C3137" s="28" t="s">
        <v>3041</v>
      </c>
      <c r="D3137" s="28" t="s">
        <v>3042</v>
      </c>
      <c r="E3137" s="38">
        <v>7600</v>
      </c>
      <c r="F3137" s="67">
        <v>305000</v>
      </c>
      <c r="G3137" s="38">
        <v>64050</v>
      </c>
      <c r="H3137" s="56">
        <v>376650</v>
      </c>
      <c r="I3137" s="28" t="s">
        <v>19</v>
      </c>
      <c r="J3137" s="43"/>
    </row>
    <row r="3138" spans="1:10" customFormat="1" ht="15.75" hidden="1" customHeight="1" x14ac:dyDescent="0.25">
      <c r="A3138" s="57">
        <v>45322</v>
      </c>
      <c r="B3138" s="36" t="s">
        <v>6346</v>
      </c>
      <c r="C3138" s="28" t="s">
        <v>2851</v>
      </c>
      <c r="D3138" s="28" t="s">
        <v>2852</v>
      </c>
      <c r="E3138" s="38">
        <v>11200</v>
      </c>
      <c r="F3138" s="67">
        <v>420000</v>
      </c>
      <c r="G3138" s="38">
        <v>88200</v>
      </c>
      <c r="H3138" s="56">
        <v>519400</v>
      </c>
      <c r="I3138" s="28" t="s">
        <v>19</v>
      </c>
      <c r="J3138" s="43"/>
    </row>
    <row r="3139" spans="1:10" customFormat="1" ht="15.75" hidden="1" customHeight="1" x14ac:dyDescent="0.25">
      <c r="A3139" s="57">
        <v>45322</v>
      </c>
      <c r="B3139" s="36" t="s">
        <v>6347</v>
      </c>
      <c r="C3139" s="28" t="s">
        <v>4172</v>
      </c>
      <c r="D3139" s="28" t="s">
        <v>4173</v>
      </c>
      <c r="E3139" s="38">
        <v>25000</v>
      </c>
      <c r="F3139" s="67">
        <v>210000</v>
      </c>
      <c r="G3139" s="38">
        <v>44100</v>
      </c>
      <c r="H3139" s="56">
        <v>279100</v>
      </c>
      <c r="I3139" s="28" t="s">
        <v>19</v>
      </c>
      <c r="J3139" s="43"/>
    </row>
    <row r="3140" spans="1:10" customFormat="1" ht="15.75" hidden="1" customHeight="1" x14ac:dyDescent="0.25">
      <c r="A3140" s="57">
        <v>45322</v>
      </c>
      <c r="B3140" s="36" t="s">
        <v>6348</v>
      </c>
      <c r="C3140" s="28" t="s">
        <v>4172</v>
      </c>
      <c r="D3140" s="28" t="s">
        <v>4173</v>
      </c>
      <c r="E3140" s="38">
        <v>24000</v>
      </c>
      <c r="F3140" s="67">
        <v>210000</v>
      </c>
      <c r="G3140" s="38">
        <v>44100</v>
      </c>
      <c r="H3140" s="56">
        <v>278100</v>
      </c>
      <c r="I3140" s="28" t="s">
        <v>19</v>
      </c>
      <c r="J3140" s="43"/>
    </row>
    <row r="3141" spans="1:10" customFormat="1" ht="15.75" hidden="1" customHeight="1" x14ac:dyDescent="0.25">
      <c r="A3141" s="57">
        <v>45322</v>
      </c>
      <c r="B3141" s="36" t="s">
        <v>6349</v>
      </c>
      <c r="C3141" s="28" t="s">
        <v>4109</v>
      </c>
      <c r="D3141" s="28" t="s">
        <v>4110</v>
      </c>
      <c r="E3141" s="38">
        <v>5600</v>
      </c>
      <c r="F3141" s="67">
        <v>160000</v>
      </c>
      <c r="G3141" s="38">
        <v>33600</v>
      </c>
      <c r="H3141" s="56">
        <v>199200</v>
      </c>
      <c r="I3141" s="28" t="s">
        <v>19</v>
      </c>
      <c r="J3141" s="43"/>
    </row>
    <row r="3142" spans="1:10" customFormat="1" ht="15.75" hidden="1" customHeight="1" x14ac:dyDescent="0.25">
      <c r="A3142" s="57">
        <v>45322</v>
      </c>
      <c r="B3142" s="36" t="s">
        <v>6350</v>
      </c>
      <c r="C3142" s="28" t="s">
        <v>3041</v>
      </c>
      <c r="D3142" s="28" t="s">
        <v>3042</v>
      </c>
      <c r="E3142" s="38">
        <v>11000</v>
      </c>
      <c r="F3142" s="67">
        <v>417500</v>
      </c>
      <c r="G3142" s="38">
        <v>87675</v>
      </c>
      <c r="H3142" s="56">
        <v>516175</v>
      </c>
      <c r="I3142" s="28" t="s">
        <v>19</v>
      </c>
      <c r="J3142" s="43"/>
    </row>
    <row r="3143" spans="1:10" customFormat="1" ht="15.75" hidden="1" customHeight="1" x14ac:dyDescent="0.25">
      <c r="A3143" s="57">
        <v>45322</v>
      </c>
      <c r="B3143" s="36" t="s">
        <v>6351</v>
      </c>
      <c r="C3143" s="28" t="s">
        <v>2870</v>
      </c>
      <c r="D3143" s="28" t="s">
        <v>2871</v>
      </c>
      <c r="E3143" s="38">
        <v>13000</v>
      </c>
      <c r="F3143" s="67">
        <v>225000</v>
      </c>
      <c r="G3143" s="38">
        <v>47250</v>
      </c>
      <c r="H3143" s="56">
        <v>285250</v>
      </c>
      <c r="I3143" s="28" t="s">
        <v>19</v>
      </c>
      <c r="J3143" s="43"/>
    </row>
    <row r="3144" spans="1:10" customFormat="1" ht="15.75" hidden="1" customHeight="1" x14ac:dyDescent="0.25">
      <c r="A3144" s="57">
        <v>45322</v>
      </c>
      <c r="B3144" s="36" t="s">
        <v>6352</v>
      </c>
      <c r="C3144" s="28" t="s">
        <v>2867</v>
      </c>
      <c r="D3144" s="28" t="s">
        <v>2868</v>
      </c>
      <c r="E3144" s="38">
        <v>99000</v>
      </c>
      <c r="F3144" s="67">
        <v>912000</v>
      </c>
      <c r="G3144" s="38">
        <v>191520</v>
      </c>
      <c r="H3144" s="56">
        <v>1202520</v>
      </c>
      <c r="I3144" s="28" t="s">
        <v>19</v>
      </c>
      <c r="J3144" s="43"/>
    </row>
    <row r="3145" spans="1:10" customFormat="1" ht="15.75" hidden="1" customHeight="1" x14ac:dyDescent="0.25">
      <c r="A3145" s="57">
        <v>45322</v>
      </c>
      <c r="B3145" s="36" t="s">
        <v>6353</v>
      </c>
      <c r="C3145" s="28" t="s">
        <v>3029</v>
      </c>
      <c r="D3145" s="28" t="s">
        <v>3030</v>
      </c>
      <c r="E3145" s="38">
        <v>23500</v>
      </c>
      <c r="F3145" s="67">
        <v>152000</v>
      </c>
      <c r="G3145" s="38">
        <v>31920</v>
      </c>
      <c r="H3145" s="56">
        <v>207420</v>
      </c>
      <c r="I3145" s="28" t="s">
        <v>19</v>
      </c>
      <c r="J3145" s="43"/>
    </row>
    <row r="3146" spans="1:10" customFormat="1" ht="15.75" hidden="1" customHeight="1" x14ac:dyDescent="0.25">
      <c r="A3146" s="57">
        <v>45322</v>
      </c>
      <c r="B3146" s="36" t="s">
        <v>6354</v>
      </c>
      <c r="C3146" s="28" t="s">
        <v>3007</v>
      </c>
      <c r="D3146" s="28" t="s">
        <v>3008</v>
      </c>
      <c r="E3146" s="38">
        <v>47000</v>
      </c>
      <c r="F3146" s="67">
        <v>282000</v>
      </c>
      <c r="G3146" s="38">
        <v>59220</v>
      </c>
      <c r="H3146" s="56">
        <v>388220</v>
      </c>
      <c r="I3146" s="28" t="s">
        <v>19</v>
      </c>
      <c r="J3146" s="43"/>
    </row>
    <row r="3147" spans="1:10" customFormat="1" ht="15.75" hidden="1" customHeight="1" x14ac:dyDescent="0.25">
      <c r="A3147" s="57">
        <v>45322</v>
      </c>
      <c r="B3147" s="36" t="s">
        <v>6355</v>
      </c>
      <c r="C3147" s="28" t="s">
        <v>3007</v>
      </c>
      <c r="D3147" s="28" t="s">
        <v>3008</v>
      </c>
      <c r="E3147" s="38">
        <v>47000</v>
      </c>
      <c r="F3147" s="67">
        <v>282000</v>
      </c>
      <c r="G3147" s="38">
        <v>59220</v>
      </c>
      <c r="H3147" s="56">
        <v>388220</v>
      </c>
      <c r="I3147" s="28" t="s">
        <v>19</v>
      </c>
      <c r="J3147" s="43"/>
    </row>
    <row r="3148" spans="1:10" customFormat="1" ht="15.75" hidden="1" customHeight="1" x14ac:dyDescent="0.25">
      <c r="A3148" s="57">
        <v>45322</v>
      </c>
      <c r="B3148" s="36" t="s">
        <v>6356</v>
      </c>
      <c r="C3148" s="28" t="s">
        <v>2903</v>
      </c>
      <c r="D3148" s="28" t="s">
        <v>2904</v>
      </c>
      <c r="E3148" s="38">
        <v>33000</v>
      </c>
      <c r="F3148" s="67">
        <v>304000</v>
      </c>
      <c r="G3148" s="38">
        <v>63840</v>
      </c>
      <c r="H3148" s="56">
        <v>400840</v>
      </c>
      <c r="I3148" s="28" t="s">
        <v>19</v>
      </c>
      <c r="J3148" s="43"/>
    </row>
    <row r="3149" spans="1:10" customFormat="1" ht="15.75" hidden="1" customHeight="1" x14ac:dyDescent="0.25">
      <c r="A3149" s="57">
        <v>45322</v>
      </c>
      <c r="B3149" s="36" t="s">
        <v>6357</v>
      </c>
      <c r="C3149" s="28" t="s">
        <v>2942</v>
      </c>
      <c r="D3149" s="28" t="s">
        <v>2943</v>
      </c>
      <c r="E3149" s="38">
        <v>23500</v>
      </c>
      <c r="F3149" s="67">
        <v>152000</v>
      </c>
      <c r="G3149" s="38">
        <v>31920</v>
      </c>
      <c r="H3149" s="56">
        <v>207420</v>
      </c>
      <c r="I3149" s="28" t="s">
        <v>19</v>
      </c>
      <c r="J3149" s="43"/>
    </row>
    <row r="3150" spans="1:10" customFormat="1" ht="15.75" hidden="1" customHeight="1" x14ac:dyDescent="0.25">
      <c r="A3150" s="57">
        <v>45322</v>
      </c>
      <c r="B3150" s="36" t="s">
        <v>6358</v>
      </c>
      <c r="C3150" s="28" t="s">
        <v>6315</v>
      </c>
      <c r="D3150" s="28" t="s">
        <v>6316</v>
      </c>
      <c r="E3150" s="38">
        <v>0</v>
      </c>
      <c r="F3150" s="67">
        <v>10000</v>
      </c>
      <c r="G3150" s="38">
        <v>2100</v>
      </c>
      <c r="H3150" s="56">
        <v>12100</v>
      </c>
      <c r="I3150" s="28" t="s">
        <v>19</v>
      </c>
      <c r="J3150" s="43"/>
    </row>
    <row r="3151" spans="1:10" customFormat="1" ht="15.75" hidden="1" customHeight="1" x14ac:dyDescent="0.25">
      <c r="A3151" s="57">
        <v>45322</v>
      </c>
      <c r="B3151" s="36" t="s">
        <v>6359</v>
      </c>
      <c r="C3151" s="28" t="s">
        <v>1140</v>
      </c>
      <c r="D3151" s="28" t="s">
        <v>1141</v>
      </c>
      <c r="E3151" s="38">
        <v>0</v>
      </c>
      <c r="F3151" s="67">
        <v>1761811.1</v>
      </c>
      <c r="G3151" s="38">
        <v>369980.33</v>
      </c>
      <c r="H3151" s="56">
        <v>2131791.4300000002</v>
      </c>
      <c r="I3151" s="28" t="s">
        <v>103</v>
      </c>
      <c r="J3151" s="43"/>
    </row>
    <row r="3152" spans="1:10" customFormat="1" ht="15.75" hidden="1" customHeight="1" x14ac:dyDescent="0.25">
      <c r="A3152" s="57">
        <v>45322</v>
      </c>
      <c r="B3152" s="58" t="s">
        <v>6360</v>
      </c>
      <c r="C3152" s="59" t="s">
        <v>2892</v>
      </c>
      <c r="D3152" s="59" t="s">
        <v>2893</v>
      </c>
      <c r="E3152" s="60">
        <v>0</v>
      </c>
      <c r="F3152" s="115">
        <v>226920</v>
      </c>
      <c r="G3152" s="60">
        <v>47653.2</v>
      </c>
      <c r="H3152" s="61">
        <v>274573.2</v>
      </c>
      <c r="I3152" s="59" t="s">
        <v>103</v>
      </c>
      <c r="J3152" s="43"/>
    </row>
    <row r="3153" spans="1:10" customFormat="1" ht="15.75" hidden="1" customHeight="1" x14ac:dyDescent="0.25">
      <c r="A3153" s="127">
        <v>45322</v>
      </c>
      <c r="B3153" s="192" t="s">
        <v>6361</v>
      </c>
      <c r="C3153" s="121" t="s">
        <v>3722</v>
      </c>
      <c r="D3153" s="121" t="s">
        <v>3723</v>
      </c>
      <c r="E3153" s="173">
        <v>0</v>
      </c>
      <c r="F3153" s="174">
        <v>203520</v>
      </c>
      <c r="G3153" s="173">
        <v>42739.199999999997</v>
      </c>
      <c r="H3153" s="173">
        <v>246259.20000000001</v>
      </c>
      <c r="I3153" s="121" t="s">
        <v>103</v>
      </c>
      <c r="J3153" s="43"/>
    </row>
    <row r="3154" spans="1:10" customFormat="1" ht="15.75" hidden="1" customHeight="1" x14ac:dyDescent="0.25">
      <c r="A3154" s="127">
        <v>45322</v>
      </c>
      <c r="B3154" s="192" t="s">
        <v>6362</v>
      </c>
      <c r="C3154" s="121" t="s">
        <v>3290</v>
      </c>
      <c r="D3154" s="121" t="s">
        <v>3291</v>
      </c>
      <c r="E3154" s="173">
        <v>0</v>
      </c>
      <c r="F3154" s="174">
        <v>439080</v>
      </c>
      <c r="G3154" s="173">
        <v>92206.8</v>
      </c>
      <c r="H3154" s="173">
        <v>531286.80000000005</v>
      </c>
      <c r="I3154" s="121" t="s">
        <v>103</v>
      </c>
      <c r="J3154" s="43"/>
    </row>
    <row r="3155" spans="1:10" customFormat="1" ht="15.75" hidden="1" customHeight="1" x14ac:dyDescent="0.25">
      <c r="A3155" s="127">
        <v>45322</v>
      </c>
      <c r="B3155" s="192" t="s">
        <v>6363</v>
      </c>
      <c r="C3155" s="121" t="s">
        <v>2856</v>
      </c>
      <c r="D3155" s="121" t="s">
        <v>2857</v>
      </c>
      <c r="E3155" s="173">
        <v>0</v>
      </c>
      <c r="F3155" s="174">
        <v>12032277.74</v>
      </c>
      <c r="G3155" s="173">
        <v>2526778.3199999998</v>
      </c>
      <c r="H3155" s="173">
        <v>14559056.060000001</v>
      </c>
      <c r="I3155" s="121" t="s">
        <v>103</v>
      </c>
      <c r="J3155" s="43"/>
    </row>
    <row r="3156" spans="1:10" customFormat="1" ht="15.75" hidden="1" customHeight="1" x14ac:dyDescent="0.25">
      <c r="A3156" s="127">
        <v>45322</v>
      </c>
      <c r="B3156" s="192" t="s">
        <v>6364</v>
      </c>
      <c r="C3156" s="121" t="s">
        <v>4414</v>
      </c>
      <c r="D3156" s="121" t="s">
        <v>4415</v>
      </c>
      <c r="E3156" s="173">
        <v>0</v>
      </c>
      <c r="F3156" s="174">
        <v>287629</v>
      </c>
      <c r="G3156" s="173">
        <v>60402.09</v>
      </c>
      <c r="H3156" s="173">
        <v>348031.09</v>
      </c>
      <c r="I3156" s="121" t="s">
        <v>103</v>
      </c>
      <c r="J3156" s="43"/>
    </row>
    <row r="3157" spans="1:10" customFormat="1" ht="15.75" hidden="1" customHeight="1" x14ac:dyDescent="0.25">
      <c r="A3157" s="127">
        <v>45322</v>
      </c>
      <c r="B3157" s="192" t="s">
        <v>6365</v>
      </c>
      <c r="C3157" s="121" t="s">
        <v>3241</v>
      </c>
      <c r="D3157" s="121" t="s">
        <v>3242</v>
      </c>
      <c r="E3157" s="173">
        <v>0</v>
      </c>
      <c r="F3157" s="174">
        <v>2234174.98</v>
      </c>
      <c r="G3157" s="173">
        <v>469176.75</v>
      </c>
      <c r="H3157" s="173">
        <v>2703351.73</v>
      </c>
      <c r="I3157" s="121" t="s">
        <v>103</v>
      </c>
      <c r="J3157" s="43"/>
    </row>
    <row r="3158" spans="1:10" ht="15.75" hidden="1" customHeight="1" x14ac:dyDescent="0.25">
      <c r="A3158" s="127">
        <v>45322</v>
      </c>
      <c r="B3158" s="121" t="s">
        <v>6366</v>
      </c>
      <c r="C3158" s="121" t="s">
        <v>2895</v>
      </c>
      <c r="D3158" s="121" t="s">
        <v>2896</v>
      </c>
      <c r="E3158" s="173">
        <v>0</v>
      </c>
      <c r="F3158" s="174">
        <v>406560</v>
      </c>
      <c r="G3158" s="173">
        <v>85377.600000000006</v>
      </c>
      <c r="H3158" s="173">
        <v>491937.6</v>
      </c>
      <c r="I3158" s="121" t="s">
        <v>103</v>
      </c>
      <c r="J3158" s="43"/>
    </row>
    <row r="3159" spans="1:10" customFormat="1" ht="15.75" hidden="1" customHeight="1" x14ac:dyDescent="0.25">
      <c r="A3159" s="127">
        <v>45322</v>
      </c>
      <c r="B3159" s="121" t="s">
        <v>6367</v>
      </c>
      <c r="C3159" s="121" t="s">
        <v>3132</v>
      </c>
      <c r="D3159" s="121" t="s">
        <v>3133</v>
      </c>
      <c r="E3159" s="173">
        <v>-2.9802322387695298E-10</v>
      </c>
      <c r="F3159" s="174">
        <v>2481294.5499999998</v>
      </c>
      <c r="G3159" s="173">
        <v>521071.86</v>
      </c>
      <c r="H3159" s="173">
        <v>3002366.4099999992</v>
      </c>
      <c r="I3159" s="121" t="s">
        <v>103</v>
      </c>
      <c r="J3159" s="43"/>
    </row>
    <row r="3160" spans="1:10" customFormat="1" ht="15.75" hidden="1" customHeight="1" x14ac:dyDescent="0.25">
      <c r="A3160" s="127">
        <v>45322</v>
      </c>
      <c r="B3160" s="192" t="s">
        <v>6368</v>
      </c>
      <c r="C3160" s="121" t="s">
        <v>6369</v>
      </c>
      <c r="D3160" s="121" t="s">
        <v>6370</v>
      </c>
      <c r="E3160" s="173">
        <v>33000</v>
      </c>
      <c r="F3160" s="174">
        <v>304000</v>
      </c>
      <c r="G3160" s="173">
        <v>63840</v>
      </c>
      <c r="H3160" s="173">
        <v>400840</v>
      </c>
      <c r="I3160" s="121" t="s">
        <v>19</v>
      </c>
      <c r="J3160" s="43"/>
    </row>
    <row r="3161" spans="1:10" customFormat="1" ht="15.75" hidden="1" customHeight="1" x14ac:dyDescent="0.25">
      <c r="A3161" s="127">
        <v>45322</v>
      </c>
      <c r="B3161" s="192" t="s">
        <v>6371</v>
      </c>
      <c r="C3161" s="121" t="s">
        <v>4109</v>
      </c>
      <c r="D3161" s="121" t="s">
        <v>4110</v>
      </c>
      <c r="E3161" s="173">
        <v>33000</v>
      </c>
      <c r="F3161" s="174">
        <v>304000</v>
      </c>
      <c r="G3161" s="173">
        <v>63840</v>
      </c>
      <c r="H3161" s="173">
        <v>400840</v>
      </c>
      <c r="I3161" s="121" t="s">
        <v>19</v>
      </c>
      <c r="J3161" s="43"/>
    </row>
    <row r="3162" spans="1:10" customFormat="1" ht="15.75" hidden="1" customHeight="1" x14ac:dyDescent="0.25">
      <c r="A3162" s="127">
        <v>45322</v>
      </c>
      <c r="B3162" s="192" t="s">
        <v>6372</v>
      </c>
      <c r="C3162" s="121" t="s">
        <v>2997</v>
      </c>
      <c r="D3162" s="121" t="s">
        <v>2998</v>
      </c>
      <c r="E3162" s="173">
        <v>13000</v>
      </c>
      <c r="F3162" s="174">
        <v>225000</v>
      </c>
      <c r="G3162" s="173">
        <v>47250</v>
      </c>
      <c r="H3162" s="173">
        <v>285250</v>
      </c>
      <c r="I3162" s="121" t="s">
        <v>19</v>
      </c>
      <c r="J3162" s="43"/>
    </row>
    <row r="3163" spans="1:10" customFormat="1" ht="15.75" hidden="1" customHeight="1" x14ac:dyDescent="0.25">
      <c r="A3163" s="127">
        <v>45322</v>
      </c>
      <c r="B3163" s="192" t="s">
        <v>6373</v>
      </c>
      <c r="C3163" s="121" t="s">
        <v>2997</v>
      </c>
      <c r="D3163" s="121" t="s">
        <v>2998</v>
      </c>
      <c r="E3163" s="173">
        <v>13000</v>
      </c>
      <c r="F3163" s="174">
        <v>225000</v>
      </c>
      <c r="G3163" s="173">
        <v>47250</v>
      </c>
      <c r="H3163" s="173">
        <v>285250</v>
      </c>
      <c r="I3163" s="121" t="s">
        <v>19</v>
      </c>
      <c r="J3163" s="43"/>
    </row>
    <row r="3164" spans="1:10" customFormat="1" ht="15.75" hidden="1" customHeight="1" x14ac:dyDescent="0.25">
      <c r="A3164" s="127">
        <v>45322</v>
      </c>
      <c r="B3164" s="192" t="s">
        <v>6374</v>
      </c>
      <c r="C3164" s="121" t="s">
        <v>2997</v>
      </c>
      <c r="D3164" s="121" t="s">
        <v>2998</v>
      </c>
      <c r="E3164" s="173">
        <v>13000</v>
      </c>
      <c r="F3164" s="174">
        <v>225000</v>
      </c>
      <c r="G3164" s="173">
        <v>47250</v>
      </c>
      <c r="H3164" s="173">
        <v>285250</v>
      </c>
      <c r="I3164" s="121" t="s">
        <v>19</v>
      </c>
      <c r="J3164" s="43"/>
    </row>
    <row r="3165" spans="1:10" customFormat="1" ht="15.75" hidden="1" customHeight="1" x14ac:dyDescent="0.25">
      <c r="A3165" s="127">
        <v>45322</v>
      </c>
      <c r="B3165" s="192" t="s">
        <v>6375</v>
      </c>
      <c r="C3165" s="121" t="s">
        <v>2867</v>
      </c>
      <c r="D3165" s="121" t="s">
        <v>2868</v>
      </c>
      <c r="E3165" s="173">
        <v>19300</v>
      </c>
      <c r="F3165" s="174">
        <v>272100</v>
      </c>
      <c r="G3165" s="173">
        <v>57141</v>
      </c>
      <c r="H3165" s="173">
        <v>348541</v>
      </c>
      <c r="I3165" s="121" t="s">
        <v>19</v>
      </c>
      <c r="J3165" s="43"/>
    </row>
    <row r="3166" spans="1:10" customFormat="1" ht="15.75" hidden="1" customHeight="1" x14ac:dyDescent="0.25">
      <c r="A3166" s="127">
        <v>45322</v>
      </c>
      <c r="B3166" s="192" t="s">
        <v>6376</v>
      </c>
      <c r="C3166" s="121" t="s">
        <v>3041</v>
      </c>
      <c r="D3166" s="121" t="s">
        <v>3042</v>
      </c>
      <c r="E3166" s="173">
        <v>7600</v>
      </c>
      <c r="F3166" s="174">
        <v>185000</v>
      </c>
      <c r="G3166" s="173">
        <v>38850</v>
      </c>
      <c r="H3166" s="173">
        <v>231450</v>
      </c>
      <c r="I3166" s="121" t="s">
        <v>19</v>
      </c>
      <c r="J3166" s="43"/>
    </row>
    <row r="3167" spans="1:10" customFormat="1" ht="15.75" hidden="1" customHeight="1" x14ac:dyDescent="0.25">
      <c r="A3167" s="127">
        <v>45322</v>
      </c>
      <c r="B3167" s="192" t="s">
        <v>6377</v>
      </c>
      <c r="C3167" s="121" t="s">
        <v>2954</v>
      </c>
      <c r="D3167" s="121" t="s">
        <v>2955</v>
      </c>
      <c r="E3167" s="173">
        <v>70200</v>
      </c>
      <c r="F3167" s="174">
        <v>1920000</v>
      </c>
      <c r="G3167" s="173">
        <v>403200</v>
      </c>
      <c r="H3167" s="173">
        <v>2393400</v>
      </c>
      <c r="I3167" s="121" t="s">
        <v>19</v>
      </c>
      <c r="J3167" s="43"/>
    </row>
    <row r="3168" spans="1:10" customFormat="1" ht="15.75" hidden="1" customHeight="1" x14ac:dyDescent="0.25">
      <c r="A3168" s="127">
        <v>45322</v>
      </c>
      <c r="B3168" s="192" t="s">
        <v>6378</v>
      </c>
      <c r="C3168" s="121" t="s">
        <v>2867</v>
      </c>
      <c r="D3168" s="121" t="s">
        <v>2868</v>
      </c>
      <c r="E3168" s="173">
        <v>19300</v>
      </c>
      <c r="F3168" s="174">
        <v>301500</v>
      </c>
      <c r="G3168" s="173">
        <v>63315</v>
      </c>
      <c r="H3168" s="173">
        <v>384115</v>
      </c>
      <c r="I3168" s="121" t="s">
        <v>19</v>
      </c>
      <c r="J3168" s="43"/>
    </row>
    <row r="3169" spans="1:10" customFormat="1" ht="15.75" hidden="1" customHeight="1" x14ac:dyDescent="0.25">
      <c r="A3169" s="127">
        <v>45322</v>
      </c>
      <c r="B3169" s="192" t="s">
        <v>6379</v>
      </c>
      <c r="C3169" s="121" t="s">
        <v>3176</v>
      </c>
      <c r="D3169" s="121" t="s">
        <v>3177</v>
      </c>
      <c r="E3169" s="173">
        <v>9600</v>
      </c>
      <c r="F3169" s="174">
        <v>299600</v>
      </c>
      <c r="G3169" s="173">
        <v>62916</v>
      </c>
      <c r="H3169" s="173">
        <v>372116</v>
      </c>
      <c r="I3169" s="121" t="s">
        <v>19</v>
      </c>
      <c r="J3169" s="43"/>
    </row>
    <row r="3170" spans="1:10" customFormat="1" ht="15.75" hidden="1" customHeight="1" x14ac:dyDescent="0.25">
      <c r="A3170" s="127">
        <v>45322</v>
      </c>
      <c r="B3170" s="192" t="s">
        <v>6380</v>
      </c>
      <c r="C3170" s="121" t="s">
        <v>3346</v>
      </c>
      <c r="D3170" s="121" t="s">
        <v>3347</v>
      </c>
      <c r="E3170" s="173">
        <v>20000</v>
      </c>
      <c r="F3170" s="174">
        <v>741000</v>
      </c>
      <c r="G3170" s="173">
        <v>155610</v>
      </c>
      <c r="H3170" s="173">
        <v>916610</v>
      </c>
      <c r="I3170" s="121" t="s">
        <v>19</v>
      </c>
      <c r="J3170" s="43"/>
    </row>
    <row r="3171" spans="1:10" customFormat="1" ht="15.75" hidden="1" customHeight="1" x14ac:dyDescent="0.25">
      <c r="A3171" s="127">
        <v>45322</v>
      </c>
      <c r="B3171" s="192" t="s">
        <v>6381</v>
      </c>
      <c r="C3171" s="121" t="s">
        <v>3083</v>
      </c>
      <c r="D3171" s="121" t="s">
        <v>3084</v>
      </c>
      <c r="E3171" s="173">
        <v>8200</v>
      </c>
      <c r="F3171" s="174">
        <v>204000</v>
      </c>
      <c r="G3171" s="173">
        <v>42840</v>
      </c>
      <c r="H3171" s="173">
        <v>255040</v>
      </c>
      <c r="I3171" s="121" t="s">
        <v>19</v>
      </c>
      <c r="J3171" s="43"/>
    </row>
    <row r="3172" spans="1:10" customFormat="1" ht="15.75" hidden="1" customHeight="1" x14ac:dyDescent="0.25">
      <c r="A3172" s="127">
        <v>45322</v>
      </c>
      <c r="B3172" s="192" t="s">
        <v>6382</v>
      </c>
      <c r="C3172" s="121" t="s">
        <v>2945</v>
      </c>
      <c r="D3172" s="121" t="s">
        <v>2946</v>
      </c>
      <c r="E3172" s="173">
        <v>13000</v>
      </c>
      <c r="F3172" s="174">
        <v>408000</v>
      </c>
      <c r="G3172" s="173">
        <v>85680</v>
      </c>
      <c r="H3172" s="173">
        <v>506680</v>
      </c>
      <c r="I3172" s="121" t="s">
        <v>19</v>
      </c>
      <c r="J3172" s="43"/>
    </row>
    <row r="3173" spans="1:10" customFormat="1" ht="15.75" hidden="1" customHeight="1" x14ac:dyDescent="0.25">
      <c r="A3173" s="127">
        <v>45322</v>
      </c>
      <c r="B3173" s="192" t="s">
        <v>6383</v>
      </c>
      <c r="C3173" s="121" t="s">
        <v>3007</v>
      </c>
      <c r="D3173" s="121" t="s">
        <v>3008</v>
      </c>
      <c r="E3173" s="173">
        <v>0</v>
      </c>
      <c r="F3173" s="174">
        <v>47000</v>
      </c>
      <c r="G3173" s="173">
        <v>9870</v>
      </c>
      <c r="H3173" s="173">
        <v>56870</v>
      </c>
      <c r="I3173" s="121" t="s">
        <v>19</v>
      </c>
      <c r="J3173" s="43"/>
    </row>
    <row r="3174" spans="1:10" customFormat="1" ht="15.75" hidden="1" customHeight="1" x14ac:dyDescent="0.25">
      <c r="A3174" s="127">
        <v>45299</v>
      </c>
      <c r="B3174" s="192" t="s">
        <v>6384</v>
      </c>
      <c r="C3174" s="121" t="s">
        <v>2851</v>
      </c>
      <c r="D3174" s="121" t="s">
        <v>2852</v>
      </c>
      <c r="E3174" s="173">
        <v>0</v>
      </c>
      <c r="F3174" s="174">
        <v>1460282</v>
      </c>
      <c r="G3174" s="173">
        <v>306659.21999999997</v>
      </c>
      <c r="H3174" s="173">
        <v>1766941.22</v>
      </c>
      <c r="I3174" s="121" t="s">
        <v>19</v>
      </c>
      <c r="J3174" s="43"/>
    </row>
    <row r="3175" spans="1:10" customFormat="1" ht="15.75" hidden="1" customHeight="1" x14ac:dyDescent="0.25">
      <c r="A3175" s="127">
        <v>45307</v>
      </c>
      <c r="B3175" s="192" t="s">
        <v>6385</v>
      </c>
      <c r="C3175" s="121" t="s">
        <v>2851</v>
      </c>
      <c r="D3175" s="121" t="s">
        <v>2852</v>
      </c>
      <c r="E3175" s="173">
        <v>46560</v>
      </c>
      <c r="F3175" s="174">
        <v>1350000</v>
      </c>
      <c r="G3175" s="173">
        <v>283500</v>
      </c>
      <c r="H3175" s="173">
        <v>1680060</v>
      </c>
      <c r="I3175" s="121" t="s">
        <v>19</v>
      </c>
      <c r="J3175" s="43"/>
    </row>
    <row r="3176" spans="1:10" customFormat="1" ht="15.75" hidden="1" customHeight="1" x14ac:dyDescent="0.25">
      <c r="A3176" s="127">
        <v>45317</v>
      </c>
      <c r="B3176" s="192" t="s">
        <v>6386</v>
      </c>
      <c r="C3176" s="121" t="s">
        <v>2851</v>
      </c>
      <c r="D3176" s="121" t="s">
        <v>2852</v>
      </c>
      <c r="E3176" s="173">
        <v>30400</v>
      </c>
      <c r="F3176" s="174">
        <v>630000</v>
      </c>
      <c r="G3176" s="173">
        <v>132300</v>
      </c>
      <c r="H3176" s="173">
        <v>792700</v>
      </c>
      <c r="I3176" s="121" t="s">
        <v>19</v>
      </c>
      <c r="J3176" s="43"/>
    </row>
    <row r="3177" spans="1:10" customFormat="1" ht="15.75" hidden="1" customHeight="1" x14ac:dyDescent="0.25">
      <c r="A3177" s="127">
        <v>45301</v>
      </c>
      <c r="B3177" s="192" t="s">
        <v>6387</v>
      </c>
      <c r="C3177" s="121" t="s">
        <v>6388</v>
      </c>
      <c r="D3177" s="121" t="s">
        <v>5970</v>
      </c>
      <c r="E3177" s="173">
        <v>0</v>
      </c>
      <c r="F3177" s="174">
        <v>-2575545</v>
      </c>
      <c r="G3177" s="174">
        <v>-540864.44999999995</v>
      </c>
      <c r="H3177" s="174">
        <v>-3116409.45</v>
      </c>
      <c r="I3177" s="121" t="s">
        <v>19</v>
      </c>
      <c r="J3177" s="43"/>
    </row>
    <row r="3178" spans="1:10" customFormat="1" ht="15.75" hidden="1" customHeight="1" x14ac:dyDescent="0.25">
      <c r="A3178" s="127">
        <v>45301</v>
      </c>
      <c r="B3178" s="192" t="s">
        <v>6389</v>
      </c>
      <c r="C3178" s="121" t="s">
        <v>6388</v>
      </c>
      <c r="D3178" s="121" t="s">
        <v>5970</v>
      </c>
      <c r="E3178" s="173">
        <v>0</v>
      </c>
      <c r="F3178" s="174">
        <v>-958261</v>
      </c>
      <c r="G3178" s="174">
        <v>-201234.81</v>
      </c>
      <c r="H3178" s="174">
        <v>-1159495.81</v>
      </c>
      <c r="I3178" s="121" t="s">
        <v>19</v>
      </c>
      <c r="J3178" s="43"/>
    </row>
    <row r="3179" spans="1:10" customFormat="1" ht="15.75" hidden="1" customHeight="1" x14ac:dyDescent="0.25">
      <c r="A3179" s="127">
        <v>45308</v>
      </c>
      <c r="B3179" s="192" t="s">
        <v>6390</v>
      </c>
      <c r="C3179" s="121" t="s">
        <v>2903</v>
      </c>
      <c r="D3179" s="121" t="s">
        <v>2904</v>
      </c>
      <c r="E3179" s="173">
        <v>-26500</v>
      </c>
      <c r="F3179" s="174">
        <v>-228500</v>
      </c>
      <c r="G3179" s="173">
        <v>-47985</v>
      </c>
      <c r="H3179" s="173">
        <v>-302985</v>
      </c>
      <c r="I3179" s="121" t="s">
        <v>19</v>
      </c>
      <c r="J3179" s="43"/>
    </row>
    <row r="3180" spans="1:10" customFormat="1" ht="15.75" hidden="1" customHeight="1" x14ac:dyDescent="0.25">
      <c r="A3180" s="127">
        <v>45308</v>
      </c>
      <c r="B3180" s="192" t="s">
        <v>6391</v>
      </c>
      <c r="C3180" s="121" t="s">
        <v>2903</v>
      </c>
      <c r="D3180" s="121" t="s">
        <v>2904</v>
      </c>
      <c r="E3180" s="173">
        <v>-26500</v>
      </c>
      <c r="F3180" s="174">
        <v>-228500</v>
      </c>
      <c r="G3180" s="173">
        <v>-47985</v>
      </c>
      <c r="H3180" s="173">
        <v>-302985</v>
      </c>
      <c r="I3180" s="121" t="s">
        <v>19</v>
      </c>
      <c r="J3180" s="43"/>
    </row>
    <row r="3181" spans="1:10" customFormat="1" ht="15.75" hidden="1" customHeight="1" x14ac:dyDescent="0.25">
      <c r="A3181" s="127">
        <v>45308</v>
      </c>
      <c r="B3181" s="192" t="s">
        <v>6392</v>
      </c>
      <c r="C3181" s="121" t="s">
        <v>2903</v>
      </c>
      <c r="D3181" s="121" t="s">
        <v>2904</v>
      </c>
      <c r="E3181" s="173">
        <v>-26500</v>
      </c>
      <c r="F3181" s="174">
        <v>-228500</v>
      </c>
      <c r="G3181" s="173">
        <v>-47985</v>
      </c>
      <c r="H3181" s="173">
        <v>-302985</v>
      </c>
      <c r="I3181" s="121" t="s">
        <v>19</v>
      </c>
      <c r="J3181" s="43"/>
    </row>
    <row r="3182" spans="1:10" customFormat="1" ht="15.75" hidden="1" customHeight="1" x14ac:dyDescent="0.25">
      <c r="A3182" s="127">
        <v>45308</v>
      </c>
      <c r="B3182" s="192" t="s">
        <v>6393</v>
      </c>
      <c r="C3182" s="121" t="s">
        <v>2903</v>
      </c>
      <c r="D3182" s="121" t="s">
        <v>2904</v>
      </c>
      <c r="E3182" s="173">
        <v>-26500</v>
      </c>
      <c r="F3182" s="174">
        <v>-228500</v>
      </c>
      <c r="G3182" s="173">
        <v>-47985</v>
      </c>
      <c r="H3182" s="173">
        <v>-302985</v>
      </c>
      <c r="I3182" s="121" t="s">
        <v>19</v>
      </c>
      <c r="J3182" s="43"/>
    </row>
    <row r="3183" spans="1:10" customFormat="1" ht="15.75" hidden="1" customHeight="1" x14ac:dyDescent="0.25">
      <c r="A3183" s="127">
        <v>45308</v>
      </c>
      <c r="B3183" s="192" t="s">
        <v>6394</v>
      </c>
      <c r="C3183" s="121" t="s">
        <v>2903</v>
      </c>
      <c r="D3183" s="121" t="s">
        <v>2904</v>
      </c>
      <c r="E3183" s="173">
        <v>-26500</v>
      </c>
      <c r="F3183" s="174">
        <v>-228500</v>
      </c>
      <c r="G3183" s="173">
        <v>-47985</v>
      </c>
      <c r="H3183" s="173">
        <v>-302985</v>
      </c>
      <c r="I3183" s="121" t="s">
        <v>19</v>
      </c>
      <c r="J3183" s="43"/>
    </row>
    <row r="3184" spans="1:10" customFormat="1" ht="15.75" hidden="1" customHeight="1" x14ac:dyDescent="0.25">
      <c r="A3184" s="127">
        <v>45308</v>
      </c>
      <c r="B3184" s="192" t="s">
        <v>6395</v>
      </c>
      <c r="C3184" s="121" t="s">
        <v>2903</v>
      </c>
      <c r="D3184" s="121" t="s">
        <v>2904</v>
      </c>
      <c r="E3184" s="173">
        <v>-26500</v>
      </c>
      <c r="F3184" s="174">
        <v>-218000</v>
      </c>
      <c r="G3184" s="173">
        <v>-45780</v>
      </c>
      <c r="H3184" s="173">
        <v>-290280</v>
      </c>
      <c r="I3184" s="121" t="s">
        <v>19</v>
      </c>
      <c r="J3184" s="43"/>
    </row>
    <row r="3185" spans="1:10" customFormat="1" ht="15.75" hidden="1" customHeight="1" x14ac:dyDescent="0.25">
      <c r="A3185" s="127">
        <v>45308</v>
      </c>
      <c r="B3185" s="192" t="s">
        <v>6396</v>
      </c>
      <c r="C3185" s="121" t="s">
        <v>2903</v>
      </c>
      <c r="D3185" s="121" t="s">
        <v>2904</v>
      </c>
      <c r="E3185" s="173">
        <v>-32000</v>
      </c>
      <c r="F3185" s="174">
        <v>-168750</v>
      </c>
      <c r="G3185" s="173">
        <v>-35437.5</v>
      </c>
      <c r="H3185" s="173">
        <v>-236187.5</v>
      </c>
      <c r="I3185" s="121" t="s">
        <v>19</v>
      </c>
      <c r="J3185" s="43"/>
    </row>
    <row r="3186" spans="1:10" customFormat="1" ht="15.75" hidden="1" customHeight="1" x14ac:dyDescent="0.25">
      <c r="A3186" s="127">
        <v>45309</v>
      </c>
      <c r="B3186" s="192" t="s">
        <v>6397</v>
      </c>
      <c r="C3186" s="121" t="s">
        <v>2903</v>
      </c>
      <c r="D3186" s="121" t="s">
        <v>2904</v>
      </c>
      <c r="E3186" s="173">
        <v>-26500</v>
      </c>
      <c r="F3186" s="174">
        <v>-228500</v>
      </c>
      <c r="G3186" s="173">
        <v>-47985</v>
      </c>
      <c r="H3186" s="173">
        <v>-302985</v>
      </c>
      <c r="I3186" s="121" t="s">
        <v>19</v>
      </c>
      <c r="J3186" s="43"/>
    </row>
    <row r="3187" spans="1:10" customFormat="1" ht="15.75" hidden="1" customHeight="1" x14ac:dyDescent="0.25">
      <c r="A3187" s="127">
        <v>45309</v>
      </c>
      <c r="B3187" s="192" t="s">
        <v>6398</v>
      </c>
      <c r="C3187" s="121" t="s">
        <v>5283</v>
      </c>
      <c r="D3187" s="121" t="s">
        <v>5284</v>
      </c>
      <c r="E3187" s="173">
        <v>-140000</v>
      </c>
      <c r="F3187" s="174">
        <v>-6000000</v>
      </c>
      <c r="G3187" s="173">
        <v>-1260000</v>
      </c>
      <c r="H3187" s="173">
        <v>-7400000</v>
      </c>
      <c r="I3187" s="121" t="s">
        <v>19</v>
      </c>
      <c r="J3187" s="43"/>
    </row>
    <row r="3188" spans="1:10" customFormat="1" ht="15.75" hidden="1" customHeight="1" x14ac:dyDescent="0.25">
      <c r="A3188" s="127">
        <v>45315</v>
      </c>
      <c r="B3188" s="192" t="s">
        <v>6399</v>
      </c>
      <c r="C3188" s="121" t="s">
        <v>3562</v>
      </c>
      <c r="D3188" s="121" t="s">
        <v>3563</v>
      </c>
      <c r="E3188" s="173">
        <v>0</v>
      </c>
      <c r="F3188" s="174">
        <v>-25000</v>
      </c>
      <c r="G3188" s="173">
        <v>-5250</v>
      </c>
      <c r="H3188" s="173">
        <v>-30250</v>
      </c>
      <c r="I3188" s="121" t="s">
        <v>19</v>
      </c>
      <c r="J3188" s="43"/>
    </row>
    <row r="3189" spans="1:10" customFormat="1" ht="15.75" hidden="1" customHeight="1" x14ac:dyDescent="0.25">
      <c r="A3189" s="127">
        <v>45322</v>
      </c>
      <c r="B3189" s="192" t="s">
        <v>6400</v>
      </c>
      <c r="C3189" s="121" t="s">
        <v>6292</v>
      </c>
      <c r="D3189" s="121" t="s">
        <v>6293</v>
      </c>
      <c r="E3189" s="173">
        <v>-5600</v>
      </c>
      <c r="F3189" s="174">
        <v>-160000</v>
      </c>
      <c r="G3189" s="173">
        <v>-33600</v>
      </c>
      <c r="H3189" s="173">
        <v>-199200</v>
      </c>
      <c r="I3189" s="121" t="s">
        <v>19</v>
      </c>
      <c r="J3189" s="43"/>
    </row>
    <row r="3190" spans="1:10" customFormat="1" ht="15.75" hidden="1" customHeight="1" x14ac:dyDescent="0.25">
      <c r="A3190" s="127">
        <v>45322</v>
      </c>
      <c r="B3190" s="192" t="s">
        <v>6401</v>
      </c>
      <c r="C3190" s="121" t="s">
        <v>6369</v>
      </c>
      <c r="D3190" s="121" t="s">
        <v>6370</v>
      </c>
      <c r="E3190" s="173">
        <v>-33000</v>
      </c>
      <c r="F3190" s="174">
        <v>-304000</v>
      </c>
      <c r="G3190" s="173">
        <v>-63840</v>
      </c>
      <c r="H3190" s="173">
        <v>-400840</v>
      </c>
      <c r="I3190" s="121" t="s">
        <v>19</v>
      </c>
      <c r="J3190" s="43"/>
    </row>
    <row r="3191" spans="1:10" customFormat="1" ht="15.75" hidden="1" customHeight="1" x14ac:dyDescent="0.25">
      <c r="A3191" s="127">
        <v>45322</v>
      </c>
      <c r="B3191" s="192" t="s">
        <v>3981</v>
      </c>
      <c r="C3191" s="121" t="s">
        <v>5141</v>
      </c>
      <c r="D3191" s="121">
        <v>0</v>
      </c>
      <c r="E3191" s="173">
        <v>0</v>
      </c>
      <c r="F3191" s="174">
        <v>1790240</v>
      </c>
      <c r="G3191" s="173">
        <v>0</v>
      </c>
      <c r="H3191" s="173">
        <v>1790240</v>
      </c>
      <c r="I3191" s="121" t="s">
        <v>103</v>
      </c>
      <c r="J3191" s="43"/>
    </row>
    <row r="3192" spans="1:10" customFormat="1" ht="15.75" hidden="1" customHeight="1" x14ac:dyDescent="0.25">
      <c r="A3192" s="127">
        <v>45322</v>
      </c>
      <c r="B3192" s="192" t="s">
        <v>3981</v>
      </c>
      <c r="C3192" s="121" t="s">
        <v>2930</v>
      </c>
      <c r="D3192" s="121">
        <v>0</v>
      </c>
      <c r="E3192" s="173">
        <v>0</v>
      </c>
      <c r="F3192" s="174">
        <v>1638294</v>
      </c>
      <c r="G3192" s="173">
        <v>0</v>
      </c>
      <c r="H3192" s="173">
        <v>1638294</v>
      </c>
      <c r="I3192" s="121" t="s">
        <v>103</v>
      </c>
      <c r="J3192" s="43"/>
    </row>
    <row r="3193" spans="1:10" customFormat="1" ht="15.75" hidden="1" customHeight="1" x14ac:dyDescent="0.25">
      <c r="A3193" s="127">
        <v>45322</v>
      </c>
      <c r="B3193" s="192" t="s">
        <v>3981</v>
      </c>
      <c r="C3193" s="121" t="s">
        <v>5973</v>
      </c>
      <c r="D3193" s="121" t="s">
        <v>3560</v>
      </c>
      <c r="E3193" s="173">
        <v>0</v>
      </c>
      <c r="F3193" s="174">
        <v>1915231.9</v>
      </c>
      <c r="G3193" s="174">
        <v>402198.69</v>
      </c>
      <c r="H3193" s="174">
        <v>2317430.59</v>
      </c>
      <c r="I3193" s="121" t="s">
        <v>103</v>
      </c>
      <c r="J3193" s="43"/>
    </row>
    <row r="3194" spans="1:10" customFormat="1" ht="15.75" hidden="1" customHeight="1" x14ac:dyDescent="0.25">
      <c r="A3194" s="127">
        <v>45322</v>
      </c>
      <c r="B3194" s="121" t="s">
        <v>3981</v>
      </c>
      <c r="C3194" s="121" t="s">
        <v>3160</v>
      </c>
      <c r="D3194" s="121"/>
      <c r="E3194" s="173">
        <v>0</v>
      </c>
      <c r="F3194" s="174">
        <v>5606630</v>
      </c>
      <c r="G3194" s="173">
        <v>0</v>
      </c>
      <c r="H3194" s="174">
        <v>7097000</v>
      </c>
      <c r="I3194" s="121" t="s">
        <v>19</v>
      </c>
      <c r="J3194" s="43"/>
    </row>
    <row r="3195" spans="1:10" customFormat="1" ht="15.75" hidden="1" customHeight="1" x14ac:dyDescent="0.25">
      <c r="A3195" s="127">
        <v>45329</v>
      </c>
      <c r="B3195" s="193" t="s">
        <v>6402</v>
      </c>
      <c r="C3195" s="193" t="s">
        <v>3241</v>
      </c>
      <c r="D3195" s="193" t="s">
        <v>3242</v>
      </c>
      <c r="E3195" s="194">
        <v>17500</v>
      </c>
      <c r="F3195" s="195">
        <v>762500</v>
      </c>
      <c r="G3195" s="194">
        <v>160125</v>
      </c>
      <c r="H3195" s="194">
        <v>940125</v>
      </c>
      <c r="I3195" s="121" t="s">
        <v>19</v>
      </c>
      <c r="J3195" s="43"/>
    </row>
    <row r="3196" spans="1:10" customFormat="1" ht="15.75" hidden="1" customHeight="1" x14ac:dyDescent="0.25">
      <c r="A3196" s="127">
        <v>45329</v>
      </c>
      <c r="B3196" s="193" t="s">
        <v>6403</v>
      </c>
      <c r="C3196" s="193" t="s">
        <v>3559</v>
      </c>
      <c r="D3196" s="193" t="s">
        <v>3560</v>
      </c>
      <c r="E3196" s="194">
        <v>12000</v>
      </c>
      <c r="F3196" s="195">
        <v>225000</v>
      </c>
      <c r="G3196" s="194">
        <v>47250</v>
      </c>
      <c r="H3196" s="194">
        <v>284250</v>
      </c>
      <c r="I3196" s="121" t="s">
        <v>19</v>
      </c>
      <c r="J3196" s="43"/>
    </row>
    <row r="3197" spans="1:10" customFormat="1" ht="15.75" hidden="1" customHeight="1" x14ac:dyDescent="0.25">
      <c r="A3197" s="127">
        <v>45329</v>
      </c>
      <c r="B3197" s="193" t="s">
        <v>6404</v>
      </c>
      <c r="C3197" s="193" t="s">
        <v>3346</v>
      </c>
      <c r="D3197" s="193" t="s">
        <v>3347</v>
      </c>
      <c r="E3197" s="194">
        <v>0</v>
      </c>
      <c r="F3197" s="195">
        <v>1169000</v>
      </c>
      <c r="G3197" s="194">
        <v>245490</v>
      </c>
      <c r="H3197" s="194">
        <v>1414490</v>
      </c>
      <c r="I3197" s="121" t="s">
        <v>19</v>
      </c>
      <c r="J3197" s="43"/>
    </row>
    <row r="3198" spans="1:10" customFormat="1" ht="15.75" hidden="1" customHeight="1" x14ac:dyDescent="0.25">
      <c r="A3198" s="127">
        <v>45329</v>
      </c>
      <c r="B3198" s="193" t="s">
        <v>6405</v>
      </c>
      <c r="C3198" s="193" t="s">
        <v>3834</v>
      </c>
      <c r="D3198" s="193" t="s">
        <v>3835</v>
      </c>
      <c r="E3198" s="194">
        <v>9500</v>
      </c>
      <c r="F3198" s="195">
        <v>225000</v>
      </c>
      <c r="G3198" s="194">
        <v>47250</v>
      </c>
      <c r="H3198" s="194">
        <v>281750</v>
      </c>
      <c r="I3198" s="121" t="s">
        <v>19</v>
      </c>
      <c r="J3198" s="43"/>
    </row>
    <row r="3199" spans="1:10" customFormat="1" ht="15.75" hidden="1" customHeight="1" x14ac:dyDescent="0.25">
      <c r="A3199" s="127">
        <v>45329</v>
      </c>
      <c r="B3199" s="193" t="s">
        <v>6406</v>
      </c>
      <c r="C3199" s="193" t="s">
        <v>2867</v>
      </c>
      <c r="D3199" s="193" t="s">
        <v>2868</v>
      </c>
      <c r="E3199" s="194">
        <v>12500</v>
      </c>
      <c r="F3199" s="195">
        <v>277500</v>
      </c>
      <c r="G3199" s="194">
        <v>58275</v>
      </c>
      <c r="H3199" s="194">
        <v>348275</v>
      </c>
      <c r="I3199" s="121" t="s">
        <v>19</v>
      </c>
      <c r="J3199" s="43"/>
    </row>
    <row r="3200" spans="1:10" customFormat="1" ht="15.75" hidden="1" customHeight="1" x14ac:dyDescent="0.25">
      <c r="A3200" s="127">
        <v>45329</v>
      </c>
      <c r="B3200" s="193" t="s">
        <v>6407</v>
      </c>
      <c r="C3200" s="193" t="s">
        <v>2851</v>
      </c>
      <c r="D3200" s="193" t="s">
        <v>2852</v>
      </c>
      <c r="E3200" s="194">
        <v>5000</v>
      </c>
      <c r="F3200" s="195">
        <v>179000</v>
      </c>
      <c r="G3200" s="194">
        <v>37590</v>
      </c>
      <c r="H3200" s="194">
        <v>221590</v>
      </c>
      <c r="I3200" s="121" t="s">
        <v>19</v>
      </c>
      <c r="J3200" s="43"/>
    </row>
    <row r="3201" spans="1:10" customFormat="1" ht="15.75" hidden="1" customHeight="1" x14ac:dyDescent="0.25">
      <c r="A3201" s="127">
        <v>45329</v>
      </c>
      <c r="B3201" s="193" t="s">
        <v>6408</v>
      </c>
      <c r="C3201" s="193" t="s">
        <v>2851</v>
      </c>
      <c r="D3201" s="193" t="s">
        <v>2852</v>
      </c>
      <c r="E3201" s="194">
        <v>6000</v>
      </c>
      <c r="F3201" s="195">
        <v>210000</v>
      </c>
      <c r="G3201" s="194">
        <v>44100</v>
      </c>
      <c r="H3201" s="194">
        <v>260100</v>
      </c>
      <c r="I3201" s="121" t="s">
        <v>19</v>
      </c>
      <c r="J3201" s="43"/>
    </row>
    <row r="3202" spans="1:10" customFormat="1" ht="15.75" hidden="1" customHeight="1" x14ac:dyDescent="0.25">
      <c r="A3202" s="127">
        <v>45329</v>
      </c>
      <c r="B3202" s="193" t="s">
        <v>6409</v>
      </c>
      <c r="C3202" s="193" t="s">
        <v>2851</v>
      </c>
      <c r="D3202" s="193" t="s">
        <v>2852</v>
      </c>
      <c r="E3202" s="194">
        <v>12800</v>
      </c>
      <c r="F3202" s="195">
        <v>320000</v>
      </c>
      <c r="G3202" s="194">
        <v>67200</v>
      </c>
      <c r="H3202" s="194">
        <v>400000</v>
      </c>
      <c r="I3202" s="121" t="s">
        <v>19</v>
      </c>
      <c r="J3202" s="43"/>
    </row>
    <row r="3203" spans="1:10" customFormat="1" ht="15.75" hidden="1" customHeight="1" x14ac:dyDescent="0.25">
      <c r="A3203" s="127">
        <v>45329</v>
      </c>
      <c r="B3203" s="193" t="s">
        <v>6410</v>
      </c>
      <c r="C3203" s="193" t="s">
        <v>3606</v>
      </c>
      <c r="D3203" s="193" t="s">
        <v>3607</v>
      </c>
      <c r="E3203" s="194">
        <v>0</v>
      </c>
      <c r="F3203" s="195">
        <v>55000</v>
      </c>
      <c r="G3203" s="194">
        <v>11550</v>
      </c>
      <c r="H3203" s="194">
        <v>66550</v>
      </c>
      <c r="I3203" s="121" t="s">
        <v>19</v>
      </c>
      <c r="J3203" s="43"/>
    </row>
    <row r="3204" spans="1:10" customFormat="1" ht="15.75" hidden="1" customHeight="1" x14ac:dyDescent="0.25">
      <c r="A3204" s="127">
        <v>45329</v>
      </c>
      <c r="B3204" s="193" t="s">
        <v>6411</v>
      </c>
      <c r="C3204" s="193" t="s">
        <v>3007</v>
      </c>
      <c r="D3204" s="193" t="s">
        <v>3008</v>
      </c>
      <c r="E3204" s="194">
        <v>0</v>
      </c>
      <c r="F3204" s="195">
        <v>47000</v>
      </c>
      <c r="G3204" s="194">
        <v>9870</v>
      </c>
      <c r="H3204" s="194">
        <v>56870</v>
      </c>
      <c r="I3204" s="121" t="s">
        <v>19</v>
      </c>
      <c r="J3204" s="43"/>
    </row>
    <row r="3205" spans="1:10" customFormat="1" ht="15.75" hidden="1" customHeight="1" x14ac:dyDescent="0.25">
      <c r="A3205" s="127">
        <v>45330</v>
      </c>
      <c r="B3205" s="193" t="s">
        <v>6412</v>
      </c>
      <c r="C3205" s="193" t="s">
        <v>3888</v>
      </c>
      <c r="D3205" s="193" t="s">
        <v>3889</v>
      </c>
      <c r="E3205" s="194">
        <v>0</v>
      </c>
      <c r="F3205" s="195">
        <v>47000</v>
      </c>
      <c r="G3205" s="194">
        <v>9870</v>
      </c>
      <c r="H3205" s="194">
        <v>56870</v>
      </c>
      <c r="I3205" s="121" t="s">
        <v>19</v>
      </c>
      <c r="J3205" s="43"/>
    </row>
    <row r="3206" spans="1:10" customFormat="1" ht="15.75" hidden="1" customHeight="1" x14ac:dyDescent="0.25">
      <c r="A3206" s="127">
        <v>45330</v>
      </c>
      <c r="B3206" s="193" t="s">
        <v>6413</v>
      </c>
      <c r="C3206" s="193" t="s">
        <v>2867</v>
      </c>
      <c r="D3206" s="193" t="s">
        <v>2868</v>
      </c>
      <c r="E3206" s="194">
        <v>2500</v>
      </c>
      <c r="F3206" s="195">
        <v>125000</v>
      </c>
      <c r="G3206" s="194">
        <v>26250</v>
      </c>
      <c r="H3206" s="194">
        <v>153750</v>
      </c>
      <c r="I3206" s="121" t="s">
        <v>19</v>
      </c>
      <c r="J3206" s="43"/>
    </row>
    <row r="3207" spans="1:10" customFormat="1" ht="15.75" hidden="1" customHeight="1" x14ac:dyDescent="0.25">
      <c r="A3207" s="127">
        <v>45330</v>
      </c>
      <c r="B3207" s="193" t="s">
        <v>6414</v>
      </c>
      <c r="C3207" s="193" t="s">
        <v>3173</v>
      </c>
      <c r="D3207" s="193" t="s">
        <v>3174</v>
      </c>
      <c r="E3207" s="194">
        <v>23500</v>
      </c>
      <c r="F3207" s="195">
        <v>282000</v>
      </c>
      <c r="G3207" s="194">
        <v>59220</v>
      </c>
      <c r="H3207" s="194">
        <v>364720</v>
      </c>
      <c r="I3207" s="121" t="s">
        <v>19</v>
      </c>
      <c r="J3207" s="43"/>
    </row>
    <row r="3208" spans="1:10" customFormat="1" ht="15.75" hidden="1" customHeight="1" x14ac:dyDescent="0.25">
      <c r="A3208" s="127">
        <v>45330</v>
      </c>
      <c r="B3208" s="193" t="s">
        <v>6415</v>
      </c>
      <c r="C3208" s="193" t="s">
        <v>3173</v>
      </c>
      <c r="D3208" s="193" t="s">
        <v>3174</v>
      </c>
      <c r="E3208" s="194">
        <v>33000</v>
      </c>
      <c r="F3208" s="195">
        <v>456000</v>
      </c>
      <c r="G3208" s="194">
        <v>95760</v>
      </c>
      <c r="H3208" s="194">
        <v>584760</v>
      </c>
      <c r="I3208" s="121" t="s">
        <v>19</v>
      </c>
      <c r="J3208" s="43"/>
    </row>
    <row r="3209" spans="1:10" customFormat="1" ht="15.75" hidden="1" customHeight="1" x14ac:dyDescent="0.25">
      <c r="A3209" s="127">
        <v>45330</v>
      </c>
      <c r="B3209" s="193" t="s">
        <v>6416</v>
      </c>
      <c r="C3209" s="193" t="s">
        <v>3606</v>
      </c>
      <c r="D3209" s="193" t="s">
        <v>3607</v>
      </c>
      <c r="E3209" s="194">
        <v>0</v>
      </c>
      <c r="F3209" s="195">
        <v>47000</v>
      </c>
      <c r="G3209" s="194">
        <v>9870</v>
      </c>
      <c r="H3209" s="194">
        <v>56870</v>
      </c>
      <c r="I3209" s="121" t="s">
        <v>19</v>
      </c>
      <c r="J3209" s="43"/>
    </row>
    <row r="3210" spans="1:10" customFormat="1" ht="15.75" hidden="1" customHeight="1" x14ac:dyDescent="0.25">
      <c r="A3210" s="127">
        <v>45330</v>
      </c>
      <c r="B3210" s="193" t="s">
        <v>6417</v>
      </c>
      <c r="C3210" s="193" t="s">
        <v>3346</v>
      </c>
      <c r="D3210" s="193" t="s">
        <v>3347</v>
      </c>
      <c r="E3210" s="194">
        <v>0</v>
      </c>
      <c r="F3210" s="195">
        <v>3575799</v>
      </c>
      <c r="G3210" s="194">
        <v>750917.79</v>
      </c>
      <c r="H3210" s="194">
        <v>4326716.79</v>
      </c>
      <c r="I3210" s="121" t="s">
        <v>103</v>
      </c>
      <c r="J3210" s="43"/>
    </row>
    <row r="3211" spans="1:10" customFormat="1" ht="15.75" hidden="1" customHeight="1" x14ac:dyDescent="0.25">
      <c r="A3211" s="127">
        <v>45330</v>
      </c>
      <c r="B3211" s="193" t="s">
        <v>6418</v>
      </c>
      <c r="C3211" s="193" t="s">
        <v>3140</v>
      </c>
      <c r="D3211" s="193" t="s">
        <v>3141</v>
      </c>
      <c r="E3211" s="194">
        <v>0</v>
      </c>
      <c r="F3211" s="195">
        <v>93600</v>
      </c>
      <c r="G3211" s="194">
        <v>19656</v>
      </c>
      <c r="H3211" s="194">
        <v>113256</v>
      </c>
      <c r="I3211" s="121" t="s">
        <v>103</v>
      </c>
      <c r="J3211" s="43"/>
    </row>
    <row r="3212" spans="1:10" customFormat="1" ht="15.75" hidden="1" customHeight="1" x14ac:dyDescent="0.25">
      <c r="A3212" s="127">
        <v>45330</v>
      </c>
      <c r="B3212" s="193" t="s">
        <v>6419</v>
      </c>
      <c r="C3212" s="193" t="s">
        <v>2954</v>
      </c>
      <c r="D3212" s="193" t="s">
        <v>2955</v>
      </c>
      <c r="E3212" s="194">
        <v>23000</v>
      </c>
      <c r="F3212" s="195">
        <v>450000</v>
      </c>
      <c r="G3212" s="194">
        <v>94500</v>
      </c>
      <c r="H3212" s="194">
        <v>567500</v>
      </c>
      <c r="I3212" s="121" t="s">
        <v>19</v>
      </c>
      <c r="J3212" s="43"/>
    </row>
    <row r="3213" spans="1:10" customFormat="1" ht="15.75" hidden="1" customHeight="1" x14ac:dyDescent="0.25">
      <c r="A3213" s="127">
        <v>45336</v>
      </c>
      <c r="B3213" s="193" t="s">
        <v>6420</v>
      </c>
      <c r="C3213" s="193" t="s">
        <v>2912</v>
      </c>
      <c r="D3213" s="193" t="s">
        <v>2913</v>
      </c>
      <c r="E3213" s="194">
        <v>0</v>
      </c>
      <c r="F3213" s="195">
        <v>684000</v>
      </c>
      <c r="G3213" s="194">
        <v>143640</v>
      </c>
      <c r="H3213" s="194">
        <v>827640</v>
      </c>
      <c r="I3213" s="121" t="s">
        <v>19</v>
      </c>
      <c r="J3213" s="43"/>
    </row>
    <row r="3214" spans="1:10" customFormat="1" ht="15.75" hidden="1" customHeight="1" x14ac:dyDescent="0.25">
      <c r="A3214" s="127">
        <v>45336</v>
      </c>
      <c r="B3214" s="193" t="s">
        <v>6421</v>
      </c>
      <c r="C3214" s="193" t="s">
        <v>3014</v>
      </c>
      <c r="D3214" s="193" t="s">
        <v>3015</v>
      </c>
      <c r="E3214" s="194">
        <v>17600</v>
      </c>
      <c r="F3214" s="195">
        <v>370000</v>
      </c>
      <c r="G3214" s="194">
        <v>77700</v>
      </c>
      <c r="H3214" s="194">
        <v>465300</v>
      </c>
      <c r="I3214" s="121" t="s">
        <v>19</v>
      </c>
      <c r="J3214" s="43"/>
    </row>
    <row r="3215" spans="1:10" customFormat="1" ht="15.75" hidden="1" customHeight="1" x14ac:dyDescent="0.25">
      <c r="A3215" s="127">
        <v>45336</v>
      </c>
      <c r="B3215" s="193" t="s">
        <v>6422</v>
      </c>
      <c r="C3215" s="193" t="s">
        <v>3007</v>
      </c>
      <c r="D3215" s="193" t="s">
        <v>3008</v>
      </c>
      <c r="E3215" s="194">
        <v>47000</v>
      </c>
      <c r="F3215" s="195">
        <v>260000</v>
      </c>
      <c r="G3215" s="194">
        <v>54600</v>
      </c>
      <c r="H3215" s="194">
        <v>361600</v>
      </c>
      <c r="I3215" s="121" t="s">
        <v>19</v>
      </c>
      <c r="J3215" s="43"/>
    </row>
    <row r="3216" spans="1:10" customFormat="1" ht="15.75" hidden="1" customHeight="1" x14ac:dyDescent="0.25">
      <c r="A3216" s="127">
        <v>45337</v>
      </c>
      <c r="B3216" s="193" t="s">
        <v>6423</v>
      </c>
      <c r="C3216" s="193" t="s">
        <v>4749</v>
      </c>
      <c r="D3216" s="193" t="s">
        <v>4750</v>
      </c>
      <c r="E3216" s="194">
        <v>0</v>
      </c>
      <c r="F3216" s="195">
        <v>58000</v>
      </c>
      <c r="G3216" s="194">
        <v>12180</v>
      </c>
      <c r="H3216" s="194">
        <v>70180</v>
      </c>
      <c r="I3216" s="121" t="s">
        <v>19</v>
      </c>
      <c r="J3216" s="43"/>
    </row>
    <row r="3217" spans="1:10" customFormat="1" ht="15.75" hidden="1" customHeight="1" x14ac:dyDescent="0.25">
      <c r="A3217" s="127">
        <v>45337</v>
      </c>
      <c r="B3217" s="193" t="s">
        <v>6424</v>
      </c>
      <c r="C3217" s="193" t="s">
        <v>3235</v>
      </c>
      <c r="D3217" s="193" t="s">
        <v>3236</v>
      </c>
      <c r="E3217" s="194">
        <v>23500</v>
      </c>
      <c r="F3217" s="195">
        <v>130000</v>
      </c>
      <c r="G3217" s="194">
        <v>27300</v>
      </c>
      <c r="H3217" s="194">
        <v>180800</v>
      </c>
      <c r="I3217" s="121" t="s">
        <v>19</v>
      </c>
      <c r="J3217" s="43"/>
    </row>
    <row r="3218" spans="1:10" customFormat="1" ht="15.75" hidden="1" customHeight="1" x14ac:dyDescent="0.25">
      <c r="A3218" s="127">
        <v>45337</v>
      </c>
      <c r="B3218" s="193" t="s">
        <v>6425</v>
      </c>
      <c r="C3218" s="193" t="s">
        <v>3014</v>
      </c>
      <c r="D3218" s="193" t="s">
        <v>3015</v>
      </c>
      <c r="E3218" s="194">
        <v>47000</v>
      </c>
      <c r="F3218" s="195">
        <v>304000</v>
      </c>
      <c r="G3218" s="194">
        <v>63840</v>
      </c>
      <c r="H3218" s="194">
        <v>414840</v>
      </c>
      <c r="I3218" s="121" t="s">
        <v>19</v>
      </c>
      <c r="J3218" s="43"/>
    </row>
    <row r="3219" spans="1:10" customFormat="1" ht="15.75" hidden="1" customHeight="1" x14ac:dyDescent="0.25">
      <c r="A3219" s="127">
        <v>45337</v>
      </c>
      <c r="B3219" s="193" t="s">
        <v>6426</v>
      </c>
      <c r="C3219" s="193" t="s">
        <v>2906</v>
      </c>
      <c r="D3219" s="193" t="s">
        <v>2907</v>
      </c>
      <c r="E3219" s="194">
        <v>23500</v>
      </c>
      <c r="F3219" s="195">
        <v>152000</v>
      </c>
      <c r="G3219" s="194">
        <v>31920</v>
      </c>
      <c r="H3219" s="194">
        <v>207420</v>
      </c>
      <c r="I3219" s="121" t="s">
        <v>19</v>
      </c>
      <c r="J3219" s="43"/>
    </row>
    <row r="3220" spans="1:10" customFormat="1" ht="15.75" hidden="1" customHeight="1" x14ac:dyDescent="0.25">
      <c r="A3220" s="127">
        <v>45337</v>
      </c>
      <c r="B3220" s="193" t="s">
        <v>6427</v>
      </c>
      <c r="C3220" s="193" t="s">
        <v>3606</v>
      </c>
      <c r="D3220" s="193" t="s">
        <v>3607</v>
      </c>
      <c r="E3220" s="194">
        <v>0</v>
      </c>
      <c r="F3220" s="195">
        <v>58000</v>
      </c>
      <c r="G3220" s="194">
        <v>12180</v>
      </c>
      <c r="H3220" s="194">
        <v>70180</v>
      </c>
      <c r="I3220" s="121" t="s">
        <v>19</v>
      </c>
      <c r="J3220" s="43"/>
    </row>
    <row r="3221" spans="1:10" customFormat="1" ht="15.75" hidden="1" customHeight="1" x14ac:dyDescent="0.25">
      <c r="A3221" s="127">
        <v>45337</v>
      </c>
      <c r="B3221" s="193" t="s">
        <v>6428</v>
      </c>
      <c r="C3221" s="193" t="s">
        <v>3117</v>
      </c>
      <c r="D3221" s="193" t="s">
        <v>3118</v>
      </c>
      <c r="E3221" s="194">
        <v>8800</v>
      </c>
      <c r="F3221" s="195">
        <v>160000</v>
      </c>
      <c r="G3221" s="194">
        <v>33600</v>
      </c>
      <c r="H3221" s="194">
        <v>202400</v>
      </c>
      <c r="I3221" s="121" t="s">
        <v>19</v>
      </c>
      <c r="J3221" s="43"/>
    </row>
    <row r="3222" spans="1:10" customFormat="1" ht="15.75" hidden="1" customHeight="1" x14ac:dyDescent="0.25">
      <c r="A3222" s="127">
        <v>45337</v>
      </c>
      <c r="B3222" s="193" t="s">
        <v>6429</v>
      </c>
      <c r="C3222" s="193" t="s">
        <v>3007</v>
      </c>
      <c r="D3222" s="193" t="s">
        <v>3008</v>
      </c>
      <c r="E3222" s="194">
        <v>23500</v>
      </c>
      <c r="F3222" s="195">
        <v>130000</v>
      </c>
      <c r="G3222" s="194">
        <v>27300</v>
      </c>
      <c r="H3222" s="194">
        <v>180800</v>
      </c>
      <c r="I3222" s="121" t="s">
        <v>19</v>
      </c>
      <c r="J3222" s="43"/>
    </row>
    <row r="3223" spans="1:10" customFormat="1" ht="15.75" hidden="1" customHeight="1" x14ac:dyDescent="0.25">
      <c r="A3223" s="127">
        <v>45337</v>
      </c>
      <c r="B3223" s="193" t="s">
        <v>6430</v>
      </c>
      <c r="C3223" s="193" t="s">
        <v>2889</v>
      </c>
      <c r="D3223" s="193" t="s">
        <v>2890</v>
      </c>
      <c r="E3223" s="194">
        <v>23500</v>
      </c>
      <c r="F3223" s="195">
        <v>130000</v>
      </c>
      <c r="G3223" s="194">
        <v>27300</v>
      </c>
      <c r="H3223" s="194">
        <v>180800</v>
      </c>
      <c r="I3223" s="121" t="s">
        <v>19</v>
      </c>
      <c r="J3223" s="43"/>
    </row>
    <row r="3224" spans="1:10" customFormat="1" ht="15.75" hidden="1" customHeight="1" x14ac:dyDescent="0.25">
      <c r="A3224" s="127">
        <v>45338</v>
      </c>
      <c r="B3224" s="193" t="s">
        <v>6431</v>
      </c>
      <c r="C3224" s="193" t="s">
        <v>6432</v>
      </c>
      <c r="D3224" s="193" t="s">
        <v>6433</v>
      </c>
      <c r="E3224" s="194">
        <v>23500</v>
      </c>
      <c r="F3224" s="195">
        <v>130000</v>
      </c>
      <c r="G3224" s="194">
        <v>27300</v>
      </c>
      <c r="H3224" s="194">
        <v>180800</v>
      </c>
      <c r="I3224" s="121" t="s">
        <v>19</v>
      </c>
      <c r="J3224" s="43"/>
    </row>
    <row r="3225" spans="1:10" customFormat="1" ht="15.75" hidden="1" customHeight="1" x14ac:dyDescent="0.25">
      <c r="A3225" s="127">
        <v>45338</v>
      </c>
      <c r="B3225" s="193" t="s">
        <v>6434</v>
      </c>
      <c r="C3225" s="193" t="s">
        <v>2906</v>
      </c>
      <c r="D3225" s="193" t="s">
        <v>2907</v>
      </c>
      <c r="E3225" s="194">
        <v>23500</v>
      </c>
      <c r="F3225" s="195">
        <v>152000</v>
      </c>
      <c r="G3225" s="194">
        <v>31920</v>
      </c>
      <c r="H3225" s="194">
        <v>207420</v>
      </c>
      <c r="I3225" s="121" t="s">
        <v>19</v>
      </c>
      <c r="J3225" s="43"/>
    </row>
    <row r="3226" spans="1:10" customFormat="1" ht="15.75" hidden="1" customHeight="1" x14ac:dyDescent="0.25">
      <c r="A3226" s="127">
        <v>45338</v>
      </c>
      <c r="B3226" s="193" t="s">
        <v>6435</v>
      </c>
      <c r="C3226" s="193" t="s">
        <v>3235</v>
      </c>
      <c r="D3226" s="193" t="s">
        <v>3236</v>
      </c>
      <c r="E3226" s="194">
        <v>141000</v>
      </c>
      <c r="F3226" s="195">
        <v>868000</v>
      </c>
      <c r="G3226" s="194">
        <v>182280</v>
      </c>
      <c r="H3226" s="194">
        <v>1191280</v>
      </c>
      <c r="I3226" s="121" t="s">
        <v>19</v>
      </c>
      <c r="J3226" s="43"/>
    </row>
    <row r="3227" spans="1:10" customFormat="1" ht="15.75" hidden="1" customHeight="1" x14ac:dyDescent="0.25">
      <c r="A3227" s="127">
        <v>45338</v>
      </c>
      <c r="B3227" s="193" t="s">
        <v>6436</v>
      </c>
      <c r="C3227" s="193" t="s">
        <v>2972</v>
      </c>
      <c r="D3227" s="193" t="s">
        <v>2973</v>
      </c>
      <c r="E3227" s="194">
        <v>66000</v>
      </c>
      <c r="F3227" s="195">
        <v>912000</v>
      </c>
      <c r="G3227" s="194">
        <v>191520</v>
      </c>
      <c r="H3227" s="194">
        <v>1169520</v>
      </c>
      <c r="I3227" s="121" t="s">
        <v>19</v>
      </c>
      <c r="J3227" s="43"/>
    </row>
    <row r="3228" spans="1:10" customFormat="1" ht="15.75" hidden="1" customHeight="1" x14ac:dyDescent="0.25">
      <c r="A3228" s="127">
        <v>45338</v>
      </c>
      <c r="B3228" s="193" t="s">
        <v>6437</v>
      </c>
      <c r="C3228" s="193" t="s">
        <v>3007</v>
      </c>
      <c r="D3228" s="193" t="s">
        <v>3008</v>
      </c>
      <c r="E3228" s="194">
        <v>23500</v>
      </c>
      <c r="F3228" s="195">
        <v>152000</v>
      </c>
      <c r="G3228" s="194">
        <v>31920</v>
      </c>
      <c r="H3228" s="194">
        <v>207420</v>
      </c>
      <c r="I3228" s="121" t="s">
        <v>19</v>
      </c>
      <c r="J3228" s="43"/>
    </row>
    <row r="3229" spans="1:10" customFormat="1" ht="15.75" hidden="1" customHeight="1" x14ac:dyDescent="0.25">
      <c r="A3229" s="127">
        <v>45338</v>
      </c>
      <c r="B3229" s="193" t="s">
        <v>6438</v>
      </c>
      <c r="C3229" s="193" t="s">
        <v>3007</v>
      </c>
      <c r="D3229" s="193" t="s">
        <v>3008</v>
      </c>
      <c r="E3229" s="194">
        <v>47000</v>
      </c>
      <c r="F3229" s="195">
        <v>304000</v>
      </c>
      <c r="G3229" s="194">
        <v>63840</v>
      </c>
      <c r="H3229" s="194">
        <v>414840</v>
      </c>
      <c r="I3229" s="121" t="s">
        <v>19</v>
      </c>
      <c r="J3229" s="43"/>
    </row>
    <row r="3230" spans="1:10" customFormat="1" ht="15.75" hidden="1" customHeight="1" x14ac:dyDescent="0.25">
      <c r="A3230" s="127">
        <v>45338</v>
      </c>
      <c r="B3230" s="193" t="s">
        <v>6439</v>
      </c>
      <c r="C3230" s="193" t="s">
        <v>2921</v>
      </c>
      <c r="D3230" s="193" t="s">
        <v>2922</v>
      </c>
      <c r="E3230" s="194">
        <v>47000</v>
      </c>
      <c r="F3230" s="195">
        <v>304000</v>
      </c>
      <c r="G3230" s="194">
        <v>63840</v>
      </c>
      <c r="H3230" s="194">
        <v>414840</v>
      </c>
      <c r="I3230" s="121" t="s">
        <v>19</v>
      </c>
      <c r="J3230" s="43"/>
    </row>
    <row r="3231" spans="1:10" customFormat="1" ht="15.75" hidden="1" customHeight="1" x14ac:dyDescent="0.25">
      <c r="A3231" s="127">
        <v>45338</v>
      </c>
      <c r="B3231" s="193" t="s">
        <v>6440</v>
      </c>
      <c r="C3231" s="193" t="s">
        <v>3014</v>
      </c>
      <c r="D3231" s="193" t="s">
        <v>3015</v>
      </c>
      <c r="E3231" s="194">
        <v>47000</v>
      </c>
      <c r="F3231" s="195">
        <v>304000</v>
      </c>
      <c r="G3231" s="194">
        <v>63840</v>
      </c>
      <c r="H3231" s="194">
        <v>414840</v>
      </c>
      <c r="I3231" s="121" t="s">
        <v>19</v>
      </c>
      <c r="J3231" s="43"/>
    </row>
    <row r="3232" spans="1:10" customFormat="1" ht="15.75" hidden="1" customHeight="1" x14ac:dyDescent="0.25">
      <c r="A3232" s="127">
        <v>45338</v>
      </c>
      <c r="B3232" s="193" t="s">
        <v>6441</v>
      </c>
      <c r="C3232" s="193" t="s">
        <v>6432</v>
      </c>
      <c r="D3232" s="193" t="s">
        <v>6433</v>
      </c>
      <c r="E3232" s="194">
        <v>33000</v>
      </c>
      <c r="F3232" s="195">
        <v>247000</v>
      </c>
      <c r="G3232" s="194">
        <v>51870</v>
      </c>
      <c r="H3232" s="194">
        <v>331870</v>
      </c>
      <c r="I3232" s="121" t="s">
        <v>19</v>
      </c>
      <c r="J3232" s="43"/>
    </row>
    <row r="3233" spans="1:10" customFormat="1" ht="15.75" hidden="1" customHeight="1" x14ac:dyDescent="0.25">
      <c r="A3233" s="127">
        <v>45338</v>
      </c>
      <c r="B3233" s="193" t="s">
        <v>6442</v>
      </c>
      <c r="C3233" s="193" t="s">
        <v>6443</v>
      </c>
      <c r="D3233" s="193" t="s">
        <v>6444</v>
      </c>
      <c r="E3233" s="194">
        <v>56500</v>
      </c>
      <c r="F3233" s="195">
        <v>377000</v>
      </c>
      <c r="G3233" s="194">
        <v>79170</v>
      </c>
      <c r="H3233" s="194">
        <v>512670</v>
      </c>
      <c r="I3233" s="121" t="s">
        <v>19</v>
      </c>
      <c r="J3233" s="43"/>
    </row>
    <row r="3234" spans="1:10" customFormat="1" ht="15.75" hidden="1" customHeight="1" x14ac:dyDescent="0.25">
      <c r="A3234" s="127">
        <v>45341</v>
      </c>
      <c r="B3234" s="193" t="s">
        <v>6445</v>
      </c>
      <c r="C3234" s="193" t="s">
        <v>3007</v>
      </c>
      <c r="D3234" s="193" t="s">
        <v>3008</v>
      </c>
      <c r="E3234" s="194">
        <v>47000</v>
      </c>
      <c r="F3234" s="195">
        <v>304000</v>
      </c>
      <c r="G3234" s="194">
        <v>63840</v>
      </c>
      <c r="H3234" s="194">
        <v>414840</v>
      </c>
      <c r="I3234" s="121" t="s">
        <v>19</v>
      </c>
      <c r="J3234" s="43"/>
    </row>
    <row r="3235" spans="1:10" customFormat="1" ht="15.75" hidden="1" customHeight="1" x14ac:dyDescent="0.25">
      <c r="A3235" s="127">
        <v>45341</v>
      </c>
      <c r="B3235" s="193" t="s">
        <v>6446</v>
      </c>
      <c r="C3235" s="193" t="s">
        <v>3007</v>
      </c>
      <c r="D3235" s="193" t="s">
        <v>3008</v>
      </c>
      <c r="E3235" s="194">
        <v>23500</v>
      </c>
      <c r="F3235" s="195">
        <v>152000</v>
      </c>
      <c r="G3235" s="194">
        <v>31920</v>
      </c>
      <c r="H3235" s="194">
        <v>207420</v>
      </c>
      <c r="I3235" s="121" t="s">
        <v>19</v>
      </c>
      <c r="J3235" s="43"/>
    </row>
    <row r="3236" spans="1:10" customFormat="1" ht="15.75" hidden="1" customHeight="1" x14ac:dyDescent="0.25">
      <c r="A3236" s="127">
        <v>45341</v>
      </c>
      <c r="B3236" s="193" t="s">
        <v>6447</v>
      </c>
      <c r="C3236" s="193" t="s">
        <v>3007</v>
      </c>
      <c r="D3236" s="193" t="s">
        <v>3008</v>
      </c>
      <c r="E3236" s="194">
        <v>47000</v>
      </c>
      <c r="F3236" s="195">
        <v>304000</v>
      </c>
      <c r="G3236" s="194">
        <v>63840</v>
      </c>
      <c r="H3236" s="194">
        <v>414840</v>
      </c>
      <c r="I3236" s="121" t="s">
        <v>19</v>
      </c>
      <c r="J3236" s="43"/>
    </row>
    <row r="3237" spans="1:10" customFormat="1" ht="15.75" hidden="1" customHeight="1" x14ac:dyDescent="0.25">
      <c r="A3237" s="127">
        <v>45341</v>
      </c>
      <c r="B3237" s="193" t="s">
        <v>6448</v>
      </c>
      <c r="C3237" s="193" t="s">
        <v>4916</v>
      </c>
      <c r="D3237" s="193" t="s">
        <v>4917</v>
      </c>
      <c r="E3237" s="194">
        <v>66000</v>
      </c>
      <c r="F3237" s="195">
        <v>798000</v>
      </c>
      <c r="G3237" s="194">
        <v>167580</v>
      </c>
      <c r="H3237" s="194">
        <v>1031580</v>
      </c>
      <c r="I3237" s="121" t="s">
        <v>19</v>
      </c>
      <c r="J3237" s="43"/>
    </row>
    <row r="3238" spans="1:10" customFormat="1" ht="15.75" hidden="1" customHeight="1" x14ac:dyDescent="0.25">
      <c r="A3238" s="127">
        <v>45341</v>
      </c>
      <c r="B3238" s="193" t="s">
        <v>6449</v>
      </c>
      <c r="C3238" s="193" t="s">
        <v>2921</v>
      </c>
      <c r="D3238" s="193" t="s">
        <v>2922</v>
      </c>
      <c r="E3238" s="194">
        <v>47000</v>
      </c>
      <c r="F3238" s="195">
        <v>304000</v>
      </c>
      <c r="G3238" s="194">
        <v>63840</v>
      </c>
      <c r="H3238" s="194">
        <v>414840</v>
      </c>
      <c r="I3238" s="121" t="s">
        <v>19</v>
      </c>
      <c r="J3238" s="43"/>
    </row>
    <row r="3239" spans="1:10" customFormat="1" ht="15.75" hidden="1" customHeight="1" x14ac:dyDescent="0.25">
      <c r="A3239" s="127">
        <v>45341</v>
      </c>
      <c r="B3239" s="193" t="s">
        <v>6450</v>
      </c>
      <c r="C3239" s="193" t="s">
        <v>3007</v>
      </c>
      <c r="D3239" s="193" t="s">
        <v>3008</v>
      </c>
      <c r="E3239" s="194">
        <v>66000</v>
      </c>
      <c r="F3239" s="195">
        <v>608000</v>
      </c>
      <c r="G3239" s="194">
        <v>127680</v>
      </c>
      <c r="H3239" s="194">
        <v>801680</v>
      </c>
      <c r="I3239" s="121" t="s">
        <v>19</v>
      </c>
      <c r="J3239" s="43"/>
    </row>
    <row r="3240" spans="1:10" customFormat="1" ht="15.75" hidden="1" customHeight="1" x14ac:dyDescent="0.25">
      <c r="A3240" s="127">
        <v>45341</v>
      </c>
      <c r="B3240" s="193" t="s">
        <v>6451</v>
      </c>
      <c r="C3240" s="193" t="s">
        <v>2921</v>
      </c>
      <c r="D3240" s="193" t="s">
        <v>2922</v>
      </c>
      <c r="E3240" s="194">
        <v>132000</v>
      </c>
      <c r="F3240" s="195">
        <v>1216000</v>
      </c>
      <c r="G3240" s="194">
        <v>255360</v>
      </c>
      <c r="H3240" s="194">
        <v>1603360</v>
      </c>
      <c r="I3240" s="121" t="s">
        <v>19</v>
      </c>
      <c r="J3240" s="43"/>
    </row>
    <row r="3241" spans="1:10" customFormat="1" ht="15.75" hidden="1" customHeight="1" x14ac:dyDescent="0.25">
      <c r="A3241" s="127">
        <v>45341</v>
      </c>
      <c r="B3241" s="193" t="s">
        <v>6452</v>
      </c>
      <c r="C3241" s="193" t="s">
        <v>3007</v>
      </c>
      <c r="D3241" s="193" t="s">
        <v>3008</v>
      </c>
      <c r="E3241" s="194">
        <v>47000</v>
      </c>
      <c r="F3241" s="195">
        <v>304000</v>
      </c>
      <c r="G3241" s="194">
        <v>63840</v>
      </c>
      <c r="H3241" s="194">
        <v>414840</v>
      </c>
      <c r="I3241" s="121" t="s">
        <v>19</v>
      </c>
      <c r="J3241" s="43"/>
    </row>
    <row r="3242" spans="1:10" customFormat="1" ht="15.75" hidden="1" customHeight="1" x14ac:dyDescent="0.25">
      <c r="A3242" s="127">
        <v>45341</v>
      </c>
      <c r="B3242" s="193" t="s">
        <v>6453</v>
      </c>
      <c r="C3242" s="193" t="s">
        <v>3007</v>
      </c>
      <c r="D3242" s="193" t="s">
        <v>3008</v>
      </c>
      <c r="E3242" s="194">
        <v>47000</v>
      </c>
      <c r="F3242" s="195">
        <v>304000</v>
      </c>
      <c r="G3242" s="194">
        <v>63840</v>
      </c>
      <c r="H3242" s="194">
        <v>414840</v>
      </c>
      <c r="I3242" s="121" t="s">
        <v>19</v>
      </c>
      <c r="J3242" s="43"/>
    </row>
    <row r="3243" spans="1:10" customFormat="1" ht="15.75" hidden="1" customHeight="1" x14ac:dyDescent="0.25">
      <c r="A3243" s="127">
        <v>45341</v>
      </c>
      <c r="B3243" s="193" t="s">
        <v>6454</v>
      </c>
      <c r="C3243" s="193" t="s">
        <v>3007</v>
      </c>
      <c r="D3243" s="193" t="s">
        <v>3008</v>
      </c>
      <c r="E3243" s="194">
        <v>47000</v>
      </c>
      <c r="F3243" s="195">
        <v>304000</v>
      </c>
      <c r="G3243" s="194">
        <v>63840</v>
      </c>
      <c r="H3243" s="194">
        <v>414840</v>
      </c>
      <c r="I3243" s="121" t="s">
        <v>19</v>
      </c>
      <c r="J3243" s="43"/>
    </row>
    <row r="3244" spans="1:10" customFormat="1" ht="15.75" hidden="1" customHeight="1" x14ac:dyDescent="0.25">
      <c r="A3244" s="127">
        <v>45341</v>
      </c>
      <c r="B3244" s="193" t="s">
        <v>6455</v>
      </c>
      <c r="C3244" s="193" t="s">
        <v>2906</v>
      </c>
      <c r="D3244" s="193" t="s">
        <v>2907</v>
      </c>
      <c r="E3244" s="194">
        <v>33000</v>
      </c>
      <c r="F3244" s="195">
        <v>399000</v>
      </c>
      <c r="G3244" s="194">
        <v>83790</v>
      </c>
      <c r="H3244" s="194">
        <v>515790</v>
      </c>
      <c r="I3244" s="121" t="s">
        <v>19</v>
      </c>
      <c r="J3244" s="43"/>
    </row>
    <row r="3245" spans="1:10" customFormat="1" ht="15.75" hidden="1" customHeight="1" x14ac:dyDescent="0.25">
      <c r="A3245" s="127">
        <v>45341</v>
      </c>
      <c r="B3245" s="193" t="s">
        <v>6456</v>
      </c>
      <c r="C3245" s="193" t="s">
        <v>2906</v>
      </c>
      <c r="D3245" s="193" t="s">
        <v>2907</v>
      </c>
      <c r="E3245" s="194">
        <v>33000</v>
      </c>
      <c r="F3245" s="195">
        <v>399000</v>
      </c>
      <c r="G3245" s="194">
        <v>83790</v>
      </c>
      <c r="H3245" s="194">
        <v>515790</v>
      </c>
      <c r="I3245" s="121" t="s">
        <v>19</v>
      </c>
      <c r="J3245" s="43"/>
    </row>
    <row r="3246" spans="1:10" customFormat="1" ht="15.75" hidden="1" customHeight="1" x14ac:dyDescent="0.25">
      <c r="A3246" s="127">
        <v>45341</v>
      </c>
      <c r="B3246" s="193" t="s">
        <v>6457</v>
      </c>
      <c r="C3246" s="193" t="s">
        <v>2921</v>
      </c>
      <c r="D3246" s="193" t="s">
        <v>2922</v>
      </c>
      <c r="E3246" s="194">
        <v>47000</v>
      </c>
      <c r="F3246" s="195">
        <v>304000</v>
      </c>
      <c r="G3246" s="194">
        <v>63840</v>
      </c>
      <c r="H3246" s="194">
        <v>414840</v>
      </c>
      <c r="I3246" s="121" t="s">
        <v>19</v>
      </c>
      <c r="J3246" s="43"/>
    </row>
    <row r="3247" spans="1:10" customFormat="1" ht="15.75" hidden="1" customHeight="1" x14ac:dyDescent="0.25">
      <c r="A3247" s="127">
        <v>45341</v>
      </c>
      <c r="B3247" s="193" t="s">
        <v>6458</v>
      </c>
      <c r="C3247" s="193" t="s">
        <v>2867</v>
      </c>
      <c r="D3247" s="193" t="s">
        <v>2868</v>
      </c>
      <c r="E3247" s="194">
        <v>7000</v>
      </c>
      <c r="F3247" s="195">
        <v>130000</v>
      </c>
      <c r="G3247" s="194">
        <v>27300</v>
      </c>
      <c r="H3247" s="194">
        <v>164300</v>
      </c>
      <c r="I3247" s="121" t="s">
        <v>19</v>
      </c>
      <c r="J3247" s="43"/>
    </row>
    <row r="3248" spans="1:10" customFormat="1" ht="15.75" hidden="1" customHeight="1" x14ac:dyDescent="0.25">
      <c r="A3248" s="127">
        <v>45341</v>
      </c>
      <c r="B3248" s="193" t="s">
        <v>6459</v>
      </c>
      <c r="C3248" s="193" t="s">
        <v>2921</v>
      </c>
      <c r="D3248" s="193" t="s">
        <v>2922</v>
      </c>
      <c r="E3248" s="194">
        <v>34000</v>
      </c>
      <c r="F3248" s="195">
        <v>320000</v>
      </c>
      <c r="G3248" s="194">
        <v>67200</v>
      </c>
      <c r="H3248" s="194">
        <v>421200</v>
      </c>
      <c r="I3248" s="121" t="s">
        <v>19</v>
      </c>
      <c r="J3248" s="43"/>
    </row>
    <row r="3249" spans="1:10" customFormat="1" ht="15.75" hidden="1" customHeight="1" x14ac:dyDescent="0.25">
      <c r="A3249" s="127">
        <v>45341</v>
      </c>
      <c r="B3249" s="193" t="s">
        <v>6460</v>
      </c>
      <c r="C3249" s="193" t="s">
        <v>2921</v>
      </c>
      <c r="D3249" s="193" t="s">
        <v>2922</v>
      </c>
      <c r="E3249" s="194">
        <v>17000</v>
      </c>
      <c r="F3249" s="195">
        <v>160000</v>
      </c>
      <c r="G3249" s="194">
        <v>33600</v>
      </c>
      <c r="H3249" s="194">
        <v>210600</v>
      </c>
      <c r="I3249" s="121" t="s">
        <v>19</v>
      </c>
      <c r="J3249" s="43"/>
    </row>
    <row r="3250" spans="1:10" customFormat="1" ht="15.75" hidden="1" customHeight="1" x14ac:dyDescent="0.25">
      <c r="A3250" s="127">
        <v>45341</v>
      </c>
      <c r="B3250" s="193" t="s">
        <v>6461</v>
      </c>
      <c r="C3250" s="193" t="s">
        <v>2867</v>
      </c>
      <c r="D3250" s="193" t="s">
        <v>2868</v>
      </c>
      <c r="E3250" s="194">
        <v>4800</v>
      </c>
      <c r="F3250" s="195">
        <v>164000</v>
      </c>
      <c r="G3250" s="194">
        <v>34440</v>
      </c>
      <c r="H3250" s="194">
        <v>203240</v>
      </c>
      <c r="I3250" s="121" t="s">
        <v>19</v>
      </c>
      <c r="J3250" s="43"/>
    </row>
    <row r="3251" spans="1:10" customFormat="1" ht="15.75" hidden="1" customHeight="1" x14ac:dyDescent="0.25">
      <c r="A3251" s="127">
        <v>45341</v>
      </c>
      <c r="B3251" s="193" t="s">
        <v>6462</v>
      </c>
      <c r="C3251" s="193" t="s">
        <v>2867</v>
      </c>
      <c r="D3251" s="193" t="s">
        <v>2868</v>
      </c>
      <c r="E3251" s="194">
        <v>7520</v>
      </c>
      <c r="F3251" s="195">
        <v>185000</v>
      </c>
      <c r="G3251" s="194">
        <v>38850</v>
      </c>
      <c r="H3251" s="194">
        <v>231370</v>
      </c>
      <c r="I3251" s="121" t="s">
        <v>19</v>
      </c>
      <c r="J3251" s="43"/>
    </row>
    <row r="3252" spans="1:10" customFormat="1" ht="15.75" hidden="1" customHeight="1" x14ac:dyDescent="0.25">
      <c r="A3252" s="127">
        <v>45341</v>
      </c>
      <c r="B3252" s="193" t="s">
        <v>6463</v>
      </c>
      <c r="C3252" s="193" t="s">
        <v>2867</v>
      </c>
      <c r="D3252" s="193" t="s">
        <v>2868</v>
      </c>
      <c r="E3252" s="194">
        <v>7520</v>
      </c>
      <c r="F3252" s="195">
        <v>185000</v>
      </c>
      <c r="G3252" s="194">
        <v>38850</v>
      </c>
      <c r="H3252" s="194">
        <v>231370</v>
      </c>
      <c r="I3252" s="121" t="s">
        <v>19</v>
      </c>
      <c r="J3252" s="43"/>
    </row>
    <row r="3253" spans="1:10" customFormat="1" ht="15.75" hidden="1" customHeight="1" x14ac:dyDescent="0.25">
      <c r="A3253" s="127">
        <v>45341</v>
      </c>
      <c r="B3253" s="193" t="s">
        <v>6464</v>
      </c>
      <c r="C3253" s="193" t="s">
        <v>3606</v>
      </c>
      <c r="D3253" s="193" t="s">
        <v>3607</v>
      </c>
      <c r="E3253" s="194">
        <v>12700</v>
      </c>
      <c r="F3253" s="195">
        <v>417500</v>
      </c>
      <c r="G3253" s="194">
        <v>87675</v>
      </c>
      <c r="H3253" s="194">
        <v>517875</v>
      </c>
      <c r="I3253" s="121" t="s">
        <v>19</v>
      </c>
      <c r="J3253" s="43"/>
    </row>
    <row r="3254" spans="1:10" customFormat="1" ht="15.75" hidden="1" customHeight="1" x14ac:dyDescent="0.25">
      <c r="A3254" s="127">
        <v>45341</v>
      </c>
      <c r="B3254" s="193" t="s">
        <v>6465</v>
      </c>
      <c r="C3254" s="193" t="s">
        <v>2909</v>
      </c>
      <c r="D3254" s="193" t="s">
        <v>2910</v>
      </c>
      <c r="E3254" s="194">
        <v>17500</v>
      </c>
      <c r="F3254" s="195">
        <v>550000</v>
      </c>
      <c r="G3254" s="194">
        <v>115500</v>
      </c>
      <c r="H3254" s="194">
        <v>683000</v>
      </c>
      <c r="I3254" s="121" t="s">
        <v>19</v>
      </c>
      <c r="J3254" s="43"/>
    </row>
    <row r="3255" spans="1:10" customFormat="1" ht="15.75" hidden="1" customHeight="1" x14ac:dyDescent="0.25">
      <c r="A3255" s="127">
        <v>45341</v>
      </c>
      <c r="B3255" s="193" t="s">
        <v>6466</v>
      </c>
      <c r="C3255" s="193" t="s">
        <v>2909</v>
      </c>
      <c r="D3255" s="193" t="s">
        <v>2910</v>
      </c>
      <c r="E3255" s="194">
        <v>17500</v>
      </c>
      <c r="F3255" s="195">
        <v>550000</v>
      </c>
      <c r="G3255" s="194">
        <v>115500</v>
      </c>
      <c r="H3255" s="194">
        <v>683000</v>
      </c>
      <c r="I3255" s="121" t="s">
        <v>19</v>
      </c>
      <c r="J3255" s="43"/>
    </row>
    <row r="3256" spans="1:10" customFormat="1" ht="15.75" hidden="1" customHeight="1" x14ac:dyDescent="0.25">
      <c r="A3256" s="127">
        <v>45341</v>
      </c>
      <c r="B3256" s="193" t="s">
        <v>6467</v>
      </c>
      <c r="C3256" s="193" t="s">
        <v>2851</v>
      </c>
      <c r="D3256" s="193" t="s">
        <v>2852</v>
      </c>
      <c r="E3256" s="194">
        <v>6000</v>
      </c>
      <c r="F3256" s="195">
        <v>225000</v>
      </c>
      <c r="G3256" s="194">
        <v>47250</v>
      </c>
      <c r="H3256" s="194">
        <v>278250</v>
      </c>
      <c r="I3256" s="121" t="s">
        <v>19</v>
      </c>
      <c r="J3256" s="43"/>
    </row>
    <row r="3257" spans="1:10" customFormat="1" ht="15.75" hidden="1" customHeight="1" x14ac:dyDescent="0.25">
      <c r="A3257" s="127">
        <v>45341</v>
      </c>
      <c r="B3257" s="193" t="s">
        <v>6468</v>
      </c>
      <c r="C3257" s="193" t="s">
        <v>2851</v>
      </c>
      <c r="D3257" s="193" t="s">
        <v>2852</v>
      </c>
      <c r="E3257" s="194">
        <v>8720</v>
      </c>
      <c r="F3257" s="195">
        <v>225000</v>
      </c>
      <c r="G3257" s="194">
        <v>47250</v>
      </c>
      <c r="H3257" s="194">
        <v>280970</v>
      </c>
      <c r="I3257" s="121" t="s">
        <v>19</v>
      </c>
      <c r="J3257" s="43"/>
    </row>
    <row r="3258" spans="1:10" customFormat="1" ht="15.75" hidden="1" customHeight="1" x14ac:dyDescent="0.25">
      <c r="A3258" s="127">
        <v>45341</v>
      </c>
      <c r="B3258" s="193" t="s">
        <v>6469</v>
      </c>
      <c r="C3258" s="193" t="s">
        <v>2851</v>
      </c>
      <c r="D3258" s="193" t="s">
        <v>2852</v>
      </c>
      <c r="E3258" s="194">
        <v>5600</v>
      </c>
      <c r="F3258" s="195">
        <v>225000</v>
      </c>
      <c r="G3258" s="194">
        <v>47250</v>
      </c>
      <c r="H3258" s="194">
        <v>277850</v>
      </c>
      <c r="I3258" s="121" t="s">
        <v>19</v>
      </c>
      <c r="J3258" s="43"/>
    </row>
    <row r="3259" spans="1:10" customFormat="1" ht="15.75" hidden="1" customHeight="1" x14ac:dyDescent="0.25">
      <c r="A3259" s="127">
        <v>45341</v>
      </c>
      <c r="B3259" s="193" t="s">
        <v>6470</v>
      </c>
      <c r="C3259" s="193" t="s">
        <v>2886</v>
      </c>
      <c r="D3259" s="193" t="s">
        <v>2887</v>
      </c>
      <c r="E3259" s="194">
        <v>12000</v>
      </c>
      <c r="F3259" s="195">
        <v>300000</v>
      </c>
      <c r="G3259" s="194">
        <v>63000</v>
      </c>
      <c r="H3259" s="194">
        <v>375000</v>
      </c>
      <c r="I3259" s="121" t="s">
        <v>19</v>
      </c>
      <c r="J3259" s="43"/>
    </row>
    <row r="3260" spans="1:10" customFormat="1" ht="15.75" hidden="1" customHeight="1" x14ac:dyDescent="0.25">
      <c r="A3260" s="127">
        <v>45341</v>
      </c>
      <c r="B3260" s="193" t="s">
        <v>6471</v>
      </c>
      <c r="C3260" s="193" t="s">
        <v>3176</v>
      </c>
      <c r="D3260" s="193" t="s">
        <v>3177</v>
      </c>
      <c r="E3260" s="194">
        <v>35600</v>
      </c>
      <c r="F3260" s="195">
        <v>892000</v>
      </c>
      <c r="G3260" s="194">
        <v>187320</v>
      </c>
      <c r="H3260" s="194">
        <v>1114920</v>
      </c>
      <c r="I3260" s="121" t="s">
        <v>19</v>
      </c>
      <c r="J3260" s="43"/>
    </row>
    <row r="3261" spans="1:10" customFormat="1" ht="15.75" hidden="1" customHeight="1" x14ac:dyDescent="0.25">
      <c r="A3261" s="127">
        <v>45341</v>
      </c>
      <c r="B3261" s="193" t="s">
        <v>6472</v>
      </c>
      <c r="C3261" s="193" t="s">
        <v>3173</v>
      </c>
      <c r="D3261" s="193" t="s">
        <v>3174</v>
      </c>
      <c r="E3261" s="194">
        <v>12700</v>
      </c>
      <c r="F3261" s="195">
        <v>185000</v>
      </c>
      <c r="G3261" s="194">
        <v>38850</v>
      </c>
      <c r="H3261" s="194">
        <v>236550</v>
      </c>
      <c r="I3261" s="121" t="s">
        <v>19</v>
      </c>
      <c r="J3261" s="43"/>
    </row>
    <row r="3262" spans="1:10" customFormat="1" ht="15.75" hidden="1" customHeight="1" x14ac:dyDescent="0.25">
      <c r="A3262" s="127">
        <v>45341</v>
      </c>
      <c r="B3262" s="193" t="s">
        <v>6473</v>
      </c>
      <c r="C3262" s="193" t="s">
        <v>3176</v>
      </c>
      <c r="D3262" s="193" t="s">
        <v>3177</v>
      </c>
      <c r="E3262" s="194">
        <v>0</v>
      </c>
      <c r="F3262" s="195">
        <v>58000</v>
      </c>
      <c r="G3262" s="194">
        <v>12180</v>
      </c>
      <c r="H3262" s="194">
        <v>70180</v>
      </c>
      <c r="I3262" s="121" t="s">
        <v>19</v>
      </c>
      <c r="J3262" s="43"/>
    </row>
    <row r="3263" spans="1:10" customFormat="1" ht="15.75" hidden="1" customHeight="1" x14ac:dyDescent="0.25">
      <c r="A3263" s="127">
        <v>45342</v>
      </c>
      <c r="B3263" s="193" t="s">
        <v>6474</v>
      </c>
      <c r="C3263" s="193" t="s">
        <v>5359</v>
      </c>
      <c r="D3263" s="193" t="s">
        <v>5360</v>
      </c>
      <c r="E3263" s="194">
        <v>5600</v>
      </c>
      <c r="F3263" s="195">
        <v>160000</v>
      </c>
      <c r="G3263" s="194">
        <v>33600</v>
      </c>
      <c r="H3263" s="194">
        <v>199200</v>
      </c>
      <c r="I3263" s="121" t="s">
        <v>19</v>
      </c>
      <c r="J3263" s="43"/>
    </row>
    <row r="3264" spans="1:10" customFormat="1" ht="15.75" hidden="1" customHeight="1" x14ac:dyDescent="0.25">
      <c r="A3264" s="127">
        <v>45342</v>
      </c>
      <c r="B3264" s="193" t="s">
        <v>6475</v>
      </c>
      <c r="C3264" s="193" t="s">
        <v>3041</v>
      </c>
      <c r="D3264" s="193" t="s">
        <v>3042</v>
      </c>
      <c r="E3264" s="194">
        <v>7520</v>
      </c>
      <c r="F3264" s="195">
        <v>185000</v>
      </c>
      <c r="G3264" s="194">
        <v>38850</v>
      </c>
      <c r="H3264" s="194">
        <v>231370</v>
      </c>
      <c r="I3264" s="121" t="s">
        <v>19</v>
      </c>
      <c r="J3264" s="43"/>
    </row>
    <row r="3265" spans="1:10" customFormat="1" ht="15.75" hidden="1" customHeight="1" x14ac:dyDescent="0.25">
      <c r="A3265" s="127">
        <v>45342</v>
      </c>
      <c r="B3265" s="193" t="s">
        <v>6476</v>
      </c>
      <c r="C3265" s="193" t="s">
        <v>6343</v>
      </c>
      <c r="D3265" s="193" t="s">
        <v>6344</v>
      </c>
      <c r="E3265" s="194">
        <v>15000</v>
      </c>
      <c r="F3265" s="195">
        <v>262000</v>
      </c>
      <c r="G3265" s="194">
        <v>55020</v>
      </c>
      <c r="H3265" s="194">
        <v>332020</v>
      </c>
      <c r="I3265" s="121" t="s">
        <v>19</v>
      </c>
      <c r="J3265" s="43"/>
    </row>
    <row r="3266" spans="1:10" customFormat="1" ht="15.75" hidden="1" customHeight="1" x14ac:dyDescent="0.25">
      <c r="A3266" s="127">
        <v>45342</v>
      </c>
      <c r="B3266" s="193" t="s">
        <v>6477</v>
      </c>
      <c r="C3266" s="193" t="s">
        <v>3606</v>
      </c>
      <c r="D3266" s="193" t="s">
        <v>3607</v>
      </c>
      <c r="E3266" s="194">
        <v>23500</v>
      </c>
      <c r="F3266" s="195">
        <v>152000</v>
      </c>
      <c r="G3266" s="194">
        <v>31920</v>
      </c>
      <c r="H3266" s="194">
        <v>207420</v>
      </c>
      <c r="I3266" s="121" t="s">
        <v>19</v>
      </c>
      <c r="J3266" s="43"/>
    </row>
    <row r="3267" spans="1:10" customFormat="1" ht="15.75" hidden="1" customHeight="1" x14ac:dyDescent="0.25">
      <c r="A3267" s="127">
        <v>45342</v>
      </c>
      <c r="B3267" s="193" t="s">
        <v>6478</v>
      </c>
      <c r="C3267" s="193" t="s">
        <v>3007</v>
      </c>
      <c r="D3267" s="193" t="s">
        <v>3008</v>
      </c>
      <c r="E3267" s="194">
        <v>66000</v>
      </c>
      <c r="F3267" s="195">
        <v>608000</v>
      </c>
      <c r="G3267" s="194">
        <v>127680</v>
      </c>
      <c r="H3267" s="194">
        <v>801680</v>
      </c>
      <c r="I3267" s="121" t="s">
        <v>19</v>
      </c>
      <c r="J3267" s="43"/>
    </row>
    <row r="3268" spans="1:10" customFormat="1" ht="15.75" hidden="1" customHeight="1" x14ac:dyDescent="0.25">
      <c r="A3268" s="127">
        <v>45342</v>
      </c>
      <c r="B3268" s="193" t="s">
        <v>6479</v>
      </c>
      <c r="C3268" s="193" t="s">
        <v>3007</v>
      </c>
      <c r="D3268" s="193" t="s">
        <v>3008</v>
      </c>
      <c r="E3268" s="194">
        <v>66000</v>
      </c>
      <c r="F3268" s="195">
        <v>608000</v>
      </c>
      <c r="G3268" s="194">
        <v>127680</v>
      </c>
      <c r="H3268" s="194">
        <v>801680</v>
      </c>
      <c r="I3268" s="121" t="s">
        <v>19</v>
      </c>
      <c r="J3268" s="43"/>
    </row>
    <row r="3269" spans="1:10" customFormat="1" ht="15.75" hidden="1" customHeight="1" x14ac:dyDescent="0.25">
      <c r="A3269" s="127">
        <v>45342</v>
      </c>
      <c r="B3269" s="193" t="s">
        <v>6480</v>
      </c>
      <c r="C3269" s="193" t="s">
        <v>2909</v>
      </c>
      <c r="D3269" s="193" t="s">
        <v>2910</v>
      </c>
      <c r="E3269" s="194">
        <v>10000</v>
      </c>
      <c r="F3269" s="195">
        <v>337500</v>
      </c>
      <c r="G3269" s="194">
        <v>70875</v>
      </c>
      <c r="H3269" s="194">
        <v>418375</v>
      </c>
      <c r="I3269" s="121" t="s">
        <v>19</v>
      </c>
      <c r="J3269" s="43"/>
    </row>
    <row r="3270" spans="1:10" customFormat="1" ht="15.75" hidden="1" customHeight="1" x14ac:dyDescent="0.25">
      <c r="A3270" s="127">
        <v>45342</v>
      </c>
      <c r="B3270" s="193" t="s">
        <v>6481</v>
      </c>
      <c r="C3270" s="193" t="s">
        <v>2867</v>
      </c>
      <c r="D3270" s="193" t="s">
        <v>2868</v>
      </c>
      <c r="E3270" s="194">
        <v>0</v>
      </c>
      <c r="F3270" s="195">
        <v>152000</v>
      </c>
      <c r="G3270" s="194">
        <v>31920</v>
      </c>
      <c r="H3270" s="194">
        <v>183920</v>
      </c>
      <c r="I3270" s="121" t="s">
        <v>19</v>
      </c>
      <c r="J3270" s="43"/>
    </row>
    <row r="3271" spans="1:10" customFormat="1" ht="15.75" hidden="1" customHeight="1" x14ac:dyDescent="0.25">
      <c r="A3271" s="127">
        <v>45342</v>
      </c>
      <c r="B3271" s="193" t="s">
        <v>6482</v>
      </c>
      <c r="C3271" s="193" t="s">
        <v>4172</v>
      </c>
      <c r="D3271" s="193" t="s">
        <v>4173</v>
      </c>
      <c r="E3271" s="194">
        <v>26000</v>
      </c>
      <c r="F3271" s="195">
        <v>450000</v>
      </c>
      <c r="G3271" s="194">
        <v>94500</v>
      </c>
      <c r="H3271" s="194">
        <v>570500</v>
      </c>
      <c r="I3271" s="121" t="s">
        <v>19</v>
      </c>
      <c r="J3271" s="43"/>
    </row>
    <row r="3272" spans="1:10" customFormat="1" ht="15.75" hidden="1" customHeight="1" x14ac:dyDescent="0.25">
      <c r="A3272" s="127">
        <v>45342</v>
      </c>
      <c r="B3272" s="193" t="s">
        <v>6483</v>
      </c>
      <c r="C3272" s="193" t="s">
        <v>2851</v>
      </c>
      <c r="D3272" s="193" t="s">
        <v>2852</v>
      </c>
      <c r="E3272" s="194">
        <v>9000</v>
      </c>
      <c r="F3272" s="195">
        <v>225000</v>
      </c>
      <c r="G3272" s="194">
        <v>47250</v>
      </c>
      <c r="H3272" s="194">
        <v>281250</v>
      </c>
      <c r="I3272" s="121" t="s">
        <v>19</v>
      </c>
      <c r="J3272" s="43"/>
    </row>
    <row r="3273" spans="1:10" customFormat="1" ht="15.75" hidden="1" customHeight="1" x14ac:dyDescent="0.25">
      <c r="A3273" s="127">
        <v>45342</v>
      </c>
      <c r="B3273" s="193" t="s">
        <v>6484</v>
      </c>
      <c r="C3273" s="193" t="s">
        <v>2921</v>
      </c>
      <c r="D3273" s="193" t="s">
        <v>2922</v>
      </c>
      <c r="E3273" s="194">
        <v>47000</v>
      </c>
      <c r="F3273" s="195">
        <v>304000</v>
      </c>
      <c r="G3273" s="194">
        <v>63840</v>
      </c>
      <c r="H3273" s="194">
        <v>414840</v>
      </c>
      <c r="I3273" s="121" t="s">
        <v>19</v>
      </c>
      <c r="J3273" s="43"/>
    </row>
    <row r="3274" spans="1:10" customFormat="1" ht="15.75" hidden="1" customHeight="1" x14ac:dyDescent="0.25">
      <c r="A3274" s="127">
        <v>45342</v>
      </c>
      <c r="B3274" s="193" t="s">
        <v>6485</v>
      </c>
      <c r="C3274" s="193" t="s">
        <v>3235</v>
      </c>
      <c r="D3274" s="193" t="s">
        <v>3236</v>
      </c>
      <c r="E3274" s="194">
        <v>70500</v>
      </c>
      <c r="F3274" s="195">
        <v>456000</v>
      </c>
      <c r="G3274" s="194">
        <v>95760</v>
      </c>
      <c r="H3274" s="194">
        <v>622260</v>
      </c>
      <c r="I3274" s="121" t="s">
        <v>19</v>
      </c>
      <c r="J3274" s="43"/>
    </row>
    <row r="3275" spans="1:10" customFormat="1" ht="15.75" hidden="1" customHeight="1" x14ac:dyDescent="0.25">
      <c r="A3275" s="127">
        <v>45342</v>
      </c>
      <c r="B3275" s="193" t="s">
        <v>6486</v>
      </c>
      <c r="C3275" s="193" t="s">
        <v>3235</v>
      </c>
      <c r="D3275" s="193" t="s">
        <v>3236</v>
      </c>
      <c r="E3275" s="194">
        <v>9000</v>
      </c>
      <c r="F3275" s="195">
        <v>277500</v>
      </c>
      <c r="G3275" s="194">
        <v>58275</v>
      </c>
      <c r="H3275" s="194">
        <v>344775</v>
      </c>
      <c r="I3275" s="121" t="s">
        <v>19</v>
      </c>
      <c r="J3275" s="43"/>
    </row>
    <row r="3276" spans="1:10" customFormat="1" ht="15.75" hidden="1" customHeight="1" x14ac:dyDescent="0.25">
      <c r="A3276" s="127">
        <v>45342</v>
      </c>
      <c r="B3276" s="193" t="s">
        <v>6487</v>
      </c>
      <c r="C3276" s="193" t="s">
        <v>3703</v>
      </c>
      <c r="D3276" s="193" t="s">
        <v>3704</v>
      </c>
      <c r="E3276" s="194">
        <v>0</v>
      </c>
      <c r="F3276" s="195">
        <v>122000</v>
      </c>
      <c r="G3276" s="194">
        <v>25620</v>
      </c>
      <c r="H3276" s="194">
        <v>147620</v>
      </c>
      <c r="I3276" s="121" t="s">
        <v>19</v>
      </c>
      <c r="J3276" s="43"/>
    </row>
    <row r="3277" spans="1:10" customFormat="1" ht="15.75" hidden="1" customHeight="1" x14ac:dyDescent="0.25">
      <c r="A3277" s="127">
        <v>45342</v>
      </c>
      <c r="B3277" s="193" t="s">
        <v>6488</v>
      </c>
      <c r="C3277" s="193" t="s">
        <v>2921</v>
      </c>
      <c r="D3277" s="193" t="s">
        <v>2922</v>
      </c>
      <c r="E3277" s="194">
        <v>0</v>
      </c>
      <c r="F3277" s="195">
        <v>58000</v>
      </c>
      <c r="G3277" s="194">
        <v>12180</v>
      </c>
      <c r="H3277" s="194">
        <v>70180</v>
      </c>
      <c r="I3277" s="121" t="s">
        <v>19</v>
      </c>
      <c r="J3277" s="43"/>
    </row>
    <row r="3278" spans="1:10" customFormat="1" ht="15.75" hidden="1" customHeight="1" x14ac:dyDescent="0.25">
      <c r="A3278" s="127">
        <v>45342</v>
      </c>
      <c r="B3278" s="193" t="s">
        <v>6489</v>
      </c>
      <c r="C3278" s="193" t="s">
        <v>3606</v>
      </c>
      <c r="D3278" s="193" t="s">
        <v>3607</v>
      </c>
      <c r="E3278" s="194">
        <v>0</v>
      </c>
      <c r="F3278" s="195">
        <v>58000</v>
      </c>
      <c r="G3278" s="194">
        <v>12180</v>
      </c>
      <c r="H3278" s="194">
        <v>70180</v>
      </c>
      <c r="I3278" s="121" t="s">
        <v>19</v>
      </c>
      <c r="J3278" s="43"/>
    </row>
    <row r="3279" spans="1:10" customFormat="1" ht="15.75" hidden="1" customHeight="1" x14ac:dyDescent="0.25">
      <c r="A3279" s="127">
        <v>45343</v>
      </c>
      <c r="B3279" s="193" t="s">
        <v>6490</v>
      </c>
      <c r="C3279" s="193" t="s">
        <v>6491</v>
      </c>
      <c r="D3279" s="193" t="s">
        <v>6492</v>
      </c>
      <c r="E3279" s="194">
        <v>23500</v>
      </c>
      <c r="F3279" s="195">
        <v>152000</v>
      </c>
      <c r="G3279" s="194">
        <v>31920</v>
      </c>
      <c r="H3279" s="194">
        <v>207420</v>
      </c>
      <c r="I3279" s="121" t="s">
        <v>19</v>
      </c>
      <c r="J3279" s="43"/>
    </row>
    <row r="3280" spans="1:10" customFormat="1" ht="15.75" hidden="1" customHeight="1" x14ac:dyDescent="0.25">
      <c r="A3280" s="127">
        <v>45343</v>
      </c>
      <c r="B3280" s="193" t="s">
        <v>6493</v>
      </c>
      <c r="C3280" s="193" t="s">
        <v>6491</v>
      </c>
      <c r="D3280" s="193" t="s">
        <v>6492</v>
      </c>
      <c r="E3280" s="194">
        <v>23500</v>
      </c>
      <c r="F3280" s="195">
        <v>152000</v>
      </c>
      <c r="G3280" s="194">
        <v>31920</v>
      </c>
      <c r="H3280" s="194">
        <v>207420</v>
      </c>
      <c r="I3280" s="121" t="s">
        <v>19</v>
      </c>
      <c r="J3280" s="43"/>
    </row>
    <row r="3281" spans="1:10" customFormat="1" ht="15.75" hidden="1" customHeight="1" x14ac:dyDescent="0.25">
      <c r="A3281" s="127">
        <v>45343</v>
      </c>
      <c r="B3281" s="193" t="s">
        <v>6494</v>
      </c>
      <c r="C3281" s="193" t="s">
        <v>6491</v>
      </c>
      <c r="D3281" s="193" t="s">
        <v>6492</v>
      </c>
      <c r="E3281" s="194">
        <v>9000</v>
      </c>
      <c r="F3281" s="195">
        <v>277500</v>
      </c>
      <c r="G3281" s="194">
        <v>58275</v>
      </c>
      <c r="H3281" s="194">
        <v>344775</v>
      </c>
      <c r="I3281" s="121" t="s">
        <v>19</v>
      </c>
      <c r="J3281" s="43"/>
    </row>
    <row r="3282" spans="1:10" customFormat="1" ht="15.75" hidden="1" customHeight="1" x14ac:dyDescent="0.25">
      <c r="A3282" s="127">
        <v>45343</v>
      </c>
      <c r="B3282" s="193" t="s">
        <v>6495</v>
      </c>
      <c r="C3282" s="193" t="s">
        <v>6491</v>
      </c>
      <c r="D3282" s="193" t="s">
        <v>6492</v>
      </c>
      <c r="E3282" s="194">
        <v>9000</v>
      </c>
      <c r="F3282" s="195">
        <v>277500</v>
      </c>
      <c r="G3282" s="194">
        <v>58275</v>
      </c>
      <c r="H3282" s="194">
        <v>344775</v>
      </c>
      <c r="I3282" s="121" t="s">
        <v>19</v>
      </c>
      <c r="J3282" s="43"/>
    </row>
    <row r="3283" spans="1:10" customFormat="1" ht="15.75" hidden="1" customHeight="1" x14ac:dyDescent="0.25">
      <c r="A3283" s="127">
        <v>45343</v>
      </c>
      <c r="B3283" s="193" t="s">
        <v>6496</v>
      </c>
      <c r="C3283" s="193" t="s">
        <v>3235</v>
      </c>
      <c r="D3283" s="193" t="s">
        <v>3236</v>
      </c>
      <c r="E3283" s="194">
        <v>19500</v>
      </c>
      <c r="F3283" s="195">
        <v>185000</v>
      </c>
      <c r="G3283" s="194">
        <v>38850</v>
      </c>
      <c r="H3283" s="194">
        <v>243350</v>
      </c>
      <c r="I3283" s="121" t="s">
        <v>19</v>
      </c>
      <c r="J3283" s="43"/>
    </row>
    <row r="3284" spans="1:10" customFormat="1" ht="15.75" hidden="1" customHeight="1" x14ac:dyDescent="0.25">
      <c r="A3284" s="127">
        <v>45348</v>
      </c>
      <c r="B3284" s="193" t="s">
        <v>6497</v>
      </c>
      <c r="C3284" s="193" t="s">
        <v>2867</v>
      </c>
      <c r="D3284" s="193" t="s">
        <v>2868</v>
      </c>
      <c r="E3284" s="194">
        <v>89500</v>
      </c>
      <c r="F3284" s="195">
        <v>760000</v>
      </c>
      <c r="G3284" s="194">
        <v>159600</v>
      </c>
      <c r="H3284" s="194">
        <v>1009100</v>
      </c>
      <c r="I3284" s="121" t="s">
        <v>19</v>
      </c>
      <c r="J3284" s="43"/>
    </row>
    <row r="3285" spans="1:10" customFormat="1" ht="15.75" hidden="1" customHeight="1" x14ac:dyDescent="0.25">
      <c r="A3285" s="127">
        <v>45348</v>
      </c>
      <c r="B3285" s="193" t="s">
        <v>6498</v>
      </c>
      <c r="C3285" s="193" t="s">
        <v>2997</v>
      </c>
      <c r="D3285" s="193" t="s">
        <v>2998</v>
      </c>
      <c r="E3285" s="194">
        <v>23500</v>
      </c>
      <c r="F3285" s="195">
        <v>152000</v>
      </c>
      <c r="G3285" s="194">
        <v>31920</v>
      </c>
      <c r="H3285" s="194">
        <v>207420</v>
      </c>
      <c r="I3285" s="121" t="s">
        <v>19</v>
      </c>
      <c r="J3285" s="43"/>
    </row>
    <row r="3286" spans="1:10" customFormat="1" ht="15.75" hidden="1" customHeight="1" x14ac:dyDescent="0.25">
      <c r="A3286" s="127">
        <v>45348</v>
      </c>
      <c r="B3286" s="193" t="s">
        <v>6499</v>
      </c>
      <c r="C3286" s="193" t="s">
        <v>2997</v>
      </c>
      <c r="D3286" s="193" t="s">
        <v>2998</v>
      </c>
      <c r="E3286" s="194">
        <v>23500</v>
      </c>
      <c r="F3286" s="195">
        <v>152000</v>
      </c>
      <c r="G3286" s="194">
        <v>31920</v>
      </c>
      <c r="H3286" s="194">
        <v>207420</v>
      </c>
      <c r="I3286" s="121" t="s">
        <v>19</v>
      </c>
      <c r="J3286" s="43"/>
    </row>
    <row r="3287" spans="1:10" customFormat="1" ht="15.75" hidden="1" customHeight="1" x14ac:dyDescent="0.25">
      <c r="A3287" s="127">
        <v>45348</v>
      </c>
      <c r="B3287" s="193" t="s">
        <v>6500</v>
      </c>
      <c r="C3287" s="193" t="s">
        <v>3235</v>
      </c>
      <c r="D3287" s="193" t="s">
        <v>3236</v>
      </c>
      <c r="E3287" s="194">
        <v>164500</v>
      </c>
      <c r="F3287" s="195">
        <v>1624000</v>
      </c>
      <c r="G3287" s="194">
        <v>341040</v>
      </c>
      <c r="H3287" s="194">
        <v>2129540</v>
      </c>
      <c r="I3287" s="121" t="s">
        <v>19</v>
      </c>
      <c r="J3287" s="43"/>
    </row>
    <row r="3288" spans="1:10" customFormat="1" ht="15.75" hidden="1" customHeight="1" x14ac:dyDescent="0.25">
      <c r="A3288" s="127">
        <v>45348</v>
      </c>
      <c r="B3288" s="193" t="s">
        <v>6501</v>
      </c>
      <c r="C3288" s="193" t="s">
        <v>3235</v>
      </c>
      <c r="D3288" s="193" t="s">
        <v>3236</v>
      </c>
      <c r="E3288" s="194">
        <v>94000</v>
      </c>
      <c r="F3288" s="195">
        <v>608000</v>
      </c>
      <c r="G3288" s="194">
        <v>127680</v>
      </c>
      <c r="H3288" s="194">
        <v>829680</v>
      </c>
      <c r="I3288" s="121" t="s">
        <v>19</v>
      </c>
      <c r="J3288" s="43"/>
    </row>
    <row r="3289" spans="1:10" customFormat="1" ht="15.75" hidden="1" customHeight="1" x14ac:dyDescent="0.25">
      <c r="A3289" s="127">
        <v>45348</v>
      </c>
      <c r="B3289" s="193" t="s">
        <v>6502</v>
      </c>
      <c r="C3289" s="193" t="s">
        <v>2867</v>
      </c>
      <c r="D3289" s="193" t="s">
        <v>2868</v>
      </c>
      <c r="E3289" s="194">
        <v>19500</v>
      </c>
      <c r="F3289" s="195">
        <v>277500</v>
      </c>
      <c r="G3289" s="194">
        <v>58275</v>
      </c>
      <c r="H3289" s="194">
        <v>355275</v>
      </c>
      <c r="I3289" s="121" t="s">
        <v>19</v>
      </c>
      <c r="J3289" s="43"/>
    </row>
    <row r="3290" spans="1:10" customFormat="1" ht="15.75" hidden="1" customHeight="1" x14ac:dyDescent="0.25">
      <c r="A3290" s="127">
        <v>45348</v>
      </c>
      <c r="B3290" s="193" t="s">
        <v>6503</v>
      </c>
      <c r="C3290" s="193" t="s">
        <v>2867</v>
      </c>
      <c r="D3290" s="193" t="s">
        <v>2868</v>
      </c>
      <c r="E3290" s="194">
        <v>19500</v>
      </c>
      <c r="F3290" s="195">
        <v>277500</v>
      </c>
      <c r="G3290" s="194">
        <v>58275</v>
      </c>
      <c r="H3290" s="194">
        <v>355275</v>
      </c>
      <c r="I3290" s="121" t="s">
        <v>19</v>
      </c>
      <c r="J3290" s="43"/>
    </row>
    <row r="3291" spans="1:10" customFormat="1" ht="15.75" hidden="1" customHeight="1" x14ac:dyDescent="0.25">
      <c r="A3291" s="127">
        <v>45348</v>
      </c>
      <c r="B3291" s="193" t="s">
        <v>6504</v>
      </c>
      <c r="C3291" s="193" t="s">
        <v>2921</v>
      </c>
      <c r="D3291" s="193" t="s">
        <v>2922</v>
      </c>
      <c r="E3291" s="194">
        <v>23500</v>
      </c>
      <c r="F3291" s="195">
        <v>152000</v>
      </c>
      <c r="G3291" s="194">
        <v>31920</v>
      </c>
      <c r="H3291" s="194">
        <v>207420</v>
      </c>
      <c r="I3291" s="121" t="s">
        <v>19</v>
      </c>
      <c r="J3291" s="43"/>
    </row>
    <row r="3292" spans="1:10" customFormat="1" ht="15.75" hidden="1" customHeight="1" x14ac:dyDescent="0.25">
      <c r="A3292" s="127">
        <v>45348</v>
      </c>
      <c r="B3292" s="193" t="s">
        <v>6505</v>
      </c>
      <c r="C3292" s="193" t="s">
        <v>3562</v>
      </c>
      <c r="D3292" s="193" t="s">
        <v>3563</v>
      </c>
      <c r="E3292" s="194">
        <v>70500</v>
      </c>
      <c r="F3292" s="195">
        <v>456000</v>
      </c>
      <c r="G3292" s="194">
        <v>95760</v>
      </c>
      <c r="H3292" s="194">
        <v>622260</v>
      </c>
      <c r="I3292" s="121" t="s">
        <v>19</v>
      </c>
      <c r="J3292" s="43"/>
    </row>
    <row r="3293" spans="1:10" customFormat="1" ht="15.75" hidden="1" customHeight="1" x14ac:dyDescent="0.25">
      <c r="A3293" s="127">
        <v>45348</v>
      </c>
      <c r="B3293" s="193" t="s">
        <v>6506</v>
      </c>
      <c r="C3293" s="193" t="s">
        <v>2903</v>
      </c>
      <c r="D3293" s="193" t="s">
        <v>2904</v>
      </c>
      <c r="E3293" s="194">
        <v>33000</v>
      </c>
      <c r="F3293" s="195">
        <v>304000</v>
      </c>
      <c r="G3293" s="194">
        <v>63840</v>
      </c>
      <c r="H3293" s="194">
        <v>400840</v>
      </c>
      <c r="I3293" s="121" t="s">
        <v>19</v>
      </c>
      <c r="J3293" s="43"/>
    </row>
    <row r="3294" spans="1:10" customFormat="1" ht="15.75" hidden="1" customHeight="1" x14ac:dyDescent="0.25">
      <c r="A3294" s="127">
        <v>45348</v>
      </c>
      <c r="B3294" s="193" t="s">
        <v>6507</v>
      </c>
      <c r="C3294" s="193" t="s">
        <v>2903</v>
      </c>
      <c r="D3294" s="193" t="s">
        <v>2904</v>
      </c>
      <c r="E3294" s="194">
        <v>33000</v>
      </c>
      <c r="F3294" s="195">
        <v>282000</v>
      </c>
      <c r="G3294" s="194">
        <v>59220</v>
      </c>
      <c r="H3294" s="194">
        <v>374220</v>
      </c>
      <c r="I3294" s="121" t="s">
        <v>19</v>
      </c>
      <c r="J3294" s="43"/>
    </row>
    <row r="3295" spans="1:10" customFormat="1" ht="15.75" hidden="1" customHeight="1" x14ac:dyDescent="0.25">
      <c r="A3295" s="127">
        <v>45348</v>
      </c>
      <c r="B3295" s="193" t="s">
        <v>6508</v>
      </c>
      <c r="C3295" s="193" t="s">
        <v>2903</v>
      </c>
      <c r="D3295" s="193" t="s">
        <v>2904</v>
      </c>
      <c r="E3295" s="194">
        <v>33000</v>
      </c>
      <c r="F3295" s="195">
        <v>282000</v>
      </c>
      <c r="G3295" s="194">
        <v>59220</v>
      </c>
      <c r="H3295" s="194">
        <v>374220</v>
      </c>
      <c r="I3295" s="121" t="s">
        <v>19</v>
      </c>
      <c r="J3295" s="43"/>
    </row>
    <row r="3296" spans="1:10" customFormat="1" ht="15.75" hidden="1" customHeight="1" x14ac:dyDescent="0.25">
      <c r="A3296" s="127">
        <v>45348</v>
      </c>
      <c r="B3296" s="193" t="s">
        <v>6509</v>
      </c>
      <c r="C3296" s="193" t="s">
        <v>3007</v>
      </c>
      <c r="D3296" s="193" t="s">
        <v>3008</v>
      </c>
      <c r="E3296" s="194">
        <v>23500</v>
      </c>
      <c r="F3296" s="195">
        <v>152000</v>
      </c>
      <c r="G3296" s="194">
        <v>31920</v>
      </c>
      <c r="H3296" s="194">
        <v>207420</v>
      </c>
      <c r="I3296" s="121" t="s">
        <v>19</v>
      </c>
      <c r="J3296" s="43"/>
    </row>
    <row r="3297" spans="1:10" customFormat="1" ht="15.75" hidden="1" customHeight="1" x14ac:dyDescent="0.25">
      <c r="A3297" s="127">
        <v>45348</v>
      </c>
      <c r="B3297" s="193" t="s">
        <v>6510</v>
      </c>
      <c r="C3297" s="193" t="s">
        <v>3014</v>
      </c>
      <c r="D3297" s="193" t="s">
        <v>3015</v>
      </c>
      <c r="E3297" s="194">
        <v>47000</v>
      </c>
      <c r="F3297" s="195">
        <v>282000</v>
      </c>
      <c r="G3297" s="194">
        <v>59220</v>
      </c>
      <c r="H3297" s="194">
        <v>388220</v>
      </c>
      <c r="I3297" s="121" t="s">
        <v>19</v>
      </c>
      <c r="J3297" s="43"/>
    </row>
    <row r="3298" spans="1:10" customFormat="1" ht="15.75" hidden="1" customHeight="1" x14ac:dyDescent="0.25">
      <c r="A3298" s="127">
        <v>45348</v>
      </c>
      <c r="B3298" s="193" t="s">
        <v>6511</v>
      </c>
      <c r="C3298" s="193" t="s">
        <v>2870</v>
      </c>
      <c r="D3298" s="193" t="s">
        <v>2871</v>
      </c>
      <c r="E3298" s="194">
        <v>33000</v>
      </c>
      <c r="F3298" s="195">
        <v>304000</v>
      </c>
      <c r="G3298" s="194">
        <v>63840</v>
      </c>
      <c r="H3298" s="194">
        <v>400840</v>
      </c>
      <c r="I3298" s="121" t="s">
        <v>19</v>
      </c>
      <c r="J3298" s="43"/>
    </row>
    <row r="3299" spans="1:10" customFormat="1" ht="15.75" hidden="1" customHeight="1" x14ac:dyDescent="0.25">
      <c r="A3299" s="127">
        <v>45348</v>
      </c>
      <c r="B3299" s="193" t="s">
        <v>6512</v>
      </c>
      <c r="C3299" s="193" t="s">
        <v>3520</v>
      </c>
      <c r="D3299" s="193" t="s">
        <v>3521</v>
      </c>
      <c r="E3299" s="194">
        <v>0</v>
      </c>
      <c r="F3299" s="195">
        <v>100000</v>
      </c>
      <c r="G3299" s="194">
        <v>21000</v>
      </c>
      <c r="H3299" s="194">
        <v>121000</v>
      </c>
      <c r="I3299" s="121" t="s">
        <v>19</v>
      </c>
      <c r="J3299" s="43"/>
    </row>
    <row r="3300" spans="1:10" customFormat="1" ht="15.75" hidden="1" customHeight="1" x14ac:dyDescent="0.25">
      <c r="A3300" s="127">
        <v>45348</v>
      </c>
      <c r="B3300" s="193" t="s">
        <v>6513</v>
      </c>
      <c r="C3300" s="193" t="s">
        <v>2921</v>
      </c>
      <c r="D3300" s="193" t="s">
        <v>2922</v>
      </c>
      <c r="E3300" s="194">
        <v>0</v>
      </c>
      <c r="F3300" s="195">
        <v>58000</v>
      </c>
      <c r="G3300" s="194">
        <v>12180</v>
      </c>
      <c r="H3300" s="194">
        <v>70180</v>
      </c>
      <c r="I3300" s="121" t="s">
        <v>19</v>
      </c>
      <c r="J3300" s="43"/>
    </row>
    <row r="3301" spans="1:10" customFormat="1" ht="15.75" hidden="1" customHeight="1" x14ac:dyDescent="0.25">
      <c r="A3301" s="127">
        <v>45349</v>
      </c>
      <c r="B3301" s="193" t="s">
        <v>6514</v>
      </c>
      <c r="C3301" s="193" t="s">
        <v>2867</v>
      </c>
      <c r="D3301" s="193" t="s">
        <v>2868</v>
      </c>
      <c r="E3301" s="194">
        <v>26000</v>
      </c>
      <c r="F3301" s="195">
        <v>900000</v>
      </c>
      <c r="G3301" s="194">
        <v>189000</v>
      </c>
      <c r="H3301" s="194">
        <v>1115000</v>
      </c>
      <c r="I3301" s="121" t="s">
        <v>19</v>
      </c>
      <c r="J3301" s="43"/>
    </row>
    <row r="3302" spans="1:10" customFormat="1" ht="15.75" hidden="1" customHeight="1" x14ac:dyDescent="0.25">
      <c r="A3302" s="127">
        <v>45349</v>
      </c>
      <c r="B3302" s="193" t="s">
        <v>6515</v>
      </c>
      <c r="C3302" s="193" t="s">
        <v>2921</v>
      </c>
      <c r="D3302" s="193" t="s">
        <v>2922</v>
      </c>
      <c r="E3302" s="194">
        <v>47000</v>
      </c>
      <c r="F3302" s="195">
        <v>304000</v>
      </c>
      <c r="G3302" s="194">
        <v>63840</v>
      </c>
      <c r="H3302" s="194">
        <v>414840</v>
      </c>
      <c r="I3302" s="121" t="s">
        <v>19</v>
      </c>
      <c r="J3302" s="43"/>
    </row>
    <row r="3303" spans="1:10" customFormat="1" ht="15.75" hidden="1" customHeight="1" x14ac:dyDescent="0.25">
      <c r="A3303" s="127">
        <v>45349</v>
      </c>
      <c r="B3303" s="193" t="s">
        <v>6516</v>
      </c>
      <c r="C3303" s="193" t="s">
        <v>2921</v>
      </c>
      <c r="D3303" s="193" t="s">
        <v>2922</v>
      </c>
      <c r="E3303" s="194">
        <v>47000</v>
      </c>
      <c r="F3303" s="195">
        <v>304000</v>
      </c>
      <c r="G3303" s="194">
        <v>63840</v>
      </c>
      <c r="H3303" s="194">
        <v>414840</v>
      </c>
      <c r="I3303" s="121" t="s">
        <v>19</v>
      </c>
      <c r="J3303" s="43"/>
    </row>
    <row r="3304" spans="1:10" customFormat="1" ht="15.75" hidden="1" customHeight="1" x14ac:dyDescent="0.25">
      <c r="A3304" s="127">
        <v>45349</v>
      </c>
      <c r="B3304" s="193" t="s">
        <v>6517</v>
      </c>
      <c r="C3304" s="193" t="s">
        <v>2906</v>
      </c>
      <c r="D3304" s="193" t="s">
        <v>2907</v>
      </c>
      <c r="E3304" s="194">
        <v>23500</v>
      </c>
      <c r="F3304" s="195">
        <v>152000</v>
      </c>
      <c r="G3304" s="194">
        <v>31920</v>
      </c>
      <c r="H3304" s="194">
        <v>207420</v>
      </c>
      <c r="I3304" s="121" t="s">
        <v>19</v>
      </c>
      <c r="J3304" s="43"/>
    </row>
    <row r="3305" spans="1:10" customFormat="1" ht="15.75" hidden="1" customHeight="1" x14ac:dyDescent="0.25">
      <c r="A3305" s="127">
        <v>45349</v>
      </c>
      <c r="B3305" s="193" t="s">
        <v>6518</v>
      </c>
      <c r="C3305" s="193" t="s">
        <v>2942</v>
      </c>
      <c r="D3305" s="193" t="s">
        <v>2943</v>
      </c>
      <c r="E3305" s="194">
        <v>8000</v>
      </c>
      <c r="F3305" s="195">
        <v>185000</v>
      </c>
      <c r="G3305" s="194">
        <v>38850</v>
      </c>
      <c r="H3305" s="194">
        <v>231850</v>
      </c>
      <c r="I3305" s="121" t="s">
        <v>19</v>
      </c>
      <c r="J3305" s="43"/>
    </row>
    <row r="3306" spans="1:10" customFormat="1" ht="15.75" hidden="1" customHeight="1" x14ac:dyDescent="0.25">
      <c r="A3306" s="127">
        <v>45349</v>
      </c>
      <c r="B3306" s="193" t="s">
        <v>6519</v>
      </c>
      <c r="C3306" s="193" t="s">
        <v>3014</v>
      </c>
      <c r="D3306" s="193" t="s">
        <v>3015</v>
      </c>
      <c r="E3306" s="194">
        <v>47000</v>
      </c>
      <c r="F3306" s="195">
        <v>304000</v>
      </c>
      <c r="G3306" s="194">
        <v>63840</v>
      </c>
      <c r="H3306" s="194">
        <v>414840</v>
      </c>
      <c r="I3306" s="121" t="s">
        <v>19</v>
      </c>
      <c r="J3306" s="43"/>
    </row>
    <row r="3307" spans="1:10" customFormat="1" ht="15.75" hidden="1" customHeight="1" x14ac:dyDescent="0.25">
      <c r="A3307" s="127">
        <v>45349</v>
      </c>
      <c r="B3307" s="193" t="s">
        <v>6520</v>
      </c>
      <c r="C3307" s="193" t="s">
        <v>6521</v>
      </c>
      <c r="D3307" s="193" t="s">
        <v>6522</v>
      </c>
      <c r="E3307" s="194">
        <v>23500</v>
      </c>
      <c r="F3307" s="195">
        <v>130000</v>
      </c>
      <c r="G3307" s="194">
        <v>27300</v>
      </c>
      <c r="H3307" s="194">
        <v>180800</v>
      </c>
      <c r="I3307" s="121" t="s">
        <v>19</v>
      </c>
      <c r="J3307" s="43"/>
    </row>
    <row r="3308" spans="1:10" customFormat="1" ht="15.75" hidden="1" customHeight="1" x14ac:dyDescent="0.25">
      <c r="A3308" s="127">
        <v>45349</v>
      </c>
      <c r="B3308" s="193" t="s">
        <v>6523</v>
      </c>
      <c r="C3308" s="193" t="s">
        <v>3007</v>
      </c>
      <c r="D3308" s="193" t="s">
        <v>3008</v>
      </c>
      <c r="E3308" s="194">
        <v>47000</v>
      </c>
      <c r="F3308" s="195">
        <v>304000</v>
      </c>
      <c r="G3308" s="194">
        <v>63840</v>
      </c>
      <c r="H3308" s="194">
        <v>414840</v>
      </c>
      <c r="I3308" s="121" t="s">
        <v>19</v>
      </c>
      <c r="J3308" s="43"/>
    </row>
    <row r="3309" spans="1:10" customFormat="1" ht="15.75" hidden="1" customHeight="1" x14ac:dyDescent="0.25">
      <c r="A3309" s="127">
        <v>45349</v>
      </c>
      <c r="B3309" s="193" t="s">
        <v>6524</v>
      </c>
      <c r="C3309" s="193" t="s">
        <v>3007</v>
      </c>
      <c r="D3309" s="193" t="s">
        <v>3008</v>
      </c>
      <c r="E3309" s="194">
        <v>47000</v>
      </c>
      <c r="F3309" s="195">
        <v>304000</v>
      </c>
      <c r="G3309" s="194">
        <v>63840</v>
      </c>
      <c r="H3309" s="194">
        <v>414840</v>
      </c>
      <c r="I3309" s="121" t="s">
        <v>19</v>
      </c>
      <c r="J3309" s="43"/>
    </row>
    <row r="3310" spans="1:10" customFormat="1" ht="15.75" hidden="1" customHeight="1" x14ac:dyDescent="0.25">
      <c r="A3310" s="127">
        <v>45349</v>
      </c>
      <c r="B3310" s="193" t="s">
        <v>6525</v>
      </c>
      <c r="C3310" s="193" t="s">
        <v>3007</v>
      </c>
      <c r="D3310" s="193" t="s">
        <v>3008</v>
      </c>
      <c r="E3310" s="194">
        <v>23500</v>
      </c>
      <c r="F3310" s="195">
        <v>152000</v>
      </c>
      <c r="G3310" s="194">
        <v>31920</v>
      </c>
      <c r="H3310" s="194">
        <v>207420</v>
      </c>
      <c r="I3310" s="121" t="s">
        <v>19</v>
      </c>
      <c r="J3310" s="43"/>
    </row>
    <row r="3311" spans="1:10" customFormat="1" ht="15.75" hidden="1" customHeight="1" x14ac:dyDescent="0.25">
      <c r="A3311" s="127">
        <v>45349</v>
      </c>
      <c r="B3311" s="193" t="s">
        <v>6526</v>
      </c>
      <c r="C3311" s="193" t="s">
        <v>2921</v>
      </c>
      <c r="D3311" s="193" t="s">
        <v>2922</v>
      </c>
      <c r="E3311" s="194">
        <v>47000</v>
      </c>
      <c r="F3311" s="195">
        <v>304000</v>
      </c>
      <c r="G3311" s="194">
        <v>63840</v>
      </c>
      <c r="H3311" s="194">
        <v>414840</v>
      </c>
      <c r="I3311" s="121" t="s">
        <v>19</v>
      </c>
      <c r="J3311" s="43"/>
    </row>
    <row r="3312" spans="1:10" customFormat="1" ht="15.75" hidden="1" customHeight="1" x14ac:dyDescent="0.25">
      <c r="A3312" s="127">
        <v>45349</v>
      </c>
      <c r="B3312" s="193" t="s">
        <v>6527</v>
      </c>
      <c r="C3312" s="193" t="s">
        <v>2851</v>
      </c>
      <c r="D3312" s="193" t="s">
        <v>2852</v>
      </c>
      <c r="E3312" s="194">
        <v>6400</v>
      </c>
      <c r="F3312" s="195">
        <v>210000</v>
      </c>
      <c r="G3312" s="194">
        <v>44100</v>
      </c>
      <c r="H3312" s="194">
        <v>260500</v>
      </c>
      <c r="I3312" s="121" t="s">
        <v>19</v>
      </c>
      <c r="J3312" s="43"/>
    </row>
    <row r="3313" spans="1:10" customFormat="1" ht="15.75" hidden="1" customHeight="1" x14ac:dyDescent="0.25">
      <c r="A3313" s="127">
        <v>45351</v>
      </c>
      <c r="B3313" s="193" t="s">
        <v>6528</v>
      </c>
      <c r="C3313" s="193" t="s">
        <v>3014</v>
      </c>
      <c r="D3313" s="193" t="s">
        <v>3015</v>
      </c>
      <c r="E3313" s="194">
        <v>0</v>
      </c>
      <c r="F3313" s="195">
        <v>113000</v>
      </c>
      <c r="G3313" s="194">
        <v>23730</v>
      </c>
      <c r="H3313" s="194">
        <v>136730</v>
      </c>
      <c r="I3313" s="121" t="s">
        <v>19</v>
      </c>
      <c r="J3313" s="43"/>
    </row>
    <row r="3314" spans="1:10" customFormat="1" ht="15.75" hidden="1" customHeight="1" x14ac:dyDescent="0.25">
      <c r="A3314" s="127">
        <v>45351</v>
      </c>
      <c r="B3314" s="193" t="s">
        <v>6529</v>
      </c>
      <c r="C3314" s="193" t="s">
        <v>3007</v>
      </c>
      <c r="D3314" s="193" t="s">
        <v>3008</v>
      </c>
      <c r="E3314" s="194">
        <v>0</v>
      </c>
      <c r="F3314" s="195">
        <v>122000</v>
      </c>
      <c r="G3314" s="194">
        <v>25620</v>
      </c>
      <c r="H3314" s="194">
        <v>147620</v>
      </c>
      <c r="I3314" s="121" t="s">
        <v>19</v>
      </c>
      <c r="J3314" s="43"/>
    </row>
    <row r="3315" spans="1:10" customFormat="1" ht="15.75" hidden="1" customHeight="1" x14ac:dyDescent="0.25">
      <c r="A3315" s="127">
        <v>45351</v>
      </c>
      <c r="B3315" s="193" t="s">
        <v>6530</v>
      </c>
      <c r="C3315" s="193" t="s">
        <v>3041</v>
      </c>
      <c r="D3315" s="193" t="s">
        <v>3042</v>
      </c>
      <c r="E3315" s="194">
        <v>9000</v>
      </c>
      <c r="F3315" s="195">
        <v>265000</v>
      </c>
      <c r="G3315" s="194">
        <v>55650</v>
      </c>
      <c r="H3315" s="194">
        <v>329650</v>
      </c>
      <c r="I3315" s="121" t="s">
        <v>19</v>
      </c>
      <c r="J3315" s="43"/>
    </row>
    <row r="3316" spans="1:10" customFormat="1" ht="15.75" hidden="1" customHeight="1" x14ac:dyDescent="0.25">
      <c r="A3316" s="127">
        <v>45351</v>
      </c>
      <c r="B3316" s="193" t="s">
        <v>6531</v>
      </c>
      <c r="C3316" s="193" t="s">
        <v>2903</v>
      </c>
      <c r="D3316" s="193" t="s">
        <v>2904</v>
      </c>
      <c r="E3316" s="194">
        <v>33000</v>
      </c>
      <c r="F3316" s="195">
        <v>304000</v>
      </c>
      <c r="G3316" s="194">
        <v>63840</v>
      </c>
      <c r="H3316" s="194">
        <v>400840</v>
      </c>
      <c r="I3316" s="121" t="s">
        <v>19</v>
      </c>
      <c r="J3316" s="43"/>
    </row>
    <row r="3317" spans="1:10" customFormat="1" ht="15.75" hidden="1" customHeight="1" x14ac:dyDescent="0.25">
      <c r="A3317" s="127">
        <v>45351</v>
      </c>
      <c r="B3317" s="193" t="s">
        <v>6532</v>
      </c>
      <c r="C3317" s="193" t="s">
        <v>3007</v>
      </c>
      <c r="D3317" s="193" t="s">
        <v>3008</v>
      </c>
      <c r="E3317" s="194">
        <v>15200</v>
      </c>
      <c r="F3317" s="195">
        <v>370000</v>
      </c>
      <c r="G3317" s="194">
        <v>77700</v>
      </c>
      <c r="H3317" s="194">
        <v>462900</v>
      </c>
      <c r="I3317" s="121" t="s">
        <v>19</v>
      </c>
      <c r="J3317" s="43"/>
    </row>
    <row r="3318" spans="1:10" customFormat="1" ht="15.75" hidden="1" customHeight="1" x14ac:dyDescent="0.25">
      <c r="A3318" s="127">
        <v>45351</v>
      </c>
      <c r="B3318" s="193" t="s">
        <v>6533</v>
      </c>
      <c r="C3318" s="193" t="s">
        <v>6534</v>
      </c>
      <c r="D3318" s="193" t="s">
        <v>6535</v>
      </c>
      <c r="E3318" s="194">
        <v>15000</v>
      </c>
      <c r="F3318" s="195">
        <v>450000</v>
      </c>
      <c r="G3318" s="194">
        <v>94500</v>
      </c>
      <c r="H3318" s="194">
        <v>559500</v>
      </c>
      <c r="I3318" s="121" t="s">
        <v>19</v>
      </c>
      <c r="J3318" s="43"/>
    </row>
    <row r="3319" spans="1:10" customFormat="1" ht="15.75" hidden="1" customHeight="1" x14ac:dyDescent="0.25">
      <c r="A3319" s="127">
        <v>45351</v>
      </c>
      <c r="B3319" s="193" t="s">
        <v>6536</v>
      </c>
      <c r="C3319" s="193" t="s">
        <v>3235</v>
      </c>
      <c r="D3319" s="193" t="s">
        <v>3236</v>
      </c>
      <c r="E3319" s="194">
        <v>23000</v>
      </c>
      <c r="F3319" s="195">
        <v>480000</v>
      </c>
      <c r="G3319" s="194">
        <v>100800</v>
      </c>
      <c r="H3319" s="194">
        <v>603800</v>
      </c>
      <c r="I3319" s="121" t="s">
        <v>19</v>
      </c>
      <c r="J3319" s="43"/>
    </row>
    <row r="3320" spans="1:10" customFormat="1" ht="15.75" hidden="1" customHeight="1" x14ac:dyDescent="0.25">
      <c r="A3320" s="127">
        <v>45351</v>
      </c>
      <c r="B3320" s="193" t="s">
        <v>6537</v>
      </c>
      <c r="C3320" s="193" t="s">
        <v>3067</v>
      </c>
      <c r="D3320" s="193" t="s">
        <v>3068</v>
      </c>
      <c r="E3320" s="194">
        <v>0</v>
      </c>
      <c r="F3320" s="195">
        <v>95000</v>
      </c>
      <c r="G3320" s="194">
        <v>19950</v>
      </c>
      <c r="H3320" s="194">
        <v>114950</v>
      </c>
      <c r="I3320" s="121" t="s">
        <v>19</v>
      </c>
      <c r="J3320" s="43"/>
    </row>
    <row r="3321" spans="1:10" customFormat="1" ht="15.75" hidden="1" customHeight="1" x14ac:dyDescent="0.25">
      <c r="A3321" s="127">
        <v>45351</v>
      </c>
      <c r="B3321" s="193" t="s">
        <v>6538</v>
      </c>
      <c r="C3321" s="193" t="s">
        <v>3007</v>
      </c>
      <c r="D3321" s="193" t="s">
        <v>3008</v>
      </c>
      <c r="E3321" s="194">
        <v>0</v>
      </c>
      <c r="F3321" s="195">
        <v>190000</v>
      </c>
      <c r="G3321" s="194">
        <v>39900</v>
      </c>
      <c r="H3321" s="194">
        <v>229900</v>
      </c>
      <c r="I3321" s="121" t="s">
        <v>19</v>
      </c>
      <c r="J3321" s="43"/>
    </row>
    <row r="3322" spans="1:10" customFormat="1" ht="15.75" hidden="1" customHeight="1" x14ac:dyDescent="0.25">
      <c r="A3322" s="127">
        <v>45351</v>
      </c>
      <c r="B3322" s="193" t="s">
        <v>6539</v>
      </c>
      <c r="C3322" s="193" t="s">
        <v>3235</v>
      </c>
      <c r="D3322" s="193" t="s">
        <v>3236</v>
      </c>
      <c r="E3322" s="194">
        <v>23500</v>
      </c>
      <c r="F3322" s="195">
        <v>152000</v>
      </c>
      <c r="G3322" s="194">
        <v>31920</v>
      </c>
      <c r="H3322" s="194">
        <v>207420</v>
      </c>
      <c r="I3322" s="121" t="s">
        <v>19</v>
      </c>
      <c r="J3322" s="43"/>
    </row>
    <row r="3323" spans="1:10" customFormat="1" ht="15.75" hidden="1" customHeight="1" x14ac:dyDescent="0.25">
      <c r="A3323" s="127">
        <v>45351</v>
      </c>
      <c r="B3323" s="193" t="s">
        <v>6540</v>
      </c>
      <c r="C3323" s="193" t="s">
        <v>3235</v>
      </c>
      <c r="D3323" s="193" t="s">
        <v>3236</v>
      </c>
      <c r="E3323" s="194">
        <v>47000</v>
      </c>
      <c r="F3323" s="195">
        <v>304000</v>
      </c>
      <c r="G3323" s="194">
        <v>63840</v>
      </c>
      <c r="H3323" s="194">
        <v>414840</v>
      </c>
      <c r="I3323" s="121" t="s">
        <v>19</v>
      </c>
      <c r="J3323" s="43"/>
    </row>
    <row r="3324" spans="1:10" customFormat="1" ht="15.75" hidden="1" customHeight="1" x14ac:dyDescent="0.25">
      <c r="A3324" s="127">
        <v>45351</v>
      </c>
      <c r="B3324" s="193" t="s">
        <v>6541</v>
      </c>
      <c r="C3324" s="193" t="s">
        <v>3007</v>
      </c>
      <c r="D3324" s="193" t="s">
        <v>3008</v>
      </c>
      <c r="E3324" s="194">
        <v>23500</v>
      </c>
      <c r="F3324" s="195">
        <v>152000</v>
      </c>
      <c r="G3324" s="194">
        <v>31920</v>
      </c>
      <c r="H3324" s="194">
        <v>207420</v>
      </c>
      <c r="I3324" s="121" t="s">
        <v>19</v>
      </c>
      <c r="J3324" s="43"/>
    </row>
    <row r="3325" spans="1:10" customFormat="1" ht="15.75" hidden="1" customHeight="1" x14ac:dyDescent="0.25">
      <c r="A3325" s="127">
        <v>45351</v>
      </c>
      <c r="B3325" s="193" t="s">
        <v>6542</v>
      </c>
      <c r="C3325" s="193" t="s">
        <v>3007</v>
      </c>
      <c r="D3325" s="193" t="s">
        <v>3008</v>
      </c>
      <c r="E3325" s="194">
        <v>23500</v>
      </c>
      <c r="F3325" s="195">
        <v>152000</v>
      </c>
      <c r="G3325" s="194">
        <v>31920</v>
      </c>
      <c r="H3325" s="194">
        <v>207420</v>
      </c>
      <c r="I3325" s="121" t="s">
        <v>19</v>
      </c>
      <c r="J3325" s="43"/>
    </row>
    <row r="3326" spans="1:10" customFormat="1" ht="15.75" hidden="1" customHeight="1" x14ac:dyDescent="0.25">
      <c r="A3326" s="127">
        <v>45351</v>
      </c>
      <c r="B3326" s="193" t="s">
        <v>6543</v>
      </c>
      <c r="C3326" s="193" t="s">
        <v>3007</v>
      </c>
      <c r="D3326" s="193" t="s">
        <v>3008</v>
      </c>
      <c r="E3326" s="194">
        <v>47000</v>
      </c>
      <c r="F3326" s="195">
        <v>304000</v>
      </c>
      <c r="G3326" s="194">
        <v>63840</v>
      </c>
      <c r="H3326" s="194">
        <v>414840</v>
      </c>
      <c r="I3326" s="121" t="s">
        <v>19</v>
      </c>
      <c r="J3326" s="43"/>
    </row>
    <row r="3327" spans="1:10" customFormat="1" ht="15.75" hidden="1" customHeight="1" x14ac:dyDescent="0.25">
      <c r="A3327" s="127">
        <v>45351</v>
      </c>
      <c r="B3327" s="193" t="s">
        <v>6544</v>
      </c>
      <c r="C3327" s="193" t="s">
        <v>3007</v>
      </c>
      <c r="D3327" s="193" t="s">
        <v>3008</v>
      </c>
      <c r="E3327" s="194">
        <v>23500</v>
      </c>
      <c r="F3327" s="195">
        <v>152000</v>
      </c>
      <c r="G3327" s="194">
        <v>31920</v>
      </c>
      <c r="H3327" s="194">
        <v>207420</v>
      </c>
      <c r="I3327" s="121" t="s">
        <v>19</v>
      </c>
      <c r="J3327" s="43"/>
    </row>
    <row r="3328" spans="1:10" customFormat="1" ht="15.75" hidden="1" customHeight="1" x14ac:dyDescent="0.25">
      <c r="A3328" s="127">
        <v>45351</v>
      </c>
      <c r="B3328" s="193" t="s">
        <v>6545</v>
      </c>
      <c r="C3328" s="193" t="s">
        <v>2921</v>
      </c>
      <c r="D3328" s="193" t="s">
        <v>2922</v>
      </c>
      <c r="E3328" s="194">
        <v>33000</v>
      </c>
      <c r="F3328" s="195">
        <v>304000</v>
      </c>
      <c r="G3328" s="194">
        <v>63840</v>
      </c>
      <c r="H3328" s="194">
        <v>400840</v>
      </c>
      <c r="I3328" s="121" t="s">
        <v>19</v>
      </c>
      <c r="J3328" s="43"/>
    </row>
    <row r="3329" spans="1:10" customFormat="1" ht="15.75" hidden="1" customHeight="1" x14ac:dyDescent="0.25">
      <c r="A3329" s="127">
        <v>45351</v>
      </c>
      <c r="B3329" s="193" t="s">
        <v>6546</v>
      </c>
      <c r="C3329" s="193" t="s">
        <v>2921</v>
      </c>
      <c r="D3329" s="193" t="s">
        <v>2922</v>
      </c>
      <c r="E3329" s="194">
        <v>47000</v>
      </c>
      <c r="F3329" s="195">
        <v>304000</v>
      </c>
      <c r="G3329" s="194">
        <v>63840</v>
      </c>
      <c r="H3329" s="194">
        <v>414840</v>
      </c>
      <c r="I3329" s="121" t="s">
        <v>19</v>
      </c>
      <c r="J3329" s="43"/>
    </row>
    <row r="3330" spans="1:10" customFormat="1" ht="15.75" hidden="1" customHeight="1" x14ac:dyDescent="0.25">
      <c r="A3330" s="127">
        <v>45351</v>
      </c>
      <c r="B3330" s="193" t="s">
        <v>6547</v>
      </c>
      <c r="C3330" s="193" t="s">
        <v>2921</v>
      </c>
      <c r="D3330" s="193" t="s">
        <v>2922</v>
      </c>
      <c r="E3330" s="194">
        <v>47000</v>
      </c>
      <c r="F3330" s="195">
        <v>304000</v>
      </c>
      <c r="G3330" s="194">
        <v>63840</v>
      </c>
      <c r="H3330" s="194">
        <v>414840</v>
      </c>
      <c r="I3330" s="121" t="s">
        <v>19</v>
      </c>
      <c r="J3330" s="43"/>
    </row>
    <row r="3331" spans="1:10" customFormat="1" ht="15.75" hidden="1" customHeight="1" x14ac:dyDescent="0.25">
      <c r="A3331" s="127">
        <v>45351</v>
      </c>
      <c r="B3331" s="193" t="s">
        <v>6548</v>
      </c>
      <c r="C3331" s="193" t="s">
        <v>2921</v>
      </c>
      <c r="D3331" s="193" t="s">
        <v>2922</v>
      </c>
      <c r="E3331" s="194">
        <v>23500</v>
      </c>
      <c r="F3331" s="195">
        <v>152000</v>
      </c>
      <c r="G3331" s="194">
        <v>31920</v>
      </c>
      <c r="H3331" s="194">
        <v>207420</v>
      </c>
      <c r="I3331" s="121" t="s">
        <v>19</v>
      </c>
      <c r="J3331" s="43"/>
    </row>
    <row r="3332" spans="1:10" customFormat="1" ht="15.75" hidden="1" customHeight="1" x14ac:dyDescent="0.25">
      <c r="A3332" s="127">
        <v>45351</v>
      </c>
      <c r="B3332" s="193" t="s">
        <v>6549</v>
      </c>
      <c r="C3332" s="193" t="s">
        <v>3235</v>
      </c>
      <c r="D3332" s="193" t="s">
        <v>3236</v>
      </c>
      <c r="E3332" s="194">
        <v>199500</v>
      </c>
      <c r="F3332" s="195">
        <v>1575000</v>
      </c>
      <c r="G3332" s="194">
        <v>330750</v>
      </c>
      <c r="H3332" s="194">
        <v>2105250</v>
      </c>
      <c r="I3332" s="121" t="s">
        <v>19</v>
      </c>
      <c r="J3332" s="43"/>
    </row>
    <row r="3333" spans="1:10" customFormat="1" ht="15.75" hidden="1" customHeight="1" x14ac:dyDescent="0.25">
      <c r="A3333" s="127">
        <v>45351</v>
      </c>
      <c r="B3333" s="193" t="s">
        <v>6550</v>
      </c>
      <c r="C3333" s="193" t="s">
        <v>2921</v>
      </c>
      <c r="D3333" s="193" t="s">
        <v>2922</v>
      </c>
      <c r="E3333" s="194">
        <v>26000</v>
      </c>
      <c r="F3333" s="195">
        <v>555000</v>
      </c>
      <c r="G3333" s="194">
        <v>116550</v>
      </c>
      <c r="H3333" s="194">
        <v>697550</v>
      </c>
      <c r="I3333" s="121" t="s">
        <v>19</v>
      </c>
      <c r="J3333" s="43"/>
    </row>
    <row r="3334" spans="1:10" customFormat="1" ht="15.75" hidden="1" customHeight="1" x14ac:dyDescent="0.25">
      <c r="A3334" s="127">
        <v>45351</v>
      </c>
      <c r="B3334" s="193" t="s">
        <v>6551</v>
      </c>
      <c r="C3334" s="193" t="s">
        <v>3014</v>
      </c>
      <c r="D3334" s="193" t="s">
        <v>3015</v>
      </c>
      <c r="E3334" s="194">
        <v>16000</v>
      </c>
      <c r="F3334" s="195">
        <v>370000</v>
      </c>
      <c r="G3334" s="194">
        <v>77700</v>
      </c>
      <c r="H3334" s="194">
        <v>463700</v>
      </c>
      <c r="I3334" s="121" t="s">
        <v>19</v>
      </c>
      <c r="J3334" s="43"/>
    </row>
    <row r="3335" spans="1:10" customFormat="1" ht="15.75" hidden="1" customHeight="1" x14ac:dyDescent="0.25">
      <c r="A3335" s="127">
        <v>45351</v>
      </c>
      <c r="B3335" s="193" t="s">
        <v>6552</v>
      </c>
      <c r="C3335" s="193" t="s">
        <v>2867</v>
      </c>
      <c r="D3335" s="193" t="s">
        <v>2868</v>
      </c>
      <c r="E3335" s="194">
        <v>13000</v>
      </c>
      <c r="F3335" s="195">
        <v>542500</v>
      </c>
      <c r="G3335" s="194">
        <v>113925</v>
      </c>
      <c r="H3335" s="194">
        <v>669425</v>
      </c>
      <c r="I3335" s="121" t="s">
        <v>19</v>
      </c>
      <c r="J3335" s="43"/>
    </row>
    <row r="3336" spans="1:10" customFormat="1" ht="15.75" hidden="1" customHeight="1" x14ac:dyDescent="0.25">
      <c r="A3336" s="127">
        <v>45351</v>
      </c>
      <c r="B3336" s="193" t="s">
        <v>6553</v>
      </c>
      <c r="C3336" s="193" t="s">
        <v>3235</v>
      </c>
      <c r="D3336" s="193" t="s">
        <v>3236</v>
      </c>
      <c r="E3336" s="194">
        <v>85500</v>
      </c>
      <c r="F3336" s="195">
        <v>675000</v>
      </c>
      <c r="G3336" s="194">
        <v>141750</v>
      </c>
      <c r="H3336" s="194">
        <v>902250</v>
      </c>
      <c r="I3336" s="121" t="s">
        <v>19</v>
      </c>
      <c r="J3336" s="43"/>
    </row>
    <row r="3337" spans="1:10" customFormat="1" ht="15.75" hidden="1" customHeight="1" x14ac:dyDescent="0.25">
      <c r="A3337" s="127">
        <v>45351</v>
      </c>
      <c r="B3337" s="193" t="s">
        <v>6554</v>
      </c>
      <c r="C3337" s="193" t="s">
        <v>6343</v>
      </c>
      <c r="D3337" s="193" t="s">
        <v>6344</v>
      </c>
      <c r="E3337" s="194">
        <v>14000</v>
      </c>
      <c r="F3337" s="195">
        <v>150000</v>
      </c>
      <c r="G3337" s="194">
        <v>31500</v>
      </c>
      <c r="H3337" s="194">
        <v>195500</v>
      </c>
      <c r="I3337" s="121" t="s">
        <v>19</v>
      </c>
      <c r="J3337" s="43"/>
    </row>
    <row r="3338" spans="1:10" customFormat="1" ht="15.75" hidden="1" customHeight="1" x14ac:dyDescent="0.25">
      <c r="A3338" s="127">
        <v>45351</v>
      </c>
      <c r="B3338" s="193" t="s">
        <v>6555</v>
      </c>
      <c r="C3338" s="193" t="s">
        <v>3014</v>
      </c>
      <c r="D3338" s="193" t="s">
        <v>3015</v>
      </c>
      <c r="E3338" s="194">
        <v>14000</v>
      </c>
      <c r="F3338" s="195">
        <v>160000</v>
      </c>
      <c r="G3338" s="194">
        <v>33600</v>
      </c>
      <c r="H3338" s="194">
        <v>207600</v>
      </c>
      <c r="I3338" s="121" t="s">
        <v>19</v>
      </c>
      <c r="J3338" s="43"/>
    </row>
    <row r="3339" spans="1:10" customFormat="1" ht="15.75" hidden="1" customHeight="1" x14ac:dyDescent="0.25">
      <c r="A3339" s="127">
        <v>45351</v>
      </c>
      <c r="B3339" s="193" t="s">
        <v>6556</v>
      </c>
      <c r="C3339" s="193" t="s">
        <v>3235</v>
      </c>
      <c r="D3339" s="193" t="s">
        <v>3236</v>
      </c>
      <c r="E3339" s="194">
        <v>171000</v>
      </c>
      <c r="F3339" s="195">
        <v>1320000</v>
      </c>
      <c r="G3339" s="194">
        <v>277200</v>
      </c>
      <c r="H3339" s="194">
        <v>1768200</v>
      </c>
      <c r="I3339" s="121" t="s">
        <v>19</v>
      </c>
      <c r="J3339" s="43"/>
    </row>
    <row r="3340" spans="1:10" customFormat="1" ht="15.75" hidden="1" customHeight="1" x14ac:dyDescent="0.25">
      <c r="A3340" s="127">
        <v>45351</v>
      </c>
      <c r="B3340" s="193" t="s">
        <v>6557</v>
      </c>
      <c r="C3340" s="193" t="s">
        <v>2867</v>
      </c>
      <c r="D3340" s="193" t="s">
        <v>2868</v>
      </c>
      <c r="E3340" s="194">
        <v>13000</v>
      </c>
      <c r="F3340" s="195">
        <v>185000</v>
      </c>
      <c r="G3340" s="194">
        <v>38850</v>
      </c>
      <c r="H3340" s="194">
        <v>236850</v>
      </c>
      <c r="I3340" s="121" t="s">
        <v>19</v>
      </c>
      <c r="J3340" s="43"/>
    </row>
    <row r="3341" spans="1:10" customFormat="1" ht="15.75" hidden="1" customHeight="1" x14ac:dyDescent="0.25">
      <c r="A3341" s="127">
        <v>45351</v>
      </c>
      <c r="B3341" s="193" t="s">
        <v>6558</v>
      </c>
      <c r="C3341" s="193" t="s">
        <v>2927</v>
      </c>
      <c r="D3341" s="193" t="s">
        <v>2928</v>
      </c>
      <c r="E3341" s="194">
        <v>12800</v>
      </c>
      <c r="F3341" s="195">
        <v>152000</v>
      </c>
      <c r="G3341" s="194">
        <v>31920</v>
      </c>
      <c r="H3341" s="194">
        <v>196720</v>
      </c>
      <c r="I3341" s="121" t="s">
        <v>19</v>
      </c>
      <c r="J3341" s="43"/>
    </row>
    <row r="3342" spans="1:10" customFormat="1" ht="15.75" hidden="1" customHeight="1" x14ac:dyDescent="0.25">
      <c r="A3342" s="127">
        <v>45351</v>
      </c>
      <c r="B3342" s="193" t="s">
        <v>6559</v>
      </c>
      <c r="C3342" s="193" t="s">
        <v>5283</v>
      </c>
      <c r="D3342" s="193" t="s">
        <v>5284</v>
      </c>
      <c r="E3342" s="194">
        <v>0</v>
      </c>
      <c r="F3342" s="195">
        <v>122000</v>
      </c>
      <c r="G3342" s="194">
        <v>25620</v>
      </c>
      <c r="H3342" s="194">
        <v>147620</v>
      </c>
      <c r="I3342" s="121" t="s">
        <v>19</v>
      </c>
      <c r="J3342" s="43"/>
    </row>
    <row r="3343" spans="1:10" customFormat="1" ht="15.75" hidden="1" customHeight="1" x14ac:dyDescent="0.25">
      <c r="A3343" s="127">
        <v>45351</v>
      </c>
      <c r="B3343" s="193" t="s">
        <v>6560</v>
      </c>
      <c r="C3343" s="193" t="s">
        <v>3160</v>
      </c>
      <c r="D3343" s="193" t="s">
        <v>3161</v>
      </c>
      <c r="E3343" s="194">
        <v>515909</v>
      </c>
      <c r="F3343" s="195">
        <v>10735000</v>
      </c>
      <c r="G3343" s="194">
        <v>2254350</v>
      </c>
      <c r="H3343" s="194">
        <v>13505259</v>
      </c>
      <c r="I3343" s="121" t="s">
        <v>19</v>
      </c>
      <c r="J3343" s="43"/>
    </row>
    <row r="3344" spans="1:10" customFormat="1" ht="15.75" hidden="1" customHeight="1" x14ac:dyDescent="0.25">
      <c r="A3344" s="127">
        <v>45351</v>
      </c>
      <c r="B3344" s="193" t="s">
        <v>6561</v>
      </c>
      <c r="C3344" s="193" t="s">
        <v>3007</v>
      </c>
      <c r="D3344" s="193" t="s">
        <v>3008</v>
      </c>
      <c r="E3344" s="194">
        <v>0</v>
      </c>
      <c r="F3344" s="195">
        <v>95000</v>
      </c>
      <c r="G3344" s="194">
        <v>19950</v>
      </c>
      <c r="H3344" s="194">
        <v>114950</v>
      </c>
      <c r="I3344" s="121" t="s">
        <v>19</v>
      </c>
      <c r="J3344" s="43"/>
    </row>
    <row r="3345" spans="1:10" customFormat="1" ht="15.75" hidden="1" customHeight="1" x14ac:dyDescent="0.25">
      <c r="A3345" s="127">
        <v>45351</v>
      </c>
      <c r="B3345" s="193" t="s">
        <v>6562</v>
      </c>
      <c r="C3345" s="193" t="s">
        <v>2867</v>
      </c>
      <c r="D3345" s="193" t="s">
        <v>2868</v>
      </c>
      <c r="E3345" s="194">
        <v>23900</v>
      </c>
      <c r="F3345" s="195">
        <v>195000</v>
      </c>
      <c r="G3345" s="194">
        <v>40950</v>
      </c>
      <c r="H3345" s="194">
        <v>259850</v>
      </c>
      <c r="I3345" s="121" t="s">
        <v>19</v>
      </c>
      <c r="J3345" s="43"/>
    </row>
    <row r="3346" spans="1:10" customFormat="1" ht="15.75" hidden="1" customHeight="1" x14ac:dyDescent="0.25">
      <c r="A3346" s="127">
        <v>45351</v>
      </c>
      <c r="B3346" s="193" t="s">
        <v>6563</v>
      </c>
      <c r="C3346" s="193" t="s">
        <v>2892</v>
      </c>
      <c r="D3346" s="193" t="s">
        <v>2893</v>
      </c>
      <c r="E3346" s="194">
        <v>3200</v>
      </c>
      <c r="F3346" s="195">
        <v>105000</v>
      </c>
      <c r="G3346" s="194">
        <v>22050</v>
      </c>
      <c r="H3346" s="194">
        <v>130250</v>
      </c>
      <c r="I3346" s="121" t="s">
        <v>19</v>
      </c>
      <c r="J3346" s="43"/>
    </row>
    <row r="3347" spans="1:10" customFormat="1" ht="15.75" hidden="1" customHeight="1" x14ac:dyDescent="0.25">
      <c r="A3347" s="127">
        <v>45351</v>
      </c>
      <c r="B3347" s="193" t="s">
        <v>6564</v>
      </c>
      <c r="C3347" s="193" t="s">
        <v>3562</v>
      </c>
      <c r="D3347" s="193" t="s">
        <v>3563</v>
      </c>
      <c r="E3347" s="194">
        <v>30500</v>
      </c>
      <c r="F3347" s="195">
        <v>315000</v>
      </c>
      <c r="G3347" s="194">
        <v>66150</v>
      </c>
      <c r="H3347" s="194">
        <v>411650</v>
      </c>
      <c r="I3347" s="121" t="s">
        <v>19</v>
      </c>
      <c r="J3347" s="43"/>
    </row>
    <row r="3348" spans="1:10" customFormat="1" ht="15.75" hidden="1" customHeight="1" x14ac:dyDescent="0.25">
      <c r="A3348" s="127">
        <v>45351</v>
      </c>
      <c r="B3348" s="193" t="s">
        <v>6565</v>
      </c>
      <c r="C3348" s="193" t="s">
        <v>3007</v>
      </c>
      <c r="D3348" s="193" t="s">
        <v>3008</v>
      </c>
      <c r="E3348" s="194">
        <v>23500</v>
      </c>
      <c r="F3348" s="195">
        <v>152000</v>
      </c>
      <c r="G3348" s="194">
        <v>31920</v>
      </c>
      <c r="H3348" s="194">
        <v>207420</v>
      </c>
      <c r="I3348" s="121" t="s">
        <v>19</v>
      </c>
      <c r="J3348" s="43"/>
    </row>
    <row r="3349" spans="1:10" customFormat="1" ht="15.75" hidden="1" customHeight="1" x14ac:dyDescent="0.25">
      <c r="A3349" s="127">
        <v>45351</v>
      </c>
      <c r="B3349" s="193" t="s">
        <v>6566</v>
      </c>
      <c r="C3349" s="193" t="s">
        <v>3606</v>
      </c>
      <c r="D3349" s="193" t="s">
        <v>3607</v>
      </c>
      <c r="E3349" s="194">
        <v>0</v>
      </c>
      <c r="F3349" s="195">
        <v>58000</v>
      </c>
      <c r="G3349" s="194">
        <v>12180</v>
      </c>
      <c r="H3349" s="194">
        <v>70180</v>
      </c>
      <c r="I3349" s="121" t="s">
        <v>19</v>
      </c>
      <c r="J3349" s="43"/>
    </row>
    <row r="3350" spans="1:10" customFormat="1" ht="15.75" hidden="1" customHeight="1" x14ac:dyDescent="0.25">
      <c r="A3350" s="127">
        <v>45351</v>
      </c>
      <c r="B3350" s="193" t="s">
        <v>6567</v>
      </c>
      <c r="C3350" s="193" t="s">
        <v>3007</v>
      </c>
      <c r="D3350" s="193" t="s">
        <v>3008</v>
      </c>
      <c r="E3350" s="194">
        <v>0</v>
      </c>
      <c r="F3350" s="195">
        <v>58000</v>
      </c>
      <c r="G3350" s="194">
        <v>12180</v>
      </c>
      <c r="H3350" s="194">
        <v>70180</v>
      </c>
      <c r="I3350" s="121" t="s">
        <v>19</v>
      </c>
      <c r="J3350" s="43"/>
    </row>
    <row r="3351" spans="1:10" customFormat="1" ht="15.75" hidden="1" customHeight="1" x14ac:dyDescent="0.25">
      <c r="A3351" s="127">
        <v>45351</v>
      </c>
      <c r="B3351" s="193" t="s">
        <v>6568</v>
      </c>
      <c r="C3351" s="193" t="s">
        <v>2906</v>
      </c>
      <c r="D3351" s="193" t="s">
        <v>2907</v>
      </c>
      <c r="E3351" s="194">
        <v>23500</v>
      </c>
      <c r="F3351" s="195">
        <v>152000</v>
      </c>
      <c r="G3351" s="194">
        <v>31920</v>
      </c>
      <c r="H3351" s="194">
        <v>207420</v>
      </c>
      <c r="I3351" s="121" t="s">
        <v>19</v>
      </c>
      <c r="J3351" s="43"/>
    </row>
    <row r="3352" spans="1:10" customFormat="1" ht="15.75" hidden="1" customHeight="1" x14ac:dyDescent="0.25">
      <c r="A3352" s="127">
        <v>45351</v>
      </c>
      <c r="B3352" s="193" t="s">
        <v>6569</v>
      </c>
      <c r="C3352" s="193" t="s">
        <v>2906</v>
      </c>
      <c r="D3352" s="193" t="s">
        <v>2907</v>
      </c>
      <c r="E3352" s="194">
        <v>23500</v>
      </c>
      <c r="F3352" s="195">
        <v>152000</v>
      </c>
      <c r="G3352" s="194">
        <v>31920</v>
      </c>
      <c r="H3352" s="194">
        <v>207420</v>
      </c>
      <c r="I3352" s="121" t="s">
        <v>19</v>
      </c>
      <c r="J3352" s="43"/>
    </row>
    <row r="3353" spans="1:10" customFormat="1" ht="15.75" hidden="1" customHeight="1" x14ac:dyDescent="0.25">
      <c r="A3353" s="127">
        <v>45351</v>
      </c>
      <c r="B3353" s="193" t="s">
        <v>6570</v>
      </c>
      <c r="C3353" s="193" t="s">
        <v>2909</v>
      </c>
      <c r="D3353" s="193" t="s">
        <v>2910</v>
      </c>
      <c r="E3353" s="194">
        <v>12000</v>
      </c>
      <c r="F3353" s="195">
        <v>420000</v>
      </c>
      <c r="G3353" s="194">
        <v>88200</v>
      </c>
      <c r="H3353" s="194">
        <v>520200</v>
      </c>
      <c r="I3353" s="121" t="s">
        <v>19</v>
      </c>
      <c r="J3353" s="43"/>
    </row>
    <row r="3354" spans="1:10" customFormat="1" ht="15.75" hidden="1" customHeight="1" x14ac:dyDescent="0.25">
      <c r="A3354" s="127">
        <v>45351</v>
      </c>
      <c r="B3354" s="193" t="s">
        <v>6571</v>
      </c>
      <c r="C3354" s="193" t="s">
        <v>3007</v>
      </c>
      <c r="D3354" s="193" t="s">
        <v>3008</v>
      </c>
      <c r="E3354" s="194">
        <v>47000</v>
      </c>
      <c r="F3354" s="195">
        <v>464000</v>
      </c>
      <c r="G3354" s="194">
        <v>97440</v>
      </c>
      <c r="H3354" s="194">
        <v>608440</v>
      </c>
      <c r="I3354" s="121" t="s">
        <v>19</v>
      </c>
      <c r="J3354" s="43"/>
    </row>
    <row r="3355" spans="1:10" customFormat="1" ht="15.75" hidden="1" customHeight="1" x14ac:dyDescent="0.25">
      <c r="A3355" s="127">
        <v>45351</v>
      </c>
      <c r="B3355" s="193" t="s">
        <v>6572</v>
      </c>
      <c r="C3355" s="193" t="s">
        <v>6573</v>
      </c>
      <c r="D3355" s="193" t="s">
        <v>6574</v>
      </c>
      <c r="E3355" s="194">
        <v>23500</v>
      </c>
      <c r="F3355" s="195">
        <v>152000</v>
      </c>
      <c r="G3355" s="194">
        <v>31920</v>
      </c>
      <c r="H3355" s="194">
        <v>207420</v>
      </c>
      <c r="I3355" s="121" t="s">
        <v>19</v>
      </c>
      <c r="J3355" s="43"/>
    </row>
    <row r="3356" spans="1:10" customFormat="1" ht="15.75" hidden="1" customHeight="1" x14ac:dyDescent="0.25">
      <c r="A3356" s="127">
        <v>45351</v>
      </c>
      <c r="B3356" s="193" t="s">
        <v>6575</v>
      </c>
      <c r="C3356" s="193" t="s">
        <v>2969</v>
      </c>
      <c r="D3356" s="193" t="s">
        <v>2970</v>
      </c>
      <c r="E3356" s="194">
        <v>33000</v>
      </c>
      <c r="F3356" s="195">
        <v>450000</v>
      </c>
      <c r="G3356" s="194">
        <v>94500</v>
      </c>
      <c r="H3356" s="194">
        <v>577500</v>
      </c>
      <c r="I3356" s="121" t="s">
        <v>19</v>
      </c>
      <c r="J3356" s="43"/>
    </row>
    <row r="3357" spans="1:10" customFormat="1" ht="15.75" hidden="1" customHeight="1" x14ac:dyDescent="0.25">
      <c r="A3357" s="127">
        <v>45351</v>
      </c>
      <c r="B3357" s="193" t="s">
        <v>6576</v>
      </c>
      <c r="C3357" s="193" t="s">
        <v>2969</v>
      </c>
      <c r="D3357" s="193" t="s">
        <v>2970</v>
      </c>
      <c r="E3357" s="194">
        <v>66000</v>
      </c>
      <c r="F3357" s="195">
        <v>1125000</v>
      </c>
      <c r="G3357" s="194">
        <v>236250</v>
      </c>
      <c r="H3357" s="194">
        <v>1427250</v>
      </c>
      <c r="I3357" s="121" t="s">
        <v>19</v>
      </c>
      <c r="J3357" s="43"/>
    </row>
    <row r="3358" spans="1:10" customFormat="1" ht="15.75" hidden="1" customHeight="1" x14ac:dyDescent="0.25">
      <c r="A3358" s="127">
        <v>45351</v>
      </c>
      <c r="B3358" s="193" t="s">
        <v>6577</v>
      </c>
      <c r="C3358" s="193" t="s">
        <v>2938</v>
      </c>
      <c r="D3358" s="193" t="s">
        <v>2939</v>
      </c>
      <c r="E3358" s="194">
        <v>33000</v>
      </c>
      <c r="F3358" s="195">
        <v>675000</v>
      </c>
      <c r="G3358" s="194">
        <v>141750</v>
      </c>
      <c r="H3358" s="194">
        <v>849750</v>
      </c>
      <c r="I3358" s="121" t="s">
        <v>19</v>
      </c>
      <c r="J3358" s="43"/>
    </row>
    <row r="3359" spans="1:10" customFormat="1" ht="15.75" hidden="1" customHeight="1" x14ac:dyDescent="0.25">
      <c r="A3359" s="127">
        <v>45351</v>
      </c>
      <c r="B3359" s="193" t="s">
        <v>6578</v>
      </c>
      <c r="C3359" s="193" t="s">
        <v>2867</v>
      </c>
      <c r="D3359" s="193" t="s">
        <v>2868</v>
      </c>
      <c r="E3359" s="194">
        <v>2500</v>
      </c>
      <c r="F3359" s="195">
        <v>152000</v>
      </c>
      <c r="G3359" s="194">
        <v>31920</v>
      </c>
      <c r="H3359" s="194">
        <v>186420</v>
      </c>
      <c r="I3359" s="121" t="s">
        <v>19</v>
      </c>
      <c r="J3359" s="43"/>
    </row>
    <row r="3360" spans="1:10" customFormat="1" ht="15.75" hidden="1" customHeight="1" x14ac:dyDescent="0.25">
      <c r="A3360" s="127">
        <v>45351</v>
      </c>
      <c r="B3360" s="193" t="s">
        <v>6579</v>
      </c>
      <c r="C3360" s="193" t="s">
        <v>2909</v>
      </c>
      <c r="D3360" s="193" t="s">
        <v>2910</v>
      </c>
      <c r="E3360" s="194">
        <v>13000</v>
      </c>
      <c r="F3360" s="195">
        <v>337500</v>
      </c>
      <c r="G3360" s="194">
        <v>70875</v>
      </c>
      <c r="H3360" s="194">
        <v>421375</v>
      </c>
      <c r="I3360" s="121" t="s">
        <v>19</v>
      </c>
      <c r="J3360" s="43"/>
    </row>
    <row r="3361" spans="1:10" customFormat="1" ht="15.75" hidden="1" customHeight="1" x14ac:dyDescent="0.25">
      <c r="A3361" s="127">
        <v>45351</v>
      </c>
      <c r="B3361" s="193" t="s">
        <v>6580</v>
      </c>
      <c r="C3361" s="193" t="s">
        <v>2909</v>
      </c>
      <c r="D3361" s="193" t="s">
        <v>2910</v>
      </c>
      <c r="E3361" s="194">
        <v>13000</v>
      </c>
      <c r="F3361" s="195">
        <v>225000</v>
      </c>
      <c r="G3361" s="194">
        <v>47250</v>
      </c>
      <c r="H3361" s="194">
        <v>285250</v>
      </c>
      <c r="I3361" s="121" t="s">
        <v>19</v>
      </c>
      <c r="J3361" s="43"/>
    </row>
    <row r="3362" spans="1:10" customFormat="1" ht="15.75" hidden="1" customHeight="1" x14ac:dyDescent="0.25">
      <c r="A3362" s="127">
        <v>45351</v>
      </c>
      <c r="B3362" s="193" t="s">
        <v>6581</v>
      </c>
      <c r="C3362" s="193" t="s">
        <v>3007</v>
      </c>
      <c r="D3362" s="193" t="s">
        <v>3008</v>
      </c>
      <c r="E3362" s="194">
        <v>47000</v>
      </c>
      <c r="F3362" s="195">
        <v>464000</v>
      </c>
      <c r="G3362" s="194">
        <v>97440</v>
      </c>
      <c r="H3362" s="194">
        <v>608440</v>
      </c>
      <c r="I3362" s="121" t="s">
        <v>19</v>
      </c>
      <c r="J3362" s="43"/>
    </row>
    <row r="3363" spans="1:10" customFormat="1" ht="15.75" hidden="1" customHeight="1" x14ac:dyDescent="0.25">
      <c r="A3363" s="127">
        <v>45351</v>
      </c>
      <c r="B3363" s="193" t="s">
        <v>6582</v>
      </c>
      <c r="C3363" s="193" t="s">
        <v>3007</v>
      </c>
      <c r="D3363" s="193" t="s">
        <v>3008</v>
      </c>
      <c r="E3363" s="194">
        <v>47000</v>
      </c>
      <c r="F3363" s="195">
        <v>464000</v>
      </c>
      <c r="G3363" s="194">
        <v>97440</v>
      </c>
      <c r="H3363" s="194">
        <v>608440</v>
      </c>
      <c r="I3363" s="121" t="s">
        <v>19</v>
      </c>
      <c r="J3363" s="43"/>
    </row>
    <row r="3364" spans="1:10" customFormat="1" ht="15.75" hidden="1" customHeight="1" x14ac:dyDescent="0.25">
      <c r="A3364" s="127">
        <v>45351</v>
      </c>
      <c r="B3364" s="193" t="s">
        <v>6583</v>
      </c>
      <c r="C3364" s="193" t="s">
        <v>3007</v>
      </c>
      <c r="D3364" s="193" t="s">
        <v>3008</v>
      </c>
      <c r="E3364" s="194">
        <v>47000</v>
      </c>
      <c r="F3364" s="195">
        <v>464000</v>
      </c>
      <c r="G3364" s="194">
        <v>97440</v>
      </c>
      <c r="H3364" s="194">
        <v>608440</v>
      </c>
      <c r="I3364" s="121" t="s">
        <v>19</v>
      </c>
      <c r="J3364" s="43"/>
    </row>
    <row r="3365" spans="1:10" customFormat="1" ht="15.75" hidden="1" customHeight="1" x14ac:dyDescent="0.25">
      <c r="A3365" s="127">
        <v>45351</v>
      </c>
      <c r="B3365" s="193" t="s">
        <v>6584</v>
      </c>
      <c r="C3365" s="193" t="s">
        <v>2921</v>
      </c>
      <c r="D3365" s="193" t="s">
        <v>2922</v>
      </c>
      <c r="E3365" s="194">
        <v>23500</v>
      </c>
      <c r="F3365" s="195">
        <v>232000</v>
      </c>
      <c r="G3365" s="194">
        <v>48720</v>
      </c>
      <c r="H3365" s="194">
        <v>304220</v>
      </c>
      <c r="I3365" s="121" t="s">
        <v>19</v>
      </c>
      <c r="J3365" s="43"/>
    </row>
    <row r="3366" spans="1:10" customFormat="1" ht="15.75" hidden="1" customHeight="1" x14ac:dyDescent="0.25">
      <c r="A3366" s="127">
        <v>45351</v>
      </c>
      <c r="B3366" s="193" t="s">
        <v>6585</v>
      </c>
      <c r="C3366" s="193" t="s">
        <v>3235</v>
      </c>
      <c r="D3366" s="193" t="s">
        <v>3236</v>
      </c>
      <c r="E3366" s="194">
        <v>117500</v>
      </c>
      <c r="F3366" s="195">
        <v>1160000</v>
      </c>
      <c r="G3366" s="194">
        <v>243600</v>
      </c>
      <c r="H3366" s="194">
        <v>1521100</v>
      </c>
      <c r="I3366" s="121" t="s">
        <v>19</v>
      </c>
      <c r="J3366" s="43"/>
    </row>
    <row r="3367" spans="1:10" customFormat="1" ht="15.75" hidden="1" customHeight="1" x14ac:dyDescent="0.25">
      <c r="A3367" s="127">
        <v>45351</v>
      </c>
      <c r="B3367" s="193" t="s">
        <v>6586</v>
      </c>
      <c r="C3367" s="193" t="s">
        <v>3235</v>
      </c>
      <c r="D3367" s="193" t="s">
        <v>3236</v>
      </c>
      <c r="E3367" s="194">
        <v>70500</v>
      </c>
      <c r="F3367" s="195">
        <v>696000</v>
      </c>
      <c r="G3367" s="194">
        <v>146160</v>
      </c>
      <c r="H3367" s="194">
        <v>912660</v>
      </c>
      <c r="I3367" s="121" t="s">
        <v>19</v>
      </c>
      <c r="J3367" s="43"/>
    </row>
    <row r="3368" spans="1:10" ht="15.75" hidden="1" customHeight="1" x14ac:dyDescent="0.25">
      <c r="A3368" s="127">
        <v>45351</v>
      </c>
      <c r="B3368" s="128" t="s">
        <v>6587</v>
      </c>
      <c r="C3368" s="128" t="s">
        <v>2895</v>
      </c>
      <c r="D3368" s="128" t="s">
        <v>2896</v>
      </c>
      <c r="E3368" s="175">
        <v>23500</v>
      </c>
      <c r="F3368" s="130">
        <v>152000</v>
      </c>
      <c r="G3368" s="175">
        <v>31920</v>
      </c>
      <c r="H3368" s="175">
        <v>207420</v>
      </c>
      <c r="I3368" s="121" t="s">
        <v>19</v>
      </c>
      <c r="J3368" s="43"/>
    </row>
    <row r="3369" spans="1:10" ht="15.75" hidden="1" customHeight="1" x14ac:dyDescent="0.25">
      <c r="A3369" s="127">
        <v>45351</v>
      </c>
      <c r="B3369" s="128" t="s">
        <v>6588</v>
      </c>
      <c r="C3369" s="128" t="s">
        <v>2895</v>
      </c>
      <c r="D3369" s="128" t="s">
        <v>2896</v>
      </c>
      <c r="E3369" s="175">
        <v>23500</v>
      </c>
      <c r="F3369" s="130">
        <v>152000</v>
      </c>
      <c r="G3369" s="175">
        <v>31920</v>
      </c>
      <c r="H3369" s="175">
        <v>207420</v>
      </c>
      <c r="I3369" s="121" t="s">
        <v>19</v>
      </c>
      <c r="J3369" s="43"/>
    </row>
    <row r="3370" spans="1:10" customFormat="1" ht="15.75" hidden="1" customHeight="1" x14ac:dyDescent="0.25">
      <c r="A3370" s="127">
        <v>45351</v>
      </c>
      <c r="B3370" s="193" t="s">
        <v>6589</v>
      </c>
      <c r="C3370" s="193" t="s">
        <v>6573</v>
      </c>
      <c r="D3370" s="193" t="s">
        <v>6574</v>
      </c>
      <c r="E3370" s="194">
        <v>23500</v>
      </c>
      <c r="F3370" s="195">
        <v>152000</v>
      </c>
      <c r="G3370" s="194">
        <v>31920</v>
      </c>
      <c r="H3370" s="194">
        <v>207420</v>
      </c>
      <c r="I3370" s="121" t="s">
        <v>19</v>
      </c>
      <c r="J3370" s="43"/>
    </row>
    <row r="3371" spans="1:10" customFormat="1" ht="15.75" hidden="1" customHeight="1" x14ac:dyDescent="0.25">
      <c r="A3371" s="127">
        <v>45351</v>
      </c>
      <c r="B3371" s="193" t="s">
        <v>6590</v>
      </c>
      <c r="C3371" s="193" t="s">
        <v>2903</v>
      </c>
      <c r="D3371" s="193" t="s">
        <v>2904</v>
      </c>
      <c r="E3371" s="194">
        <v>23500</v>
      </c>
      <c r="F3371" s="195">
        <v>152000</v>
      </c>
      <c r="G3371" s="194">
        <v>31920</v>
      </c>
      <c r="H3371" s="194">
        <v>207420</v>
      </c>
      <c r="I3371" s="121" t="s">
        <v>19</v>
      </c>
      <c r="J3371" s="43"/>
    </row>
    <row r="3372" spans="1:10" customFormat="1" ht="15.75" hidden="1" customHeight="1" x14ac:dyDescent="0.25">
      <c r="A3372" s="127">
        <v>45351</v>
      </c>
      <c r="B3372" s="193" t="s">
        <v>6591</v>
      </c>
      <c r="C3372" s="193" t="s">
        <v>2903</v>
      </c>
      <c r="D3372" s="193" t="s">
        <v>2904</v>
      </c>
      <c r="E3372" s="194">
        <v>23500</v>
      </c>
      <c r="F3372" s="195">
        <v>130000</v>
      </c>
      <c r="G3372" s="194">
        <v>27300</v>
      </c>
      <c r="H3372" s="194">
        <v>180800</v>
      </c>
      <c r="I3372" s="121" t="s">
        <v>19</v>
      </c>
      <c r="J3372" s="43"/>
    </row>
    <row r="3373" spans="1:10" customFormat="1" ht="15.75" hidden="1" customHeight="1" x14ac:dyDescent="0.25">
      <c r="A3373" s="127">
        <v>45351</v>
      </c>
      <c r="B3373" s="193" t="s">
        <v>6592</v>
      </c>
      <c r="C3373" s="193" t="s">
        <v>2903</v>
      </c>
      <c r="D3373" s="193" t="s">
        <v>2904</v>
      </c>
      <c r="E3373" s="194">
        <v>23500</v>
      </c>
      <c r="F3373" s="195">
        <v>130000</v>
      </c>
      <c r="G3373" s="194">
        <v>27300</v>
      </c>
      <c r="H3373" s="194">
        <v>180800</v>
      </c>
      <c r="I3373" s="121" t="s">
        <v>19</v>
      </c>
      <c r="J3373" s="43"/>
    </row>
    <row r="3374" spans="1:10" customFormat="1" ht="15.75" hidden="1" customHeight="1" x14ac:dyDescent="0.25">
      <c r="A3374" s="127">
        <v>45351</v>
      </c>
      <c r="B3374" s="193" t="s">
        <v>6593</v>
      </c>
      <c r="C3374" s="193" t="s">
        <v>6594</v>
      </c>
      <c r="D3374" s="193" t="s">
        <v>6595</v>
      </c>
      <c r="E3374" s="194">
        <v>7600</v>
      </c>
      <c r="F3374" s="195">
        <v>185000</v>
      </c>
      <c r="G3374" s="194">
        <v>38850</v>
      </c>
      <c r="H3374" s="194">
        <v>231450</v>
      </c>
      <c r="I3374" s="121" t="s">
        <v>19</v>
      </c>
      <c r="J3374" s="43"/>
    </row>
    <row r="3375" spans="1:10" customFormat="1" ht="15.75" hidden="1" customHeight="1" x14ac:dyDescent="0.25">
      <c r="A3375" s="127">
        <v>45351</v>
      </c>
      <c r="B3375" s="193" t="s">
        <v>6596</v>
      </c>
      <c r="C3375" s="193" t="s">
        <v>2856</v>
      </c>
      <c r="D3375" s="193" t="s">
        <v>2857</v>
      </c>
      <c r="E3375" s="194">
        <v>11200</v>
      </c>
      <c r="F3375" s="195">
        <v>320000</v>
      </c>
      <c r="G3375" s="194">
        <v>67200</v>
      </c>
      <c r="H3375" s="194">
        <v>398400</v>
      </c>
      <c r="I3375" s="121" t="s">
        <v>19</v>
      </c>
      <c r="J3375" s="43"/>
    </row>
    <row r="3376" spans="1:10" customFormat="1" ht="15.75" hidden="1" customHeight="1" x14ac:dyDescent="0.25">
      <c r="A3376" s="127">
        <v>45351</v>
      </c>
      <c r="B3376" s="128" t="s">
        <v>6597</v>
      </c>
      <c r="C3376" s="121" t="s">
        <v>3132</v>
      </c>
      <c r="D3376" s="128" t="s">
        <v>3133</v>
      </c>
      <c r="E3376" s="175">
        <v>0</v>
      </c>
      <c r="F3376" s="130">
        <v>1704960</v>
      </c>
      <c r="G3376" s="175">
        <v>358041.59999999998</v>
      </c>
      <c r="H3376" s="175">
        <v>2063001.6000000001</v>
      </c>
      <c r="I3376" s="121" t="s">
        <v>103</v>
      </c>
      <c r="J3376" s="43"/>
    </row>
    <row r="3377" spans="1:10" ht="15.75" hidden="1" customHeight="1" x14ac:dyDescent="0.25">
      <c r="A3377" s="127">
        <v>45351</v>
      </c>
      <c r="B3377" s="128" t="s">
        <v>6598</v>
      </c>
      <c r="C3377" s="128" t="s">
        <v>2895</v>
      </c>
      <c r="D3377" s="128" t="s">
        <v>2896</v>
      </c>
      <c r="E3377" s="175">
        <v>0</v>
      </c>
      <c r="F3377" s="130">
        <v>375840</v>
      </c>
      <c r="G3377" s="175">
        <v>78926.399999999994</v>
      </c>
      <c r="H3377" s="175">
        <v>454766.4</v>
      </c>
      <c r="I3377" s="121" t="s">
        <v>103</v>
      </c>
      <c r="J3377" s="43"/>
    </row>
    <row r="3378" spans="1:10" customFormat="1" ht="15.75" hidden="1" customHeight="1" x14ac:dyDescent="0.25">
      <c r="A3378" s="127">
        <v>45351</v>
      </c>
      <c r="B3378" s="193" t="s">
        <v>6599</v>
      </c>
      <c r="C3378" s="193" t="s">
        <v>3241</v>
      </c>
      <c r="D3378" s="193" t="s">
        <v>3242</v>
      </c>
      <c r="E3378" s="194">
        <v>0</v>
      </c>
      <c r="F3378" s="195">
        <v>184440</v>
      </c>
      <c r="G3378" s="194">
        <v>38732.400000000001</v>
      </c>
      <c r="H3378" s="194">
        <v>223172.4</v>
      </c>
      <c r="I3378" s="121" t="s">
        <v>103</v>
      </c>
      <c r="J3378" s="43"/>
    </row>
    <row r="3379" spans="1:10" customFormat="1" ht="15.75" hidden="1" customHeight="1" x14ac:dyDescent="0.25">
      <c r="A3379" s="127">
        <v>45351</v>
      </c>
      <c r="B3379" s="193" t="s">
        <v>6600</v>
      </c>
      <c r="C3379" s="193" t="s">
        <v>4109</v>
      </c>
      <c r="D3379" s="193" t="s">
        <v>4110</v>
      </c>
      <c r="E3379" s="194">
        <v>0</v>
      </c>
      <c r="F3379" s="195">
        <v>308800</v>
      </c>
      <c r="G3379" s="194">
        <v>64848</v>
      </c>
      <c r="H3379" s="194">
        <v>373648</v>
      </c>
      <c r="I3379" s="121" t="s">
        <v>19</v>
      </c>
      <c r="J3379" s="43"/>
    </row>
    <row r="3380" spans="1:10" customFormat="1" ht="15.75" hidden="1" customHeight="1" x14ac:dyDescent="0.25">
      <c r="A3380" s="127">
        <v>45351</v>
      </c>
      <c r="B3380" s="193" t="s">
        <v>6601</v>
      </c>
      <c r="C3380" s="193" t="s">
        <v>2856</v>
      </c>
      <c r="D3380" s="193" t="s">
        <v>2857</v>
      </c>
      <c r="E3380" s="194">
        <v>0</v>
      </c>
      <c r="F3380" s="195">
        <v>11088471.75</v>
      </c>
      <c r="G3380" s="194">
        <v>2328579.0699999998</v>
      </c>
      <c r="H3380" s="194">
        <v>13417050.82</v>
      </c>
      <c r="I3380" s="121" t="s">
        <v>103</v>
      </c>
      <c r="J3380" s="43"/>
    </row>
    <row r="3381" spans="1:10" customFormat="1" ht="15.75" hidden="1" customHeight="1" x14ac:dyDescent="0.25">
      <c r="A3381" s="127">
        <v>45351</v>
      </c>
      <c r="B3381" s="193" t="s">
        <v>6602</v>
      </c>
      <c r="C3381" s="128" t="s">
        <v>3722</v>
      </c>
      <c r="D3381" s="193" t="s">
        <v>3723</v>
      </c>
      <c r="E3381" s="194">
        <v>0</v>
      </c>
      <c r="F3381" s="195">
        <v>160080</v>
      </c>
      <c r="G3381" s="194">
        <v>33616.800000000003</v>
      </c>
      <c r="H3381" s="194">
        <v>193696.8</v>
      </c>
      <c r="I3381" s="121" t="s">
        <v>103</v>
      </c>
      <c r="J3381" s="43"/>
    </row>
    <row r="3382" spans="1:10" customFormat="1" ht="15.75" hidden="1" customHeight="1" x14ac:dyDescent="0.25">
      <c r="A3382" s="127">
        <v>45351</v>
      </c>
      <c r="B3382" s="193" t="s">
        <v>6603</v>
      </c>
      <c r="C3382" s="193" t="s">
        <v>2892</v>
      </c>
      <c r="D3382" s="193" t="s">
        <v>2893</v>
      </c>
      <c r="E3382" s="194">
        <v>0</v>
      </c>
      <c r="F3382" s="195">
        <v>314000</v>
      </c>
      <c r="G3382" s="194">
        <v>65940</v>
      </c>
      <c r="H3382" s="194">
        <v>379940</v>
      </c>
      <c r="I3382" s="121" t="s">
        <v>103</v>
      </c>
      <c r="J3382" s="43"/>
    </row>
    <row r="3383" spans="1:10" customFormat="1" ht="15.75" hidden="1" customHeight="1" x14ac:dyDescent="0.25">
      <c r="A3383" s="127">
        <v>45351</v>
      </c>
      <c r="B3383" s="193" t="s">
        <v>6604</v>
      </c>
      <c r="C3383" s="193" t="s">
        <v>3346</v>
      </c>
      <c r="D3383" s="193" t="s">
        <v>3347</v>
      </c>
      <c r="E3383" s="194">
        <v>0</v>
      </c>
      <c r="F3383" s="195">
        <v>4453358</v>
      </c>
      <c r="G3383" s="194">
        <v>935205.18</v>
      </c>
      <c r="H3383" s="194">
        <v>5388563.1799999997</v>
      </c>
      <c r="I3383" s="121" t="s">
        <v>103</v>
      </c>
      <c r="J3383" s="43"/>
    </row>
    <row r="3384" spans="1:10" customFormat="1" ht="15.75" hidden="1" customHeight="1" x14ac:dyDescent="0.25">
      <c r="A3384" s="127">
        <v>45351</v>
      </c>
      <c r="B3384" s="193" t="s">
        <v>6605</v>
      </c>
      <c r="C3384" s="193" t="s">
        <v>3140</v>
      </c>
      <c r="D3384" s="193" t="s">
        <v>3141</v>
      </c>
      <c r="E3384" s="194">
        <v>0</v>
      </c>
      <c r="F3384" s="195">
        <v>90480</v>
      </c>
      <c r="G3384" s="194">
        <v>19000.8</v>
      </c>
      <c r="H3384" s="194">
        <v>109480.8</v>
      </c>
      <c r="I3384" s="121" t="s">
        <v>103</v>
      </c>
      <c r="J3384" s="43"/>
    </row>
    <row r="3385" spans="1:10" customFormat="1" ht="15.75" hidden="1" customHeight="1" x14ac:dyDescent="0.25">
      <c r="A3385" s="127">
        <v>45351</v>
      </c>
      <c r="B3385" s="193" t="s">
        <v>6606</v>
      </c>
      <c r="C3385" s="193" t="s">
        <v>1140</v>
      </c>
      <c r="D3385" s="193" t="s">
        <v>1141</v>
      </c>
      <c r="E3385" s="194">
        <v>0</v>
      </c>
      <c r="F3385" s="195">
        <v>1326720</v>
      </c>
      <c r="G3385" s="194">
        <v>278611.20000000001</v>
      </c>
      <c r="H3385" s="194">
        <v>1605331.2</v>
      </c>
      <c r="I3385" s="121" t="s">
        <v>103</v>
      </c>
      <c r="J3385" s="43"/>
    </row>
    <row r="3386" spans="1:10" customFormat="1" ht="15.75" hidden="1" customHeight="1" x14ac:dyDescent="0.25">
      <c r="A3386" s="127">
        <v>45351</v>
      </c>
      <c r="B3386" s="193" t="s">
        <v>6607</v>
      </c>
      <c r="C3386" s="193" t="s">
        <v>3117</v>
      </c>
      <c r="D3386" s="193" t="s">
        <v>3118</v>
      </c>
      <c r="E3386" s="194">
        <v>0</v>
      </c>
      <c r="F3386" s="195">
        <v>636180</v>
      </c>
      <c r="G3386" s="194">
        <v>133597.79999999999</v>
      </c>
      <c r="H3386" s="194">
        <v>769777.8</v>
      </c>
      <c r="I3386" s="121" t="s">
        <v>103</v>
      </c>
      <c r="J3386" s="43"/>
    </row>
    <row r="3387" spans="1:10" customFormat="1" ht="15.75" hidden="1" customHeight="1" x14ac:dyDescent="0.25">
      <c r="A3387" s="127">
        <v>45351</v>
      </c>
      <c r="B3387" s="193" t="s">
        <v>6608</v>
      </c>
      <c r="C3387" s="193" t="s">
        <v>4243</v>
      </c>
      <c r="D3387" s="193" t="s">
        <v>4244</v>
      </c>
      <c r="E3387" s="194">
        <v>0</v>
      </c>
      <c r="F3387" s="195">
        <v>945081.38</v>
      </c>
      <c r="G3387" s="194">
        <v>198467.09</v>
      </c>
      <c r="H3387" s="194">
        <v>1143548.47</v>
      </c>
      <c r="I3387" s="121" t="s">
        <v>103</v>
      </c>
      <c r="J3387" s="43"/>
    </row>
    <row r="3388" spans="1:10" customFormat="1" ht="15.75" hidden="1" customHeight="1" x14ac:dyDescent="0.25">
      <c r="A3388" s="127">
        <v>45351</v>
      </c>
      <c r="B3388" s="193" t="s">
        <v>6609</v>
      </c>
      <c r="C3388" s="193" t="s">
        <v>3290</v>
      </c>
      <c r="D3388" s="193" t="s">
        <v>3291</v>
      </c>
      <c r="E3388" s="194">
        <v>0</v>
      </c>
      <c r="F3388" s="195">
        <v>406560</v>
      </c>
      <c r="G3388" s="194">
        <v>85377.600000000006</v>
      </c>
      <c r="H3388" s="194">
        <v>491937.6</v>
      </c>
      <c r="I3388" s="121" t="s">
        <v>103</v>
      </c>
      <c r="J3388" s="43"/>
    </row>
    <row r="3389" spans="1:10" customFormat="1" ht="15.75" hidden="1" customHeight="1" x14ac:dyDescent="0.25">
      <c r="A3389" s="127">
        <v>45351</v>
      </c>
      <c r="B3389" s="193" t="s">
        <v>6610</v>
      </c>
      <c r="C3389" s="193" t="s">
        <v>3235</v>
      </c>
      <c r="D3389" s="193" t="s">
        <v>3236</v>
      </c>
      <c r="E3389" s="194">
        <v>73600</v>
      </c>
      <c r="F3389" s="195">
        <v>1080000</v>
      </c>
      <c r="G3389" s="194">
        <v>226800</v>
      </c>
      <c r="H3389" s="194">
        <v>1380400</v>
      </c>
      <c r="I3389" s="121" t="s">
        <v>19</v>
      </c>
      <c r="J3389" s="43"/>
    </row>
    <row r="3390" spans="1:10" customFormat="1" ht="15.75" hidden="1" customHeight="1" x14ac:dyDescent="0.25">
      <c r="A3390" s="127">
        <v>45351</v>
      </c>
      <c r="B3390" s="193" t="s">
        <v>6611</v>
      </c>
      <c r="C3390" s="193" t="s">
        <v>3562</v>
      </c>
      <c r="D3390" s="193" t="s">
        <v>3563</v>
      </c>
      <c r="E3390" s="194">
        <v>57000</v>
      </c>
      <c r="F3390" s="195">
        <v>660000</v>
      </c>
      <c r="G3390" s="194">
        <v>138600</v>
      </c>
      <c r="H3390" s="194">
        <v>855600</v>
      </c>
      <c r="I3390" s="121" t="s">
        <v>19</v>
      </c>
      <c r="J3390" s="43"/>
    </row>
    <row r="3391" spans="1:10" customFormat="1" ht="15.75" hidden="1" customHeight="1" x14ac:dyDescent="0.25">
      <c r="A3391" s="127">
        <v>45351</v>
      </c>
      <c r="B3391" s="193" t="s">
        <v>6612</v>
      </c>
      <c r="C3391" s="193" t="s">
        <v>2921</v>
      </c>
      <c r="D3391" s="193" t="s">
        <v>2922</v>
      </c>
      <c r="E3391" s="194">
        <v>11000</v>
      </c>
      <c r="F3391" s="195">
        <v>185000</v>
      </c>
      <c r="G3391" s="194">
        <v>38850</v>
      </c>
      <c r="H3391" s="194">
        <v>234850</v>
      </c>
      <c r="I3391" s="121" t="s">
        <v>19</v>
      </c>
      <c r="J3391" s="43"/>
    </row>
    <row r="3392" spans="1:10" customFormat="1" ht="15.75" hidden="1" customHeight="1" x14ac:dyDescent="0.25">
      <c r="A3392" s="127">
        <v>45351</v>
      </c>
      <c r="B3392" s="193" t="s">
        <v>6613</v>
      </c>
      <c r="C3392" s="193" t="s">
        <v>3007</v>
      </c>
      <c r="D3392" s="193" t="s">
        <v>3008</v>
      </c>
      <c r="E3392" s="194">
        <v>26000</v>
      </c>
      <c r="F3392" s="195">
        <v>340000</v>
      </c>
      <c r="G3392" s="194">
        <v>71400</v>
      </c>
      <c r="H3392" s="194">
        <v>437400</v>
      </c>
      <c r="I3392" s="121" t="s">
        <v>19</v>
      </c>
      <c r="J3392" s="43"/>
    </row>
    <row r="3393" spans="1:10" customFormat="1" ht="15.75" hidden="1" customHeight="1" x14ac:dyDescent="0.25">
      <c r="A3393" s="127">
        <v>45351</v>
      </c>
      <c r="B3393" s="193" t="s">
        <v>6614</v>
      </c>
      <c r="C3393" s="193" t="s">
        <v>3007</v>
      </c>
      <c r="D3393" s="193" t="s">
        <v>3008</v>
      </c>
      <c r="E3393" s="194">
        <v>33000</v>
      </c>
      <c r="F3393" s="195">
        <v>320000</v>
      </c>
      <c r="G3393" s="194">
        <v>67200</v>
      </c>
      <c r="H3393" s="194">
        <v>420200</v>
      </c>
      <c r="I3393" s="121" t="s">
        <v>19</v>
      </c>
      <c r="J3393" s="43"/>
    </row>
    <row r="3394" spans="1:10" customFormat="1" ht="15.75" hidden="1" customHeight="1" x14ac:dyDescent="0.25">
      <c r="A3394" s="127">
        <v>45351</v>
      </c>
      <c r="B3394" s="193" t="s">
        <v>6615</v>
      </c>
      <c r="C3394" s="193" t="s">
        <v>3235</v>
      </c>
      <c r="D3394" s="193" t="s">
        <v>3236</v>
      </c>
      <c r="E3394" s="194">
        <v>16500</v>
      </c>
      <c r="F3394" s="195">
        <v>225000</v>
      </c>
      <c r="G3394" s="194">
        <v>47250</v>
      </c>
      <c r="H3394" s="194">
        <v>288750</v>
      </c>
      <c r="I3394" s="121" t="s">
        <v>19</v>
      </c>
      <c r="J3394" s="43"/>
    </row>
    <row r="3395" spans="1:10" customFormat="1" ht="15.75" hidden="1" customHeight="1" x14ac:dyDescent="0.25">
      <c r="A3395" s="127">
        <v>45349</v>
      </c>
      <c r="B3395" s="193" t="s">
        <v>6616</v>
      </c>
      <c r="C3395" s="193" t="s">
        <v>2851</v>
      </c>
      <c r="D3395" s="193" t="s">
        <v>2852</v>
      </c>
      <c r="E3395" s="194">
        <v>18400</v>
      </c>
      <c r="F3395" s="195">
        <v>630000</v>
      </c>
      <c r="G3395" s="194">
        <v>132300</v>
      </c>
      <c r="H3395" s="194">
        <v>780700</v>
      </c>
      <c r="I3395" s="121" t="s">
        <v>19</v>
      </c>
      <c r="J3395" s="43"/>
    </row>
    <row r="3396" spans="1:10" customFormat="1" ht="15.75" hidden="1" customHeight="1" x14ac:dyDescent="0.25">
      <c r="A3396" s="127">
        <v>45349</v>
      </c>
      <c r="B3396" s="193" t="s">
        <v>6617</v>
      </c>
      <c r="C3396" s="193" t="s">
        <v>2851</v>
      </c>
      <c r="D3396" s="193" t="s">
        <v>2852</v>
      </c>
      <c r="E3396" s="194">
        <v>12800</v>
      </c>
      <c r="F3396" s="195">
        <v>450000</v>
      </c>
      <c r="G3396" s="194">
        <v>94500</v>
      </c>
      <c r="H3396" s="194">
        <v>557300</v>
      </c>
      <c r="I3396" s="121" t="s">
        <v>19</v>
      </c>
      <c r="J3396" s="43"/>
    </row>
    <row r="3397" spans="1:10" customFormat="1" ht="15.75" hidden="1" customHeight="1" x14ac:dyDescent="0.25">
      <c r="A3397" s="127">
        <v>45349</v>
      </c>
      <c r="B3397" s="193" t="s">
        <v>6618</v>
      </c>
      <c r="C3397" s="193" t="s">
        <v>2851</v>
      </c>
      <c r="D3397" s="193" t="s">
        <v>2852</v>
      </c>
      <c r="E3397" s="194">
        <v>26000</v>
      </c>
      <c r="F3397" s="195">
        <v>635000</v>
      </c>
      <c r="G3397" s="194">
        <v>133350</v>
      </c>
      <c r="H3397" s="194">
        <v>794350</v>
      </c>
      <c r="I3397" s="121" t="s">
        <v>19</v>
      </c>
      <c r="J3397" s="43"/>
    </row>
    <row r="3398" spans="1:10" customFormat="1" ht="15.75" hidden="1" customHeight="1" x14ac:dyDescent="0.25">
      <c r="A3398" s="127">
        <v>45329</v>
      </c>
      <c r="B3398" s="193" t="s">
        <v>6619</v>
      </c>
      <c r="C3398" s="193" t="s">
        <v>4414</v>
      </c>
      <c r="D3398" s="193" t="s">
        <v>4415</v>
      </c>
      <c r="E3398" s="194">
        <v>0</v>
      </c>
      <c r="F3398" s="195">
        <v>-287629</v>
      </c>
      <c r="G3398" s="194">
        <v>-60402.09</v>
      </c>
      <c r="H3398" s="194">
        <v>-348031.09</v>
      </c>
      <c r="I3398" s="121" t="s">
        <v>19</v>
      </c>
      <c r="J3398" s="43"/>
    </row>
    <row r="3399" spans="1:10" customFormat="1" ht="15.75" hidden="1" customHeight="1" x14ac:dyDescent="0.25">
      <c r="A3399" s="127">
        <v>45338</v>
      </c>
      <c r="B3399" s="193" t="s">
        <v>6620</v>
      </c>
      <c r="C3399" s="193" t="s">
        <v>6432</v>
      </c>
      <c r="D3399" s="193" t="s">
        <v>6433</v>
      </c>
      <c r="E3399" s="194">
        <v>-23500</v>
      </c>
      <c r="F3399" s="195">
        <v>-130000</v>
      </c>
      <c r="G3399" s="194">
        <v>-27300</v>
      </c>
      <c r="H3399" s="194">
        <v>-180800</v>
      </c>
      <c r="I3399" s="121" t="s">
        <v>19</v>
      </c>
      <c r="J3399" s="43"/>
    </row>
    <row r="3400" spans="1:10" customFormat="1" ht="15.75" hidden="1" customHeight="1" x14ac:dyDescent="0.25">
      <c r="A3400" s="127">
        <v>45338</v>
      </c>
      <c r="B3400" s="193" t="s">
        <v>6621</v>
      </c>
      <c r="C3400" s="193" t="s">
        <v>6432</v>
      </c>
      <c r="D3400" s="193" t="s">
        <v>6433</v>
      </c>
      <c r="E3400" s="194">
        <v>-33000</v>
      </c>
      <c r="F3400" s="195">
        <v>-247000</v>
      </c>
      <c r="G3400" s="194">
        <v>-51870</v>
      </c>
      <c r="H3400" s="194">
        <v>-331870</v>
      </c>
      <c r="I3400" s="121" t="s">
        <v>19</v>
      </c>
      <c r="J3400" s="43"/>
    </row>
    <row r="3401" spans="1:10" customFormat="1" ht="15.75" hidden="1" customHeight="1" x14ac:dyDescent="0.25">
      <c r="A3401" s="127">
        <v>45343</v>
      </c>
      <c r="B3401" s="193" t="s">
        <v>6622</v>
      </c>
      <c r="C3401" s="193" t="s">
        <v>3235</v>
      </c>
      <c r="D3401" s="193" t="s">
        <v>3236</v>
      </c>
      <c r="E3401" s="194">
        <v>-9000</v>
      </c>
      <c r="F3401" s="195">
        <v>-277500</v>
      </c>
      <c r="G3401" s="194">
        <v>-58275</v>
      </c>
      <c r="H3401" s="194">
        <v>-344775</v>
      </c>
      <c r="I3401" s="121" t="s">
        <v>19</v>
      </c>
      <c r="J3401" s="43"/>
    </row>
    <row r="3402" spans="1:10" customFormat="1" ht="15.75" hidden="1" customHeight="1" x14ac:dyDescent="0.25">
      <c r="A3402" s="127">
        <v>45351</v>
      </c>
      <c r="B3402" s="193" t="s">
        <v>6623</v>
      </c>
      <c r="C3402" s="193" t="s">
        <v>2903</v>
      </c>
      <c r="D3402" s="193" t="s">
        <v>2904</v>
      </c>
      <c r="E3402" s="194">
        <v>-33000</v>
      </c>
      <c r="F3402" s="195">
        <v>-282000</v>
      </c>
      <c r="G3402" s="194">
        <v>-59220</v>
      </c>
      <c r="H3402" s="194">
        <v>-374220</v>
      </c>
      <c r="I3402" s="121" t="s">
        <v>19</v>
      </c>
      <c r="J3402" s="43"/>
    </row>
    <row r="3403" spans="1:10" customFormat="1" ht="15.75" hidden="1" customHeight="1" x14ac:dyDescent="0.25">
      <c r="A3403" s="127">
        <v>45351</v>
      </c>
      <c r="B3403" s="193" t="s">
        <v>6624</v>
      </c>
      <c r="C3403" s="193" t="s">
        <v>2903</v>
      </c>
      <c r="D3403" s="193" t="s">
        <v>2904</v>
      </c>
      <c r="E3403" s="194">
        <v>-33000</v>
      </c>
      <c r="F3403" s="195">
        <v>-282000</v>
      </c>
      <c r="G3403" s="194">
        <v>-59220</v>
      </c>
      <c r="H3403" s="194">
        <v>-374220</v>
      </c>
      <c r="I3403" s="121" t="s">
        <v>19</v>
      </c>
      <c r="J3403" s="43"/>
    </row>
    <row r="3404" spans="1:10" customFormat="1" ht="15.75" hidden="1" customHeight="1" x14ac:dyDescent="0.25">
      <c r="A3404" s="127">
        <v>45351</v>
      </c>
      <c r="B3404" s="193" t="s">
        <v>6625</v>
      </c>
      <c r="C3404" s="193" t="s">
        <v>2903</v>
      </c>
      <c r="D3404" s="193" t="s">
        <v>2904</v>
      </c>
      <c r="E3404" s="194">
        <v>-33000</v>
      </c>
      <c r="F3404" s="195">
        <v>-304000</v>
      </c>
      <c r="G3404" s="194">
        <v>-63840</v>
      </c>
      <c r="H3404" s="194">
        <v>-400840</v>
      </c>
      <c r="I3404" s="121" t="s">
        <v>19</v>
      </c>
      <c r="J3404" s="43"/>
    </row>
    <row r="3405" spans="1:10" customFormat="1" ht="15.75" hidden="1" customHeight="1" x14ac:dyDescent="0.25">
      <c r="A3405" s="127">
        <v>45351</v>
      </c>
      <c r="B3405" s="192" t="s">
        <v>3981</v>
      </c>
      <c r="C3405" s="193" t="s">
        <v>5141</v>
      </c>
      <c r="D3405" s="121"/>
      <c r="E3405" s="173"/>
      <c r="F3405" s="174">
        <v>1886220</v>
      </c>
      <c r="G3405" s="173">
        <v>396106.2</v>
      </c>
      <c r="H3405" s="173">
        <v>2282326.2000000002</v>
      </c>
      <c r="I3405" s="121" t="s">
        <v>103</v>
      </c>
      <c r="J3405" s="43"/>
    </row>
    <row r="3406" spans="1:10" customFormat="1" ht="15.75" hidden="1" customHeight="1" x14ac:dyDescent="0.25">
      <c r="A3406" s="127">
        <v>45351</v>
      </c>
      <c r="B3406" s="192" t="s">
        <v>3981</v>
      </c>
      <c r="C3406" s="193" t="s">
        <v>2930</v>
      </c>
      <c r="D3406" s="121"/>
      <c r="E3406" s="173"/>
      <c r="F3406" s="195">
        <v>511560</v>
      </c>
      <c r="G3406" s="194">
        <v>107427.59999999999</v>
      </c>
      <c r="H3406" s="194">
        <v>618987.6</v>
      </c>
      <c r="I3406" s="121" t="s">
        <v>103</v>
      </c>
      <c r="J3406" s="43"/>
    </row>
    <row r="3407" spans="1:10" customFormat="1" ht="15.75" hidden="1" customHeight="1" x14ac:dyDescent="0.25">
      <c r="A3407" s="127">
        <v>45351</v>
      </c>
      <c r="B3407" s="192" t="s">
        <v>3981</v>
      </c>
      <c r="C3407" s="193" t="s">
        <v>6388</v>
      </c>
      <c r="D3407" s="121"/>
      <c r="E3407" s="173"/>
      <c r="F3407" s="174">
        <v>1696915</v>
      </c>
      <c r="G3407" s="174">
        <v>356352.14999999997</v>
      </c>
      <c r="H3407" s="174">
        <v>2053267.15</v>
      </c>
      <c r="I3407" s="121" t="s">
        <v>103</v>
      </c>
      <c r="J3407" s="43"/>
    </row>
    <row r="3408" spans="1:10" customFormat="1" ht="15" hidden="1" customHeight="1" x14ac:dyDescent="0.25">
      <c r="A3408" s="176">
        <v>45359</v>
      </c>
      <c r="B3408" s="181" t="s">
        <v>6626</v>
      </c>
      <c r="C3408" s="181" t="s">
        <v>2851</v>
      </c>
      <c r="D3408" s="181" t="s">
        <v>2852</v>
      </c>
      <c r="E3408" s="182">
        <v>23500</v>
      </c>
      <c r="F3408" s="183">
        <v>152000</v>
      </c>
      <c r="G3408" s="182">
        <v>31920</v>
      </c>
      <c r="H3408" s="182">
        <v>207420</v>
      </c>
      <c r="I3408" s="184" t="s">
        <v>19</v>
      </c>
    </row>
    <row r="3409" spans="1:9" customFormat="1" ht="15" hidden="1" customHeight="1" x14ac:dyDescent="0.25">
      <c r="A3409" s="117">
        <v>45359</v>
      </c>
      <c r="B3409" s="118" t="s">
        <v>6627</v>
      </c>
      <c r="C3409" s="118" t="s">
        <v>4243</v>
      </c>
      <c r="D3409" s="118" t="s">
        <v>4244</v>
      </c>
      <c r="E3409" s="119">
        <v>15500</v>
      </c>
      <c r="F3409" s="120">
        <v>555000</v>
      </c>
      <c r="G3409" s="119">
        <v>116550</v>
      </c>
      <c r="H3409" s="119">
        <v>687050</v>
      </c>
      <c r="I3409" s="184" t="s">
        <v>19</v>
      </c>
    </row>
    <row r="3410" spans="1:9" customFormat="1" ht="15" hidden="1" customHeight="1" x14ac:dyDescent="0.25">
      <c r="A3410" s="176">
        <v>45359</v>
      </c>
      <c r="B3410" s="181" t="s">
        <v>6628</v>
      </c>
      <c r="C3410" s="181" t="s">
        <v>2972</v>
      </c>
      <c r="D3410" s="181" t="s">
        <v>2973</v>
      </c>
      <c r="E3410" s="182">
        <v>7000</v>
      </c>
      <c r="F3410" s="183">
        <v>185000</v>
      </c>
      <c r="G3410" s="182">
        <v>38850</v>
      </c>
      <c r="H3410" s="182">
        <v>230850</v>
      </c>
      <c r="I3410" s="184" t="s">
        <v>19</v>
      </c>
    </row>
    <row r="3411" spans="1:9" customFormat="1" ht="15" hidden="1" customHeight="1" x14ac:dyDescent="0.25">
      <c r="A3411" s="117">
        <v>45359</v>
      </c>
      <c r="B3411" s="118" t="s">
        <v>6629</v>
      </c>
      <c r="C3411" s="118" t="s">
        <v>2972</v>
      </c>
      <c r="D3411" s="118" t="s">
        <v>2973</v>
      </c>
      <c r="E3411" s="119">
        <v>22800</v>
      </c>
      <c r="F3411" s="120">
        <v>505000</v>
      </c>
      <c r="G3411" s="119">
        <v>106050</v>
      </c>
      <c r="H3411" s="119">
        <v>633850</v>
      </c>
      <c r="I3411" s="184" t="s">
        <v>19</v>
      </c>
    </row>
    <row r="3412" spans="1:9" customFormat="1" ht="15" hidden="1" customHeight="1" x14ac:dyDescent="0.25">
      <c r="A3412" s="176">
        <v>45359</v>
      </c>
      <c r="B3412" s="181" t="s">
        <v>6630</v>
      </c>
      <c r="C3412" s="181" t="s">
        <v>2921</v>
      </c>
      <c r="D3412" s="181" t="s">
        <v>2922</v>
      </c>
      <c r="E3412" s="182">
        <v>33000</v>
      </c>
      <c r="F3412" s="183">
        <v>320000</v>
      </c>
      <c r="G3412" s="182">
        <v>67200</v>
      </c>
      <c r="H3412" s="182">
        <v>420200</v>
      </c>
      <c r="I3412" s="184" t="s">
        <v>19</v>
      </c>
    </row>
    <row r="3413" spans="1:9" customFormat="1" ht="15" hidden="1" customHeight="1" x14ac:dyDescent="0.25">
      <c r="A3413" s="117">
        <v>45359</v>
      </c>
      <c r="B3413" s="118" t="s">
        <v>6631</v>
      </c>
      <c r="C3413" s="118" t="s">
        <v>3014</v>
      </c>
      <c r="D3413" s="118" t="s">
        <v>3015</v>
      </c>
      <c r="E3413" s="119">
        <v>45000</v>
      </c>
      <c r="F3413" s="120">
        <v>602000</v>
      </c>
      <c r="G3413" s="119">
        <v>126420</v>
      </c>
      <c r="H3413" s="119">
        <v>773420</v>
      </c>
      <c r="I3413" s="184" t="s">
        <v>19</v>
      </c>
    </row>
    <row r="3414" spans="1:9" customFormat="1" ht="15" hidden="1" customHeight="1" x14ac:dyDescent="0.25">
      <c r="A3414" s="176">
        <v>45359</v>
      </c>
      <c r="B3414" s="181" t="s">
        <v>6632</v>
      </c>
      <c r="C3414" s="181" t="s">
        <v>3007</v>
      </c>
      <c r="D3414" s="181" t="s">
        <v>3008</v>
      </c>
      <c r="E3414" s="182">
        <v>28500</v>
      </c>
      <c r="F3414" s="183">
        <v>240000</v>
      </c>
      <c r="G3414" s="182">
        <v>50400</v>
      </c>
      <c r="H3414" s="182">
        <v>318900</v>
      </c>
      <c r="I3414" s="184" t="s">
        <v>19</v>
      </c>
    </row>
    <row r="3415" spans="1:9" customFormat="1" ht="15" hidden="1" customHeight="1" x14ac:dyDescent="0.25">
      <c r="A3415" s="117">
        <v>45359</v>
      </c>
      <c r="B3415" s="118" t="s">
        <v>6633</v>
      </c>
      <c r="C3415" s="118" t="s">
        <v>3007</v>
      </c>
      <c r="D3415" s="118" t="s">
        <v>3008</v>
      </c>
      <c r="E3415" s="119">
        <v>16500</v>
      </c>
      <c r="F3415" s="120">
        <v>160000</v>
      </c>
      <c r="G3415" s="119">
        <v>33600</v>
      </c>
      <c r="H3415" s="119">
        <v>210100</v>
      </c>
      <c r="I3415" s="184" t="s">
        <v>19</v>
      </c>
    </row>
    <row r="3416" spans="1:9" customFormat="1" ht="15" hidden="1" customHeight="1" x14ac:dyDescent="0.25">
      <c r="A3416" s="176">
        <v>45359</v>
      </c>
      <c r="B3416" s="181" t="s">
        <v>6634</v>
      </c>
      <c r="C3416" s="181" t="s">
        <v>2945</v>
      </c>
      <c r="D3416" s="181" t="s">
        <v>2946</v>
      </c>
      <c r="E3416" s="182">
        <v>22000</v>
      </c>
      <c r="F3416" s="183">
        <v>562500</v>
      </c>
      <c r="G3416" s="182">
        <v>118125</v>
      </c>
      <c r="H3416" s="182">
        <v>702625</v>
      </c>
      <c r="I3416" s="184" t="s">
        <v>19</v>
      </c>
    </row>
    <row r="3417" spans="1:9" customFormat="1" ht="15" hidden="1" customHeight="1" x14ac:dyDescent="0.25">
      <c r="A3417" s="117">
        <v>45359</v>
      </c>
      <c r="B3417" s="118" t="s">
        <v>6635</v>
      </c>
      <c r="C3417" s="118" t="s">
        <v>2867</v>
      </c>
      <c r="D3417" s="118" t="s">
        <v>2868</v>
      </c>
      <c r="E3417" s="119">
        <v>6500</v>
      </c>
      <c r="F3417" s="120">
        <v>130000</v>
      </c>
      <c r="G3417" s="119">
        <v>27300</v>
      </c>
      <c r="H3417" s="119">
        <v>163800</v>
      </c>
      <c r="I3417" s="184" t="s">
        <v>19</v>
      </c>
    </row>
    <row r="3418" spans="1:9" customFormat="1" ht="15" hidden="1" customHeight="1" x14ac:dyDescent="0.25">
      <c r="A3418" s="176">
        <v>45359</v>
      </c>
      <c r="B3418" s="181" t="s">
        <v>6636</v>
      </c>
      <c r="C3418" s="181" t="s">
        <v>2867</v>
      </c>
      <c r="D3418" s="181" t="s">
        <v>2868</v>
      </c>
      <c r="E3418" s="182">
        <v>7800</v>
      </c>
      <c r="F3418" s="183">
        <v>185000</v>
      </c>
      <c r="G3418" s="182">
        <v>38850</v>
      </c>
      <c r="H3418" s="182">
        <v>231650</v>
      </c>
      <c r="I3418" s="184" t="s">
        <v>19</v>
      </c>
    </row>
    <row r="3419" spans="1:9" customFormat="1" ht="15" hidden="1" customHeight="1" x14ac:dyDescent="0.25">
      <c r="A3419" s="117">
        <v>45359</v>
      </c>
      <c r="B3419" s="118" t="s">
        <v>6637</v>
      </c>
      <c r="C3419" s="118" t="s">
        <v>3235</v>
      </c>
      <c r="D3419" s="118" t="s">
        <v>3236</v>
      </c>
      <c r="E3419" s="119">
        <v>32000</v>
      </c>
      <c r="F3419" s="120">
        <v>450000</v>
      </c>
      <c r="G3419" s="119">
        <v>94500</v>
      </c>
      <c r="H3419" s="119">
        <v>576500</v>
      </c>
      <c r="I3419" s="184" t="s">
        <v>19</v>
      </c>
    </row>
    <row r="3420" spans="1:9" customFormat="1" ht="15" hidden="1" customHeight="1" x14ac:dyDescent="0.25">
      <c r="A3420" s="176">
        <v>45359</v>
      </c>
      <c r="B3420" s="181" t="s">
        <v>6638</v>
      </c>
      <c r="C3420" s="181" t="s">
        <v>3014</v>
      </c>
      <c r="D3420" s="181" t="s">
        <v>3015</v>
      </c>
      <c r="E3420" s="182">
        <v>15600</v>
      </c>
      <c r="F3420" s="183">
        <v>370000</v>
      </c>
      <c r="G3420" s="182">
        <v>77700</v>
      </c>
      <c r="H3420" s="182">
        <v>463300</v>
      </c>
      <c r="I3420" s="184" t="s">
        <v>19</v>
      </c>
    </row>
    <row r="3421" spans="1:9" customFormat="1" ht="15" hidden="1" customHeight="1" x14ac:dyDescent="0.25">
      <c r="A3421" s="117">
        <v>45359</v>
      </c>
      <c r="B3421" s="118" t="s">
        <v>6639</v>
      </c>
      <c r="C3421" s="118" t="s">
        <v>2903</v>
      </c>
      <c r="D3421" s="118" t="s">
        <v>2904</v>
      </c>
      <c r="E3421" s="119">
        <v>33000</v>
      </c>
      <c r="F3421" s="120">
        <v>304000</v>
      </c>
      <c r="G3421" s="119">
        <v>63840</v>
      </c>
      <c r="H3421" s="119">
        <v>400840</v>
      </c>
      <c r="I3421" s="184" t="s">
        <v>19</v>
      </c>
    </row>
    <row r="3422" spans="1:9" customFormat="1" ht="15" hidden="1" customHeight="1" x14ac:dyDescent="0.25">
      <c r="A3422" s="176">
        <v>45359</v>
      </c>
      <c r="B3422" s="181" t="s">
        <v>6640</v>
      </c>
      <c r="C3422" s="181" t="s">
        <v>2903</v>
      </c>
      <c r="D3422" s="181" t="s">
        <v>2904</v>
      </c>
      <c r="E3422" s="182">
        <v>33000</v>
      </c>
      <c r="F3422" s="183">
        <v>304000</v>
      </c>
      <c r="G3422" s="182">
        <v>63840</v>
      </c>
      <c r="H3422" s="182">
        <v>400840</v>
      </c>
      <c r="I3422" s="184" t="s">
        <v>19</v>
      </c>
    </row>
    <row r="3423" spans="1:9" customFormat="1" ht="15" hidden="1" customHeight="1" x14ac:dyDescent="0.25">
      <c r="A3423" s="117">
        <v>45359</v>
      </c>
      <c r="B3423" s="118" t="s">
        <v>6641</v>
      </c>
      <c r="C3423" s="118" t="s">
        <v>2903</v>
      </c>
      <c r="D3423" s="118" t="s">
        <v>2904</v>
      </c>
      <c r="E3423" s="119">
        <v>23500</v>
      </c>
      <c r="F3423" s="120">
        <v>152000</v>
      </c>
      <c r="G3423" s="119">
        <v>31920</v>
      </c>
      <c r="H3423" s="119">
        <v>207420</v>
      </c>
      <c r="I3423" s="184" t="s">
        <v>19</v>
      </c>
    </row>
    <row r="3424" spans="1:9" customFormat="1" ht="15" hidden="1" customHeight="1" x14ac:dyDescent="0.25">
      <c r="A3424" s="176">
        <v>45359</v>
      </c>
      <c r="B3424" s="181" t="s">
        <v>6642</v>
      </c>
      <c r="C3424" s="181" t="s">
        <v>2903</v>
      </c>
      <c r="D3424" s="181" t="s">
        <v>2904</v>
      </c>
      <c r="E3424" s="182">
        <v>23500</v>
      </c>
      <c r="F3424" s="183">
        <v>152000</v>
      </c>
      <c r="G3424" s="182">
        <v>31920</v>
      </c>
      <c r="H3424" s="182">
        <v>207420</v>
      </c>
      <c r="I3424" s="184" t="s">
        <v>19</v>
      </c>
    </row>
    <row r="3425" spans="1:9" customFormat="1" ht="15" hidden="1" customHeight="1" x14ac:dyDescent="0.25">
      <c r="A3425" s="117">
        <v>45359</v>
      </c>
      <c r="B3425" s="118" t="s">
        <v>6643</v>
      </c>
      <c r="C3425" s="118" t="s">
        <v>2903</v>
      </c>
      <c r="D3425" s="118" t="s">
        <v>2904</v>
      </c>
      <c r="E3425" s="119">
        <v>33000</v>
      </c>
      <c r="F3425" s="120">
        <v>304000</v>
      </c>
      <c r="G3425" s="119">
        <v>63840</v>
      </c>
      <c r="H3425" s="119">
        <v>400840</v>
      </c>
      <c r="I3425" s="184" t="s">
        <v>19</v>
      </c>
    </row>
    <row r="3426" spans="1:9" customFormat="1" ht="15" hidden="1" customHeight="1" x14ac:dyDescent="0.25">
      <c r="A3426" s="176">
        <v>45359</v>
      </c>
      <c r="B3426" s="181" t="s">
        <v>6644</v>
      </c>
      <c r="C3426" s="181" t="s">
        <v>2903</v>
      </c>
      <c r="D3426" s="181" t="s">
        <v>2904</v>
      </c>
      <c r="E3426" s="182">
        <v>33000</v>
      </c>
      <c r="F3426" s="183">
        <v>304000</v>
      </c>
      <c r="G3426" s="182">
        <v>63840</v>
      </c>
      <c r="H3426" s="182">
        <v>400840</v>
      </c>
      <c r="I3426" s="184" t="s">
        <v>19</v>
      </c>
    </row>
    <row r="3427" spans="1:9" customFormat="1" ht="15" hidden="1" customHeight="1" x14ac:dyDescent="0.25">
      <c r="A3427" s="117">
        <v>45359</v>
      </c>
      <c r="B3427" s="118" t="s">
        <v>6645</v>
      </c>
      <c r="C3427" s="118" t="s">
        <v>6646</v>
      </c>
      <c r="D3427" s="118" t="s">
        <v>6647</v>
      </c>
      <c r="E3427" s="119">
        <v>33000</v>
      </c>
      <c r="F3427" s="120">
        <v>304000</v>
      </c>
      <c r="G3427" s="119">
        <v>63840</v>
      </c>
      <c r="H3427" s="119">
        <v>400840</v>
      </c>
      <c r="I3427" s="184" t="s">
        <v>19</v>
      </c>
    </row>
    <row r="3428" spans="1:9" customFormat="1" ht="15" hidden="1" customHeight="1" x14ac:dyDescent="0.25">
      <c r="A3428" s="176">
        <v>45359</v>
      </c>
      <c r="B3428" s="181" t="s">
        <v>6648</v>
      </c>
      <c r="C3428" s="181" t="s">
        <v>3562</v>
      </c>
      <c r="D3428" s="181" t="s">
        <v>3563</v>
      </c>
      <c r="E3428" s="182">
        <v>70500</v>
      </c>
      <c r="F3428" s="183">
        <v>390000</v>
      </c>
      <c r="G3428" s="182">
        <v>81900</v>
      </c>
      <c r="H3428" s="182">
        <v>542400</v>
      </c>
      <c r="I3428" s="184" t="s">
        <v>19</v>
      </c>
    </row>
    <row r="3429" spans="1:9" customFormat="1" ht="15" hidden="1" customHeight="1" x14ac:dyDescent="0.25">
      <c r="A3429" s="117">
        <v>45362</v>
      </c>
      <c r="B3429" s="118" t="s">
        <v>6649</v>
      </c>
      <c r="C3429" s="118" t="s">
        <v>2997</v>
      </c>
      <c r="D3429" s="118" t="s">
        <v>2998</v>
      </c>
      <c r="E3429" s="119">
        <v>16000</v>
      </c>
      <c r="F3429" s="120">
        <v>290000</v>
      </c>
      <c r="G3429" s="119">
        <v>60900</v>
      </c>
      <c r="H3429" s="119">
        <v>366900</v>
      </c>
      <c r="I3429" s="184" t="s">
        <v>19</v>
      </c>
    </row>
    <row r="3430" spans="1:9" customFormat="1" ht="15" hidden="1" customHeight="1" x14ac:dyDescent="0.25">
      <c r="A3430" s="176">
        <v>45362</v>
      </c>
      <c r="B3430" s="181" t="s">
        <v>6650</v>
      </c>
      <c r="C3430" s="181" t="s">
        <v>2906</v>
      </c>
      <c r="D3430" s="181" t="s">
        <v>2907</v>
      </c>
      <c r="E3430" s="182">
        <v>23500</v>
      </c>
      <c r="F3430" s="183">
        <v>215000</v>
      </c>
      <c r="G3430" s="182">
        <v>45150</v>
      </c>
      <c r="H3430" s="182">
        <v>283650</v>
      </c>
      <c r="I3430" s="184" t="s">
        <v>19</v>
      </c>
    </row>
    <row r="3431" spans="1:9" customFormat="1" ht="15" hidden="1" customHeight="1" x14ac:dyDescent="0.25">
      <c r="A3431" s="117">
        <v>45362</v>
      </c>
      <c r="B3431" s="118" t="s">
        <v>6651</v>
      </c>
      <c r="C3431" s="118" t="s">
        <v>2870</v>
      </c>
      <c r="D3431" s="118" t="s">
        <v>2871</v>
      </c>
      <c r="E3431" s="119">
        <v>33000</v>
      </c>
      <c r="F3431" s="120">
        <v>430000</v>
      </c>
      <c r="G3431" s="119">
        <v>90300</v>
      </c>
      <c r="H3431" s="119">
        <v>553300</v>
      </c>
      <c r="I3431" s="184" t="s">
        <v>19</v>
      </c>
    </row>
    <row r="3432" spans="1:9" customFormat="1" ht="15" hidden="1" customHeight="1" x14ac:dyDescent="0.25">
      <c r="A3432" s="176">
        <v>45362</v>
      </c>
      <c r="B3432" s="181" t="s">
        <v>6652</v>
      </c>
      <c r="C3432" s="181" t="s">
        <v>4172</v>
      </c>
      <c r="D3432" s="181" t="s">
        <v>4173</v>
      </c>
      <c r="E3432" s="182">
        <v>7500</v>
      </c>
      <c r="F3432" s="183">
        <v>265000</v>
      </c>
      <c r="G3432" s="182">
        <v>55650</v>
      </c>
      <c r="H3432" s="182">
        <v>328150</v>
      </c>
      <c r="I3432" s="184" t="s">
        <v>19</v>
      </c>
    </row>
    <row r="3433" spans="1:9" customFormat="1" ht="15" hidden="1" customHeight="1" x14ac:dyDescent="0.25">
      <c r="A3433" s="117">
        <v>45363</v>
      </c>
      <c r="B3433" s="118" t="s">
        <v>6653</v>
      </c>
      <c r="C3433" s="118" t="s">
        <v>2867</v>
      </c>
      <c r="D3433" s="118" t="s">
        <v>2868</v>
      </c>
      <c r="E3433" s="119">
        <v>13500</v>
      </c>
      <c r="F3433" s="120">
        <v>225000</v>
      </c>
      <c r="G3433" s="119">
        <v>47250</v>
      </c>
      <c r="H3433" s="119">
        <v>285750</v>
      </c>
      <c r="I3433" s="184" t="s">
        <v>19</v>
      </c>
    </row>
    <row r="3434" spans="1:9" customFormat="1" ht="15" hidden="1" customHeight="1" x14ac:dyDescent="0.25">
      <c r="A3434" s="176">
        <v>45363</v>
      </c>
      <c r="B3434" s="181" t="s">
        <v>6654</v>
      </c>
      <c r="C3434" s="181" t="s">
        <v>3268</v>
      </c>
      <c r="D3434" s="181" t="s">
        <v>3269</v>
      </c>
      <c r="E3434" s="182">
        <v>3700</v>
      </c>
      <c r="F3434" s="183">
        <v>235000</v>
      </c>
      <c r="G3434" s="182">
        <v>49350</v>
      </c>
      <c r="H3434" s="182">
        <v>288050</v>
      </c>
      <c r="I3434" s="184" t="s">
        <v>19</v>
      </c>
    </row>
    <row r="3435" spans="1:9" customFormat="1" ht="15" hidden="1" customHeight="1" x14ac:dyDescent="0.25">
      <c r="A3435" s="117">
        <v>45363</v>
      </c>
      <c r="B3435" s="118" t="s">
        <v>6655</v>
      </c>
      <c r="C3435" s="118" t="s">
        <v>2867</v>
      </c>
      <c r="D3435" s="118" t="s">
        <v>2868</v>
      </c>
      <c r="E3435" s="119">
        <v>7800</v>
      </c>
      <c r="F3435" s="120">
        <v>260000</v>
      </c>
      <c r="G3435" s="119">
        <v>54600</v>
      </c>
      <c r="H3435" s="119">
        <v>322400</v>
      </c>
      <c r="I3435" s="184" t="s">
        <v>19</v>
      </c>
    </row>
    <row r="3436" spans="1:9" customFormat="1" ht="15" hidden="1" customHeight="1" x14ac:dyDescent="0.25">
      <c r="A3436" s="176">
        <v>45363</v>
      </c>
      <c r="B3436" s="181" t="s">
        <v>6656</v>
      </c>
      <c r="C3436" s="181" t="s">
        <v>2867</v>
      </c>
      <c r="D3436" s="181" t="s">
        <v>2868</v>
      </c>
      <c r="E3436" s="182">
        <v>15600</v>
      </c>
      <c r="F3436" s="183">
        <v>520000</v>
      </c>
      <c r="G3436" s="182">
        <v>109200</v>
      </c>
      <c r="H3436" s="182">
        <v>644800</v>
      </c>
      <c r="I3436" s="184" t="s">
        <v>19</v>
      </c>
    </row>
    <row r="3437" spans="1:9" customFormat="1" ht="15" hidden="1" customHeight="1" x14ac:dyDescent="0.25">
      <c r="A3437" s="117">
        <v>45363</v>
      </c>
      <c r="B3437" s="118" t="s">
        <v>6657</v>
      </c>
      <c r="C3437" s="118" t="s">
        <v>6573</v>
      </c>
      <c r="D3437" s="118" t="s">
        <v>6574</v>
      </c>
      <c r="E3437" s="119">
        <v>23500</v>
      </c>
      <c r="F3437" s="120">
        <v>215000</v>
      </c>
      <c r="G3437" s="119">
        <v>45150</v>
      </c>
      <c r="H3437" s="119">
        <v>283650</v>
      </c>
      <c r="I3437" s="184" t="s">
        <v>19</v>
      </c>
    </row>
    <row r="3438" spans="1:9" customFormat="1" ht="15" hidden="1" customHeight="1" x14ac:dyDescent="0.25">
      <c r="A3438" s="176">
        <v>45363</v>
      </c>
      <c r="B3438" s="181" t="s">
        <v>6658</v>
      </c>
      <c r="C3438" s="181" t="s">
        <v>3007</v>
      </c>
      <c r="D3438" s="181" t="s">
        <v>3008</v>
      </c>
      <c r="E3438" s="182">
        <v>47000</v>
      </c>
      <c r="F3438" s="183">
        <v>430000</v>
      </c>
      <c r="G3438" s="182">
        <v>90300</v>
      </c>
      <c r="H3438" s="182">
        <v>567300</v>
      </c>
      <c r="I3438" s="184" t="s">
        <v>19</v>
      </c>
    </row>
    <row r="3439" spans="1:9" customFormat="1" ht="15" hidden="1" customHeight="1" x14ac:dyDescent="0.25">
      <c r="A3439" s="117">
        <v>45363</v>
      </c>
      <c r="B3439" s="118" t="s">
        <v>6659</v>
      </c>
      <c r="C3439" s="118" t="s">
        <v>3007</v>
      </c>
      <c r="D3439" s="118" t="s">
        <v>3008</v>
      </c>
      <c r="E3439" s="119">
        <v>23500</v>
      </c>
      <c r="F3439" s="120">
        <v>215000</v>
      </c>
      <c r="G3439" s="119">
        <v>45150</v>
      </c>
      <c r="H3439" s="119">
        <v>283650</v>
      </c>
      <c r="I3439" s="184" t="s">
        <v>19</v>
      </c>
    </row>
    <row r="3440" spans="1:9" customFormat="1" ht="15" hidden="1" customHeight="1" x14ac:dyDescent="0.25">
      <c r="A3440" s="176">
        <v>45363</v>
      </c>
      <c r="B3440" s="181" t="s">
        <v>6660</v>
      </c>
      <c r="C3440" s="181" t="s">
        <v>2921</v>
      </c>
      <c r="D3440" s="181" t="s">
        <v>2922</v>
      </c>
      <c r="E3440" s="182">
        <v>47000</v>
      </c>
      <c r="F3440" s="183">
        <v>430000</v>
      </c>
      <c r="G3440" s="182">
        <v>90300</v>
      </c>
      <c r="H3440" s="182">
        <v>567300</v>
      </c>
      <c r="I3440" s="184" t="s">
        <v>19</v>
      </c>
    </row>
    <row r="3441" spans="1:9" customFormat="1" ht="15" hidden="1" customHeight="1" x14ac:dyDescent="0.25">
      <c r="A3441" s="117">
        <v>45364</v>
      </c>
      <c r="B3441" s="118" t="s">
        <v>6661</v>
      </c>
      <c r="C3441" s="118" t="s">
        <v>3606</v>
      </c>
      <c r="D3441" s="118" t="s">
        <v>3607</v>
      </c>
      <c r="E3441" s="119">
        <v>0</v>
      </c>
      <c r="F3441" s="120">
        <v>62000</v>
      </c>
      <c r="G3441" s="119">
        <v>13020</v>
      </c>
      <c r="H3441" s="119">
        <v>75020</v>
      </c>
      <c r="I3441" s="184" t="s">
        <v>19</v>
      </c>
    </row>
    <row r="3442" spans="1:9" customFormat="1" ht="15" hidden="1" customHeight="1" x14ac:dyDescent="0.25">
      <c r="A3442" s="176">
        <v>45364</v>
      </c>
      <c r="B3442" s="181" t="s">
        <v>6662</v>
      </c>
      <c r="C3442" s="181" t="s">
        <v>2921</v>
      </c>
      <c r="D3442" s="181" t="s">
        <v>2922</v>
      </c>
      <c r="E3442" s="182">
        <v>23500</v>
      </c>
      <c r="F3442" s="183">
        <v>215000</v>
      </c>
      <c r="G3442" s="182">
        <v>45150</v>
      </c>
      <c r="H3442" s="182">
        <v>283650</v>
      </c>
      <c r="I3442" s="184" t="s">
        <v>19</v>
      </c>
    </row>
    <row r="3443" spans="1:9" customFormat="1" ht="15" hidden="1" customHeight="1" x14ac:dyDescent="0.25">
      <c r="A3443" s="117">
        <v>45364</v>
      </c>
      <c r="B3443" s="118" t="s">
        <v>6663</v>
      </c>
      <c r="C3443" s="118" t="s">
        <v>2921</v>
      </c>
      <c r="D3443" s="118" t="s">
        <v>2922</v>
      </c>
      <c r="E3443" s="119">
        <v>47000</v>
      </c>
      <c r="F3443" s="120">
        <v>430000</v>
      </c>
      <c r="G3443" s="119">
        <v>90300</v>
      </c>
      <c r="H3443" s="119">
        <v>567300</v>
      </c>
      <c r="I3443" s="184" t="s">
        <v>19</v>
      </c>
    </row>
    <row r="3444" spans="1:9" customFormat="1" ht="15" hidden="1" customHeight="1" x14ac:dyDescent="0.25">
      <c r="A3444" s="176">
        <v>45364</v>
      </c>
      <c r="B3444" s="181" t="s">
        <v>6664</v>
      </c>
      <c r="C3444" s="181" t="s">
        <v>2921</v>
      </c>
      <c r="D3444" s="181" t="s">
        <v>2922</v>
      </c>
      <c r="E3444" s="182">
        <v>47000</v>
      </c>
      <c r="F3444" s="183">
        <v>430000</v>
      </c>
      <c r="G3444" s="182">
        <v>90300</v>
      </c>
      <c r="H3444" s="182">
        <v>567300</v>
      </c>
      <c r="I3444" s="184" t="s">
        <v>19</v>
      </c>
    </row>
    <row r="3445" spans="1:9" customFormat="1" ht="15" hidden="1" customHeight="1" x14ac:dyDescent="0.25">
      <c r="A3445" s="117">
        <v>45364</v>
      </c>
      <c r="B3445" s="118" t="s">
        <v>6665</v>
      </c>
      <c r="C3445" s="118" t="s">
        <v>2972</v>
      </c>
      <c r="D3445" s="118" t="s">
        <v>2973</v>
      </c>
      <c r="E3445" s="119">
        <v>22000</v>
      </c>
      <c r="F3445" s="120">
        <v>450000</v>
      </c>
      <c r="G3445" s="119">
        <v>94500</v>
      </c>
      <c r="H3445" s="119">
        <v>566500</v>
      </c>
      <c r="I3445" s="184" t="s">
        <v>19</v>
      </c>
    </row>
    <row r="3446" spans="1:9" customFormat="1" ht="15" hidden="1" customHeight="1" x14ac:dyDescent="0.25">
      <c r="A3446" s="176">
        <v>45364</v>
      </c>
      <c r="B3446" s="181" t="s">
        <v>6666</v>
      </c>
      <c r="C3446" s="181" t="s">
        <v>2997</v>
      </c>
      <c r="D3446" s="181" t="s">
        <v>2998</v>
      </c>
      <c r="E3446" s="182">
        <v>23500</v>
      </c>
      <c r="F3446" s="183">
        <v>215000</v>
      </c>
      <c r="G3446" s="182">
        <v>45150</v>
      </c>
      <c r="H3446" s="182">
        <v>283650</v>
      </c>
      <c r="I3446" s="184" t="s">
        <v>19</v>
      </c>
    </row>
    <row r="3447" spans="1:9" customFormat="1" ht="15" hidden="1" customHeight="1" x14ac:dyDescent="0.25">
      <c r="A3447" s="117">
        <v>45365</v>
      </c>
      <c r="B3447" s="118" t="s">
        <v>6667</v>
      </c>
      <c r="C3447" s="118" t="s">
        <v>3235</v>
      </c>
      <c r="D3447" s="118" t="s">
        <v>3236</v>
      </c>
      <c r="E3447" s="119">
        <v>67100</v>
      </c>
      <c r="F3447" s="120">
        <v>787500</v>
      </c>
      <c r="G3447" s="119">
        <v>165375</v>
      </c>
      <c r="H3447" s="119">
        <v>1019975</v>
      </c>
      <c r="I3447" s="184" t="s">
        <v>19</v>
      </c>
    </row>
    <row r="3448" spans="1:9" customFormat="1" ht="15" hidden="1" customHeight="1" x14ac:dyDescent="0.25">
      <c r="A3448" s="176">
        <v>45365</v>
      </c>
      <c r="B3448" s="181" t="s">
        <v>6668</v>
      </c>
      <c r="C3448" s="181" t="s">
        <v>3606</v>
      </c>
      <c r="D3448" s="181" t="s">
        <v>3607</v>
      </c>
      <c r="E3448" s="182">
        <v>0</v>
      </c>
      <c r="F3448" s="183">
        <v>62000</v>
      </c>
      <c r="G3448" s="182">
        <v>13020</v>
      </c>
      <c r="H3448" s="182">
        <v>75020</v>
      </c>
      <c r="I3448" s="184" t="s">
        <v>19</v>
      </c>
    </row>
    <row r="3449" spans="1:9" customFormat="1" ht="15" hidden="1" customHeight="1" x14ac:dyDescent="0.25">
      <c r="A3449" s="117">
        <v>45365</v>
      </c>
      <c r="B3449" s="118" t="s">
        <v>6669</v>
      </c>
      <c r="C3449" s="118" t="s">
        <v>4905</v>
      </c>
      <c r="D3449" s="118" t="s">
        <v>4906</v>
      </c>
      <c r="E3449" s="119">
        <v>23500</v>
      </c>
      <c r="F3449" s="120">
        <v>190000</v>
      </c>
      <c r="G3449" s="119">
        <v>39900</v>
      </c>
      <c r="H3449" s="119">
        <v>253400</v>
      </c>
      <c r="I3449" s="184" t="s">
        <v>19</v>
      </c>
    </row>
    <row r="3450" spans="1:9" customFormat="1" ht="15" hidden="1" customHeight="1" x14ac:dyDescent="0.25">
      <c r="A3450" s="176">
        <v>45365</v>
      </c>
      <c r="B3450" s="181" t="s">
        <v>6670</v>
      </c>
      <c r="C3450" s="181" t="s">
        <v>3165</v>
      </c>
      <c r="D3450" s="181" t="s">
        <v>3166</v>
      </c>
      <c r="E3450" s="182">
        <v>30000</v>
      </c>
      <c r="F3450" s="183">
        <v>705000</v>
      </c>
      <c r="G3450" s="182">
        <v>148050</v>
      </c>
      <c r="H3450" s="182">
        <v>883050</v>
      </c>
      <c r="I3450" s="184" t="s">
        <v>19</v>
      </c>
    </row>
    <row r="3451" spans="1:9" customFormat="1" ht="15" hidden="1" customHeight="1" x14ac:dyDescent="0.25">
      <c r="A3451" s="117">
        <v>45365</v>
      </c>
      <c r="B3451" s="118" t="s">
        <v>6671</v>
      </c>
      <c r="C3451" s="118" t="s">
        <v>3173</v>
      </c>
      <c r="D3451" s="118" t="s">
        <v>3174</v>
      </c>
      <c r="E3451" s="119">
        <v>7800</v>
      </c>
      <c r="F3451" s="120">
        <v>235000</v>
      </c>
      <c r="G3451" s="119">
        <v>49350</v>
      </c>
      <c r="H3451" s="119">
        <v>292150</v>
      </c>
      <c r="I3451" s="184" t="s">
        <v>19</v>
      </c>
    </row>
    <row r="3452" spans="1:9" customFormat="1" ht="15" hidden="1" customHeight="1" x14ac:dyDescent="0.25">
      <c r="A3452" s="176">
        <v>45365</v>
      </c>
      <c r="B3452" s="181" t="s">
        <v>6672</v>
      </c>
      <c r="C3452" s="181" t="s">
        <v>3562</v>
      </c>
      <c r="D3452" s="181" t="s">
        <v>3563</v>
      </c>
      <c r="E3452" s="182">
        <v>55500</v>
      </c>
      <c r="F3452" s="183">
        <v>795000</v>
      </c>
      <c r="G3452" s="182">
        <v>166950</v>
      </c>
      <c r="H3452" s="182">
        <v>1017450</v>
      </c>
      <c r="I3452" s="184" t="s">
        <v>19</v>
      </c>
    </row>
    <row r="3453" spans="1:9" customFormat="1" ht="15" hidden="1" customHeight="1" x14ac:dyDescent="0.25">
      <c r="A3453" s="117">
        <v>45365</v>
      </c>
      <c r="B3453" s="118" t="s">
        <v>6673</v>
      </c>
      <c r="C3453" s="118" t="s">
        <v>2945</v>
      </c>
      <c r="D3453" s="118" t="s">
        <v>2946</v>
      </c>
      <c r="E3453" s="119">
        <v>12500</v>
      </c>
      <c r="F3453" s="120">
        <v>320000</v>
      </c>
      <c r="G3453" s="119">
        <v>67200</v>
      </c>
      <c r="H3453" s="119">
        <v>399700</v>
      </c>
      <c r="I3453" s="184" t="s">
        <v>19</v>
      </c>
    </row>
    <row r="3454" spans="1:9" customFormat="1" ht="15" hidden="1" customHeight="1" x14ac:dyDescent="0.25">
      <c r="A3454" s="176">
        <v>45365</v>
      </c>
      <c r="B3454" s="181" t="s">
        <v>6674</v>
      </c>
      <c r="C3454" s="181" t="s">
        <v>2856</v>
      </c>
      <c r="D3454" s="181" t="s">
        <v>2857</v>
      </c>
      <c r="E3454" s="182">
        <v>23500</v>
      </c>
      <c r="F3454" s="183">
        <v>215000</v>
      </c>
      <c r="G3454" s="182">
        <v>45150</v>
      </c>
      <c r="H3454" s="182">
        <v>283650</v>
      </c>
      <c r="I3454" s="184" t="s">
        <v>19</v>
      </c>
    </row>
    <row r="3455" spans="1:9" customFormat="1" ht="15" hidden="1" customHeight="1" x14ac:dyDescent="0.25">
      <c r="A3455" s="117">
        <v>45365</v>
      </c>
      <c r="B3455" s="118" t="s">
        <v>6675</v>
      </c>
      <c r="C3455" s="118" t="s">
        <v>6573</v>
      </c>
      <c r="D3455" s="118" t="s">
        <v>6574</v>
      </c>
      <c r="E3455" s="119">
        <v>23500</v>
      </c>
      <c r="F3455" s="120">
        <v>215000</v>
      </c>
      <c r="G3455" s="119">
        <v>45150</v>
      </c>
      <c r="H3455" s="119">
        <v>283650</v>
      </c>
      <c r="I3455" s="184" t="s">
        <v>19</v>
      </c>
    </row>
    <row r="3456" spans="1:9" customFormat="1" ht="15" hidden="1" customHeight="1" x14ac:dyDescent="0.25">
      <c r="A3456" s="176">
        <v>45365</v>
      </c>
      <c r="B3456" s="181" t="s">
        <v>6676</v>
      </c>
      <c r="C3456" s="181" t="s">
        <v>6573</v>
      </c>
      <c r="D3456" s="181" t="s">
        <v>6574</v>
      </c>
      <c r="E3456" s="182">
        <v>23500</v>
      </c>
      <c r="F3456" s="183">
        <v>215000</v>
      </c>
      <c r="G3456" s="182">
        <v>45150</v>
      </c>
      <c r="H3456" s="182">
        <v>283650</v>
      </c>
      <c r="I3456" s="184" t="s">
        <v>19</v>
      </c>
    </row>
    <row r="3457" spans="1:9" customFormat="1" ht="15" hidden="1" customHeight="1" x14ac:dyDescent="0.25">
      <c r="A3457" s="117">
        <v>45365</v>
      </c>
      <c r="B3457" s="118" t="s">
        <v>6677</v>
      </c>
      <c r="C3457" s="118" t="s">
        <v>6573</v>
      </c>
      <c r="D3457" s="118" t="s">
        <v>6574</v>
      </c>
      <c r="E3457" s="119">
        <v>23500</v>
      </c>
      <c r="F3457" s="120">
        <v>215000</v>
      </c>
      <c r="G3457" s="119">
        <v>45150</v>
      </c>
      <c r="H3457" s="119">
        <v>283650</v>
      </c>
      <c r="I3457" s="184" t="s">
        <v>19</v>
      </c>
    </row>
    <row r="3458" spans="1:9" customFormat="1" ht="15" hidden="1" customHeight="1" x14ac:dyDescent="0.25">
      <c r="A3458" s="176">
        <v>45365</v>
      </c>
      <c r="B3458" s="181" t="s">
        <v>6678</v>
      </c>
      <c r="C3458" s="181" t="s">
        <v>2945</v>
      </c>
      <c r="D3458" s="181" t="s">
        <v>2946</v>
      </c>
      <c r="E3458" s="182">
        <v>12500</v>
      </c>
      <c r="F3458" s="183">
        <v>320000</v>
      </c>
      <c r="G3458" s="182">
        <v>67200</v>
      </c>
      <c r="H3458" s="182">
        <v>399700</v>
      </c>
      <c r="I3458" s="184" t="s">
        <v>19</v>
      </c>
    </row>
    <row r="3459" spans="1:9" customFormat="1" ht="15" hidden="1" customHeight="1" x14ac:dyDescent="0.25">
      <c r="A3459" s="117">
        <v>45365</v>
      </c>
      <c r="B3459" s="118" t="s">
        <v>6679</v>
      </c>
      <c r="C3459" s="118" t="s">
        <v>2997</v>
      </c>
      <c r="D3459" s="118" t="s">
        <v>2998</v>
      </c>
      <c r="E3459" s="119">
        <v>12500</v>
      </c>
      <c r="F3459" s="120">
        <v>320000</v>
      </c>
      <c r="G3459" s="119">
        <v>67200</v>
      </c>
      <c r="H3459" s="119">
        <v>399700</v>
      </c>
      <c r="I3459" s="184" t="s">
        <v>19</v>
      </c>
    </row>
    <row r="3460" spans="1:9" customFormat="1" ht="15" hidden="1" customHeight="1" x14ac:dyDescent="0.25">
      <c r="A3460" s="176">
        <v>45365</v>
      </c>
      <c r="B3460" s="181" t="s">
        <v>6680</v>
      </c>
      <c r="C3460" s="181" t="s">
        <v>3007</v>
      </c>
      <c r="D3460" s="181" t="s">
        <v>3008</v>
      </c>
      <c r="E3460" s="182">
        <v>34000</v>
      </c>
      <c r="F3460" s="183">
        <v>562500</v>
      </c>
      <c r="G3460" s="182">
        <v>118125</v>
      </c>
      <c r="H3460" s="182">
        <v>714625</v>
      </c>
      <c r="I3460" s="184" t="s">
        <v>19</v>
      </c>
    </row>
    <row r="3461" spans="1:9" customFormat="1" ht="15" hidden="1" customHeight="1" x14ac:dyDescent="0.25">
      <c r="A3461" s="117">
        <v>45365</v>
      </c>
      <c r="B3461" s="118" t="s">
        <v>6681</v>
      </c>
      <c r="C3461" s="118" t="s">
        <v>2903</v>
      </c>
      <c r="D3461" s="118" t="s">
        <v>2904</v>
      </c>
      <c r="E3461" s="119">
        <v>33000</v>
      </c>
      <c r="F3461" s="120">
        <v>430000</v>
      </c>
      <c r="G3461" s="119">
        <v>90300</v>
      </c>
      <c r="H3461" s="119">
        <v>553300</v>
      </c>
      <c r="I3461" s="184" t="s">
        <v>19</v>
      </c>
    </row>
    <row r="3462" spans="1:9" customFormat="1" ht="15" hidden="1" customHeight="1" x14ac:dyDescent="0.25">
      <c r="A3462" s="176">
        <v>45365</v>
      </c>
      <c r="B3462" s="181" t="s">
        <v>6682</v>
      </c>
      <c r="C3462" s="181" t="s">
        <v>2903</v>
      </c>
      <c r="D3462" s="181" t="s">
        <v>2904</v>
      </c>
      <c r="E3462" s="182">
        <v>33000</v>
      </c>
      <c r="F3462" s="183">
        <v>430000</v>
      </c>
      <c r="G3462" s="182">
        <v>90300</v>
      </c>
      <c r="H3462" s="182">
        <v>553300</v>
      </c>
      <c r="I3462" s="184" t="s">
        <v>19</v>
      </c>
    </row>
    <row r="3463" spans="1:9" customFormat="1" ht="15" hidden="1" customHeight="1" x14ac:dyDescent="0.25">
      <c r="A3463" s="117">
        <v>45366</v>
      </c>
      <c r="B3463" s="118" t="s">
        <v>6683</v>
      </c>
      <c r="C3463" s="118" t="s">
        <v>2883</v>
      </c>
      <c r="D3463" s="118" t="s">
        <v>2884</v>
      </c>
      <c r="E3463" s="119">
        <v>0</v>
      </c>
      <c r="F3463" s="120">
        <v>110000</v>
      </c>
      <c r="G3463" s="119">
        <v>23100</v>
      </c>
      <c r="H3463" s="119">
        <v>133100</v>
      </c>
      <c r="I3463" s="184" t="s">
        <v>19</v>
      </c>
    </row>
    <row r="3464" spans="1:9" customFormat="1" ht="15" hidden="1" customHeight="1" x14ac:dyDescent="0.25">
      <c r="A3464" s="176">
        <v>45366</v>
      </c>
      <c r="B3464" s="181" t="s">
        <v>6684</v>
      </c>
      <c r="C3464" s="181" t="s">
        <v>2921</v>
      </c>
      <c r="D3464" s="181" t="s">
        <v>2922</v>
      </c>
      <c r="E3464" s="182">
        <v>0</v>
      </c>
      <c r="F3464" s="183">
        <v>100000</v>
      </c>
      <c r="G3464" s="182">
        <v>21000</v>
      </c>
      <c r="H3464" s="182">
        <v>121000</v>
      </c>
      <c r="I3464" s="184" t="s">
        <v>19</v>
      </c>
    </row>
    <row r="3465" spans="1:9" customFormat="1" ht="15" hidden="1" customHeight="1" x14ac:dyDescent="0.25">
      <c r="A3465" s="117">
        <v>45366</v>
      </c>
      <c r="B3465" s="118" t="s">
        <v>6685</v>
      </c>
      <c r="C3465" s="118" t="s">
        <v>3606</v>
      </c>
      <c r="D3465" s="118" t="s">
        <v>3607</v>
      </c>
      <c r="E3465" s="119">
        <v>0</v>
      </c>
      <c r="F3465" s="120">
        <v>100000</v>
      </c>
      <c r="G3465" s="119">
        <v>21000</v>
      </c>
      <c r="H3465" s="119">
        <v>121000</v>
      </c>
      <c r="I3465" s="184" t="s">
        <v>19</v>
      </c>
    </row>
    <row r="3466" spans="1:9" customFormat="1" ht="15" hidden="1" customHeight="1" x14ac:dyDescent="0.25">
      <c r="A3466" s="176">
        <v>45366</v>
      </c>
      <c r="B3466" s="181" t="s">
        <v>6686</v>
      </c>
      <c r="C3466" s="181" t="s">
        <v>6491</v>
      </c>
      <c r="D3466" s="181" t="s">
        <v>6492</v>
      </c>
      <c r="E3466" s="182">
        <v>17000</v>
      </c>
      <c r="F3466" s="183">
        <v>225000</v>
      </c>
      <c r="G3466" s="182">
        <v>47250</v>
      </c>
      <c r="H3466" s="182">
        <v>289250</v>
      </c>
      <c r="I3466" s="184" t="s">
        <v>19</v>
      </c>
    </row>
    <row r="3467" spans="1:9" customFormat="1" ht="15" hidden="1" customHeight="1" x14ac:dyDescent="0.25">
      <c r="A3467" s="117">
        <v>45366</v>
      </c>
      <c r="B3467" s="118" t="s">
        <v>6687</v>
      </c>
      <c r="C3467" s="118" t="s">
        <v>6491</v>
      </c>
      <c r="D3467" s="118" t="s">
        <v>6492</v>
      </c>
      <c r="E3467" s="119">
        <v>23500</v>
      </c>
      <c r="F3467" s="120">
        <v>215000</v>
      </c>
      <c r="G3467" s="119">
        <v>45150</v>
      </c>
      <c r="H3467" s="119">
        <v>283650</v>
      </c>
      <c r="I3467" s="184" t="s">
        <v>19</v>
      </c>
    </row>
    <row r="3468" spans="1:9" customFormat="1" ht="15" hidden="1" customHeight="1" x14ac:dyDescent="0.25">
      <c r="A3468" s="176">
        <v>45366</v>
      </c>
      <c r="B3468" s="181" t="s">
        <v>6688</v>
      </c>
      <c r="C3468" s="181" t="s">
        <v>2921</v>
      </c>
      <c r="D3468" s="181" t="s">
        <v>2922</v>
      </c>
      <c r="E3468" s="182">
        <v>73600</v>
      </c>
      <c r="F3468" s="183">
        <v>260000</v>
      </c>
      <c r="G3468" s="182">
        <v>54600</v>
      </c>
      <c r="H3468" s="182">
        <v>388200</v>
      </c>
      <c r="I3468" s="184" t="s">
        <v>19</v>
      </c>
    </row>
    <row r="3469" spans="1:9" customFormat="1" ht="15" hidden="1" customHeight="1" x14ac:dyDescent="0.25">
      <c r="A3469" s="117">
        <v>45366</v>
      </c>
      <c r="B3469" s="118" t="s">
        <v>6689</v>
      </c>
      <c r="C3469" s="118" t="s">
        <v>2867</v>
      </c>
      <c r="D3469" s="118" t="s">
        <v>2868</v>
      </c>
      <c r="E3469" s="119">
        <v>33000</v>
      </c>
      <c r="F3469" s="120">
        <v>430000</v>
      </c>
      <c r="G3469" s="119">
        <v>90300</v>
      </c>
      <c r="H3469" s="119">
        <v>553300</v>
      </c>
      <c r="I3469" s="184" t="s">
        <v>19</v>
      </c>
    </row>
    <row r="3470" spans="1:9" customFormat="1" ht="15" hidden="1" customHeight="1" x14ac:dyDescent="0.25">
      <c r="A3470" s="176">
        <v>45366</v>
      </c>
      <c r="B3470" s="181" t="s">
        <v>6690</v>
      </c>
      <c r="C3470" s="181" t="s">
        <v>3007</v>
      </c>
      <c r="D3470" s="181" t="s">
        <v>3008</v>
      </c>
      <c r="E3470" s="182">
        <v>11000</v>
      </c>
      <c r="F3470" s="183">
        <v>230000</v>
      </c>
      <c r="G3470" s="182">
        <v>48300</v>
      </c>
      <c r="H3470" s="182">
        <v>289300</v>
      </c>
      <c r="I3470" s="184" t="s">
        <v>19</v>
      </c>
    </row>
    <row r="3471" spans="1:9" customFormat="1" ht="15" hidden="1" customHeight="1" x14ac:dyDescent="0.25">
      <c r="A3471" s="117">
        <v>45366</v>
      </c>
      <c r="B3471" s="118" t="s">
        <v>6691</v>
      </c>
      <c r="C3471" s="118" t="s">
        <v>3235</v>
      </c>
      <c r="D3471" s="118" t="s">
        <v>3236</v>
      </c>
      <c r="E3471" s="119">
        <v>102500</v>
      </c>
      <c r="F3471" s="120">
        <v>1380000</v>
      </c>
      <c r="G3471" s="119">
        <v>289800</v>
      </c>
      <c r="H3471" s="119">
        <v>1772300</v>
      </c>
      <c r="I3471" s="184" t="s">
        <v>19</v>
      </c>
    </row>
    <row r="3472" spans="1:9" customFormat="1" ht="15" hidden="1" customHeight="1" x14ac:dyDescent="0.25">
      <c r="A3472" s="176">
        <v>45366</v>
      </c>
      <c r="B3472" s="181" t="s">
        <v>6692</v>
      </c>
      <c r="C3472" s="181" t="s">
        <v>2867</v>
      </c>
      <c r="D3472" s="181" t="s">
        <v>2868</v>
      </c>
      <c r="E3472" s="182">
        <v>33000</v>
      </c>
      <c r="F3472" s="183">
        <v>430000</v>
      </c>
      <c r="G3472" s="182">
        <v>90300</v>
      </c>
      <c r="H3472" s="182">
        <v>553300</v>
      </c>
      <c r="I3472" s="184" t="s">
        <v>19</v>
      </c>
    </row>
    <row r="3473" spans="1:9" customFormat="1" ht="15" hidden="1" customHeight="1" x14ac:dyDescent="0.25">
      <c r="A3473" s="117">
        <v>45366</v>
      </c>
      <c r="B3473" s="118" t="s">
        <v>6693</v>
      </c>
      <c r="C3473" s="118" t="s">
        <v>3067</v>
      </c>
      <c r="D3473" s="118" t="s">
        <v>3068</v>
      </c>
      <c r="E3473" s="119">
        <v>23500</v>
      </c>
      <c r="F3473" s="120">
        <v>215000</v>
      </c>
      <c r="G3473" s="119">
        <v>45150</v>
      </c>
      <c r="H3473" s="119">
        <v>283650</v>
      </c>
      <c r="I3473" s="184" t="s">
        <v>19</v>
      </c>
    </row>
    <row r="3474" spans="1:9" customFormat="1" ht="15" hidden="1" customHeight="1" x14ac:dyDescent="0.25">
      <c r="A3474" s="176">
        <v>45366</v>
      </c>
      <c r="B3474" s="181" t="s">
        <v>6694</v>
      </c>
      <c r="C3474" s="181" t="s">
        <v>4121</v>
      </c>
      <c r="D3474" s="181" t="s">
        <v>4122</v>
      </c>
      <c r="E3474" s="182">
        <v>33000</v>
      </c>
      <c r="F3474" s="183">
        <v>430000</v>
      </c>
      <c r="G3474" s="182">
        <v>90300</v>
      </c>
      <c r="H3474" s="182">
        <v>553300</v>
      </c>
      <c r="I3474" s="184" t="s">
        <v>19</v>
      </c>
    </row>
    <row r="3475" spans="1:9" customFormat="1" ht="15" hidden="1" customHeight="1" x14ac:dyDescent="0.25">
      <c r="A3475" s="117">
        <v>45366</v>
      </c>
      <c r="B3475" s="118" t="s">
        <v>6695</v>
      </c>
      <c r="C3475" s="118" t="s">
        <v>3007</v>
      </c>
      <c r="D3475" s="118" t="s">
        <v>3008</v>
      </c>
      <c r="E3475" s="119">
        <v>9500</v>
      </c>
      <c r="F3475" s="120">
        <v>230000</v>
      </c>
      <c r="G3475" s="119">
        <v>48300</v>
      </c>
      <c r="H3475" s="119">
        <v>287800</v>
      </c>
      <c r="I3475" s="184" t="s">
        <v>19</v>
      </c>
    </row>
    <row r="3476" spans="1:9" customFormat="1" ht="15" hidden="1" customHeight="1" x14ac:dyDescent="0.25">
      <c r="A3476" s="176">
        <v>45366</v>
      </c>
      <c r="B3476" s="181" t="s">
        <v>6696</v>
      </c>
      <c r="C3476" s="181" t="s">
        <v>2851</v>
      </c>
      <c r="D3476" s="181" t="s">
        <v>2852</v>
      </c>
      <c r="E3476" s="182">
        <v>21500</v>
      </c>
      <c r="F3476" s="183">
        <v>290000</v>
      </c>
      <c r="G3476" s="182">
        <v>60900</v>
      </c>
      <c r="H3476" s="182">
        <v>372400</v>
      </c>
      <c r="I3476" s="184" t="s">
        <v>19</v>
      </c>
    </row>
    <row r="3477" spans="1:9" customFormat="1" ht="15" hidden="1" customHeight="1" x14ac:dyDescent="0.25">
      <c r="A3477" s="117">
        <v>45370</v>
      </c>
      <c r="B3477" s="118" t="s">
        <v>6697</v>
      </c>
      <c r="C3477" s="118" t="s">
        <v>3603</v>
      </c>
      <c r="D3477" s="118" t="s">
        <v>3604</v>
      </c>
      <c r="E3477" s="119">
        <v>4200</v>
      </c>
      <c r="F3477" s="120">
        <v>352500</v>
      </c>
      <c r="G3477" s="119">
        <v>74025</v>
      </c>
      <c r="H3477" s="119">
        <v>430725</v>
      </c>
      <c r="I3477" s="184" t="s">
        <v>19</v>
      </c>
    </row>
    <row r="3478" spans="1:9" customFormat="1" ht="15" hidden="1" customHeight="1" x14ac:dyDescent="0.25">
      <c r="A3478" s="176">
        <v>45370</v>
      </c>
      <c r="B3478" s="181" t="s">
        <v>6698</v>
      </c>
      <c r="C3478" s="181" t="s">
        <v>2921</v>
      </c>
      <c r="D3478" s="181" t="s">
        <v>2922</v>
      </c>
      <c r="E3478" s="182">
        <v>47000</v>
      </c>
      <c r="F3478" s="183">
        <v>380000</v>
      </c>
      <c r="G3478" s="182">
        <v>79800</v>
      </c>
      <c r="H3478" s="182">
        <v>506800</v>
      </c>
      <c r="I3478" s="184" t="s">
        <v>19</v>
      </c>
    </row>
    <row r="3479" spans="1:9" customFormat="1" ht="15" hidden="1" customHeight="1" x14ac:dyDescent="0.25">
      <c r="A3479" s="117">
        <v>45370</v>
      </c>
      <c r="B3479" s="118" t="s">
        <v>6699</v>
      </c>
      <c r="C3479" s="118" t="s">
        <v>2903</v>
      </c>
      <c r="D3479" s="118" t="s">
        <v>2904</v>
      </c>
      <c r="E3479" s="119">
        <v>23500</v>
      </c>
      <c r="F3479" s="120">
        <v>215000</v>
      </c>
      <c r="G3479" s="119">
        <v>45150</v>
      </c>
      <c r="H3479" s="119">
        <v>283650</v>
      </c>
      <c r="I3479" s="184" t="s">
        <v>19</v>
      </c>
    </row>
    <row r="3480" spans="1:9" customFormat="1" ht="15" hidden="1" customHeight="1" x14ac:dyDescent="0.25">
      <c r="A3480" s="176">
        <v>45370</v>
      </c>
      <c r="B3480" s="181" t="s">
        <v>6700</v>
      </c>
      <c r="C3480" s="181" t="s">
        <v>2903</v>
      </c>
      <c r="D3480" s="181" t="s">
        <v>2904</v>
      </c>
      <c r="E3480" s="182">
        <v>23500</v>
      </c>
      <c r="F3480" s="183">
        <v>215000</v>
      </c>
      <c r="G3480" s="182">
        <v>45150</v>
      </c>
      <c r="H3480" s="182">
        <v>283650</v>
      </c>
      <c r="I3480" s="184" t="s">
        <v>19</v>
      </c>
    </row>
    <row r="3481" spans="1:9" customFormat="1" ht="15" hidden="1" customHeight="1" x14ac:dyDescent="0.25">
      <c r="A3481" s="117">
        <v>45370</v>
      </c>
      <c r="B3481" s="118" t="s">
        <v>6701</v>
      </c>
      <c r="C3481" s="118" t="s">
        <v>2903</v>
      </c>
      <c r="D3481" s="118" t="s">
        <v>2904</v>
      </c>
      <c r="E3481" s="119">
        <v>23500</v>
      </c>
      <c r="F3481" s="120">
        <v>215000</v>
      </c>
      <c r="G3481" s="119">
        <v>45150</v>
      </c>
      <c r="H3481" s="119">
        <v>283650</v>
      </c>
      <c r="I3481" s="184" t="s">
        <v>19</v>
      </c>
    </row>
    <row r="3482" spans="1:9" customFormat="1" ht="15" hidden="1" customHeight="1" x14ac:dyDescent="0.25">
      <c r="A3482" s="176">
        <v>45370</v>
      </c>
      <c r="B3482" s="181" t="s">
        <v>6702</v>
      </c>
      <c r="C3482" s="181" t="s">
        <v>6491</v>
      </c>
      <c r="D3482" s="181" t="s">
        <v>6492</v>
      </c>
      <c r="E3482" s="182">
        <v>23500</v>
      </c>
      <c r="F3482" s="183">
        <v>215000</v>
      </c>
      <c r="G3482" s="182">
        <v>45150</v>
      </c>
      <c r="H3482" s="182">
        <v>283650</v>
      </c>
      <c r="I3482" s="184" t="s">
        <v>19</v>
      </c>
    </row>
    <row r="3483" spans="1:9" customFormat="1" ht="15" hidden="1" customHeight="1" x14ac:dyDescent="0.25">
      <c r="A3483" s="117">
        <v>45370</v>
      </c>
      <c r="B3483" s="118" t="s">
        <v>6703</v>
      </c>
      <c r="C3483" s="118" t="s">
        <v>2867</v>
      </c>
      <c r="D3483" s="118" t="s">
        <v>2868</v>
      </c>
      <c r="E3483" s="119">
        <v>0</v>
      </c>
      <c r="F3483" s="120">
        <v>1140000</v>
      </c>
      <c r="G3483" s="119">
        <v>239400</v>
      </c>
      <c r="H3483" s="119">
        <v>1379400</v>
      </c>
      <c r="I3483" s="184" t="s">
        <v>19</v>
      </c>
    </row>
    <row r="3484" spans="1:9" customFormat="1" ht="15" hidden="1" customHeight="1" x14ac:dyDescent="0.25">
      <c r="A3484" s="176">
        <v>45370</v>
      </c>
      <c r="B3484" s="181" t="s">
        <v>6704</v>
      </c>
      <c r="C3484" s="181" t="s">
        <v>2903</v>
      </c>
      <c r="D3484" s="181" t="s">
        <v>2904</v>
      </c>
      <c r="E3484" s="182">
        <v>23500</v>
      </c>
      <c r="F3484" s="183">
        <v>190000</v>
      </c>
      <c r="G3484" s="182">
        <v>39900</v>
      </c>
      <c r="H3484" s="182">
        <v>253400</v>
      </c>
      <c r="I3484" s="184" t="s">
        <v>19</v>
      </c>
    </row>
    <row r="3485" spans="1:9" customFormat="1" ht="15" hidden="1" customHeight="1" x14ac:dyDescent="0.25">
      <c r="A3485" s="117">
        <v>45370</v>
      </c>
      <c r="B3485" s="118" t="s">
        <v>6705</v>
      </c>
      <c r="C3485" s="118" t="s">
        <v>6706</v>
      </c>
      <c r="D3485" s="118" t="s">
        <v>6707</v>
      </c>
      <c r="E3485" s="119">
        <v>0</v>
      </c>
      <c r="F3485" s="120">
        <v>47000</v>
      </c>
      <c r="G3485" s="119">
        <v>9870</v>
      </c>
      <c r="H3485" s="119">
        <v>56870</v>
      </c>
      <c r="I3485" s="184" t="s">
        <v>19</v>
      </c>
    </row>
    <row r="3486" spans="1:9" customFormat="1" ht="15" hidden="1" customHeight="1" x14ac:dyDescent="0.25">
      <c r="A3486" s="176">
        <v>45370</v>
      </c>
      <c r="B3486" s="181" t="s">
        <v>6708</v>
      </c>
      <c r="C3486" s="181" t="s">
        <v>6709</v>
      </c>
      <c r="D3486" s="181" t="s">
        <v>6710</v>
      </c>
      <c r="E3486" s="182">
        <v>36000</v>
      </c>
      <c r="F3486" s="183">
        <v>787500</v>
      </c>
      <c r="G3486" s="182">
        <v>165375</v>
      </c>
      <c r="H3486" s="182">
        <v>988875</v>
      </c>
      <c r="I3486" s="184" t="s">
        <v>19</v>
      </c>
    </row>
    <row r="3487" spans="1:9" customFormat="1" ht="15" hidden="1" customHeight="1" x14ac:dyDescent="0.25">
      <c r="A3487" s="117">
        <v>45370</v>
      </c>
      <c r="B3487" s="118" t="s">
        <v>6711</v>
      </c>
      <c r="C3487" s="118" t="s">
        <v>2867</v>
      </c>
      <c r="D3487" s="118" t="s">
        <v>2868</v>
      </c>
      <c r="E3487" s="119">
        <v>30000</v>
      </c>
      <c r="F3487" s="120">
        <v>675000</v>
      </c>
      <c r="G3487" s="119">
        <v>141750</v>
      </c>
      <c r="H3487" s="119">
        <v>846750</v>
      </c>
      <c r="I3487" s="184" t="s">
        <v>19</v>
      </c>
    </row>
    <row r="3488" spans="1:9" customFormat="1" ht="15" hidden="1" customHeight="1" x14ac:dyDescent="0.25">
      <c r="A3488" s="176">
        <v>45371</v>
      </c>
      <c r="B3488" s="181" t="s">
        <v>6712</v>
      </c>
      <c r="C3488" s="181" t="s">
        <v>3014</v>
      </c>
      <c r="D3488" s="181" t="s">
        <v>3015</v>
      </c>
      <c r="E3488" s="182">
        <v>18000</v>
      </c>
      <c r="F3488" s="183">
        <v>675000</v>
      </c>
      <c r="G3488" s="182">
        <v>141750</v>
      </c>
      <c r="H3488" s="182">
        <v>834750</v>
      </c>
      <c r="I3488" s="184" t="s">
        <v>19</v>
      </c>
    </row>
    <row r="3489" spans="1:9" customFormat="1" ht="15" hidden="1" customHeight="1" x14ac:dyDescent="0.25">
      <c r="A3489" s="117">
        <v>45371</v>
      </c>
      <c r="B3489" s="118" t="s">
        <v>6713</v>
      </c>
      <c r="C3489" s="118" t="s">
        <v>3114</v>
      </c>
      <c r="D3489" s="118" t="s">
        <v>3115</v>
      </c>
      <c r="E3489" s="119">
        <v>7500</v>
      </c>
      <c r="F3489" s="120">
        <v>410000</v>
      </c>
      <c r="G3489" s="119">
        <v>86100</v>
      </c>
      <c r="H3489" s="119">
        <v>503600</v>
      </c>
      <c r="I3489" s="184" t="s">
        <v>19</v>
      </c>
    </row>
    <row r="3490" spans="1:9" customFormat="1" ht="15" hidden="1" customHeight="1" x14ac:dyDescent="0.25">
      <c r="A3490" s="176">
        <v>45371</v>
      </c>
      <c r="B3490" s="181" t="s">
        <v>6714</v>
      </c>
      <c r="C3490" s="181" t="s">
        <v>3007</v>
      </c>
      <c r="D3490" s="181" t="s">
        <v>3008</v>
      </c>
      <c r="E3490" s="182">
        <v>47000</v>
      </c>
      <c r="F3490" s="183">
        <v>380000</v>
      </c>
      <c r="G3490" s="182">
        <v>79800</v>
      </c>
      <c r="H3490" s="182">
        <v>506800</v>
      </c>
      <c r="I3490" s="184" t="s">
        <v>19</v>
      </c>
    </row>
    <row r="3491" spans="1:9" customFormat="1" ht="15" hidden="1" customHeight="1" x14ac:dyDescent="0.25">
      <c r="A3491" s="117">
        <v>45371</v>
      </c>
      <c r="B3491" s="118" t="s">
        <v>6715</v>
      </c>
      <c r="C3491" s="118" t="s">
        <v>6573</v>
      </c>
      <c r="D3491" s="118" t="s">
        <v>6574</v>
      </c>
      <c r="E3491" s="119">
        <v>23500</v>
      </c>
      <c r="F3491" s="120">
        <v>190000</v>
      </c>
      <c r="G3491" s="119">
        <v>39900</v>
      </c>
      <c r="H3491" s="119">
        <v>253400</v>
      </c>
      <c r="I3491" s="184" t="s">
        <v>19</v>
      </c>
    </row>
    <row r="3492" spans="1:9" customFormat="1" ht="15" hidden="1" customHeight="1" x14ac:dyDescent="0.25">
      <c r="A3492" s="176">
        <v>45371</v>
      </c>
      <c r="B3492" s="181" t="s">
        <v>6716</v>
      </c>
      <c r="C3492" s="181" t="s">
        <v>3007</v>
      </c>
      <c r="D3492" s="181" t="s">
        <v>3008</v>
      </c>
      <c r="E3492" s="182">
        <v>47000</v>
      </c>
      <c r="F3492" s="183">
        <v>380000</v>
      </c>
      <c r="G3492" s="182">
        <v>79800</v>
      </c>
      <c r="H3492" s="182">
        <v>506800</v>
      </c>
      <c r="I3492" s="184" t="s">
        <v>19</v>
      </c>
    </row>
    <row r="3493" spans="1:9" customFormat="1" ht="15" hidden="1" customHeight="1" x14ac:dyDescent="0.25">
      <c r="A3493" s="117">
        <v>45372</v>
      </c>
      <c r="B3493" s="118" t="s">
        <v>6717</v>
      </c>
      <c r="C3493" s="118" t="s">
        <v>6718</v>
      </c>
      <c r="D3493" s="118" t="s">
        <v>6719</v>
      </c>
      <c r="E3493" s="119">
        <v>8500</v>
      </c>
      <c r="F3493" s="120">
        <v>250000</v>
      </c>
      <c r="G3493" s="119">
        <v>52500</v>
      </c>
      <c r="H3493" s="119">
        <v>311000</v>
      </c>
      <c r="I3493" s="184" t="s">
        <v>19</v>
      </c>
    </row>
    <row r="3494" spans="1:9" customFormat="1" ht="15" hidden="1" customHeight="1" x14ac:dyDescent="0.25">
      <c r="A3494" s="176">
        <v>45372</v>
      </c>
      <c r="B3494" s="181" t="s">
        <v>6720</v>
      </c>
      <c r="C3494" s="181" t="s">
        <v>2851</v>
      </c>
      <c r="D3494" s="181" t="s">
        <v>2852</v>
      </c>
      <c r="E3494" s="182">
        <v>9000</v>
      </c>
      <c r="F3494" s="183">
        <v>250000</v>
      </c>
      <c r="G3494" s="182">
        <v>52500</v>
      </c>
      <c r="H3494" s="182">
        <v>311500</v>
      </c>
      <c r="I3494" s="184" t="s">
        <v>19</v>
      </c>
    </row>
    <row r="3495" spans="1:9" customFormat="1" ht="15" hidden="1" customHeight="1" x14ac:dyDescent="0.25">
      <c r="A3495" s="117">
        <v>45372</v>
      </c>
      <c r="B3495" s="118" t="s">
        <v>6721</v>
      </c>
      <c r="C3495" s="118" t="s">
        <v>3007</v>
      </c>
      <c r="D3495" s="118" t="s">
        <v>3008</v>
      </c>
      <c r="E3495" s="119">
        <v>47000</v>
      </c>
      <c r="F3495" s="120">
        <v>860000</v>
      </c>
      <c r="G3495" s="119">
        <v>180600</v>
      </c>
      <c r="H3495" s="119">
        <v>1087600</v>
      </c>
      <c r="I3495" s="184" t="s">
        <v>19</v>
      </c>
    </row>
    <row r="3496" spans="1:9" customFormat="1" ht="15" hidden="1" customHeight="1" x14ac:dyDescent="0.25">
      <c r="A3496" s="176">
        <v>45372</v>
      </c>
      <c r="B3496" s="181" t="s">
        <v>6722</v>
      </c>
      <c r="C3496" s="181" t="s">
        <v>3007</v>
      </c>
      <c r="D3496" s="181" t="s">
        <v>3008</v>
      </c>
      <c r="E3496" s="182">
        <v>23500</v>
      </c>
      <c r="F3496" s="183">
        <v>430000</v>
      </c>
      <c r="G3496" s="182">
        <v>90300</v>
      </c>
      <c r="H3496" s="182">
        <v>543800</v>
      </c>
      <c r="I3496" s="184" t="s">
        <v>19</v>
      </c>
    </row>
    <row r="3497" spans="1:9" customFormat="1" ht="15" hidden="1" customHeight="1" x14ac:dyDescent="0.25">
      <c r="A3497" s="117">
        <v>45372</v>
      </c>
      <c r="B3497" s="118" t="s">
        <v>6723</v>
      </c>
      <c r="C3497" s="118" t="s">
        <v>3007</v>
      </c>
      <c r="D3497" s="118" t="s">
        <v>3008</v>
      </c>
      <c r="E3497" s="119">
        <v>47000</v>
      </c>
      <c r="F3497" s="120">
        <v>860000</v>
      </c>
      <c r="G3497" s="119">
        <v>180600</v>
      </c>
      <c r="H3497" s="119">
        <v>1087600</v>
      </c>
      <c r="I3497" s="184" t="s">
        <v>19</v>
      </c>
    </row>
    <row r="3498" spans="1:9" customFormat="1" ht="15" hidden="1" customHeight="1" x14ac:dyDescent="0.25">
      <c r="A3498" s="176">
        <v>45372</v>
      </c>
      <c r="B3498" s="181" t="s">
        <v>6724</v>
      </c>
      <c r="C3498" s="181" t="s">
        <v>2942</v>
      </c>
      <c r="D3498" s="181" t="s">
        <v>2943</v>
      </c>
      <c r="E3498" s="182">
        <v>23500</v>
      </c>
      <c r="F3498" s="183">
        <v>215000</v>
      </c>
      <c r="G3498" s="182">
        <v>45150</v>
      </c>
      <c r="H3498" s="182">
        <v>283650</v>
      </c>
      <c r="I3498" s="184" t="s">
        <v>19</v>
      </c>
    </row>
    <row r="3499" spans="1:9" customFormat="1" ht="15" hidden="1" customHeight="1" x14ac:dyDescent="0.25">
      <c r="A3499" s="117">
        <v>45372</v>
      </c>
      <c r="B3499" s="118" t="s">
        <v>6725</v>
      </c>
      <c r="C3499" s="118" t="s">
        <v>2942</v>
      </c>
      <c r="D3499" s="118" t="s">
        <v>2943</v>
      </c>
      <c r="E3499" s="119">
        <v>23500</v>
      </c>
      <c r="F3499" s="120">
        <v>215000</v>
      </c>
      <c r="G3499" s="119">
        <v>45150</v>
      </c>
      <c r="H3499" s="119">
        <v>283650</v>
      </c>
      <c r="I3499" s="184" t="s">
        <v>19</v>
      </c>
    </row>
    <row r="3500" spans="1:9" customFormat="1" ht="15" hidden="1" customHeight="1" x14ac:dyDescent="0.25">
      <c r="A3500" s="176">
        <v>45372</v>
      </c>
      <c r="B3500" s="181" t="s">
        <v>6726</v>
      </c>
      <c r="C3500" s="181" t="s">
        <v>2921</v>
      </c>
      <c r="D3500" s="181" t="s">
        <v>2922</v>
      </c>
      <c r="E3500" s="182">
        <v>66000</v>
      </c>
      <c r="F3500" s="183">
        <v>860000</v>
      </c>
      <c r="G3500" s="182">
        <v>180600</v>
      </c>
      <c r="H3500" s="182">
        <v>1106600</v>
      </c>
      <c r="I3500" s="184" t="s">
        <v>19</v>
      </c>
    </row>
    <row r="3501" spans="1:9" customFormat="1" ht="15" hidden="1" customHeight="1" x14ac:dyDescent="0.25">
      <c r="A3501" s="117">
        <v>45372</v>
      </c>
      <c r="B3501" s="118" t="s">
        <v>6727</v>
      </c>
      <c r="C3501" s="118" t="s">
        <v>2921</v>
      </c>
      <c r="D3501" s="118" t="s">
        <v>2922</v>
      </c>
      <c r="E3501" s="119">
        <v>66000</v>
      </c>
      <c r="F3501" s="120">
        <v>860000</v>
      </c>
      <c r="G3501" s="119">
        <v>180600</v>
      </c>
      <c r="H3501" s="119">
        <v>1106600</v>
      </c>
      <c r="I3501" s="184" t="s">
        <v>19</v>
      </c>
    </row>
    <row r="3502" spans="1:9" customFormat="1" ht="15" hidden="1" customHeight="1" x14ac:dyDescent="0.25">
      <c r="A3502" s="176">
        <v>45372</v>
      </c>
      <c r="B3502" s="181" t="s">
        <v>6728</v>
      </c>
      <c r="C3502" s="181" t="s">
        <v>3176</v>
      </c>
      <c r="D3502" s="181" t="s">
        <v>3177</v>
      </c>
      <c r="E3502" s="182">
        <v>11000</v>
      </c>
      <c r="F3502" s="183">
        <v>307500</v>
      </c>
      <c r="G3502" s="182">
        <v>64575</v>
      </c>
      <c r="H3502" s="182">
        <v>383075</v>
      </c>
      <c r="I3502" s="184" t="s">
        <v>19</v>
      </c>
    </row>
    <row r="3503" spans="1:9" customFormat="1" ht="15" hidden="1" customHeight="1" x14ac:dyDescent="0.25">
      <c r="A3503" s="117">
        <v>45372</v>
      </c>
      <c r="B3503" s="118" t="s">
        <v>6729</v>
      </c>
      <c r="C3503" s="118" t="s">
        <v>2909</v>
      </c>
      <c r="D3503" s="118" t="s">
        <v>2910</v>
      </c>
      <c r="E3503" s="119">
        <v>12410</v>
      </c>
      <c r="F3503" s="120">
        <v>725000</v>
      </c>
      <c r="G3503" s="119">
        <v>152250</v>
      </c>
      <c r="H3503" s="119">
        <v>889660</v>
      </c>
      <c r="I3503" s="184" t="s">
        <v>19</v>
      </c>
    </row>
    <row r="3504" spans="1:9" customFormat="1" ht="15" hidden="1" customHeight="1" x14ac:dyDescent="0.25">
      <c r="A3504" s="176">
        <v>45372</v>
      </c>
      <c r="B3504" s="181" t="s">
        <v>6730</v>
      </c>
      <c r="C3504" s="181" t="s">
        <v>2924</v>
      </c>
      <c r="D3504" s="181" t="s">
        <v>2925</v>
      </c>
      <c r="E3504" s="182">
        <v>26500</v>
      </c>
      <c r="F3504" s="183">
        <v>337500</v>
      </c>
      <c r="G3504" s="182">
        <v>70875</v>
      </c>
      <c r="H3504" s="182">
        <v>434875</v>
      </c>
      <c r="I3504" s="184" t="s">
        <v>19</v>
      </c>
    </row>
    <row r="3505" spans="1:9" customFormat="1" ht="15" hidden="1" customHeight="1" x14ac:dyDescent="0.25">
      <c r="A3505" s="117">
        <v>45373</v>
      </c>
      <c r="B3505" s="118" t="s">
        <v>6731</v>
      </c>
      <c r="C3505" s="118" t="s">
        <v>2851</v>
      </c>
      <c r="D3505" s="118" t="s">
        <v>2852</v>
      </c>
      <c r="E3505" s="119">
        <v>6500</v>
      </c>
      <c r="F3505" s="120">
        <v>245000</v>
      </c>
      <c r="G3505" s="119">
        <v>51450</v>
      </c>
      <c r="H3505" s="119">
        <v>302950</v>
      </c>
      <c r="I3505" s="184" t="s">
        <v>19</v>
      </c>
    </row>
    <row r="3506" spans="1:9" customFormat="1" ht="15" hidden="1" customHeight="1" x14ac:dyDescent="0.25">
      <c r="A3506" s="176">
        <v>45373</v>
      </c>
      <c r="B3506" s="181" t="s">
        <v>6732</v>
      </c>
      <c r="C3506" s="181" t="s">
        <v>2921</v>
      </c>
      <c r="D3506" s="181" t="s">
        <v>2922</v>
      </c>
      <c r="E3506" s="182">
        <v>47000</v>
      </c>
      <c r="F3506" s="183">
        <v>405000</v>
      </c>
      <c r="G3506" s="182">
        <v>85050</v>
      </c>
      <c r="H3506" s="182">
        <v>537050</v>
      </c>
      <c r="I3506" s="184" t="s">
        <v>19</v>
      </c>
    </row>
    <row r="3507" spans="1:9" customFormat="1" ht="15" hidden="1" customHeight="1" x14ac:dyDescent="0.25">
      <c r="A3507" s="117">
        <v>45373</v>
      </c>
      <c r="B3507" s="118" t="s">
        <v>6733</v>
      </c>
      <c r="C3507" s="118" t="s">
        <v>3007</v>
      </c>
      <c r="D3507" s="118" t="s">
        <v>3008</v>
      </c>
      <c r="E3507" s="119">
        <v>23500</v>
      </c>
      <c r="F3507" s="120">
        <v>430000</v>
      </c>
      <c r="G3507" s="119">
        <v>90300</v>
      </c>
      <c r="H3507" s="119">
        <v>543800</v>
      </c>
      <c r="I3507" s="184" t="s">
        <v>19</v>
      </c>
    </row>
    <row r="3508" spans="1:9" customFormat="1" ht="15" hidden="1" customHeight="1" x14ac:dyDescent="0.25">
      <c r="A3508" s="176">
        <v>45373</v>
      </c>
      <c r="B3508" s="181" t="s">
        <v>6734</v>
      </c>
      <c r="C3508" s="181" t="s">
        <v>2867</v>
      </c>
      <c r="D3508" s="181" t="s">
        <v>2868</v>
      </c>
      <c r="E3508" s="182">
        <v>33000</v>
      </c>
      <c r="F3508" s="183">
        <v>645000</v>
      </c>
      <c r="G3508" s="182">
        <v>135450</v>
      </c>
      <c r="H3508" s="182">
        <v>813450</v>
      </c>
      <c r="I3508" s="184" t="s">
        <v>19</v>
      </c>
    </row>
    <row r="3509" spans="1:9" customFormat="1" ht="15" hidden="1" customHeight="1" x14ac:dyDescent="0.25">
      <c r="A3509" s="117">
        <v>45373</v>
      </c>
      <c r="B3509" s="118" t="s">
        <v>6735</v>
      </c>
      <c r="C3509" s="118" t="s">
        <v>6491</v>
      </c>
      <c r="D3509" s="118" t="s">
        <v>6492</v>
      </c>
      <c r="E3509" s="119">
        <v>47000</v>
      </c>
      <c r="F3509" s="120">
        <v>430000</v>
      </c>
      <c r="G3509" s="119">
        <v>90300</v>
      </c>
      <c r="H3509" s="119">
        <v>567300</v>
      </c>
      <c r="I3509" s="184" t="s">
        <v>19</v>
      </c>
    </row>
    <row r="3510" spans="1:9" customFormat="1" ht="15" hidden="1" customHeight="1" x14ac:dyDescent="0.25">
      <c r="A3510" s="176">
        <v>45373</v>
      </c>
      <c r="B3510" s="181" t="s">
        <v>6736</v>
      </c>
      <c r="C3510" s="181" t="s">
        <v>2906</v>
      </c>
      <c r="D3510" s="181" t="s">
        <v>2907</v>
      </c>
      <c r="E3510" s="182">
        <v>23500</v>
      </c>
      <c r="F3510" s="183">
        <v>190000</v>
      </c>
      <c r="G3510" s="182">
        <v>39900</v>
      </c>
      <c r="H3510" s="182">
        <v>253400</v>
      </c>
      <c r="I3510" s="184" t="s">
        <v>19</v>
      </c>
    </row>
    <row r="3511" spans="1:9" customFormat="1" ht="15" hidden="1" customHeight="1" x14ac:dyDescent="0.25">
      <c r="A3511" s="117">
        <v>45373</v>
      </c>
      <c r="B3511" s="118" t="s">
        <v>6737</v>
      </c>
      <c r="C3511" s="118" t="s">
        <v>2906</v>
      </c>
      <c r="D3511" s="118" t="s">
        <v>2907</v>
      </c>
      <c r="E3511" s="119">
        <v>23500</v>
      </c>
      <c r="F3511" s="120">
        <v>215000</v>
      </c>
      <c r="G3511" s="119">
        <v>45150</v>
      </c>
      <c r="H3511" s="119">
        <v>283650</v>
      </c>
      <c r="I3511" s="184" t="s">
        <v>19</v>
      </c>
    </row>
    <row r="3512" spans="1:9" customFormat="1" ht="15" hidden="1" customHeight="1" x14ac:dyDescent="0.25">
      <c r="A3512" s="176">
        <v>45373</v>
      </c>
      <c r="B3512" s="181" t="s">
        <v>6738</v>
      </c>
      <c r="C3512" s="181" t="s">
        <v>2906</v>
      </c>
      <c r="D3512" s="181" t="s">
        <v>2907</v>
      </c>
      <c r="E3512" s="182">
        <v>23500</v>
      </c>
      <c r="F3512" s="183">
        <v>215000</v>
      </c>
      <c r="G3512" s="182">
        <v>45150</v>
      </c>
      <c r="H3512" s="182">
        <v>283650</v>
      </c>
      <c r="I3512" s="184" t="s">
        <v>19</v>
      </c>
    </row>
    <row r="3513" spans="1:9" customFormat="1" ht="15" hidden="1" customHeight="1" x14ac:dyDescent="0.25">
      <c r="A3513" s="117">
        <v>45373</v>
      </c>
      <c r="B3513" s="118" t="s">
        <v>6739</v>
      </c>
      <c r="C3513" s="118" t="s">
        <v>2906</v>
      </c>
      <c r="D3513" s="118" t="s">
        <v>2907</v>
      </c>
      <c r="E3513" s="119">
        <v>23500</v>
      </c>
      <c r="F3513" s="120">
        <v>190000</v>
      </c>
      <c r="G3513" s="119">
        <v>39900</v>
      </c>
      <c r="H3513" s="119">
        <v>253400</v>
      </c>
      <c r="I3513" s="184" t="s">
        <v>19</v>
      </c>
    </row>
    <row r="3514" spans="1:9" customFormat="1" ht="15" hidden="1" customHeight="1" x14ac:dyDescent="0.25">
      <c r="A3514" s="176">
        <v>45373</v>
      </c>
      <c r="B3514" s="181" t="s">
        <v>6740</v>
      </c>
      <c r="C3514" s="181" t="s">
        <v>2906</v>
      </c>
      <c r="D3514" s="181" t="s">
        <v>2907</v>
      </c>
      <c r="E3514" s="182">
        <v>23500</v>
      </c>
      <c r="F3514" s="183">
        <v>215000</v>
      </c>
      <c r="G3514" s="182">
        <v>45150</v>
      </c>
      <c r="H3514" s="182">
        <v>283650</v>
      </c>
      <c r="I3514" s="184" t="s">
        <v>19</v>
      </c>
    </row>
    <row r="3515" spans="1:9" customFormat="1" ht="15" hidden="1" customHeight="1" x14ac:dyDescent="0.25">
      <c r="A3515" s="117">
        <v>45373</v>
      </c>
      <c r="B3515" s="118" t="s">
        <v>6741</v>
      </c>
      <c r="C3515" s="118" t="s">
        <v>2945</v>
      </c>
      <c r="D3515" s="118" t="s">
        <v>2946</v>
      </c>
      <c r="E3515" s="119">
        <v>28500</v>
      </c>
      <c r="F3515" s="120">
        <v>290000</v>
      </c>
      <c r="G3515" s="119">
        <v>60900</v>
      </c>
      <c r="H3515" s="119">
        <v>379400</v>
      </c>
      <c r="I3515" s="184" t="s">
        <v>19</v>
      </c>
    </row>
    <row r="3516" spans="1:9" customFormat="1" ht="15" hidden="1" customHeight="1" x14ac:dyDescent="0.25">
      <c r="A3516" s="176">
        <v>45373</v>
      </c>
      <c r="B3516" s="181" t="s">
        <v>6742</v>
      </c>
      <c r="C3516" s="181" t="s">
        <v>2867</v>
      </c>
      <c r="D3516" s="181" t="s">
        <v>2868</v>
      </c>
      <c r="E3516" s="182">
        <v>23000</v>
      </c>
      <c r="F3516" s="183">
        <v>260000</v>
      </c>
      <c r="G3516" s="182">
        <v>54600</v>
      </c>
      <c r="H3516" s="182">
        <v>337600</v>
      </c>
      <c r="I3516" s="184" t="s">
        <v>19</v>
      </c>
    </row>
    <row r="3517" spans="1:9" customFormat="1" ht="15" hidden="1" customHeight="1" x14ac:dyDescent="0.25">
      <c r="A3517" s="117">
        <v>45373</v>
      </c>
      <c r="B3517" s="118" t="s">
        <v>6743</v>
      </c>
      <c r="C3517" s="118" t="s">
        <v>2921</v>
      </c>
      <c r="D3517" s="118" t="s">
        <v>2922</v>
      </c>
      <c r="E3517" s="119">
        <v>34000</v>
      </c>
      <c r="F3517" s="120">
        <v>450000</v>
      </c>
      <c r="G3517" s="119">
        <v>94500</v>
      </c>
      <c r="H3517" s="119">
        <v>578500</v>
      </c>
      <c r="I3517" s="184" t="s">
        <v>19</v>
      </c>
    </row>
    <row r="3518" spans="1:9" customFormat="1" ht="15" hidden="1" customHeight="1" x14ac:dyDescent="0.25">
      <c r="A3518" s="176">
        <v>45373</v>
      </c>
      <c r="B3518" s="181" t="s">
        <v>6744</v>
      </c>
      <c r="C3518" s="181" t="s">
        <v>2867</v>
      </c>
      <c r="D3518" s="181" t="s">
        <v>2868</v>
      </c>
      <c r="E3518" s="182">
        <v>30000</v>
      </c>
      <c r="F3518" s="183">
        <v>1662640</v>
      </c>
      <c r="G3518" s="182">
        <v>349154.4</v>
      </c>
      <c r="H3518" s="182">
        <v>2041794.4</v>
      </c>
      <c r="I3518" s="184" t="s">
        <v>19</v>
      </c>
    </row>
    <row r="3519" spans="1:9" customFormat="1" ht="15" hidden="1" customHeight="1" x14ac:dyDescent="0.25">
      <c r="A3519" s="117">
        <v>45373</v>
      </c>
      <c r="B3519" s="118" t="s">
        <v>6745</v>
      </c>
      <c r="C3519" s="118" t="s">
        <v>2867</v>
      </c>
      <c r="D3519" s="118" t="s">
        <v>2868</v>
      </c>
      <c r="E3519" s="119">
        <v>33000</v>
      </c>
      <c r="F3519" s="120">
        <v>645000</v>
      </c>
      <c r="G3519" s="119">
        <v>135450</v>
      </c>
      <c r="H3519" s="119">
        <v>813450</v>
      </c>
      <c r="I3519" s="184" t="s">
        <v>19</v>
      </c>
    </row>
    <row r="3520" spans="1:9" customFormat="1" ht="15" hidden="1" customHeight="1" x14ac:dyDescent="0.25">
      <c r="A3520" s="176">
        <v>45373</v>
      </c>
      <c r="B3520" s="181" t="s">
        <v>6746</v>
      </c>
      <c r="C3520" s="181" t="s">
        <v>2867</v>
      </c>
      <c r="D3520" s="181" t="s">
        <v>2868</v>
      </c>
      <c r="E3520" s="182">
        <v>23000</v>
      </c>
      <c r="F3520" s="183">
        <v>260000</v>
      </c>
      <c r="G3520" s="182">
        <v>54600</v>
      </c>
      <c r="H3520" s="182">
        <v>337600</v>
      </c>
      <c r="I3520" s="184" t="s">
        <v>19</v>
      </c>
    </row>
    <row r="3521" spans="1:9" customFormat="1" ht="15" hidden="1" customHeight="1" x14ac:dyDescent="0.25">
      <c r="A3521" s="117">
        <v>45373</v>
      </c>
      <c r="B3521" s="118" t="s">
        <v>6747</v>
      </c>
      <c r="C3521" s="118" t="s">
        <v>2909</v>
      </c>
      <c r="D3521" s="118" t="s">
        <v>2910</v>
      </c>
      <c r="E3521" s="119">
        <v>18000</v>
      </c>
      <c r="F3521" s="120">
        <v>435000</v>
      </c>
      <c r="G3521" s="119">
        <v>91350</v>
      </c>
      <c r="H3521" s="119">
        <v>544350</v>
      </c>
      <c r="I3521" s="184" t="s">
        <v>19</v>
      </c>
    </row>
    <row r="3522" spans="1:9" customFormat="1" ht="15" hidden="1" customHeight="1" x14ac:dyDescent="0.25">
      <c r="A3522" s="176">
        <v>45373</v>
      </c>
      <c r="B3522" s="181" t="s">
        <v>6748</v>
      </c>
      <c r="C3522" s="181" t="s">
        <v>2909</v>
      </c>
      <c r="D3522" s="181" t="s">
        <v>2910</v>
      </c>
      <c r="E3522" s="182">
        <v>18000</v>
      </c>
      <c r="F3522" s="183">
        <v>435000</v>
      </c>
      <c r="G3522" s="182">
        <v>91350</v>
      </c>
      <c r="H3522" s="182">
        <v>544350</v>
      </c>
      <c r="I3522" s="184" t="s">
        <v>19</v>
      </c>
    </row>
    <row r="3523" spans="1:9" customFormat="1" ht="15" hidden="1" customHeight="1" x14ac:dyDescent="0.25">
      <c r="A3523" s="117">
        <v>45373</v>
      </c>
      <c r="B3523" s="118" t="s">
        <v>6749</v>
      </c>
      <c r="C3523" s="118" t="s">
        <v>3235</v>
      </c>
      <c r="D3523" s="118" t="s">
        <v>3236</v>
      </c>
      <c r="E3523" s="119">
        <v>141000</v>
      </c>
      <c r="F3523" s="120">
        <v>1290000</v>
      </c>
      <c r="G3523" s="119">
        <v>270900</v>
      </c>
      <c r="H3523" s="119">
        <v>1701900</v>
      </c>
      <c r="I3523" s="184" t="s">
        <v>19</v>
      </c>
    </row>
    <row r="3524" spans="1:9" customFormat="1" ht="15" hidden="1" customHeight="1" x14ac:dyDescent="0.25">
      <c r="A3524" s="176">
        <v>45373</v>
      </c>
      <c r="B3524" s="181" t="s">
        <v>6750</v>
      </c>
      <c r="C3524" s="181" t="s">
        <v>2867</v>
      </c>
      <c r="D3524" s="181" t="s">
        <v>2868</v>
      </c>
      <c r="E3524" s="182">
        <v>7600</v>
      </c>
      <c r="F3524" s="183">
        <v>260000</v>
      </c>
      <c r="G3524" s="182">
        <v>54600</v>
      </c>
      <c r="H3524" s="182">
        <v>322200</v>
      </c>
      <c r="I3524" s="184" t="s">
        <v>19</v>
      </c>
    </row>
    <row r="3525" spans="1:9" customFormat="1" ht="15" hidden="1" customHeight="1" x14ac:dyDescent="0.25">
      <c r="A3525" s="117">
        <v>45373</v>
      </c>
      <c r="B3525" s="118" t="s">
        <v>6751</v>
      </c>
      <c r="C3525" s="118" t="s">
        <v>6752</v>
      </c>
      <c r="D3525" s="118" t="s">
        <v>6753</v>
      </c>
      <c r="E3525" s="119">
        <v>23500</v>
      </c>
      <c r="F3525" s="120">
        <v>215000</v>
      </c>
      <c r="G3525" s="119">
        <v>45150</v>
      </c>
      <c r="H3525" s="119">
        <v>283650</v>
      </c>
      <c r="I3525" s="184" t="s">
        <v>19</v>
      </c>
    </row>
    <row r="3526" spans="1:9" customFormat="1" ht="15" hidden="1" customHeight="1" x14ac:dyDescent="0.25">
      <c r="A3526" s="176">
        <v>45373</v>
      </c>
      <c r="B3526" s="181" t="s">
        <v>6754</v>
      </c>
      <c r="C3526" s="181" t="s">
        <v>2954</v>
      </c>
      <c r="D3526" s="181" t="s">
        <v>2955</v>
      </c>
      <c r="E3526" s="182">
        <v>22000</v>
      </c>
      <c r="F3526" s="183">
        <v>585000</v>
      </c>
      <c r="G3526" s="182">
        <v>122850</v>
      </c>
      <c r="H3526" s="182">
        <v>729850</v>
      </c>
      <c r="I3526" s="184" t="s">
        <v>19</v>
      </c>
    </row>
    <row r="3527" spans="1:9" customFormat="1" ht="15" hidden="1" customHeight="1" x14ac:dyDescent="0.25">
      <c r="A3527" s="117">
        <v>45373</v>
      </c>
      <c r="B3527" s="118" t="s">
        <v>6755</v>
      </c>
      <c r="C3527" s="118" t="s">
        <v>2909</v>
      </c>
      <c r="D3527" s="118" t="s">
        <v>2910</v>
      </c>
      <c r="E3527" s="119">
        <v>8900</v>
      </c>
      <c r="F3527" s="120">
        <v>245000</v>
      </c>
      <c r="G3527" s="119">
        <v>51450</v>
      </c>
      <c r="H3527" s="119">
        <v>305350</v>
      </c>
      <c r="I3527" s="184" t="s">
        <v>19</v>
      </c>
    </row>
    <row r="3528" spans="1:9" customFormat="1" ht="15" hidden="1" customHeight="1" x14ac:dyDescent="0.25">
      <c r="A3528" s="176">
        <v>45373</v>
      </c>
      <c r="B3528" s="181" t="s">
        <v>6756</v>
      </c>
      <c r="C3528" s="181" t="s">
        <v>2997</v>
      </c>
      <c r="D3528" s="181" t="s">
        <v>2998</v>
      </c>
      <c r="E3528" s="182">
        <v>13000</v>
      </c>
      <c r="F3528" s="183">
        <v>265000</v>
      </c>
      <c r="G3528" s="182">
        <v>55650</v>
      </c>
      <c r="H3528" s="182">
        <v>333650</v>
      </c>
      <c r="I3528" s="184" t="s">
        <v>19</v>
      </c>
    </row>
    <row r="3529" spans="1:9" customFormat="1" ht="15" hidden="1" customHeight="1" x14ac:dyDescent="0.25">
      <c r="A3529" s="117">
        <v>45373</v>
      </c>
      <c r="B3529" s="118" t="s">
        <v>6757</v>
      </c>
      <c r="C3529" s="118" t="s">
        <v>2997</v>
      </c>
      <c r="D3529" s="118" t="s">
        <v>2998</v>
      </c>
      <c r="E3529" s="119">
        <v>13000</v>
      </c>
      <c r="F3529" s="120">
        <v>265000</v>
      </c>
      <c r="G3529" s="119">
        <v>55650</v>
      </c>
      <c r="H3529" s="119">
        <v>333650</v>
      </c>
      <c r="I3529" s="184" t="s">
        <v>19</v>
      </c>
    </row>
    <row r="3530" spans="1:9" customFormat="1" ht="15" hidden="1" customHeight="1" x14ac:dyDescent="0.25">
      <c r="A3530" s="176">
        <v>45373</v>
      </c>
      <c r="B3530" s="181" t="s">
        <v>6758</v>
      </c>
      <c r="C3530" s="181" t="s">
        <v>3176</v>
      </c>
      <c r="D3530" s="181" t="s">
        <v>3177</v>
      </c>
      <c r="E3530" s="182">
        <v>0</v>
      </c>
      <c r="F3530" s="183">
        <v>58000</v>
      </c>
      <c r="G3530" s="182">
        <v>12180</v>
      </c>
      <c r="H3530" s="182">
        <v>70180</v>
      </c>
      <c r="I3530" s="184" t="s">
        <v>19</v>
      </c>
    </row>
    <row r="3531" spans="1:9" customFormat="1" ht="15" hidden="1" customHeight="1" x14ac:dyDescent="0.25">
      <c r="A3531" s="117">
        <v>45373</v>
      </c>
      <c r="B3531" s="118" t="s">
        <v>6759</v>
      </c>
      <c r="C3531" s="118" t="s">
        <v>3067</v>
      </c>
      <c r="D3531" s="118" t="s">
        <v>3068</v>
      </c>
      <c r="E3531" s="119">
        <v>23500</v>
      </c>
      <c r="F3531" s="120">
        <v>215000</v>
      </c>
      <c r="G3531" s="119">
        <v>45150</v>
      </c>
      <c r="H3531" s="119">
        <v>283650</v>
      </c>
      <c r="I3531" s="184" t="s">
        <v>19</v>
      </c>
    </row>
    <row r="3532" spans="1:9" customFormat="1" ht="15" hidden="1" customHeight="1" x14ac:dyDescent="0.25">
      <c r="A3532" s="176">
        <v>45376</v>
      </c>
      <c r="B3532" s="181" t="s">
        <v>6760</v>
      </c>
      <c r="C3532" s="181" t="s">
        <v>6491</v>
      </c>
      <c r="D3532" s="181" t="s">
        <v>6492</v>
      </c>
      <c r="E3532" s="182">
        <v>22000</v>
      </c>
      <c r="F3532" s="183">
        <v>337500</v>
      </c>
      <c r="G3532" s="182">
        <v>70875</v>
      </c>
      <c r="H3532" s="182">
        <v>430375</v>
      </c>
      <c r="I3532" s="184" t="s">
        <v>19</v>
      </c>
    </row>
    <row r="3533" spans="1:9" customFormat="1" ht="15" hidden="1" customHeight="1" x14ac:dyDescent="0.25">
      <c r="A3533" s="117">
        <v>45376</v>
      </c>
      <c r="B3533" s="118" t="s">
        <v>6761</v>
      </c>
      <c r="C3533" s="118" t="s">
        <v>6573</v>
      </c>
      <c r="D3533" s="118" t="s">
        <v>6574</v>
      </c>
      <c r="E3533" s="119">
        <v>23500</v>
      </c>
      <c r="F3533" s="120">
        <v>190000</v>
      </c>
      <c r="G3533" s="119">
        <v>39900</v>
      </c>
      <c r="H3533" s="119">
        <v>253400</v>
      </c>
      <c r="I3533" s="184" t="s">
        <v>19</v>
      </c>
    </row>
    <row r="3534" spans="1:9" customFormat="1" ht="15" hidden="1" customHeight="1" x14ac:dyDescent="0.25">
      <c r="A3534" s="176">
        <v>45376</v>
      </c>
      <c r="B3534" s="181" t="s">
        <v>6762</v>
      </c>
      <c r="C3534" s="181" t="s">
        <v>6573</v>
      </c>
      <c r="D3534" s="181" t="s">
        <v>6574</v>
      </c>
      <c r="E3534" s="182">
        <v>23500</v>
      </c>
      <c r="F3534" s="183">
        <v>215000</v>
      </c>
      <c r="G3534" s="182">
        <v>45150</v>
      </c>
      <c r="H3534" s="182">
        <v>283650</v>
      </c>
      <c r="I3534" s="184" t="s">
        <v>19</v>
      </c>
    </row>
    <row r="3535" spans="1:9" customFormat="1" ht="15" hidden="1" customHeight="1" x14ac:dyDescent="0.25">
      <c r="A3535" s="117">
        <v>45376</v>
      </c>
      <c r="B3535" s="118" t="s">
        <v>6763</v>
      </c>
      <c r="C3535" s="118" t="s">
        <v>3007</v>
      </c>
      <c r="D3535" s="118" t="s">
        <v>3008</v>
      </c>
      <c r="E3535" s="119">
        <v>47000</v>
      </c>
      <c r="F3535" s="120">
        <v>430000</v>
      </c>
      <c r="G3535" s="119">
        <v>90300</v>
      </c>
      <c r="H3535" s="119">
        <v>567300</v>
      </c>
      <c r="I3535" s="184" t="s">
        <v>19</v>
      </c>
    </row>
    <row r="3536" spans="1:9" customFormat="1" ht="15" hidden="1" customHeight="1" x14ac:dyDescent="0.25">
      <c r="A3536" s="176">
        <v>45376</v>
      </c>
      <c r="B3536" s="181" t="s">
        <v>6764</v>
      </c>
      <c r="C3536" s="181" t="s">
        <v>3007</v>
      </c>
      <c r="D3536" s="181" t="s">
        <v>3008</v>
      </c>
      <c r="E3536" s="182">
        <v>47000</v>
      </c>
      <c r="F3536" s="183">
        <v>430000</v>
      </c>
      <c r="G3536" s="182">
        <v>90300</v>
      </c>
      <c r="H3536" s="182">
        <v>567300</v>
      </c>
      <c r="I3536" s="184" t="s">
        <v>19</v>
      </c>
    </row>
    <row r="3537" spans="1:9" customFormat="1" ht="15" hidden="1" customHeight="1" x14ac:dyDescent="0.25">
      <c r="A3537" s="117">
        <v>45376</v>
      </c>
      <c r="B3537" s="118" t="s">
        <v>6765</v>
      </c>
      <c r="C3537" s="118" t="s">
        <v>3007</v>
      </c>
      <c r="D3537" s="118" t="s">
        <v>3008</v>
      </c>
      <c r="E3537" s="119">
        <v>47000</v>
      </c>
      <c r="F3537" s="120">
        <v>430000</v>
      </c>
      <c r="G3537" s="119">
        <v>90300</v>
      </c>
      <c r="H3537" s="119">
        <v>567300</v>
      </c>
      <c r="I3537" s="184" t="s">
        <v>19</v>
      </c>
    </row>
    <row r="3538" spans="1:9" customFormat="1" ht="15" hidden="1" customHeight="1" x14ac:dyDescent="0.25">
      <c r="A3538" s="176">
        <v>45376</v>
      </c>
      <c r="B3538" s="181" t="s">
        <v>6766</v>
      </c>
      <c r="C3538" s="181" t="s">
        <v>3562</v>
      </c>
      <c r="D3538" s="181" t="s">
        <v>3563</v>
      </c>
      <c r="E3538" s="182">
        <v>23500</v>
      </c>
      <c r="F3538" s="183">
        <v>215000</v>
      </c>
      <c r="G3538" s="182">
        <v>45150</v>
      </c>
      <c r="H3538" s="182">
        <v>283650</v>
      </c>
      <c r="I3538" s="184" t="s">
        <v>19</v>
      </c>
    </row>
    <row r="3539" spans="1:9" customFormat="1" ht="15" hidden="1" customHeight="1" x14ac:dyDescent="0.25">
      <c r="A3539" s="117">
        <v>45376</v>
      </c>
      <c r="B3539" s="118" t="s">
        <v>6767</v>
      </c>
      <c r="C3539" s="118" t="s">
        <v>2903</v>
      </c>
      <c r="D3539" s="118" t="s">
        <v>2904</v>
      </c>
      <c r="E3539" s="119">
        <v>23500</v>
      </c>
      <c r="F3539" s="120">
        <v>215000</v>
      </c>
      <c r="G3539" s="119">
        <v>45150</v>
      </c>
      <c r="H3539" s="119">
        <v>283650</v>
      </c>
      <c r="I3539" s="184" t="s">
        <v>19</v>
      </c>
    </row>
    <row r="3540" spans="1:9" customFormat="1" ht="15" hidden="1" customHeight="1" x14ac:dyDescent="0.25">
      <c r="A3540" s="176">
        <v>45376</v>
      </c>
      <c r="B3540" s="181" t="s">
        <v>6768</v>
      </c>
      <c r="C3540" s="181" t="s">
        <v>3235</v>
      </c>
      <c r="D3540" s="181" t="s">
        <v>3236</v>
      </c>
      <c r="E3540" s="182">
        <v>94000</v>
      </c>
      <c r="F3540" s="183">
        <v>860000</v>
      </c>
      <c r="G3540" s="182">
        <v>180600</v>
      </c>
      <c r="H3540" s="182">
        <v>1134600</v>
      </c>
      <c r="I3540" s="184" t="s">
        <v>19</v>
      </c>
    </row>
    <row r="3541" spans="1:9" customFormat="1" ht="15" hidden="1" customHeight="1" x14ac:dyDescent="0.25">
      <c r="A3541" s="117">
        <v>45376</v>
      </c>
      <c r="B3541" s="118" t="s">
        <v>6769</v>
      </c>
      <c r="C3541" s="118" t="s">
        <v>3235</v>
      </c>
      <c r="D3541" s="118" t="s">
        <v>3236</v>
      </c>
      <c r="E3541" s="119">
        <v>94000</v>
      </c>
      <c r="F3541" s="120">
        <v>860000</v>
      </c>
      <c r="G3541" s="119">
        <v>180600</v>
      </c>
      <c r="H3541" s="119">
        <v>1134600</v>
      </c>
      <c r="I3541" s="184" t="s">
        <v>19</v>
      </c>
    </row>
    <row r="3542" spans="1:9" customFormat="1" ht="15" hidden="1" customHeight="1" x14ac:dyDescent="0.25">
      <c r="A3542" s="176">
        <v>45376</v>
      </c>
      <c r="B3542" s="181" t="s">
        <v>6770</v>
      </c>
      <c r="C3542" s="181" t="s">
        <v>3235</v>
      </c>
      <c r="D3542" s="181" t="s">
        <v>3236</v>
      </c>
      <c r="E3542" s="182">
        <v>141000</v>
      </c>
      <c r="F3542" s="183">
        <v>1290000</v>
      </c>
      <c r="G3542" s="182">
        <v>270900</v>
      </c>
      <c r="H3542" s="182">
        <v>1701900</v>
      </c>
      <c r="I3542" s="184" t="s">
        <v>19</v>
      </c>
    </row>
    <row r="3543" spans="1:9" customFormat="1" ht="15" hidden="1" customHeight="1" x14ac:dyDescent="0.25">
      <c r="A3543" s="117">
        <v>45376</v>
      </c>
      <c r="B3543" s="118" t="s">
        <v>6771</v>
      </c>
      <c r="C3543" s="118" t="s">
        <v>2906</v>
      </c>
      <c r="D3543" s="118" t="s">
        <v>2907</v>
      </c>
      <c r="E3543" s="119">
        <v>23500</v>
      </c>
      <c r="F3543" s="120">
        <v>215000</v>
      </c>
      <c r="G3543" s="119">
        <v>45150</v>
      </c>
      <c r="H3543" s="119">
        <v>283650</v>
      </c>
      <c r="I3543" s="184" t="s">
        <v>19</v>
      </c>
    </row>
    <row r="3544" spans="1:9" customFormat="1" ht="15" hidden="1" customHeight="1" x14ac:dyDescent="0.25">
      <c r="A3544" s="176">
        <v>45376</v>
      </c>
      <c r="B3544" s="181" t="s">
        <v>6772</v>
      </c>
      <c r="C3544" s="181" t="s">
        <v>2906</v>
      </c>
      <c r="D3544" s="181" t="s">
        <v>2907</v>
      </c>
      <c r="E3544" s="182">
        <v>23500</v>
      </c>
      <c r="F3544" s="183">
        <v>215000</v>
      </c>
      <c r="G3544" s="182">
        <v>45150</v>
      </c>
      <c r="H3544" s="182">
        <v>283650</v>
      </c>
      <c r="I3544" s="184" t="s">
        <v>19</v>
      </c>
    </row>
    <row r="3545" spans="1:9" customFormat="1" ht="15" hidden="1" customHeight="1" x14ac:dyDescent="0.25">
      <c r="A3545" s="117">
        <v>45376</v>
      </c>
      <c r="B3545" s="118" t="s">
        <v>6773</v>
      </c>
      <c r="C3545" s="118" t="s">
        <v>3235</v>
      </c>
      <c r="D3545" s="118" t="s">
        <v>3236</v>
      </c>
      <c r="E3545" s="119">
        <v>94000</v>
      </c>
      <c r="F3545" s="120">
        <v>860000</v>
      </c>
      <c r="G3545" s="119">
        <v>180600</v>
      </c>
      <c r="H3545" s="119">
        <v>1134600</v>
      </c>
      <c r="I3545" s="184" t="s">
        <v>19</v>
      </c>
    </row>
    <row r="3546" spans="1:9" customFormat="1" ht="15" hidden="1" customHeight="1" x14ac:dyDescent="0.25">
      <c r="A3546" s="176">
        <v>45377</v>
      </c>
      <c r="B3546" s="181" t="s">
        <v>6774</v>
      </c>
      <c r="C3546" s="181" t="s">
        <v>3007</v>
      </c>
      <c r="D3546" s="181" t="s">
        <v>3008</v>
      </c>
      <c r="E3546" s="182">
        <v>9200</v>
      </c>
      <c r="F3546" s="183">
        <v>245000</v>
      </c>
      <c r="G3546" s="182">
        <v>51450</v>
      </c>
      <c r="H3546" s="182">
        <v>305650</v>
      </c>
      <c r="I3546" s="184" t="s">
        <v>19</v>
      </c>
    </row>
    <row r="3547" spans="1:9" customFormat="1" ht="15" hidden="1" customHeight="1" x14ac:dyDescent="0.25">
      <c r="A3547" s="117">
        <v>45377</v>
      </c>
      <c r="B3547" s="118" t="s">
        <v>6775</v>
      </c>
      <c r="C3547" s="118" t="s">
        <v>2921</v>
      </c>
      <c r="D3547" s="118" t="s">
        <v>2922</v>
      </c>
      <c r="E3547" s="119">
        <v>16500</v>
      </c>
      <c r="F3547" s="120">
        <v>245000</v>
      </c>
      <c r="G3547" s="119">
        <v>51450</v>
      </c>
      <c r="H3547" s="119">
        <v>312950</v>
      </c>
      <c r="I3547" s="184" t="s">
        <v>19</v>
      </c>
    </row>
    <row r="3548" spans="1:9" customFormat="1" ht="15" hidden="1" customHeight="1" x14ac:dyDescent="0.25">
      <c r="A3548" s="176">
        <v>45377</v>
      </c>
      <c r="B3548" s="181" t="s">
        <v>6776</v>
      </c>
      <c r="C3548" s="181" t="s">
        <v>2942</v>
      </c>
      <c r="D3548" s="181" t="s">
        <v>2943</v>
      </c>
      <c r="E3548" s="182">
        <v>23500</v>
      </c>
      <c r="F3548" s="183">
        <v>215000</v>
      </c>
      <c r="G3548" s="182">
        <v>45150</v>
      </c>
      <c r="H3548" s="182">
        <v>283650</v>
      </c>
      <c r="I3548" s="184" t="s">
        <v>19</v>
      </c>
    </row>
    <row r="3549" spans="1:9" customFormat="1" ht="15" hidden="1" customHeight="1" x14ac:dyDescent="0.25">
      <c r="A3549" s="117">
        <v>45377</v>
      </c>
      <c r="B3549" s="118" t="s">
        <v>6777</v>
      </c>
      <c r="C3549" s="118" t="s">
        <v>2942</v>
      </c>
      <c r="D3549" s="118" t="s">
        <v>2943</v>
      </c>
      <c r="E3549" s="119">
        <v>23500</v>
      </c>
      <c r="F3549" s="120">
        <v>215000</v>
      </c>
      <c r="G3549" s="119">
        <v>45150</v>
      </c>
      <c r="H3549" s="119">
        <v>283650</v>
      </c>
      <c r="I3549" s="184" t="s">
        <v>19</v>
      </c>
    </row>
    <row r="3550" spans="1:9" customFormat="1" ht="15" hidden="1" customHeight="1" x14ac:dyDescent="0.25">
      <c r="A3550" s="176">
        <v>45377</v>
      </c>
      <c r="B3550" s="181" t="s">
        <v>6778</v>
      </c>
      <c r="C3550" s="181" t="s">
        <v>2921</v>
      </c>
      <c r="D3550" s="181" t="s">
        <v>2922</v>
      </c>
      <c r="E3550" s="182">
        <v>47000</v>
      </c>
      <c r="F3550" s="183">
        <v>430000</v>
      </c>
      <c r="G3550" s="182">
        <v>90300</v>
      </c>
      <c r="H3550" s="182">
        <v>567300</v>
      </c>
      <c r="I3550" s="184" t="s">
        <v>19</v>
      </c>
    </row>
    <row r="3551" spans="1:9" customFormat="1" ht="15" hidden="1" customHeight="1" x14ac:dyDescent="0.25">
      <c r="A3551" s="117">
        <v>45377</v>
      </c>
      <c r="B3551" s="118" t="s">
        <v>6779</v>
      </c>
      <c r="C3551" s="118" t="s">
        <v>2903</v>
      </c>
      <c r="D3551" s="118" t="s">
        <v>2904</v>
      </c>
      <c r="E3551" s="119">
        <v>23500</v>
      </c>
      <c r="F3551" s="120">
        <v>215000</v>
      </c>
      <c r="G3551" s="119">
        <v>45150</v>
      </c>
      <c r="H3551" s="119">
        <v>283650</v>
      </c>
      <c r="I3551" s="184" t="s">
        <v>19</v>
      </c>
    </row>
    <row r="3552" spans="1:9" customFormat="1" ht="15" hidden="1" customHeight="1" x14ac:dyDescent="0.25">
      <c r="A3552" s="176">
        <v>45377</v>
      </c>
      <c r="B3552" s="181" t="s">
        <v>6780</v>
      </c>
      <c r="C3552" s="181" t="s">
        <v>6573</v>
      </c>
      <c r="D3552" s="181" t="s">
        <v>6574</v>
      </c>
      <c r="E3552" s="182">
        <v>23500</v>
      </c>
      <c r="F3552" s="183">
        <v>215000</v>
      </c>
      <c r="G3552" s="182">
        <v>45150</v>
      </c>
      <c r="H3552" s="182">
        <v>283650</v>
      </c>
      <c r="I3552" s="184" t="s">
        <v>19</v>
      </c>
    </row>
    <row r="3553" spans="1:9" customFormat="1" ht="15" hidden="1" customHeight="1" x14ac:dyDescent="0.25">
      <c r="A3553" s="117">
        <v>45377</v>
      </c>
      <c r="B3553" s="118" t="s">
        <v>6781</v>
      </c>
      <c r="C3553" s="118" t="s">
        <v>6573</v>
      </c>
      <c r="D3553" s="118" t="s">
        <v>6574</v>
      </c>
      <c r="E3553" s="119">
        <v>23500</v>
      </c>
      <c r="F3553" s="120">
        <v>215000</v>
      </c>
      <c r="G3553" s="119">
        <v>45150</v>
      </c>
      <c r="H3553" s="119">
        <v>283650</v>
      </c>
      <c r="I3553" s="184" t="s">
        <v>19</v>
      </c>
    </row>
    <row r="3554" spans="1:9" customFormat="1" ht="15" hidden="1" customHeight="1" x14ac:dyDescent="0.25">
      <c r="A3554" s="176">
        <v>45377</v>
      </c>
      <c r="B3554" s="181" t="s">
        <v>6782</v>
      </c>
      <c r="C3554" s="181" t="s">
        <v>4681</v>
      </c>
      <c r="D3554" s="181" t="s">
        <v>4682</v>
      </c>
      <c r="E3554" s="182">
        <v>33000</v>
      </c>
      <c r="F3554" s="183">
        <v>430000</v>
      </c>
      <c r="G3554" s="182">
        <v>90300</v>
      </c>
      <c r="H3554" s="182">
        <v>553300</v>
      </c>
      <c r="I3554" s="184" t="s">
        <v>19</v>
      </c>
    </row>
    <row r="3555" spans="1:9" customFormat="1" ht="15" hidden="1" customHeight="1" x14ac:dyDescent="0.25">
      <c r="A3555" s="117">
        <v>45377</v>
      </c>
      <c r="B3555" s="118" t="s">
        <v>6783</v>
      </c>
      <c r="C3555" s="118" t="s">
        <v>2921</v>
      </c>
      <c r="D3555" s="118" t="s">
        <v>2922</v>
      </c>
      <c r="E3555" s="119">
        <v>33000</v>
      </c>
      <c r="F3555" s="120">
        <v>490000</v>
      </c>
      <c r="G3555" s="119">
        <v>102900</v>
      </c>
      <c r="H3555" s="119">
        <v>625900</v>
      </c>
      <c r="I3555" s="184" t="s">
        <v>19</v>
      </c>
    </row>
    <row r="3556" spans="1:9" customFormat="1" ht="15" hidden="1" customHeight="1" x14ac:dyDescent="0.25">
      <c r="A3556" s="176">
        <v>45378</v>
      </c>
      <c r="B3556" s="181" t="s">
        <v>6784</v>
      </c>
      <c r="C3556" s="181" t="s">
        <v>3235</v>
      </c>
      <c r="D3556" s="181" t="s">
        <v>3236</v>
      </c>
      <c r="E3556" s="182">
        <v>47000</v>
      </c>
      <c r="F3556" s="183">
        <v>380000</v>
      </c>
      <c r="G3556" s="182">
        <v>79800</v>
      </c>
      <c r="H3556" s="182">
        <v>506800</v>
      </c>
      <c r="I3556" s="184" t="s">
        <v>19</v>
      </c>
    </row>
    <row r="3557" spans="1:9" customFormat="1" ht="15" hidden="1" customHeight="1" x14ac:dyDescent="0.25">
      <c r="A3557" s="117">
        <v>45378</v>
      </c>
      <c r="B3557" s="118" t="s">
        <v>6785</v>
      </c>
      <c r="C3557" s="118" t="s">
        <v>3562</v>
      </c>
      <c r="D3557" s="118" t="s">
        <v>3563</v>
      </c>
      <c r="E3557" s="119">
        <v>70500</v>
      </c>
      <c r="F3557" s="120">
        <v>570000</v>
      </c>
      <c r="G3557" s="119">
        <v>119700</v>
      </c>
      <c r="H3557" s="119">
        <v>760200</v>
      </c>
      <c r="I3557" s="184" t="s">
        <v>19</v>
      </c>
    </row>
    <row r="3558" spans="1:9" customFormat="1" ht="15" hidden="1" customHeight="1" x14ac:dyDescent="0.25">
      <c r="A3558" s="176">
        <v>45378</v>
      </c>
      <c r="B3558" s="181" t="s">
        <v>6786</v>
      </c>
      <c r="C3558" s="181" t="s">
        <v>4905</v>
      </c>
      <c r="D3558" s="181" t="s">
        <v>4906</v>
      </c>
      <c r="E3558" s="182">
        <v>8800</v>
      </c>
      <c r="F3558" s="183">
        <v>205000</v>
      </c>
      <c r="G3558" s="182">
        <v>43050</v>
      </c>
      <c r="H3558" s="182">
        <v>256850</v>
      </c>
      <c r="I3558" s="184" t="s">
        <v>19</v>
      </c>
    </row>
    <row r="3559" spans="1:9" customFormat="1" ht="15" hidden="1" customHeight="1" x14ac:dyDescent="0.25">
      <c r="A3559" s="117">
        <v>45378</v>
      </c>
      <c r="B3559" s="118" t="s">
        <v>6787</v>
      </c>
      <c r="C3559" s="118" t="s">
        <v>3007</v>
      </c>
      <c r="D3559" s="118" t="s">
        <v>3008</v>
      </c>
      <c r="E3559" s="119">
        <v>17600</v>
      </c>
      <c r="F3559" s="120">
        <v>490000</v>
      </c>
      <c r="G3559" s="119">
        <v>102900</v>
      </c>
      <c r="H3559" s="119">
        <v>610500</v>
      </c>
      <c r="I3559" s="184" t="s">
        <v>19</v>
      </c>
    </row>
    <row r="3560" spans="1:9" customFormat="1" ht="15" hidden="1" customHeight="1" x14ac:dyDescent="0.25">
      <c r="A3560" s="176">
        <v>45378</v>
      </c>
      <c r="B3560" s="181" t="s">
        <v>6788</v>
      </c>
      <c r="C3560" s="181" t="s">
        <v>3007</v>
      </c>
      <c r="D3560" s="181" t="s">
        <v>3008</v>
      </c>
      <c r="E3560" s="182">
        <v>11000</v>
      </c>
      <c r="F3560" s="183">
        <v>265000</v>
      </c>
      <c r="G3560" s="182">
        <v>55650</v>
      </c>
      <c r="H3560" s="182">
        <v>331650</v>
      </c>
      <c r="I3560" s="184" t="s">
        <v>19</v>
      </c>
    </row>
    <row r="3561" spans="1:9" customFormat="1" ht="15" hidden="1" customHeight="1" x14ac:dyDescent="0.25">
      <c r="A3561" s="117">
        <v>45378</v>
      </c>
      <c r="B3561" s="118" t="s">
        <v>6789</v>
      </c>
      <c r="C3561" s="118" t="s">
        <v>3007</v>
      </c>
      <c r="D3561" s="118" t="s">
        <v>3008</v>
      </c>
      <c r="E3561" s="119">
        <v>11000</v>
      </c>
      <c r="F3561" s="120">
        <v>265000</v>
      </c>
      <c r="G3561" s="119">
        <v>55650</v>
      </c>
      <c r="H3561" s="119">
        <v>331650</v>
      </c>
      <c r="I3561" s="184" t="s">
        <v>19</v>
      </c>
    </row>
    <row r="3562" spans="1:9" customFormat="1" ht="15" hidden="1" customHeight="1" x14ac:dyDescent="0.25">
      <c r="A3562" s="176">
        <v>45378</v>
      </c>
      <c r="B3562" s="181" t="s">
        <v>6790</v>
      </c>
      <c r="C3562" s="181" t="s">
        <v>3007</v>
      </c>
      <c r="D3562" s="181" t="s">
        <v>3008</v>
      </c>
      <c r="E3562" s="182">
        <v>11000</v>
      </c>
      <c r="F3562" s="183">
        <v>265000</v>
      </c>
      <c r="G3562" s="182">
        <v>55650</v>
      </c>
      <c r="H3562" s="182">
        <v>331650</v>
      </c>
      <c r="I3562" s="184" t="s">
        <v>19</v>
      </c>
    </row>
    <row r="3563" spans="1:9" customFormat="1" ht="15" hidden="1" customHeight="1" x14ac:dyDescent="0.25">
      <c r="A3563" s="117">
        <v>45378</v>
      </c>
      <c r="B3563" s="118" t="s">
        <v>6791</v>
      </c>
      <c r="C3563" s="118" t="s">
        <v>3007</v>
      </c>
      <c r="D3563" s="118" t="s">
        <v>3008</v>
      </c>
      <c r="E3563" s="119">
        <v>17600</v>
      </c>
      <c r="F3563" s="120">
        <v>490000</v>
      </c>
      <c r="G3563" s="119">
        <v>102900</v>
      </c>
      <c r="H3563" s="119">
        <v>610500</v>
      </c>
      <c r="I3563" s="184" t="s">
        <v>19</v>
      </c>
    </row>
    <row r="3564" spans="1:9" customFormat="1" ht="15" hidden="1" customHeight="1" x14ac:dyDescent="0.25">
      <c r="A3564" s="176">
        <v>45378</v>
      </c>
      <c r="B3564" s="181" t="s">
        <v>6792</v>
      </c>
      <c r="C3564" s="181" t="s">
        <v>2997</v>
      </c>
      <c r="D3564" s="181" t="s">
        <v>2998</v>
      </c>
      <c r="E3564" s="182">
        <v>30000</v>
      </c>
      <c r="F3564" s="183">
        <v>795000</v>
      </c>
      <c r="G3564" s="182">
        <v>166950</v>
      </c>
      <c r="H3564" s="182">
        <v>991950</v>
      </c>
      <c r="I3564" s="184" t="s">
        <v>19</v>
      </c>
    </row>
    <row r="3565" spans="1:9" customFormat="1" ht="15" hidden="1" customHeight="1" x14ac:dyDescent="0.25">
      <c r="A3565" s="117">
        <v>45378</v>
      </c>
      <c r="B3565" s="118" t="s">
        <v>6793</v>
      </c>
      <c r="C3565" s="118" t="s">
        <v>2883</v>
      </c>
      <c r="D3565" s="118" t="s">
        <v>2884</v>
      </c>
      <c r="E3565" s="119">
        <v>16000</v>
      </c>
      <c r="F3565" s="120">
        <v>410000</v>
      </c>
      <c r="G3565" s="119">
        <v>86100</v>
      </c>
      <c r="H3565" s="119">
        <v>512100</v>
      </c>
      <c r="I3565" s="184" t="s">
        <v>19</v>
      </c>
    </row>
    <row r="3566" spans="1:9" customFormat="1" ht="15" hidden="1" customHeight="1" x14ac:dyDescent="0.25">
      <c r="A3566" s="176">
        <v>45378</v>
      </c>
      <c r="B3566" s="181" t="s">
        <v>6794</v>
      </c>
      <c r="C3566" s="181" t="s">
        <v>3007</v>
      </c>
      <c r="D3566" s="181" t="s">
        <v>3008</v>
      </c>
      <c r="E3566" s="182">
        <v>17600</v>
      </c>
      <c r="F3566" s="183">
        <v>490000</v>
      </c>
      <c r="G3566" s="182">
        <v>102900</v>
      </c>
      <c r="H3566" s="182">
        <v>610500</v>
      </c>
      <c r="I3566" s="184" t="s">
        <v>19</v>
      </c>
    </row>
    <row r="3567" spans="1:9" customFormat="1" ht="15" hidden="1" customHeight="1" x14ac:dyDescent="0.25">
      <c r="A3567" s="117">
        <v>45378</v>
      </c>
      <c r="B3567" s="118" t="s">
        <v>6795</v>
      </c>
      <c r="C3567" s="118" t="s">
        <v>3235</v>
      </c>
      <c r="D3567" s="118" t="s">
        <v>3236</v>
      </c>
      <c r="E3567" s="119">
        <v>94000</v>
      </c>
      <c r="F3567" s="120">
        <v>860000</v>
      </c>
      <c r="G3567" s="119">
        <v>180600</v>
      </c>
      <c r="H3567" s="119">
        <v>1134600</v>
      </c>
      <c r="I3567" s="184" t="s">
        <v>19</v>
      </c>
    </row>
    <row r="3568" spans="1:9" customFormat="1" ht="15" hidden="1" customHeight="1" x14ac:dyDescent="0.25">
      <c r="A3568" s="176">
        <v>45378</v>
      </c>
      <c r="B3568" s="181" t="s">
        <v>6796</v>
      </c>
      <c r="C3568" s="181" t="s">
        <v>3041</v>
      </c>
      <c r="D3568" s="181" t="s">
        <v>3042</v>
      </c>
      <c r="E3568" s="182">
        <v>15000</v>
      </c>
      <c r="F3568" s="183">
        <v>450500</v>
      </c>
      <c r="G3568" s="182">
        <v>94605</v>
      </c>
      <c r="H3568" s="182">
        <v>560105</v>
      </c>
      <c r="I3568" s="184" t="s">
        <v>19</v>
      </c>
    </row>
    <row r="3569" spans="1:9" customFormat="1" ht="15" hidden="1" customHeight="1" x14ac:dyDescent="0.25">
      <c r="A3569" s="117">
        <v>45378</v>
      </c>
      <c r="B3569" s="118" t="s">
        <v>6797</v>
      </c>
      <c r="C3569" s="118" t="s">
        <v>3241</v>
      </c>
      <c r="D3569" s="118" t="s">
        <v>3242</v>
      </c>
      <c r="E3569" s="119">
        <v>30000</v>
      </c>
      <c r="F3569" s="120">
        <v>901000</v>
      </c>
      <c r="G3569" s="119">
        <v>189210</v>
      </c>
      <c r="H3569" s="119">
        <v>1120210</v>
      </c>
      <c r="I3569" s="184" t="s">
        <v>19</v>
      </c>
    </row>
    <row r="3570" spans="1:9" customFormat="1" ht="15" hidden="1" customHeight="1" x14ac:dyDescent="0.25">
      <c r="A3570" s="176">
        <v>45378</v>
      </c>
      <c r="B3570" s="181" t="s">
        <v>6798</v>
      </c>
      <c r="C3570" s="181" t="s">
        <v>3235</v>
      </c>
      <c r="D3570" s="181" t="s">
        <v>3236</v>
      </c>
      <c r="E3570" s="182">
        <v>23500</v>
      </c>
      <c r="F3570" s="183">
        <v>313000</v>
      </c>
      <c r="G3570" s="182">
        <v>65730</v>
      </c>
      <c r="H3570" s="182">
        <v>402230</v>
      </c>
      <c r="I3570" s="184" t="s">
        <v>19</v>
      </c>
    </row>
    <row r="3571" spans="1:9" customFormat="1" ht="15" hidden="1" customHeight="1" x14ac:dyDescent="0.25">
      <c r="A3571" s="117">
        <v>45378</v>
      </c>
      <c r="B3571" s="118" t="s">
        <v>6799</v>
      </c>
      <c r="C3571" s="118" t="s">
        <v>6573</v>
      </c>
      <c r="D3571" s="118" t="s">
        <v>6574</v>
      </c>
      <c r="E3571" s="119">
        <v>23500</v>
      </c>
      <c r="F3571" s="120">
        <v>313000</v>
      </c>
      <c r="G3571" s="119">
        <v>65730</v>
      </c>
      <c r="H3571" s="119">
        <v>402230</v>
      </c>
      <c r="I3571" s="184" t="s">
        <v>19</v>
      </c>
    </row>
    <row r="3572" spans="1:9" customFormat="1" ht="15" hidden="1" customHeight="1" x14ac:dyDescent="0.25">
      <c r="A3572" s="176">
        <v>45378</v>
      </c>
      <c r="B3572" s="181" t="s">
        <v>6800</v>
      </c>
      <c r="C3572" s="181" t="s">
        <v>3007</v>
      </c>
      <c r="D3572" s="181" t="s">
        <v>3008</v>
      </c>
      <c r="E3572" s="182">
        <v>47000</v>
      </c>
      <c r="F3572" s="183">
        <v>430000</v>
      </c>
      <c r="G3572" s="182">
        <v>90300</v>
      </c>
      <c r="H3572" s="182">
        <v>567300</v>
      </c>
      <c r="I3572" s="184" t="s">
        <v>19</v>
      </c>
    </row>
    <row r="3573" spans="1:9" customFormat="1" ht="15" hidden="1" customHeight="1" x14ac:dyDescent="0.25">
      <c r="A3573" s="117">
        <v>45378</v>
      </c>
      <c r="B3573" s="118" t="s">
        <v>6801</v>
      </c>
      <c r="C3573" s="118" t="s">
        <v>2851</v>
      </c>
      <c r="D3573" s="118" t="s">
        <v>2852</v>
      </c>
      <c r="E3573" s="119">
        <v>29300</v>
      </c>
      <c r="F3573" s="120">
        <v>415000</v>
      </c>
      <c r="G3573" s="119">
        <v>87150</v>
      </c>
      <c r="H3573" s="119">
        <v>531450</v>
      </c>
      <c r="I3573" s="184" t="s">
        <v>19</v>
      </c>
    </row>
    <row r="3574" spans="1:9" customFormat="1" ht="15" hidden="1" customHeight="1" x14ac:dyDescent="0.25">
      <c r="A3574" s="176">
        <v>45380</v>
      </c>
      <c r="B3574" s="181" t="s">
        <v>6802</v>
      </c>
      <c r="C3574" s="181" t="s">
        <v>5109</v>
      </c>
      <c r="D3574" s="181" t="s">
        <v>5110</v>
      </c>
      <c r="E3574" s="182">
        <v>16000</v>
      </c>
      <c r="F3574" s="183">
        <v>320000</v>
      </c>
      <c r="G3574" s="182">
        <v>67200</v>
      </c>
      <c r="H3574" s="182">
        <v>403200</v>
      </c>
      <c r="I3574" s="184" t="s">
        <v>19</v>
      </c>
    </row>
    <row r="3575" spans="1:9" customFormat="1" ht="15" hidden="1" customHeight="1" x14ac:dyDescent="0.25">
      <c r="A3575" s="117">
        <v>45380</v>
      </c>
      <c r="B3575" s="118" t="s">
        <v>6803</v>
      </c>
      <c r="C3575" s="118" t="s">
        <v>3007</v>
      </c>
      <c r="D3575" s="118" t="s">
        <v>3008</v>
      </c>
      <c r="E3575" s="119">
        <v>13000</v>
      </c>
      <c r="F3575" s="120">
        <v>367500</v>
      </c>
      <c r="G3575" s="119">
        <v>77175</v>
      </c>
      <c r="H3575" s="119">
        <v>457675</v>
      </c>
      <c r="I3575" s="184" t="s">
        <v>19</v>
      </c>
    </row>
    <row r="3576" spans="1:9" customFormat="1" ht="15" hidden="1" customHeight="1" x14ac:dyDescent="0.25">
      <c r="A3576" s="176">
        <v>45380</v>
      </c>
      <c r="B3576" s="181" t="s">
        <v>6804</v>
      </c>
      <c r="C3576" s="181" t="s">
        <v>2921</v>
      </c>
      <c r="D3576" s="181" t="s">
        <v>2922</v>
      </c>
      <c r="E3576" s="182">
        <v>23500</v>
      </c>
      <c r="F3576" s="183">
        <v>190000</v>
      </c>
      <c r="G3576" s="182">
        <v>39900</v>
      </c>
      <c r="H3576" s="182">
        <v>253400</v>
      </c>
      <c r="I3576" s="184" t="s">
        <v>19</v>
      </c>
    </row>
    <row r="3577" spans="1:9" customFormat="1" ht="15" hidden="1" customHeight="1" x14ac:dyDescent="0.25">
      <c r="A3577" s="117">
        <v>45380</v>
      </c>
      <c r="B3577" s="118" t="s">
        <v>6805</v>
      </c>
      <c r="C3577" s="118" t="s">
        <v>2921</v>
      </c>
      <c r="D3577" s="118" t="s">
        <v>2922</v>
      </c>
      <c r="E3577" s="119">
        <v>66000</v>
      </c>
      <c r="F3577" s="120">
        <v>860000</v>
      </c>
      <c r="G3577" s="119">
        <v>180600</v>
      </c>
      <c r="H3577" s="119">
        <v>1106600</v>
      </c>
      <c r="I3577" s="184" t="s">
        <v>19</v>
      </c>
    </row>
    <row r="3578" spans="1:9" customFormat="1" ht="15" hidden="1" customHeight="1" x14ac:dyDescent="0.25">
      <c r="A3578" s="176">
        <v>45380</v>
      </c>
      <c r="B3578" s="181" t="s">
        <v>6806</v>
      </c>
      <c r="C3578" s="181" t="s">
        <v>2921</v>
      </c>
      <c r="D3578" s="181" t="s">
        <v>2922</v>
      </c>
      <c r="E3578" s="182">
        <v>66000</v>
      </c>
      <c r="F3578" s="183">
        <v>860000</v>
      </c>
      <c r="G3578" s="182">
        <v>180600</v>
      </c>
      <c r="H3578" s="182">
        <v>1106600</v>
      </c>
      <c r="I3578" s="184" t="s">
        <v>19</v>
      </c>
    </row>
    <row r="3579" spans="1:9" customFormat="1" ht="15" hidden="1" customHeight="1" x14ac:dyDescent="0.25">
      <c r="A3579" s="117">
        <v>45380</v>
      </c>
      <c r="B3579" s="118" t="s">
        <v>6807</v>
      </c>
      <c r="C3579" s="118" t="s">
        <v>2903</v>
      </c>
      <c r="D3579" s="118" t="s">
        <v>2904</v>
      </c>
      <c r="E3579" s="119">
        <v>23500</v>
      </c>
      <c r="F3579" s="120">
        <v>215000</v>
      </c>
      <c r="G3579" s="119">
        <v>45150</v>
      </c>
      <c r="H3579" s="119">
        <v>283650</v>
      </c>
      <c r="I3579" s="184" t="s">
        <v>19</v>
      </c>
    </row>
    <row r="3580" spans="1:9" customFormat="1" ht="15" hidden="1" customHeight="1" x14ac:dyDescent="0.25">
      <c r="A3580" s="176">
        <v>45380</v>
      </c>
      <c r="B3580" s="181" t="s">
        <v>6808</v>
      </c>
      <c r="C3580" s="181" t="s">
        <v>2921</v>
      </c>
      <c r="D3580" s="181" t="s">
        <v>2922</v>
      </c>
      <c r="E3580" s="182">
        <v>23500</v>
      </c>
      <c r="F3580" s="183">
        <v>215000</v>
      </c>
      <c r="G3580" s="182">
        <v>45150</v>
      </c>
      <c r="H3580" s="182">
        <v>283650</v>
      </c>
      <c r="I3580" s="184" t="s">
        <v>19</v>
      </c>
    </row>
    <row r="3581" spans="1:9" customFormat="1" ht="15" hidden="1" customHeight="1" x14ac:dyDescent="0.25">
      <c r="A3581" s="117">
        <v>45380</v>
      </c>
      <c r="B3581" s="118" t="s">
        <v>6809</v>
      </c>
      <c r="C3581" s="118" t="s">
        <v>2921</v>
      </c>
      <c r="D3581" s="118" t="s">
        <v>2922</v>
      </c>
      <c r="E3581" s="119">
        <v>23500</v>
      </c>
      <c r="F3581" s="120">
        <v>215000</v>
      </c>
      <c r="G3581" s="119">
        <v>45150</v>
      </c>
      <c r="H3581" s="119">
        <v>283650</v>
      </c>
      <c r="I3581" s="184" t="s">
        <v>19</v>
      </c>
    </row>
    <row r="3582" spans="1:9" customFormat="1" ht="15" hidden="1" customHeight="1" x14ac:dyDescent="0.25">
      <c r="A3582" s="176">
        <v>45380</v>
      </c>
      <c r="B3582" s="181" t="s">
        <v>6810</v>
      </c>
      <c r="C3582" s="181" t="s">
        <v>2921</v>
      </c>
      <c r="D3582" s="181" t="s">
        <v>2922</v>
      </c>
      <c r="E3582" s="182">
        <v>47000</v>
      </c>
      <c r="F3582" s="183">
        <v>430000</v>
      </c>
      <c r="G3582" s="182">
        <v>90300</v>
      </c>
      <c r="H3582" s="182">
        <v>567300</v>
      </c>
      <c r="I3582" s="184" t="s">
        <v>19</v>
      </c>
    </row>
    <row r="3583" spans="1:9" customFormat="1" ht="15" hidden="1" customHeight="1" x14ac:dyDescent="0.25">
      <c r="A3583" s="117">
        <v>45380</v>
      </c>
      <c r="B3583" s="118" t="s">
        <v>6811</v>
      </c>
      <c r="C3583" s="118" t="s">
        <v>3007</v>
      </c>
      <c r="D3583" s="118" t="s">
        <v>3008</v>
      </c>
      <c r="E3583" s="119">
        <v>47000</v>
      </c>
      <c r="F3583" s="120">
        <v>430000</v>
      </c>
      <c r="G3583" s="119">
        <v>90300</v>
      </c>
      <c r="H3583" s="119">
        <v>567300</v>
      </c>
      <c r="I3583" s="184" t="s">
        <v>19</v>
      </c>
    </row>
    <row r="3584" spans="1:9" customFormat="1" ht="15" hidden="1" customHeight="1" x14ac:dyDescent="0.25">
      <c r="A3584" s="176">
        <v>45380</v>
      </c>
      <c r="B3584" s="181" t="s">
        <v>6812</v>
      </c>
      <c r="C3584" s="181" t="s">
        <v>3235</v>
      </c>
      <c r="D3584" s="181" t="s">
        <v>3236</v>
      </c>
      <c r="E3584" s="182">
        <v>0</v>
      </c>
      <c r="F3584" s="183">
        <v>860000</v>
      </c>
      <c r="G3584" s="182">
        <v>180600</v>
      </c>
      <c r="H3584" s="182">
        <v>1040600</v>
      </c>
      <c r="I3584" s="184" t="s">
        <v>19</v>
      </c>
    </row>
    <row r="3585" spans="1:9" customFormat="1" ht="15" hidden="1" customHeight="1" x14ac:dyDescent="0.25">
      <c r="A3585" s="117">
        <v>45380</v>
      </c>
      <c r="B3585" s="118" t="s">
        <v>6813</v>
      </c>
      <c r="C3585" s="118" t="s">
        <v>2945</v>
      </c>
      <c r="D3585" s="118" t="s">
        <v>2946</v>
      </c>
      <c r="E3585" s="119">
        <v>16700</v>
      </c>
      <c r="F3585" s="120">
        <v>480000</v>
      </c>
      <c r="G3585" s="119">
        <v>100800</v>
      </c>
      <c r="H3585" s="119">
        <v>597500</v>
      </c>
      <c r="I3585" s="184" t="s">
        <v>19</v>
      </c>
    </row>
    <row r="3586" spans="1:9" customFormat="1" ht="15" hidden="1" customHeight="1" x14ac:dyDescent="0.25">
      <c r="A3586" s="176">
        <v>45380</v>
      </c>
      <c r="B3586" s="181" t="s">
        <v>6814</v>
      </c>
      <c r="C3586" s="181" t="s">
        <v>2945</v>
      </c>
      <c r="D3586" s="181" t="s">
        <v>2946</v>
      </c>
      <c r="E3586" s="182">
        <v>7000</v>
      </c>
      <c r="F3586" s="183">
        <v>315000</v>
      </c>
      <c r="G3586" s="182">
        <v>66150</v>
      </c>
      <c r="H3586" s="182">
        <v>388150</v>
      </c>
      <c r="I3586" s="184" t="s">
        <v>19</v>
      </c>
    </row>
    <row r="3587" spans="1:9" customFormat="1" ht="15" customHeight="1" x14ac:dyDescent="0.25">
      <c r="A3587" s="117">
        <v>45380</v>
      </c>
      <c r="B3587" s="132" t="s">
        <v>6815</v>
      </c>
      <c r="C3587" s="121" t="s">
        <v>3132</v>
      </c>
      <c r="D3587" s="132" t="s">
        <v>3133</v>
      </c>
      <c r="E3587" s="196">
        <v>0</v>
      </c>
      <c r="F3587" s="197">
        <v>1461840</v>
      </c>
      <c r="G3587" s="196">
        <v>306986.40000000002</v>
      </c>
      <c r="H3587" s="196">
        <v>1768826.4</v>
      </c>
      <c r="I3587" s="121" t="s">
        <v>103</v>
      </c>
    </row>
    <row r="3588" spans="1:9" ht="15" customHeight="1" x14ac:dyDescent="0.25">
      <c r="A3588" s="176">
        <v>45380</v>
      </c>
      <c r="B3588" s="177" t="s">
        <v>6816</v>
      </c>
      <c r="C3588" s="177" t="s">
        <v>2895</v>
      </c>
      <c r="D3588" s="177" t="s">
        <v>2896</v>
      </c>
      <c r="E3588" s="178">
        <v>0</v>
      </c>
      <c r="F3588" s="179">
        <v>401760</v>
      </c>
      <c r="G3588" s="178">
        <v>84369.600000000006</v>
      </c>
      <c r="H3588" s="178">
        <v>486129.6</v>
      </c>
      <c r="I3588" s="180" t="s">
        <v>103</v>
      </c>
    </row>
    <row r="3589" spans="1:9" customFormat="1" ht="15" customHeight="1" x14ac:dyDescent="0.25">
      <c r="A3589" s="117">
        <v>45380</v>
      </c>
      <c r="B3589" s="118" t="s">
        <v>6817</v>
      </c>
      <c r="C3589" s="118" t="s">
        <v>3241</v>
      </c>
      <c r="D3589" s="118" t="s">
        <v>3242</v>
      </c>
      <c r="E3589" s="119">
        <v>0</v>
      </c>
      <c r="F3589" s="120">
        <v>379080</v>
      </c>
      <c r="G3589" s="119">
        <v>79606.8</v>
      </c>
      <c r="H3589" s="119">
        <v>458686.8</v>
      </c>
      <c r="I3589" s="198" t="s">
        <v>103</v>
      </c>
    </row>
    <row r="3590" spans="1:9" customFormat="1" ht="15" customHeight="1" x14ac:dyDescent="0.25">
      <c r="A3590" s="176">
        <v>45380</v>
      </c>
      <c r="B3590" s="181" t="s">
        <v>6818</v>
      </c>
      <c r="C3590" s="181" t="s">
        <v>4109</v>
      </c>
      <c r="D3590" s="181" t="s">
        <v>4110</v>
      </c>
      <c r="E3590" s="182">
        <v>0</v>
      </c>
      <c r="F3590" s="183">
        <v>6960</v>
      </c>
      <c r="G3590" s="182">
        <v>1461.6</v>
      </c>
      <c r="H3590" s="182">
        <v>8421.6</v>
      </c>
      <c r="I3590" s="184" t="s">
        <v>103</v>
      </c>
    </row>
    <row r="3591" spans="1:9" customFormat="1" ht="15" hidden="1" customHeight="1" x14ac:dyDescent="0.25">
      <c r="A3591" s="117">
        <v>45380</v>
      </c>
      <c r="B3591" s="118" t="s">
        <v>6819</v>
      </c>
      <c r="C3591" s="118" t="s">
        <v>2856</v>
      </c>
      <c r="D3591" s="118" t="s">
        <v>2857</v>
      </c>
      <c r="E3591" s="119">
        <v>0</v>
      </c>
      <c r="F3591" s="120">
        <v>3784279.66</v>
      </c>
      <c r="G3591" s="119">
        <v>794698.72</v>
      </c>
      <c r="H3591" s="119">
        <v>4578978.38</v>
      </c>
      <c r="I3591" s="184" t="s">
        <v>19</v>
      </c>
    </row>
    <row r="3592" spans="1:9" customFormat="1" ht="15" customHeight="1" x14ac:dyDescent="0.25">
      <c r="A3592" s="176">
        <v>45380</v>
      </c>
      <c r="B3592" s="181" t="s">
        <v>6820</v>
      </c>
      <c r="C3592" s="181" t="s">
        <v>3290</v>
      </c>
      <c r="D3592" s="181" t="s">
        <v>3291</v>
      </c>
      <c r="E3592" s="182">
        <v>0</v>
      </c>
      <c r="F3592" s="183">
        <v>409200</v>
      </c>
      <c r="G3592" s="182">
        <v>85932</v>
      </c>
      <c r="H3592" s="182">
        <v>495132</v>
      </c>
      <c r="I3592" s="121" t="s">
        <v>103</v>
      </c>
    </row>
    <row r="3593" spans="1:9" customFormat="1" ht="15" customHeight="1" x14ac:dyDescent="0.25">
      <c r="A3593" s="117">
        <v>45380</v>
      </c>
      <c r="B3593" s="118" t="s">
        <v>6821</v>
      </c>
      <c r="C3593" s="132" t="s">
        <v>3722</v>
      </c>
      <c r="D3593" s="118" t="s">
        <v>3723</v>
      </c>
      <c r="E3593" s="119">
        <v>0</v>
      </c>
      <c r="F3593" s="120">
        <v>165600</v>
      </c>
      <c r="G3593" s="119">
        <v>34776</v>
      </c>
      <c r="H3593" s="119">
        <v>200376</v>
      </c>
      <c r="I3593" s="186" t="s">
        <v>103</v>
      </c>
    </row>
    <row r="3594" spans="1:9" customFormat="1" ht="15" customHeight="1" x14ac:dyDescent="0.25">
      <c r="A3594" s="176">
        <v>45380</v>
      </c>
      <c r="B3594" s="181" t="s">
        <v>6822</v>
      </c>
      <c r="C3594" s="181" t="s">
        <v>2892</v>
      </c>
      <c r="D3594" s="181" t="s">
        <v>2893</v>
      </c>
      <c r="E3594" s="182">
        <v>0</v>
      </c>
      <c r="F3594" s="183">
        <v>462960</v>
      </c>
      <c r="G3594" s="182">
        <v>97221.6</v>
      </c>
      <c r="H3594" s="182">
        <v>560181.6</v>
      </c>
      <c r="I3594" s="185" t="s">
        <v>103</v>
      </c>
    </row>
    <row r="3595" spans="1:9" customFormat="1" ht="15" customHeight="1" x14ac:dyDescent="0.25">
      <c r="A3595" s="117">
        <v>45380</v>
      </c>
      <c r="B3595" s="118" t="s">
        <v>6823</v>
      </c>
      <c r="C3595" s="118" t="s">
        <v>3117</v>
      </c>
      <c r="D3595" s="118" t="s">
        <v>3118</v>
      </c>
      <c r="E3595" s="119">
        <v>0</v>
      </c>
      <c r="F3595" s="120">
        <v>400480</v>
      </c>
      <c r="G3595" s="119">
        <v>84100.800000000003</v>
      </c>
      <c r="H3595" s="119">
        <v>484580.8</v>
      </c>
      <c r="I3595" s="198" t="s">
        <v>103</v>
      </c>
    </row>
    <row r="3596" spans="1:9" customFormat="1" ht="15" customHeight="1" x14ac:dyDescent="0.25">
      <c r="A3596" s="176">
        <v>45380</v>
      </c>
      <c r="B3596" s="181" t="s">
        <v>6824</v>
      </c>
      <c r="C3596" s="181" t="s">
        <v>3140</v>
      </c>
      <c r="D3596" s="181" t="s">
        <v>3141</v>
      </c>
      <c r="E3596" s="182">
        <v>0</v>
      </c>
      <c r="F3596" s="183">
        <v>96720</v>
      </c>
      <c r="G3596" s="182">
        <v>20311.2</v>
      </c>
      <c r="H3596" s="182">
        <v>117031.2</v>
      </c>
      <c r="I3596" s="185" t="s">
        <v>103</v>
      </c>
    </row>
    <row r="3597" spans="1:9" customFormat="1" ht="15" customHeight="1" x14ac:dyDescent="0.25">
      <c r="A3597" s="117">
        <v>45380</v>
      </c>
      <c r="B3597" s="118" t="s">
        <v>6825</v>
      </c>
      <c r="C3597" s="118" t="s">
        <v>3346</v>
      </c>
      <c r="D3597" s="118" t="s">
        <v>3347</v>
      </c>
      <c r="E3597" s="119">
        <v>0</v>
      </c>
      <c r="F3597" s="120">
        <v>1528340</v>
      </c>
      <c r="G3597" s="119">
        <v>320951.40000000002</v>
      </c>
      <c r="H3597" s="119">
        <v>1849291.4</v>
      </c>
      <c r="I3597" s="187" t="s">
        <v>103</v>
      </c>
    </row>
    <row r="3598" spans="1:9" customFormat="1" ht="15" hidden="1" customHeight="1" x14ac:dyDescent="0.25">
      <c r="A3598" s="176">
        <v>45380</v>
      </c>
      <c r="B3598" s="181" t="s">
        <v>6826</v>
      </c>
      <c r="C3598" s="181" t="s">
        <v>2997</v>
      </c>
      <c r="D3598" s="181" t="s">
        <v>2998</v>
      </c>
      <c r="E3598" s="182">
        <v>12500</v>
      </c>
      <c r="F3598" s="183">
        <v>290000</v>
      </c>
      <c r="G3598" s="182">
        <v>60900</v>
      </c>
      <c r="H3598" s="182">
        <v>363400</v>
      </c>
      <c r="I3598" s="184" t="s">
        <v>19</v>
      </c>
    </row>
    <row r="3599" spans="1:9" customFormat="1" ht="15" hidden="1" customHeight="1" x14ac:dyDescent="0.25">
      <c r="A3599" s="117">
        <v>45380</v>
      </c>
      <c r="B3599" s="118" t="s">
        <v>6827</v>
      </c>
      <c r="C3599" s="118" t="s">
        <v>6534</v>
      </c>
      <c r="D3599" s="118" t="s">
        <v>6535</v>
      </c>
      <c r="E3599" s="119">
        <v>16800</v>
      </c>
      <c r="F3599" s="120">
        <v>315000</v>
      </c>
      <c r="G3599" s="119">
        <v>66150</v>
      </c>
      <c r="H3599" s="119">
        <v>397950</v>
      </c>
      <c r="I3599" s="184" t="s">
        <v>19</v>
      </c>
    </row>
    <row r="3600" spans="1:9" customFormat="1" ht="15" hidden="1" customHeight="1" x14ac:dyDescent="0.25">
      <c r="A3600" s="176">
        <v>45380</v>
      </c>
      <c r="B3600" s="181" t="s">
        <v>6828</v>
      </c>
      <c r="C3600" s="181" t="s">
        <v>3346</v>
      </c>
      <c r="D3600" s="181" t="s">
        <v>3347</v>
      </c>
      <c r="E3600" s="182">
        <v>0</v>
      </c>
      <c r="F3600" s="183">
        <v>1344000</v>
      </c>
      <c r="G3600" s="182">
        <v>282240</v>
      </c>
      <c r="H3600" s="182">
        <v>1626240</v>
      </c>
      <c r="I3600" s="187" t="s">
        <v>19</v>
      </c>
    </row>
    <row r="3601" spans="1:9" customFormat="1" ht="15" hidden="1" customHeight="1" x14ac:dyDescent="0.25">
      <c r="A3601" s="117">
        <v>45380</v>
      </c>
      <c r="B3601" s="118" t="s">
        <v>6829</v>
      </c>
      <c r="C3601" s="118" t="s">
        <v>2909</v>
      </c>
      <c r="D3601" s="118" t="s">
        <v>2910</v>
      </c>
      <c r="E3601" s="119">
        <v>12500</v>
      </c>
      <c r="F3601" s="120">
        <v>560000</v>
      </c>
      <c r="G3601" s="119">
        <v>117600</v>
      </c>
      <c r="H3601" s="119">
        <v>690100</v>
      </c>
      <c r="I3601" s="184" t="s">
        <v>19</v>
      </c>
    </row>
    <row r="3602" spans="1:9" customFormat="1" ht="15" hidden="1" customHeight="1" x14ac:dyDescent="0.25">
      <c r="A3602" s="176">
        <v>45380</v>
      </c>
      <c r="B3602" s="181" t="s">
        <v>6830</v>
      </c>
      <c r="C3602" s="181" t="s">
        <v>2909</v>
      </c>
      <c r="D3602" s="181" t="s">
        <v>2910</v>
      </c>
      <c r="E3602" s="182">
        <v>12500</v>
      </c>
      <c r="F3602" s="183">
        <v>705000</v>
      </c>
      <c r="G3602" s="182">
        <v>148050</v>
      </c>
      <c r="H3602" s="182">
        <v>865550</v>
      </c>
      <c r="I3602" s="184" t="s">
        <v>19</v>
      </c>
    </row>
    <row r="3603" spans="1:9" customFormat="1" ht="15" hidden="1" customHeight="1" x14ac:dyDescent="0.25">
      <c r="A3603" s="117">
        <v>45380</v>
      </c>
      <c r="B3603" s="118" t="s">
        <v>6831</v>
      </c>
      <c r="C3603" s="118" t="s">
        <v>2909</v>
      </c>
      <c r="D3603" s="118" t="s">
        <v>2910</v>
      </c>
      <c r="E3603" s="119">
        <v>12500</v>
      </c>
      <c r="F3603" s="120">
        <v>560000</v>
      </c>
      <c r="G3603" s="119">
        <v>117600</v>
      </c>
      <c r="H3603" s="119">
        <v>690100</v>
      </c>
      <c r="I3603" s="184" t="s">
        <v>19</v>
      </c>
    </row>
    <row r="3604" spans="1:9" customFormat="1" ht="15" hidden="1" customHeight="1" x14ac:dyDescent="0.25">
      <c r="A3604" s="176">
        <v>45380</v>
      </c>
      <c r="B3604" s="181" t="s">
        <v>6832</v>
      </c>
      <c r="C3604" s="181" t="s">
        <v>3627</v>
      </c>
      <c r="D3604" s="181" t="s">
        <v>3628</v>
      </c>
      <c r="E3604" s="182">
        <v>23000</v>
      </c>
      <c r="F3604" s="183">
        <v>435000</v>
      </c>
      <c r="G3604" s="182">
        <v>91350</v>
      </c>
      <c r="H3604" s="182">
        <v>549350</v>
      </c>
      <c r="I3604" s="184" t="s">
        <v>19</v>
      </c>
    </row>
    <row r="3605" spans="1:9" customFormat="1" ht="15" hidden="1" customHeight="1" x14ac:dyDescent="0.25">
      <c r="A3605" s="117">
        <v>45380</v>
      </c>
      <c r="B3605" s="118" t="s">
        <v>6833</v>
      </c>
      <c r="C3605" s="118" t="s">
        <v>3007</v>
      </c>
      <c r="D3605" s="118" t="s">
        <v>3008</v>
      </c>
      <c r="E3605" s="119">
        <v>47000</v>
      </c>
      <c r="F3605" s="120">
        <v>430000</v>
      </c>
      <c r="G3605" s="119">
        <v>90300</v>
      </c>
      <c r="H3605" s="119">
        <v>567300</v>
      </c>
      <c r="I3605" s="184" t="s">
        <v>19</v>
      </c>
    </row>
    <row r="3606" spans="1:9" customFormat="1" ht="15" hidden="1" customHeight="1" x14ac:dyDescent="0.25">
      <c r="A3606" s="176">
        <v>45380</v>
      </c>
      <c r="B3606" s="181" t="s">
        <v>6834</v>
      </c>
      <c r="C3606" s="181" t="s">
        <v>3007</v>
      </c>
      <c r="D3606" s="181" t="s">
        <v>3008</v>
      </c>
      <c r="E3606" s="182">
        <v>47000</v>
      </c>
      <c r="F3606" s="183">
        <v>430000</v>
      </c>
      <c r="G3606" s="182">
        <v>90300</v>
      </c>
      <c r="H3606" s="182">
        <v>567300</v>
      </c>
      <c r="I3606" s="184" t="s">
        <v>19</v>
      </c>
    </row>
    <row r="3607" spans="1:9" customFormat="1" ht="15" hidden="1" customHeight="1" x14ac:dyDescent="0.25">
      <c r="A3607" s="117">
        <v>45380</v>
      </c>
      <c r="B3607" s="118" t="s">
        <v>6835</v>
      </c>
      <c r="C3607" s="118" t="s">
        <v>3007</v>
      </c>
      <c r="D3607" s="118" t="s">
        <v>3008</v>
      </c>
      <c r="E3607" s="119">
        <v>47000</v>
      </c>
      <c r="F3607" s="120">
        <v>430000</v>
      </c>
      <c r="G3607" s="119">
        <v>90300</v>
      </c>
      <c r="H3607" s="119">
        <v>567300</v>
      </c>
      <c r="I3607" s="184" t="s">
        <v>19</v>
      </c>
    </row>
    <row r="3608" spans="1:9" customFormat="1" ht="15" hidden="1" customHeight="1" x14ac:dyDescent="0.25">
      <c r="A3608" s="176">
        <v>45380</v>
      </c>
      <c r="B3608" s="181" t="s">
        <v>6836</v>
      </c>
      <c r="C3608" s="181" t="s">
        <v>3007</v>
      </c>
      <c r="D3608" s="181" t="s">
        <v>3008</v>
      </c>
      <c r="E3608" s="182">
        <v>47000</v>
      </c>
      <c r="F3608" s="183">
        <v>430000</v>
      </c>
      <c r="G3608" s="182">
        <v>90300</v>
      </c>
      <c r="H3608" s="182">
        <v>567300</v>
      </c>
      <c r="I3608" s="184" t="s">
        <v>19</v>
      </c>
    </row>
    <row r="3609" spans="1:9" customFormat="1" ht="15" hidden="1" customHeight="1" x14ac:dyDescent="0.25">
      <c r="A3609" s="117">
        <v>45380</v>
      </c>
      <c r="B3609" s="118" t="s">
        <v>6837</v>
      </c>
      <c r="C3609" s="118" t="s">
        <v>3007</v>
      </c>
      <c r="D3609" s="118" t="s">
        <v>3008</v>
      </c>
      <c r="E3609" s="119">
        <v>23500</v>
      </c>
      <c r="F3609" s="120">
        <v>215000</v>
      </c>
      <c r="G3609" s="119">
        <v>45150</v>
      </c>
      <c r="H3609" s="119">
        <v>283650</v>
      </c>
      <c r="I3609" s="184" t="s">
        <v>19</v>
      </c>
    </row>
    <row r="3610" spans="1:9" customFormat="1" ht="15" hidden="1" customHeight="1" x14ac:dyDescent="0.25">
      <c r="A3610" s="176">
        <v>45380</v>
      </c>
      <c r="B3610" s="181" t="s">
        <v>6838</v>
      </c>
      <c r="C3610" s="181" t="s">
        <v>3627</v>
      </c>
      <c r="D3610" s="181" t="s">
        <v>3628</v>
      </c>
      <c r="E3610" s="182">
        <v>17000</v>
      </c>
      <c r="F3610" s="183">
        <v>397500</v>
      </c>
      <c r="G3610" s="182">
        <v>83475</v>
      </c>
      <c r="H3610" s="182">
        <v>497975</v>
      </c>
      <c r="I3610" s="184" t="s">
        <v>19</v>
      </c>
    </row>
    <row r="3611" spans="1:9" customFormat="1" ht="15" hidden="1" customHeight="1" x14ac:dyDescent="0.25">
      <c r="A3611" s="117">
        <v>45380</v>
      </c>
      <c r="B3611" s="118" t="s">
        <v>6839</v>
      </c>
      <c r="C3611" s="118" t="s">
        <v>2997</v>
      </c>
      <c r="D3611" s="118" t="s">
        <v>2998</v>
      </c>
      <c r="E3611" s="119">
        <v>22500</v>
      </c>
      <c r="F3611" s="120">
        <v>320000</v>
      </c>
      <c r="G3611" s="119">
        <v>67200</v>
      </c>
      <c r="H3611" s="119">
        <v>409700</v>
      </c>
      <c r="I3611" s="184" t="s">
        <v>19</v>
      </c>
    </row>
    <row r="3612" spans="1:9" customFormat="1" ht="15" hidden="1" customHeight="1" x14ac:dyDescent="0.25">
      <c r="A3612" s="176">
        <v>45380</v>
      </c>
      <c r="B3612" s="181" t="s">
        <v>6840</v>
      </c>
      <c r="C3612" s="181" t="s">
        <v>2997</v>
      </c>
      <c r="D3612" s="181" t="s">
        <v>2998</v>
      </c>
      <c r="E3612" s="182">
        <v>9200</v>
      </c>
      <c r="F3612" s="183">
        <v>265000</v>
      </c>
      <c r="G3612" s="182">
        <v>55650</v>
      </c>
      <c r="H3612" s="182">
        <v>329850</v>
      </c>
      <c r="I3612" s="184" t="s">
        <v>19</v>
      </c>
    </row>
    <row r="3613" spans="1:9" customFormat="1" ht="15" hidden="1" customHeight="1" x14ac:dyDescent="0.25">
      <c r="A3613" s="117">
        <v>45380</v>
      </c>
      <c r="B3613" s="118" t="s">
        <v>6841</v>
      </c>
      <c r="C3613" s="118" t="s">
        <v>4916</v>
      </c>
      <c r="D3613" s="118" t="s">
        <v>4917</v>
      </c>
      <c r="E3613" s="119">
        <v>27500</v>
      </c>
      <c r="F3613" s="120">
        <v>2200000</v>
      </c>
      <c r="G3613" s="119">
        <v>462000</v>
      </c>
      <c r="H3613" s="119">
        <v>2689500</v>
      </c>
      <c r="I3613" s="184" t="s">
        <v>19</v>
      </c>
    </row>
    <row r="3614" spans="1:9" customFormat="1" ht="15" hidden="1" customHeight="1" x14ac:dyDescent="0.25">
      <c r="A3614" s="176">
        <v>45380</v>
      </c>
      <c r="B3614" s="181" t="s">
        <v>6842</v>
      </c>
      <c r="C3614" s="181" t="s">
        <v>2870</v>
      </c>
      <c r="D3614" s="181" t="s">
        <v>2871</v>
      </c>
      <c r="E3614" s="182">
        <v>7800</v>
      </c>
      <c r="F3614" s="183">
        <v>290000</v>
      </c>
      <c r="G3614" s="182">
        <v>60900</v>
      </c>
      <c r="H3614" s="182">
        <v>358700</v>
      </c>
      <c r="I3614" s="184" t="s">
        <v>19</v>
      </c>
    </row>
    <row r="3615" spans="1:9" customFormat="1" ht="15" hidden="1" customHeight="1" x14ac:dyDescent="0.25">
      <c r="A3615" s="117">
        <v>45380</v>
      </c>
      <c r="B3615" s="118" t="s">
        <v>6843</v>
      </c>
      <c r="C3615" s="118" t="s">
        <v>2921</v>
      </c>
      <c r="D3615" s="118" t="s">
        <v>2922</v>
      </c>
      <c r="E3615" s="119">
        <v>15600</v>
      </c>
      <c r="F3615" s="120">
        <v>580000</v>
      </c>
      <c r="G3615" s="119">
        <v>121800</v>
      </c>
      <c r="H3615" s="119">
        <v>717400</v>
      </c>
      <c r="I3615" s="184" t="s">
        <v>19</v>
      </c>
    </row>
    <row r="3616" spans="1:9" customFormat="1" ht="15" hidden="1" customHeight="1" x14ac:dyDescent="0.25">
      <c r="A3616" s="176">
        <v>45380</v>
      </c>
      <c r="B3616" s="181" t="s">
        <v>6844</v>
      </c>
      <c r="C3616" s="181" t="s">
        <v>3562</v>
      </c>
      <c r="D3616" s="181" t="s">
        <v>3563</v>
      </c>
      <c r="E3616" s="182">
        <v>28500</v>
      </c>
      <c r="F3616" s="183">
        <v>320000</v>
      </c>
      <c r="G3616" s="182">
        <v>67200</v>
      </c>
      <c r="H3616" s="182">
        <v>415700</v>
      </c>
      <c r="I3616" s="184" t="s">
        <v>19</v>
      </c>
    </row>
    <row r="3617" spans="1:9" customFormat="1" ht="15" hidden="1" customHeight="1" x14ac:dyDescent="0.25">
      <c r="A3617" s="117">
        <v>45380</v>
      </c>
      <c r="B3617" s="118" t="s">
        <v>6845</v>
      </c>
      <c r="C3617" s="118" t="s">
        <v>3007</v>
      </c>
      <c r="D3617" s="118" t="s">
        <v>3008</v>
      </c>
      <c r="E3617" s="119">
        <v>15600</v>
      </c>
      <c r="F3617" s="120">
        <v>1160000</v>
      </c>
      <c r="G3617" s="119">
        <v>243600</v>
      </c>
      <c r="H3617" s="119">
        <v>1419200</v>
      </c>
      <c r="I3617" s="184" t="s">
        <v>19</v>
      </c>
    </row>
    <row r="3618" spans="1:9" customFormat="1" ht="15" hidden="1" customHeight="1" x14ac:dyDescent="0.25">
      <c r="A3618" s="176">
        <v>45380</v>
      </c>
      <c r="B3618" s="181" t="s">
        <v>6846</v>
      </c>
      <c r="C3618" s="181" t="s">
        <v>6432</v>
      </c>
      <c r="D3618" s="181" t="s">
        <v>6433</v>
      </c>
      <c r="E3618" s="182">
        <v>33000</v>
      </c>
      <c r="F3618" s="183">
        <v>430000</v>
      </c>
      <c r="G3618" s="182">
        <v>90300</v>
      </c>
      <c r="H3618" s="182">
        <v>553300</v>
      </c>
      <c r="I3618" s="184" t="s">
        <v>19</v>
      </c>
    </row>
    <row r="3619" spans="1:9" customFormat="1" ht="15" hidden="1" customHeight="1" x14ac:dyDescent="0.25">
      <c r="A3619" s="117">
        <v>45380</v>
      </c>
      <c r="B3619" s="118" t="s">
        <v>6847</v>
      </c>
      <c r="C3619" s="118" t="s">
        <v>3235</v>
      </c>
      <c r="D3619" s="118" t="s">
        <v>3236</v>
      </c>
      <c r="E3619" s="119">
        <v>94000</v>
      </c>
      <c r="F3619" s="120">
        <v>1360000</v>
      </c>
      <c r="G3619" s="119">
        <v>285600</v>
      </c>
      <c r="H3619" s="119">
        <v>1739600</v>
      </c>
      <c r="I3619" s="184" t="s">
        <v>19</v>
      </c>
    </row>
    <row r="3620" spans="1:9" customFormat="1" ht="15" hidden="1" customHeight="1" x14ac:dyDescent="0.25">
      <c r="A3620" s="176">
        <v>45380</v>
      </c>
      <c r="B3620" s="181" t="s">
        <v>6848</v>
      </c>
      <c r="C3620" s="181" t="s">
        <v>3235</v>
      </c>
      <c r="D3620" s="181" t="s">
        <v>3236</v>
      </c>
      <c r="E3620" s="182">
        <v>94000</v>
      </c>
      <c r="F3620" s="183">
        <v>1360000</v>
      </c>
      <c r="G3620" s="182">
        <v>285600</v>
      </c>
      <c r="H3620" s="182">
        <v>1739600</v>
      </c>
      <c r="I3620" s="184" t="s">
        <v>19</v>
      </c>
    </row>
    <row r="3621" spans="1:9" customFormat="1" ht="15" hidden="1" customHeight="1" x14ac:dyDescent="0.25">
      <c r="A3621" s="117">
        <v>45380</v>
      </c>
      <c r="B3621" s="118" t="s">
        <v>6849</v>
      </c>
      <c r="C3621" s="118" t="s">
        <v>3235</v>
      </c>
      <c r="D3621" s="118" t="s">
        <v>3236</v>
      </c>
      <c r="E3621" s="119">
        <v>94000</v>
      </c>
      <c r="F3621" s="120">
        <v>1360000</v>
      </c>
      <c r="G3621" s="119">
        <v>285600</v>
      </c>
      <c r="H3621" s="119">
        <v>1739600</v>
      </c>
      <c r="I3621" s="184" t="s">
        <v>19</v>
      </c>
    </row>
    <row r="3622" spans="1:9" customFormat="1" ht="15" hidden="1" customHeight="1" x14ac:dyDescent="0.25">
      <c r="A3622" s="176">
        <v>45380</v>
      </c>
      <c r="B3622" s="181" t="s">
        <v>6850</v>
      </c>
      <c r="C3622" s="181" t="s">
        <v>3007</v>
      </c>
      <c r="D3622" s="181" t="s">
        <v>3008</v>
      </c>
      <c r="E3622" s="182">
        <v>23500</v>
      </c>
      <c r="F3622" s="183">
        <v>215000</v>
      </c>
      <c r="G3622" s="182">
        <v>45150</v>
      </c>
      <c r="H3622" s="182">
        <v>283650</v>
      </c>
      <c r="I3622" s="184" t="s">
        <v>19</v>
      </c>
    </row>
    <row r="3623" spans="1:9" customFormat="1" ht="15" hidden="1" customHeight="1" x14ac:dyDescent="0.25">
      <c r="A3623" s="117">
        <v>45380</v>
      </c>
      <c r="B3623" s="118" t="s">
        <v>6851</v>
      </c>
      <c r="C3623" s="118" t="s">
        <v>3562</v>
      </c>
      <c r="D3623" s="118" t="s">
        <v>3563</v>
      </c>
      <c r="E3623" s="119">
        <v>70500</v>
      </c>
      <c r="F3623" s="120">
        <v>1020000</v>
      </c>
      <c r="G3623" s="119">
        <v>214200</v>
      </c>
      <c r="H3623" s="119">
        <v>1304700</v>
      </c>
      <c r="I3623" s="184" t="s">
        <v>19</v>
      </c>
    </row>
    <row r="3624" spans="1:9" customFormat="1" ht="15" hidden="1" customHeight="1" x14ac:dyDescent="0.25">
      <c r="A3624" s="176">
        <v>45380</v>
      </c>
      <c r="B3624" s="181" t="s">
        <v>6852</v>
      </c>
      <c r="C3624" s="181" t="s">
        <v>2863</v>
      </c>
      <c r="D3624" s="181" t="s">
        <v>2864</v>
      </c>
      <c r="E3624" s="182">
        <v>23500</v>
      </c>
      <c r="F3624" s="183">
        <v>215000</v>
      </c>
      <c r="G3624" s="182">
        <v>45150</v>
      </c>
      <c r="H3624" s="182">
        <v>283650</v>
      </c>
      <c r="I3624" s="184" t="s">
        <v>19</v>
      </c>
    </row>
    <row r="3625" spans="1:9" customFormat="1" ht="15" hidden="1" customHeight="1" x14ac:dyDescent="0.25">
      <c r="A3625" s="117">
        <v>45380</v>
      </c>
      <c r="B3625" s="118" t="s">
        <v>6853</v>
      </c>
      <c r="C3625" s="118" t="s">
        <v>3007</v>
      </c>
      <c r="D3625" s="118" t="s">
        <v>3008</v>
      </c>
      <c r="E3625" s="119">
        <v>47000</v>
      </c>
      <c r="F3625" s="120">
        <v>380000</v>
      </c>
      <c r="G3625" s="119">
        <v>79800</v>
      </c>
      <c r="H3625" s="119">
        <v>506800</v>
      </c>
      <c r="I3625" s="184" t="s">
        <v>19</v>
      </c>
    </row>
    <row r="3626" spans="1:9" customFormat="1" ht="15" hidden="1" customHeight="1" x14ac:dyDescent="0.25">
      <c r="A3626" s="176">
        <v>45380</v>
      </c>
      <c r="B3626" s="181" t="s">
        <v>6854</v>
      </c>
      <c r="C3626" s="181" t="s">
        <v>3007</v>
      </c>
      <c r="D3626" s="181" t="s">
        <v>3008</v>
      </c>
      <c r="E3626" s="182">
        <v>47000</v>
      </c>
      <c r="F3626" s="183">
        <v>380000</v>
      </c>
      <c r="G3626" s="182">
        <v>79800</v>
      </c>
      <c r="H3626" s="182">
        <v>506800</v>
      </c>
      <c r="I3626" s="184" t="s">
        <v>19</v>
      </c>
    </row>
    <row r="3627" spans="1:9" customFormat="1" ht="15" hidden="1" customHeight="1" x14ac:dyDescent="0.25">
      <c r="A3627" s="117">
        <v>45380</v>
      </c>
      <c r="B3627" s="118" t="s">
        <v>6855</v>
      </c>
      <c r="C3627" s="118" t="s">
        <v>2921</v>
      </c>
      <c r="D3627" s="118" t="s">
        <v>2922</v>
      </c>
      <c r="E3627" s="119">
        <v>47000</v>
      </c>
      <c r="F3627" s="120">
        <v>430000</v>
      </c>
      <c r="G3627" s="119">
        <v>90300</v>
      </c>
      <c r="H3627" s="119">
        <v>567300</v>
      </c>
      <c r="I3627" s="184" t="s">
        <v>19</v>
      </c>
    </row>
    <row r="3628" spans="1:9" customFormat="1" ht="15" hidden="1" customHeight="1" x14ac:dyDescent="0.25">
      <c r="A3628" s="176">
        <v>45380</v>
      </c>
      <c r="B3628" s="181" t="s">
        <v>6856</v>
      </c>
      <c r="C3628" s="181" t="s">
        <v>3007</v>
      </c>
      <c r="D3628" s="181" t="s">
        <v>3008</v>
      </c>
      <c r="E3628" s="182">
        <v>9200</v>
      </c>
      <c r="F3628" s="183">
        <v>265000</v>
      </c>
      <c r="G3628" s="182">
        <v>55650</v>
      </c>
      <c r="H3628" s="182">
        <v>329850</v>
      </c>
      <c r="I3628" s="184" t="s">
        <v>19</v>
      </c>
    </row>
    <row r="3629" spans="1:9" customFormat="1" ht="15" hidden="1" customHeight="1" x14ac:dyDescent="0.25">
      <c r="A3629" s="117">
        <v>45380</v>
      </c>
      <c r="B3629" s="118" t="s">
        <v>6857</v>
      </c>
      <c r="C3629" s="118" t="s">
        <v>2921</v>
      </c>
      <c r="D3629" s="118" t="s">
        <v>2922</v>
      </c>
      <c r="E3629" s="119">
        <v>13000</v>
      </c>
      <c r="F3629" s="120">
        <v>725000</v>
      </c>
      <c r="G3629" s="119">
        <v>152250</v>
      </c>
      <c r="H3629" s="119">
        <v>890250</v>
      </c>
      <c r="I3629" s="184" t="s">
        <v>19</v>
      </c>
    </row>
    <row r="3630" spans="1:9" customFormat="1" ht="15" hidden="1" customHeight="1" x14ac:dyDescent="0.25">
      <c r="A3630" s="176">
        <v>45380</v>
      </c>
      <c r="B3630" s="181" t="s">
        <v>6858</v>
      </c>
      <c r="C3630" s="181" t="s">
        <v>3007</v>
      </c>
      <c r="D3630" s="181" t="s">
        <v>3008</v>
      </c>
      <c r="E3630" s="182">
        <v>57000</v>
      </c>
      <c r="F3630" s="183">
        <v>640000</v>
      </c>
      <c r="G3630" s="182">
        <v>134400</v>
      </c>
      <c r="H3630" s="182">
        <v>831400</v>
      </c>
      <c r="I3630" s="184" t="s">
        <v>19</v>
      </c>
    </row>
    <row r="3631" spans="1:9" customFormat="1" ht="15" hidden="1" customHeight="1" x14ac:dyDescent="0.25">
      <c r="A3631" s="117">
        <v>45380</v>
      </c>
      <c r="B3631" s="118" t="s">
        <v>6859</v>
      </c>
      <c r="C3631" s="118" t="s">
        <v>3007</v>
      </c>
      <c r="D3631" s="118" t="s">
        <v>3008</v>
      </c>
      <c r="E3631" s="119">
        <v>28500</v>
      </c>
      <c r="F3631" s="120">
        <v>320000</v>
      </c>
      <c r="G3631" s="119">
        <v>67200</v>
      </c>
      <c r="H3631" s="119">
        <v>415700</v>
      </c>
      <c r="I3631" s="184" t="s">
        <v>19</v>
      </c>
    </row>
    <row r="3632" spans="1:9" customFormat="1" ht="15" hidden="1" customHeight="1" x14ac:dyDescent="0.25">
      <c r="A3632" s="176">
        <v>45380</v>
      </c>
      <c r="B3632" s="181" t="s">
        <v>6860</v>
      </c>
      <c r="C3632" s="181" t="s">
        <v>3007</v>
      </c>
      <c r="D3632" s="181" t="s">
        <v>3008</v>
      </c>
      <c r="E3632" s="182">
        <v>23000</v>
      </c>
      <c r="F3632" s="183">
        <v>290000</v>
      </c>
      <c r="G3632" s="182">
        <v>60900</v>
      </c>
      <c r="H3632" s="182">
        <v>373900</v>
      </c>
      <c r="I3632" s="184" t="s">
        <v>19</v>
      </c>
    </row>
    <row r="3633" spans="1:9" customFormat="1" ht="15" hidden="1" customHeight="1" x14ac:dyDescent="0.25">
      <c r="A3633" s="117">
        <v>45380</v>
      </c>
      <c r="B3633" s="118" t="s">
        <v>6861</v>
      </c>
      <c r="C3633" s="118" t="s">
        <v>2921</v>
      </c>
      <c r="D3633" s="118" t="s">
        <v>2922</v>
      </c>
      <c r="E3633" s="119">
        <v>46000</v>
      </c>
      <c r="F3633" s="120">
        <v>870000</v>
      </c>
      <c r="G3633" s="119">
        <v>182700</v>
      </c>
      <c r="H3633" s="119">
        <v>1098700</v>
      </c>
      <c r="I3633" s="184" t="s">
        <v>19</v>
      </c>
    </row>
    <row r="3634" spans="1:9" customFormat="1" ht="15" hidden="1" customHeight="1" x14ac:dyDescent="0.25">
      <c r="A3634" s="176">
        <v>45380</v>
      </c>
      <c r="B3634" s="181" t="s">
        <v>6862</v>
      </c>
      <c r="C3634" s="181" t="s">
        <v>2906</v>
      </c>
      <c r="D3634" s="181" t="s">
        <v>2907</v>
      </c>
      <c r="E3634" s="182">
        <v>23500</v>
      </c>
      <c r="F3634" s="183">
        <v>215000</v>
      </c>
      <c r="G3634" s="182">
        <v>45150</v>
      </c>
      <c r="H3634" s="182">
        <v>283650</v>
      </c>
      <c r="I3634" s="184" t="s">
        <v>19</v>
      </c>
    </row>
    <row r="3635" spans="1:9" customFormat="1" ht="15" hidden="1" customHeight="1" x14ac:dyDescent="0.25">
      <c r="A3635" s="117">
        <v>45380</v>
      </c>
      <c r="B3635" s="118" t="s">
        <v>6863</v>
      </c>
      <c r="C3635" s="118" t="s">
        <v>2906</v>
      </c>
      <c r="D3635" s="118" t="s">
        <v>2907</v>
      </c>
      <c r="E3635" s="119">
        <v>23500</v>
      </c>
      <c r="F3635" s="120">
        <v>215000</v>
      </c>
      <c r="G3635" s="119">
        <v>45150</v>
      </c>
      <c r="H3635" s="119">
        <v>283650</v>
      </c>
      <c r="I3635" s="184" t="s">
        <v>19</v>
      </c>
    </row>
    <row r="3636" spans="1:9" customFormat="1" ht="15" customHeight="1" x14ac:dyDescent="0.25">
      <c r="A3636" s="176">
        <v>45359</v>
      </c>
      <c r="B3636" s="181" t="s">
        <v>6864</v>
      </c>
      <c r="C3636" s="181" t="s">
        <v>2851</v>
      </c>
      <c r="D3636" s="181" t="s">
        <v>2852</v>
      </c>
      <c r="E3636" s="182">
        <v>0</v>
      </c>
      <c r="F3636" s="183">
        <v>7432004.2599999998</v>
      </c>
      <c r="G3636" s="182">
        <v>1560720.89</v>
      </c>
      <c r="H3636" s="182">
        <v>8992725.1500000004</v>
      </c>
      <c r="I3636" s="184" t="s">
        <v>103</v>
      </c>
    </row>
    <row r="3637" spans="1:9" customFormat="1" ht="15" hidden="1" customHeight="1" x14ac:dyDescent="0.25">
      <c r="A3637" s="117">
        <v>45365</v>
      </c>
      <c r="B3637" s="118" t="s">
        <v>6865</v>
      </c>
      <c r="C3637" s="118" t="s">
        <v>2851</v>
      </c>
      <c r="D3637" s="118" t="s">
        <v>2852</v>
      </c>
      <c r="E3637" s="119">
        <v>13800</v>
      </c>
      <c r="F3637" s="120">
        <v>735000</v>
      </c>
      <c r="G3637" s="119">
        <v>154350</v>
      </c>
      <c r="H3637" s="119">
        <v>903150</v>
      </c>
      <c r="I3637" s="184" t="s">
        <v>19</v>
      </c>
    </row>
    <row r="3638" spans="1:9" customFormat="1" ht="15" hidden="1" customHeight="1" x14ac:dyDescent="0.25">
      <c r="A3638" s="176">
        <v>45373</v>
      </c>
      <c r="B3638" s="181" t="s">
        <v>6866</v>
      </c>
      <c r="C3638" s="181" t="s">
        <v>2851</v>
      </c>
      <c r="D3638" s="181" t="s">
        <v>2852</v>
      </c>
      <c r="E3638" s="182">
        <v>24000</v>
      </c>
      <c r="F3638" s="183">
        <v>1470000</v>
      </c>
      <c r="G3638" s="182">
        <v>308700</v>
      </c>
      <c r="H3638" s="182">
        <v>1802700</v>
      </c>
      <c r="I3638" s="184" t="s">
        <v>19</v>
      </c>
    </row>
    <row r="3639" spans="1:9" customFormat="1" ht="15" hidden="1" customHeight="1" x14ac:dyDescent="0.25">
      <c r="A3639" s="117">
        <v>45380</v>
      </c>
      <c r="B3639" s="118" t="s">
        <v>6867</v>
      </c>
      <c r="C3639" s="118" t="s">
        <v>2851</v>
      </c>
      <c r="D3639" s="118" t="s">
        <v>2852</v>
      </c>
      <c r="E3639" s="119">
        <v>34000</v>
      </c>
      <c r="F3639" s="120">
        <v>1170000</v>
      </c>
      <c r="G3639" s="119">
        <v>245700</v>
      </c>
      <c r="H3639" s="119">
        <v>1449700</v>
      </c>
      <c r="I3639" s="184" t="s">
        <v>19</v>
      </c>
    </row>
    <row r="3640" spans="1:9" customFormat="1" ht="15" customHeight="1" x14ac:dyDescent="0.25">
      <c r="A3640" s="176">
        <v>45380</v>
      </c>
      <c r="B3640" s="181" t="s">
        <v>6868</v>
      </c>
      <c r="C3640" s="181" t="s">
        <v>2851</v>
      </c>
      <c r="D3640" s="181" t="s">
        <v>2852</v>
      </c>
      <c r="E3640" s="182">
        <v>0</v>
      </c>
      <c r="F3640" s="183">
        <v>1000680</v>
      </c>
      <c r="G3640" s="182">
        <v>210142.8</v>
      </c>
      <c r="H3640" s="182">
        <v>1210822.8</v>
      </c>
      <c r="I3640" s="184" t="s">
        <v>103</v>
      </c>
    </row>
    <row r="3641" spans="1:9" customFormat="1" ht="15" hidden="1" customHeight="1" x14ac:dyDescent="0.25">
      <c r="A3641" s="117">
        <v>45359</v>
      </c>
      <c r="B3641" s="118" t="s">
        <v>6869</v>
      </c>
      <c r="C3641" s="118" t="s">
        <v>3235</v>
      </c>
      <c r="D3641" s="118" t="s">
        <v>3236</v>
      </c>
      <c r="E3641" s="119">
        <v>0</v>
      </c>
      <c r="F3641" s="120">
        <v>-225000</v>
      </c>
      <c r="G3641" s="119">
        <v>-47250</v>
      </c>
      <c r="H3641" s="119">
        <v>-272250</v>
      </c>
      <c r="I3641" s="184" t="s">
        <v>19</v>
      </c>
    </row>
    <row r="3642" spans="1:9" customFormat="1" ht="15" hidden="1" customHeight="1" x14ac:dyDescent="0.25">
      <c r="A3642" s="176">
        <v>45371</v>
      </c>
      <c r="B3642" s="181" t="s">
        <v>6870</v>
      </c>
      <c r="C3642" s="181" t="s">
        <v>3235</v>
      </c>
      <c r="D3642" s="181" t="s">
        <v>3236</v>
      </c>
      <c r="E3642" s="182">
        <v>-11900</v>
      </c>
      <c r="F3642" s="183">
        <v>-112500</v>
      </c>
      <c r="G3642" s="182">
        <v>-23625</v>
      </c>
      <c r="H3642" s="182">
        <v>-148025</v>
      </c>
      <c r="I3642" s="184" t="s">
        <v>19</v>
      </c>
    </row>
    <row r="3643" spans="1:9" customFormat="1" ht="15" hidden="1" customHeight="1" x14ac:dyDescent="0.25">
      <c r="A3643" s="117">
        <v>45378</v>
      </c>
      <c r="B3643" s="118" t="s">
        <v>6871</v>
      </c>
      <c r="C3643" s="118" t="s">
        <v>3235</v>
      </c>
      <c r="D3643" s="118" t="s">
        <v>3236</v>
      </c>
      <c r="E3643" s="119">
        <v>0</v>
      </c>
      <c r="F3643" s="120">
        <v>-98000</v>
      </c>
      <c r="G3643" s="119">
        <v>-20580</v>
      </c>
      <c r="H3643" s="119">
        <v>-118580</v>
      </c>
      <c r="I3643" s="184" t="s">
        <v>19</v>
      </c>
    </row>
    <row r="3644" spans="1:9" customFormat="1" ht="15" hidden="1" customHeight="1" x14ac:dyDescent="0.25">
      <c r="A3644" s="176">
        <v>45380</v>
      </c>
      <c r="B3644" s="181" t="s">
        <v>6872</v>
      </c>
      <c r="C3644" s="181" t="s">
        <v>4172</v>
      </c>
      <c r="D3644" s="181" t="s">
        <v>4173</v>
      </c>
      <c r="E3644" s="182">
        <v>-13000</v>
      </c>
      <c r="F3644" s="183">
        <v>-225000</v>
      </c>
      <c r="G3644" s="182">
        <v>-47250</v>
      </c>
      <c r="H3644" s="182">
        <v>-285250</v>
      </c>
      <c r="I3644" s="184" t="s">
        <v>19</v>
      </c>
    </row>
    <row r="3645" spans="1:9" customFormat="1" ht="15" customHeight="1" x14ac:dyDescent="0.25">
      <c r="A3645" s="176">
        <v>45380</v>
      </c>
      <c r="B3645" s="118" t="s">
        <v>82</v>
      </c>
      <c r="C3645" s="118" t="s">
        <v>6873</v>
      </c>
      <c r="D3645" s="119"/>
      <c r="E3645" s="119"/>
      <c r="F3645" s="120">
        <v>520800</v>
      </c>
      <c r="G3645" s="119"/>
      <c r="H3645" s="119"/>
      <c r="I3645" s="184" t="s">
        <v>103</v>
      </c>
    </row>
    <row r="3646" spans="1:9" customFormat="1" ht="15" customHeight="1" x14ac:dyDescent="0.25">
      <c r="A3646" s="176">
        <v>45380</v>
      </c>
      <c r="B3646" s="181" t="s">
        <v>82</v>
      </c>
      <c r="C3646" s="181" t="s">
        <v>5141</v>
      </c>
      <c r="D3646" s="181"/>
      <c r="E3646" s="181"/>
      <c r="F3646" s="199">
        <v>1993323</v>
      </c>
      <c r="G3646" s="181"/>
      <c r="H3646" s="181"/>
      <c r="I3646" s="184" t="s">
        <v>103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3"/>
  <sheetViews>
    <sheetView workbookViewId="0">
      <pane ySplit="1" topLeftCell="A2" activePane="bottomLeft" state="frozen"/>
      <selection pane="bottomLeft" activeCell="J240" sqref="J240"/>
    </sheetView>
  </sheetViews>
  <sheetFormatPr baseColWidth="10" defaultColWidth="14.42578125" defaultRowHeight="15" customHeight="1" x14ac:dyDescent="0.25"/>
  <cols>
    <col min="1" max="1" width="11.42578125" customWidth="1"/>
    <col min="2" max="2" width="15.85546875" customWidth="1"/>
    <col min="3" max="3" width="20.5703125" customWidth="1"/>
    <col min="4" max="4" width="19.5703125" customWidth="1"/>
    <col min="5" max="5" width="15.85546875" customWidth="1"/>
    <col min="6" max="6" width="16" customWidth="1"/>
    <col min="7" max="7" width="16.85546875" customWidth="1"/>
    <col min="8" max="8" width="16.7109375" customWidth="1"/>
    <col min="9" max="9" width="12.7109375" customWidth="1"/>
    <col min="10" max="10" width="13.7109375" customWidth="1"/>
  </cols>
  <sheetData>
    <row r="1" spans="1:10" x14ac:dyDescent="0.25">
      <c r="A1" s="81" t="s">
        <v>0</v>
      </c>
      <c r="B1" s="81" t="s">
        <v>6874</v>
      </c>
      <c r="C1" s="82" t="s">
        <v>6875</v>
      </c>
      <c r="D1" s="82" t="s">
        <v>6876</v>
      </c>
      <c r="E1" s="82" t="s">
        <v>6877</v>
      </c>
      <c r="F1" s="82" t="s">
        <v>6878</v>
      </c>
      <c r="G1" s="82" t="s">
        <v>6879</v>
      </c>
      <c r="H1" s="82" t="s">
        <v>7</v>
      </c>
      <c r="I1" s="82" t="s">
        <v>6</v>
      </c>
      <c r="J1" s="82" t="s">
        <v>6880</v>
      </c>
    </row>
    <row r="2" spans="1:10" hidden="1" x14ac:dyDescent="0.25">
      <c r="A2" s="83">
        <v>44957</v>
      </c>
      <c r="B2" s="84" t="s">
        <v>6881</v>
      </c>
      <c r="C2" s="85">
        <v>931219</v>
      </c>
      <c r="D2" s="85">
        <v>57210.324999999997</v>
      </c>
      <c r="E2" s="85">
        <v>407213.90999999992</v>
      </c>
      <c r="F2" s="85">
        <v>718387</v>
      </c>
      <c r="G2" s="85">
        <v>0</v>
      </c>
      <c r="H2" s="85">
        <v>2092901.91</v>
      </c>
      <c r="I2" s="82">
        <f>SUM('INGRESO X AREA'!$H2*0.21)</f>
        <v>439509.40109999996</v>
      </c>
      <c r="J2" s="82">
        <f>SUM('INGRESO X AREA'!$H2:$I2)</f>
        <v>2532411.3111</v>
      </c>
    </row>
    <row r="3" spans="1:10" hidden="1" x14ac:dyDescent="0.25">
      <c r="A3" s="86">
        <v>44957</v>
      </c>
      <c r="B3" s="81" t="s">
        <v>6882</v>
      </c>
      <c r="C3" s="82">
        <v>15225</v>
      </c>
      <c r="D3" s="82">
        <v>0</v>
      </c>
      <c r="E3" s="82">
        <v>0</v>
      </c>
      <c r="F3" s="82">
        <v>134818</v>
      </c>
      <c r="G3" s="82">
        <v>0</v>
      </c>
      <c r="H3" s="82">
        <v>150043</v>
      </c>
      <c r="I3" s="82">
        <f>SUM('INGRESO X AREA'!$H3*0.21)</f>
        <v>31509.03</v>
      </c>
      <c r="J3" s="82">
        <f>SUM('INGRESO X AREA'!$H3:$I3)</f>
        <v>181552.03</v>
      </c>
    </row>
    <row r="4" spans="1:10" hidden="1" x14ac:dyDescent="0.25">
      <c r="A4" s="86">
        <v>44957</v>
      </c>
      <c r="B4" s="81" t="s">
        <v>5140</v>
      </c>
      <c r="C4" s="82">
        <v>68138</v>
      </c>
      <c r="D4" s="82">
        <v>107772</v>
      </c>
      <c r="E4" s="82">
        <v>236602</v>
      </c>
      <c r="F4" s="82">
        <v>0</v>
      </c>
      <c r="G4" s="82">
        <v>0</v>
      </c>
      <c r="H4" s="82">
        <v>412512</v>
      </c>
      <c r="I4" s="82">
        <f>SUM('INGRESO X AREA'!$H4*0.21)</f>
        <v>86627.51999999999</v>
      </c>
      <c r="J4" s="82">
        <f>SUM('INGRESO X AREA'!$H4:$I4)</f>
        <v>499139.52</v>
      </c>
    </row>
    <row r="5" spans="1:10" hidden="1" x14ac:dyDescent="0.25">
      <c r="A5" s="86">
        <v>44957</v>
      </c>
      <c r="B5" s="81" t="s">
        <v>6883</v>
      </c>
      <c r="C5" s="82">
        <v>174754</v>
      </c>
      <c r="D5" s="82">
        <v>27504</v>
      </c>
      <c r="E5" s="82">
        <v>117597.54999999999</v>
      </c>
      <c r="F5" s="82">
        <v>81816</v>
      </c>
      <c r="G5" s="82">
        <v>0</v>
      </c>
      <c r="H5" s="82">
        <v>401671.55</v>
      </c>
      <c r="I5" s="82">
        <f>SUM('INGRESO X AREA'!$H5*0.21)</f>
        <v>84351.025499999989</v>
      </c>
      <c r="J5" s="82">
        <f>SUM('INGRESO X AREA'!$H5:$I5)</f>
        <v>486022.57549999998</v>
      </c>
    </row>
    <row r="6" spans="1:10" hidden="1" x14ac:dyDescent="0.25">
      <c r="A6" s="86">
        <v>44957</v>
      </c>
      <c r="B6" s="81" t="s">
        <v>5141</v>
      </c>
      <c r="C6" s="82">
        <v>315607</v>
      </c>
      <c r="D6" s="82">
        <v>8633.5360000000001</v>
      </c>
      <c r="E6" s="82">
        <v>0</v>
      </c>
      <c r="F6" s="82">
        <v>0</v>
      </c>
      <c r="G6" s="82">
        <v>0</v>
      </c>
      <c r="H6" s="82">
        <v>392331.49</v>
      </c>
      <c r="I6" s="82">
        <f>SUM('INGRESO X AREA'!$H6*0.21)</f>
        <v>82389.612899999993</v>
      </c>
      <c r="J6" s="82">
        <f>SUM('INGRESO X AREA'!$H6:$I6)</f>
        <v>474721.1029</v>
      </c>
    </row>
    <row r="7" spans="1:10" hidden="1" x14ac:dyDescent="0.25">
      <c r="A7" s="86">
        <v>44957</v>
      </c>
      <c r="B7" s="81" t="s">
        <v>6884</v>
      </c>
      <c r="C7" s="82">
        <v>39123</v>
      </c>
      <c r="D7" s="82">
        <v>27504</v>
      </c>
      <c r="E7" s="82">
        <v>8279</v>
      </c>
      <c r="F7" s="82">
        <v>85614</v>
      </c>
      <c r="G7" s="82">
        <v>0</v>
      </c>
      <c r="H7" s="82">
        <v>133016</v>
      </c>
      <c r="I7" s="82">
        <f>SUM('INGRESO X AREA'!$H7*0.21)</f>
        <v>27933.360000000001</v>
      </c>
      <c r="J7" s="82">
        <f>SUM('INGRESO X AREA'!$H7:$I7)</f>
        <v>160949.35999999999</v>
      </c>
    </row>
    <row r="8" spans="1:10" hidden="1" x14ac:dyDescent="0.25">
      <c r="A8" s="86">
        <v>44957</v>
      </c>
      <c r="B8" s="81" t="s">
        <v>6885</v>
      </c>
      <c r="C8" s="82">
        <v>294744.80000000005</v>
      </c>
      <c r="D8" s="82">
        <v>55008</v>
      </c>
      <c r="E8" s="82">
        <v>179119.80000000002</v>
      </c>
      <c r="F8" s="82">
        <v>85614</v>
      </c>
      <c r="G8" s="82">
        <v>0</v>
      </c>
      <c r="H8" s="82">
        <v>614486.60000000009</v>
      </c>
      <c r="I8" s="82">
        <f>SUM('INGRESO X AREA'!$H8*0.21)</f>
        <v>129042.18600000002</v>
      </c>
      <c r="J8" s="82">
        <f>SUM('INGRESO X AREA'!$H8:$I8)</f>
        <v>743528.78600000008</v>
      </c>
    </row>
    <row r="9" spans="1:10" hidden="1" x14ac:dyDescent="0.25">
      <c r="A9" s="86">
        <v>44957</v>
      </c>
      <c r="B9" s="81" t="s">
        <v>6886</v>
      </c>
      <c r="C9" s="82">
        <v>197374</v>
      </c>
      <c r="D9" s="82">
        <v>0</v>
      </c>
      <c r="E9" s="82">
        <v>0</v>
      </c>
      <c r="F9" s="82">
        <v>0</v>
      </c>
      <c r="G9" s="82">
        <v>0</v>
      </c>
      <c r="H9" s="82">
        <v>197374</v>
      </c>
      <c r="I9" s="82">
        <f>SUM('INGRESO X AREA'!$H9*0.21)</f>
        <v>41448.54</v>
      </c>
      <c r="J9" s="82">
        <f>SUM('INGRESO X AREA'!$H9:$I9)</f>
        <v>238822.54</v>
      </c>
    </row>
    <row r="10" spans="1:10" hidden="1" x14ac:dyDescent="0.25">
      <c r="A10" s="86">
        <v>44957</v>
      </c>
      <c r="B10" s="81" t="s">
        <v>6887</v>
      </c>
      <c r="C10" s="82">
        <v>57730</v>
      </c>
      <c r="D10" s="82">
        <v>0</v>
      </c>
      <c r="E10" s="82">
        <v>0</v>
      </c>
      <c r="F10" s="82">
        <v>340000</v>
      </c>
      <c r="G10" s="82">
        <v>0</v>
      </c>
      <c r="H10" s="82">
        <v>397730</v>
      </c>
      <c r="I10" s="82">
        <f>SUM('INGRESO X AREA'!$H10*0.21)</f>
        <v>83523.3</v>
      </c>
      <c r="J10" s="82">
        <f>SUM('INGRESO X AREA'!$H10:$I10)</f>
        <v>481253.3</v>
      </c>
    </row>
    <row r="11" spans="1:10" hidden="1" x14ac:dyDescent="0.25">
      <c r="A11" s="86">
        <v>44957</v>
      </c>
      <c r="B11" s="81" t="s">
        <v>6888</v>
      </c>
      <c r="C11" s="82">
        <v>102511</v>
      </c>
      <c r="D11" s="82">
        <v>0</v>
      </c>
      <c r="E11" s="82">
        <v>2730</v>
      </c>
      <c r="F11" s="82">
        <v>256842</v>
      </c>
      <c r="G11" s="82">
        <v>0</v>
      </c>
      <c r="H11" s="82">
        <v>362083</v>
      </c>
      <c r="I11" s="82">
        <f>SUM('INGRESO X AREA'!$H11*0.21)</f>
        <v>76037.429999999993</v>
      </c>
      <c r="J11" s="82">
        <f>SUM('INGRESO X AREA'!$H11:$I11)</f>
        <v>438120.43</v>
      </c>
    </row>
    <row r="12" spans="1:10" hidden="1" x14ac:dyDescent="0.25">
      <c r="A12" s="86">
        <v>44957</v>
      </c>
      <c r="B12" s="81" t="s">
        <v>3117</v>
      </c>
      <c r="C12" s="82">
        <v>5742</v>
      </c>
      <c r="D12" s="82">
        <v>20628</v>
      </c>
      <c r="E12" s="82">
        <v>48132</v>
      </c>
      <c r="F12" s="82">
        <v>0</v>
      </c>
      <c r="G12" s="82">
        <v>0</v>
      </c>
      <c r="H12" s="82">
        <v>74502</v>
      </c>
      <c r="I12" s="82">
        <f>SUM('INGRESO X AREA'!$H12*0.21)</f>
        <v>15645.42</v>
      </c>
      <c r="J12" s="82">
        <f>SUM('INGRESO X AREA'!$H12:$I12)</f>
        <v>90147.42</v>
      </c>
    </row>
    <row r="13" spans="1:10" hidden="1" x14ac:dyDescent="0.25">
      <c r="A13" s="86">
        <v>44957</v>
      </c>
      <c r="B13" s="81" t="s">
        <v>6889</v>
      </c>
      <c r="C13" s="82">
        <v>21576</v>
      </c>
      <c r="D13" s="82">
        <v>0</v>
      </c>
      <c r="E13" s="82">
        <v>0</v>
      </c>
      <c r="F13" s="82">
        <v>0</v>
      </c>
      <c r="G13" s="82">
        <v>0</v>
      </c>
      <c r="H13" s="82">
        <v>21576</v>
      </c>
      <c r="I13" s="82">
        <f>SUM('INGRESO X AREA'!$H13*0.21)</f>
        <v>4530.96</v>
      </c>
      <c r="J13" s="82">
        <f>SUM('INGRESO X AREA'!$H13:$I13)</f>
        <v>26106.959999999999</v>
      </c>
    </row>
    <row r="14" spans="1:10" hidden="1" x14ac:dyDescent="0.25">
      <c r="A14" s="86">
        <v>44957</v>
      </c>
      <c r="B14" s="81" t="s">
        <v>6890</v>
      </c>
      <c r="C14" s="82">
        <v>35844</v>
      </c>
      <c r="D14" s="82">
        <v>103140</v>
      </c>
      <c r="E14" s="82">
        <v>356383.07999999996</v>
      </c>
      <c r="F14" s="82">
        <v>214035</v>
      </c>
      <c r="G14" s="82">
        <v>0</v>
      </c>
      <c r="H14" s="82">
        <v>709402.08</v>
      </c>
      <c r="I14" s="82">
        <f>SUM('INGRESO X AREA'!$H14*0.21)</f>
        <v>148974.4368</v>
      </c>
      <c r="J14" s="82">
        <f>SUM('INGRESO X AREA'!$H14:$I14)</f>
        <v>858376.51679999998</v>
      </c>
    </row>
    <row r="15" spans="1:10" hidden="1" x14ac:dyDescent="0.25">
      <c r="A15" s="86">
        <v>44957</v>
      </c>
      <c r="B15" s="81" t="s">
        <v>6891</v>
      </c>
      <c r="C15" s="82">
        <v>121017</v>
      </c>
      <c r="D15" s="82">
        <v>82512</v>
      </c>
      <c r="E15" s="82">
        <v>199747.8</v>
      </c>
      <c r="F15" s="82">
        <v>0</v>
      </c>
      <c r="G15" s="82">
        <v>0</v>
      </c>
      <c r="H15" s="82">
        <v>403276.79999999999</v>
      </c>
      <c r="I15" s="82">
        <f>SUM('INGRESO X AREA'!$H15*0.21)</f>
        <v>84688.127999999997</v>
      </c>
      <c r="J15" s="82">
        <f>SUM('INGRESO X AREA'!$H15:$I15)</f>
        <v>487964.92799999996</v>
      </c>
    </row>
    <row r="16" spans="1:10" hidden="1" x14ac:dyDescent="0.25">
      <c r="A16" s="83">
        <v>44985</v>
      </c>
      <c r="B16" s="84" t="s">
        <v>6881</v>
      </c>
      <c r="C16" s="85">
        <v>934119</v>
      </c>
      <c r="D16" s="85">
        <v>20628</v>
      </c>
      <c r="E16" s="85">
        <v>627349</v>
      </c>
      <c r="F16" s="85">
        <v>477493</v>
      </c>
      <c r="G16" s="85">
        <v>1757760</v>
      </c>
      <c r="H16" s="85">
        <v>3817349</v>
      </c>
      <c r="I16" s="85">
        <f>SUM('INGRESO X AREA'!$H16*0.21)</f>
        <v>801643.28999999992</v>
      </c>
      <c r="J16" s="85">
        <f>SUM('INGRESO X AREA'!$H16:$I16)</f>
        <v>4618992.29</v>
      </c>
    </row>
    <row r="17" spans="1:10" hidden="1" x14ac:dyDescent="0.25">
      <c r="A17" s="86">
        <v>44985</v>
      </c>
      <c r="B17" s="81" t="s">
        <v>6882</v>
      </c>
      <c r="C17" s="82">
        <v>13920</v>
      </c>
      <c r="D17" s="82">
        <v>0</v>
      </c>
      <c r="E17" s="82">
        <v>0</v>
      </c>
      <c r="F17" s="82">
        <v>0</v>
      </c>
      <c r="G17" s="82">
        <v>87436</v>
      </c>
      <c r="H17" s="82">
        <v>101356</v>
      </c>
      <c r="I17" s="82">
        <f>SUM('INGRESO X AREA'!$H17*0.21)</f>
        <v>21284.76</v>
      </c>
      <c r="J17" s="82">
        <f>SUM('INGRESO X AREA'!$H17:$I17)</f>
        <v>122640.76</v>
      </c>
    </row>
    <row r="18" spans="1:10" hidden="1" x14ac:dyDescent="0.25">
      <c r="A18" s="86">
        <v>44985</v>
      </c>
      <c r="B18" s="81" t="s">
        <v>5140</v>
      </c>
      <c r="C18" s="82">
        <v>75319</v>
      </c>
      <c r="D18" s="82">
        <v>0</v>
      </c>
      <c r="E18" s="82">
        <v>0</v>
      </c>
      <c r="F18" s="82">
        <v>0</v>
      </c>
      <c r="G18" s="82">
        <v>0</v>
      </c>
      <c r="H18" s="82">
        <v>75319</v>
      </c>
      <c r="I18" s="82">
        <f>SUM('INGRESO X AREA'!$H18*0.21)</f>
        <v>15816.99</v>
      </c>
      <c r="J18" s="82">
        <f>SUM('INGRESO X AREA'!$H18:$I18)</f>
        <v>91135.99</v>
      </c>
    </row>
    <row r="19" spans="1:10" hidden="1" x14ac:dyDescent="0.25">
      <c r="A19" s="86">
        <v>44985</v>
      </c>
      <c r="B19" s="81" t="s">
        <v>6883</v>
      </c>
      <c r="C19" s="82">
        <v>237017</v>
      </c>
      <c r="D19" s="82">
        <v>0</v>
      </c>
      <c r="E19" s="82">
        <v>0</v>
      </c>
      <c r="F19" s="82">
        <v>0</v>
      </c>
      <c r="G19" s="82">
        <v>0</v>
      </c>
      <c r="H19" s="82">
        <v>237017</v>
      </c>
      <c r="I19" s="82">
        <f>SUM('INGRESO X AREA'!$H19*0.21)</f>
        <v>49773.57</v>
      </c>
      <c r="J19" s="82">
        <f>SUM('INGRESO X AREA'!$H19:$I19)</f>
        <v>286790.57</v>
      </c>
    </row>
    <row r="20" spans="1:10" hidden="1" x14ac:dyDescent="0.25">
      <c r="A20" s="86">
        <v>44985</v>
      </c>
      <c r="B20" s="81" t="s">
        <v>5141</v>
      </c>
      <c r="C20" s="82">
        <v>277965</v>
      </c>
      <c r="D20" s="82">
        <v>5357</v>
      </c>
      <c r="E20" s="82">
        <v>5357</v>
      </c>
      <c r="F20" s="82">
        <v>34788</v>
      </c>
      <c r="G20" s="82">
        <v>0</v>
      </c>
      <c r="H20" s="82">
        <v>323467</v>
      </c>
      <c r="I20" s="82">
        <f>SUM('INGRESO X AREA'!$H20*0.21)</f>
        <v>67928.069999999992</v>
      </c>
      <c r="J20" s="82">
        <f>SUM('INGRESO X AREA'!$H20:$I20)</f>
        <v>391395.07</v>
      </c>
    </row>
    <row r="21" spans="1:10" ht="15.75" hidden="1" customHeight="1" x14ac:dyDescent="0.25">
      <c r="A21" s="86">
        <v>44985</v>
      </c>
      <c r="B21" s="81" t="s">
        <v>6884</v>
      </c>
      <c r="C21" s="82">
        <v>46284</v>
      </c>
      <c r="D21" s="82">
        <v>0</v>
      </c>
      <c r="E21" s="82">
        <v>0</v>
      </c>
      <c r="F21" s="82">
        <v>0</v>
      </c>
      <c r="G21" s="82">
        <v>0</v>
      </c>
      <c r="H21" s="82">
        <v>46284</v>
      </c>
      <c r="I21" s="82">
        <f>SUM('INGRESO X AREA'!$H21*0.21)</f>
        <v>9719.64</v>
      </c>
      <c r="J21" s="82">
        <f>SUM('INGRESO X AREA'!$H21:$I21)</f>
        <v>56003.64</v>
      </c>
    </row>
    <row r="22" spans="1:10" ht="15.75" hidden="1" customHeight="1" x14ac:dyDescent="0.25">
      <c r="A22" s="86">
        <v>44985</v>
      </c>
      <c r="B22" s="81" t="s">
        <v>6885</v>
      </c>
      <c r="C22" s="82">
        <v>316527.99999999988</v>
      </c>
      <c r="D22" s="82">
        <v>27504</v>
      </c>
      <c r="E22" s="82">
        <v>118215.62999999999</v>
      </c>
      <c r="F22" s="82">
        <v>0</v>
      </c>
      <c r="G22" s="82">
        <v>0</v>
      </c>
      <c r="H22" s="82">
        <v>462247.62999999989</v>
      </c>
      <c r="I22" s="82">
        <f>SUM('INGRESO X AREA'!$H22*0.21)</f>
        <v>97072.002299999978</v>
      </c>
      <c r="J22" s="82">
        <f>SUM('INGRESO X AREA'!$H22:$I22)</f>
        <v>559319.63229999982</v>
      </c>
    </row>
    <row r="23" spans="1:10" ht="15.75" hidden="1" customHeight="1" x14ac:dyDescent="0.25">
      <c r="A23" s="86">
        <v>44985</v>
      </c>
      <c r="B23" s="81" t="s">
        <v>6886</v>
      </c>
      <c r="C23" s="82">
        <v>154483</v>
      </c>
      <c r="D23" s="82">
        <v>27504</v>
      </c>
      <c r="E23" s="82">
        <v>127606</v>
      </c>
      <c r="F23" s="82">
        <v>0</v>
      </c>
      <c r="G23" s="82">
        <v>0</v>
      </c>
      <c r="H23" s="82">
        <v>309593</v>
      </c>
      <c r="I23" s="82">
        <f>SUM('INGRESO X AREA'!$H23*0.21)</f>
        <v>65014.53</v>
      </c>
      <c r="J23" s="82">
        <f>SUM('INGRESO X AREA'!$H23:$I23)</f>
        <v>374607.53</v>
      </c>
    </row>
    <row r="24" spans="1:10" ht="15.75" hidden="1" customHeight="1" x14ac:dyDescent="0.25">
      <c r="A24" s="86">
        <v>44985</v>
      </c>
      <c r="B24" s="81" t="s">
        <v>6892</v>
      </c>
      <c r="C24" s="82">
        <v>40457</v>
      </c>
      <c r="D24" s="82">
        <v>180000</v>
      </c>
      <c r="E24" s="82">
        <v>168750</v>
      </c>
      <c r="F24" s="82">
        <v>0</v>
      </c>
      <c r="G24" s="82">
        <v>0</v>
      </c>
      <c r="H24" s="82">
        <v>389207</v>
      </c>
      <c r="I24" s="82">
        <f>SUM('INGRESO X AREA'!$H24*0.21)</f>
        <v>81733.47</v>
      </c>
      <c r="J24" s="82">
        <f>SUM('INGRESO X AREA'!$H24:$I24)</f>
        <v>470940.47</v>
      </c>
    </row>
    <row r="25" spans="1:10" ht="15.75" hidden="1" customHeight="1" x14ac:dyDescent="0.25">
      <c r="A25" s="86">
        <v>44985</v>
      </c>
      <c r="B25" s="81" t="s">
        <v>6888</v>
      </c>
      <c r="C25" s="82">
        <v>103063</v>
      </c>
      <c r="D25" s="82">
        <v>55008</v>
      </c>
      <c r="E25" s="82">
        <v>103586.94</v>
      </c>
      <c r="F25" s="82">
        <v>148013</v>
      </c>
      <c r="G25" s="82">
        <v>0</v>
      </c>
      <c r="H25" s="82">
        <v>409670.94</v>
      </c>
      <c r="I25" s="82">
        <f>SUM('INGRESO X AREA'!$H25*0.21)</f>
        <v>86030.897400000002</v>
      </c>
      <c r="J25" s="82">
        <f>SUM('INGRESO X AREA'!$H25:$I25)</f>
        <v>495701.83740000002</v>
      </c>
    </row>
    <row r="26" spans="1:10" ht="15.75" hidden="1" customHeight="1" x14ac:dyDescent="0.25">
      <c r="A26" s="86">
        <v>44985</v>
      </c>
      <c r="B26" s="81" t="s">
        <v>6893</v>
      </c>
      <c r="C26" s="82">
        <v>7540</v>
      </c>
      <c r="D26" s="82">
        <v>94020</v>
      </c>
      <c r="E26" s="82">
        <v>357552</v>
      </c>
      <c r="F26" s="82">
        <v>45000</v>
      </c>
      <c r="G26" s="82">
        <v>520</v>
      </c>
      <c r="H26" s="82">
        <v>504632</v>
      </c>
      <c r="I26" s="82">
        <f>SUM('INGRESO X AREA'!$H26*0.21)</f>
        <v>105972.72</v>
      </c>
      <c r="J26" s="82">
        <f>SUM('INGRESO X AREA'!$H26:$I26)</f>
        <v>610604.72</v>
      </c>
    </row>
    <row r="27" spans="1:10" ht="15.75" hidden="1" customHeight="1" x14ac:dyDescent="0.25">
      <c r="A27" s="86">
        <v>44985</v>
      </c>
      <c r="B27" s="81" t="s">
        <v>3117</v>
      </c>
      <c r="C27" s="82">
        <v>14616</v>
      </c>
      <c r="D27" s="82">
        <v>0</v>
      </c>
      <c r="E27" s="82">
        <v>8766</v>
      </c>
      <c r="F27" s="82">
        <v>0</v>
      </c>
      <c r="G27" s="82">
        <v>45000</v>
      </c>
      <c r="H27" s="82">
        <v>68382</v>
      </c>
      <c r="I27" s="82">
        <f>SUM('INGRESO X AREA'!$H27*0.21)</f>
        <v>14360.22</v>
      </c>
      <c r="J27" s="82">
        <f>SUM('INGRESO X AREA'!$H27:$I27)</f>
        <v>82742.22</v>
      </c>
    </row>
    <row r="28" spans="1:10" ht="15.75" hidden="1" customHeight="1" x14ac:dyDescent="0.25">
      <c r="A28" s="86">
        <v>44985</v>
      </c>
      <c r="B28" s="81" t="s">
        <v>6890</v>
      </c>
      <c r="C28" s="82">
        <v>59305</v>
      </c>
      <c r="D28" s="82">
        <v>55008</v>
      </c>
      <c r="E28" s="82">
        <v>179566</v>
      </c>
      <c r="F28" s="82">
        <v>85614</v>
      </c>
      <c r="G28" s="82">
        <v>0</v>
      </c>
      <c r="H28" s="82">
        <v>379493</v>
      </c>
      <c r="I28" s="82">
        <f>SUM('INGRESO X AREA'!$H28*0.21)</f>
        <v>79693.53</v>
      </c>
      <c r="J28" s="82">
        <f>SUM('INGRESO X AREA'!$H28:$I28)</f>
        <v>459186.53</v>
      </c>
    </row>
    <row r="29" spans="1:10" ht="15.75" hidden="1" customHeight="1" x14ac:dyDescent="0.25">
      <c r="A29" s="86">
        <v>44985</v>
      </c>
      <c r="B29" s="81" t="s">
        <v>6891</v>
      </c>
      <c r="C29" s="82">
        <v>115710</v>
      </c>
      <c r="D29" s="82">
        <v>27504</v>
      </c>
      <c r="E29" s="82">
        <v>87669</v>
      </c>
      <c r="F29" s="82">
        <v>661232</v>
      </c>
      <c r="G29" s="82">
        <v>0</v>
      </c>
      <c r="H29" s="82">
        <v>892115</v>
      </c>
      <c r="I29" s="82">
        <f>SUM('INGRESO X AREA'!$H29*0.21)</f>
        <v>187344.15</v>
      </c>
      <c r="J29" s="82">
        <f>SUM('INGRESO X AREA'!$H29:$I29)</f>
        <v>1079459.1499999999</v>
      </c>
    </row>
    <row r="30" spans="1:10" ht="15.75" hidden="1" customHeight="1" thickBot="1" x14ac:dyDescent="0.3">
      <c r="A30" s="87">
        <v>44985</v>
      </c>
      <c r="B30" s="88" t="s">
        <v>3982</v>
      </c>
      <c r="C30" s="89">
        <v>52124</v>
      </c>
      <c r="D30" s="89">
        <v>94020</v>
      </c>
      <c r="E30" s="89">
        <v>213996</v>
      </c>
      <c r="F30" s="89">
        <v>225000</v>
      </c>
      <c r="G30" s="89">
        <v>0</v>
      </c>
      <c r="H30" s="89">
        <v>585140</v>
      </c>
      <c r="I30" s="89">
        <f>SUM('INGRESO X AREA'!$H30*0.21)</f>
        <v>122879.4</v>
      </c>
      <c r="J30" s="89">
        <f>SUM('INGRESO X AREA'!$H30:$I30)</f>
        <v>708019.4</v>
      </c>
    </row>
    <row r="31" spans="1:10" ht="15.75" hidden="1" customHeight="1" x14ac:dyDescent="0.25">
      <c r="A31" s="90">
        <v>45016</v>
      </c>
      <c r="B31" s="81" t="s">
        <v>6881</v>
      </c>
      <c r="C31" s="82">
        <v>1017726</v>
      </c>
      <c r="D31" s="82">
        <v>26628</v>
      </c>
      <c r="E31" s="82">
        <v>257764.05</v>
      </c>
      <c r="F31" s="82">
        <v>728179</v>
      </c>
      <c r="G31" s="82">
        <v>0</v>
      </c>
      <c r="H31" s="82">
        <v>2030297.05</v>
      </c>
      <c r="I31" s="82">
        <f>SUM('INGRESO X AREA'!$H31*0.21)</f>
        <v>426362.38049999997</v>
      </c>
      <c r="J31" s="82">
        <f>SUM('INGRESO X AREA'!$H31:$I31)</f>
        <v>2456659.4304999998</v>
      </c>
    </row>
    <row r="32" spans="1:10" ht="15.75" hidden="1" customHeight="1" x14ac:dyDescent="0.25">
      <c r="A32" s="90">
        <v>45016</v>
      </c>
      <c r="B32" s="81" t="s">
        <v>6894</v>
      </c>
      <c r="C32" s="82">
        <v>0</v>
      </c>
      <c r="D32" s="82">
        <v>55008</v>
      </c>
      <c r="E32" s="82">
        <v>0</v>
      </c>
      <c r="F32" s="82">
        <v>0</v>
      </c>
      <c r="G32" s="82">
        <v>256640</v>
      </c>
      <c r="H32" s="82">
        <v>311648</v>
      </c>
      <c r="I32" s="82">
        <f>SUM('INGRESO X AREA'!$H32*0.21)</f>
        <v>65446.079999999994</v>
      </c>
      <c r="J32" s="82">
        <f>SUM('INGRESO X AREA'!$H32:$I32)</f>
        <v>377094.08</v>
      </c>
    </row>
    <row r="33" spans="1:10" ht="15.75" hidden="1" customHeight="1" x14ac:dyDescent="0.25">
      <c r="A33" s="90">
        <v>45016</v>
      </c>
      <c r="B33" s="81" t="s">
        <v>5140</v>
      </c>
      <c r="C33" s="82">
        <v>72065</v>
      </c>
      <c r="D33" s="82">
        <v>0</v>
      </c>
      <c r="E33" s="82">
        <v>13150</v>
      </c>
      <c r="F33" s="82">
        <v>0</v>
      </c>
      <c r="G33" s="82">
        <v>0</v>
      </c>
      <c r="H33" s="82">
        <v>85215</v>
      </c>
      <c r="I33" s="82">
        <f>SUM('INGRESO X AREA'!$H33*0.21)</f>
        <v>17895.149999999998</v>
      </c>
      <c r="J33" s="82">
        <f>SUM('INGRESO X AREA'!$H33:$I33)</f>
        <v>103110.15</v>
      </c>
    </row>
    <row r="34" spans="1:10" ht="15.75" hidden="1" customHeight="1" x14ac:dyDescent="0.25">
      <c r="A34" s="90">
        <v>45016</v>
      </c>
      <c r="B34" s="81" t="s">
        <v>6895</v>
      </c>
      <c r="C34" s="82">
        <v>0</v>
      </c>
      <c r="D34" s="82">
        <v>60000</v>
      </c>
      <c r="E34" s="82">
        <v>60000</v>
      </c>
      <c r="F34" s="82">
        <v>62000</v>
      </c>
      <c r="G34" s="82">
        <v>0</v>
      </c>
      <c r="H34" s="82">
        <v>182000</v>
      </c>
      <c r="I34" s="82">
        <f>SUM('INGRESO X AREA'!$H34*0.21)</f>
        <v>38220</v>
      </c>
      <c r="J34" s="82">
        <f>SUM('INGRESO X AREA'!$H34:$I34)</f>
        <v>220220</v>
      </c>
    </row>
    <row r="35" spans="1:10" ht="15.75" hidden="1" customHeight="1" x14ac:dyDescent="0.25">
      <c r="A35" s="90">
        <v>45016</v>
      </c>
      <c r="B35" s="81" t="s">
        <v>6883</v>
      </c>
      <c r="C35" s="82">
        <v>69368</v>
      </c>
      <c r="D35" s="82">
        <v>0</v>
      </c>
      <c r="E35" s="82">
        <v>109575</v>
      </c>
      <c r="F35" s="82">
        <v>0</v>
      </c>
      <c r="G35" s="82">
        <v>0</v>
      </c>
      <c r="H35" s="82">
        <v>178943</v>
      </c>
      <c r="I35" s="82">
        <f>SUM('INGRESO X AREA'!$H35*0.21)</f>
        <v>37578.03</v>
      </c>
      <c r="J35" s="82">
        <f>SUM('INGRESO X AREA'!$H35:$I35)</f>
        <v>216521.03</v>
      </c>
    </row>
    <row r="36" spans="1:10" ht="15.75" hidden="1" customHeight="1" x14ac:dyDescent="0.25">
      <c r="A36" s="90">
        <v>45016</v>
      </c>
      <c r="B36" s="81" t="s">
        <v>5141</v>
      </c>
      <c r="C36" s="82">
        <v>302006</v>
      </c>
      <c r="D36" s="82">
        <v>0</v>
      </c>
      <c r="E36" s="82">
        <v>7309</v>
      </c>
      <c r="F36" s="82">
        <v>0</v>
      </c>
      <c r="G36" s="82">
        <v>0</v>
      </c>
      <c r="H36" s="82">
        <v>309315</v>
      </c>
      <c r="I36" s="82">
        <f>SUM('INGRESO X AREA'!$H36*0.21)</f>
        <v>64956.149999999994</v>
      </c>
      <c r="J36" s="82">
        <f>SUM('INGRESO X AREA'!$H36:$I36)</f>
        <v>374271.15</v>
      </c>
    </row>
    <row r="37" spans="1:10" ht="15.75" hidden="1" customHeight="1" x14ac:dyDescent="0.25">
      <c r="A37" s="90">
        <v>45016</v>
      </c>
      <c r="B37" s="81" t="s">
        <v>6884</v>
      </c>
      <c r="C37" s="82">
        <v>64931</v>
      </c>
      <c r="D37" s="82">
        <v>27504</v>
      </c>
      <c r="E37" s="82">
        <v>16558</v>
      </c>
      <c r="F37" s="82">
        <v>128421</v>
      </c>
      <c r="G37" s="82">
        <v>0</v>
      </c>
      <c r="H37" s="82">
        <v>237414</v>
      </c>
      <c r="I37" s="82">
        <f>SUM('INGRESO X AREA'!$H37*0.21)</f>
        <v>49856.939999999995</v>
      </c>
      <c r="J37" s="82">
        <f>SUM('INGRESO X AREA'!$H37:$I37)</f>
        <v>287270.94</v>
      </c>
    </row>
    <row r="38" spans="1:10" ht="15.75" hidden="1" customHeight="1" x14ac:dyDescent="0.25">
      <c r="A38" s="90">
        <v>45016</v>
      </c>
      <c r="B38" s="81" t="s">
        <v>6896</v>
      </c>
      <c r="C38" s="82">
        <v>12505</v>
      </c>
      <c r="D38" s="82">
        <v>47010</v>
      </c>
      <c r="E38" s="82">
        <v>116892</v>
      </c>
      <c r="F38" s="82">
        <v>57000</v>
      </c>
      <c r="G38" s="82">
        <v>0</v>
      </c>
      <c r="H38" s="82">
        <v>233407</v>
      </c>
      <c r="I38" s="82">
        <f>SUM('INGRESO X AREA'!$H38*0.21)</f>
        <v>49015.47</v>
      </c>
      <c r="J38" s="82">
        <f>SUM('INGRESO X AREA'!$H38:$I38)</f>
        <v>282422.46999999997</v>
      </c>
    </row>
    <row r="39" spans="1:10" ht="15.75" hidden="1" customHeight="1" x14ac:dyDescent="0.25">
      <c r="A39" s="90">
        <v>45016</v>
      </c>
      <c r="B39" s="81" t="s">
        <v>6885</v>
      </c>
      <c r="C39" s="82">
        <v>321552</v>
      </c>
      <c r="D39" s="82">
        <v>235050</v>
      </c>
      <c r="E39" s="82">
        <v>395370</v>
      </c>
      <c r="F39" s="82">
        <v>128421</v>
      </c>
      <c r="G39" s="82">
        <v>0</v>
      </c>
      <c r="H39" s="82">
        <v>1080393</v>
      </c>
      <c r="I39" s="82">
        <f>SUM('INGRESO X AREA'!$H39*0.21)</f>
        <v>226882.53</v>
      </c>
      <c r="J39" s="82">
        <f>SUM('INGRESO X AREA'!$H39:$I39)</f>
        <v>1307275.53</v>
      </c>
    </row>
    <row r="40" spans="1:10" ht="15.75" hidden="1" customHeight="1" x14ac:dyDescent="0.25">
      <c r="A40" s="90">
        <v>45016</v>
      </c>
      <c r="B40" s="81" t="s">
        <v>6886</v>
      </c>
      <c r="C40" s="82">
        <v>136039</v>
      </c>
      <c r="D40" s="82">
        <v>0</v>
      </c>
      <c r="E40" s="82">
        <v>28733</v>
      </c>
      <c r="F40" s="82">
        <v>0</v>
      </c>
      <c r="G40" s="82">
        <v>0</v>
      </c>
      <c r="H40" s="82">
        <v>164772</v>
      </c>
      <c r="I40" s="82">
        <f>SUM('INGRESO X AREA'!$H40*0.21)</f>
        <v>34602.119999999995</v>
      </c>
      <c r="J40" s="82">
        <f>SUM('INGRESO X AREA'!$H40:$I40)</f>
        <v>199374.12</v>
      </c>
    </row>
    <row r="41" spans="1:10" ht="15.75" hidden="1" customHeight="1" x14ac:dyDescent="0.25">
      <c r="A41" s="90">
        <v>45016</v>
      </c>
      <c r="B41" s="81" t="s">
        <v>6892</v>
      </c>
      <c r="C41" s="82">
        <v>43239</v>
      </c>
      <c r="D41" s="82">
        <v>0</v>
      </c>
      <c r="E41" s="82">
        <v>0</v>
      </c>
      <c r="F41" s="82">
        <v>4870</v>
      </c>
      <c r="G41" s="82">
        <v>0</v>
      </c>
      <c r="H41" s="82">
        <v>48109</v>
      </c>
      <c r="I41" s="82">
        <f>SUM('INGRESO X AREA'!$H41*0.21)</f>
        <v>10102.89</v>
      </c>
      <c r="J41" s="82">
        <f>SUM('INGRESO X AREA'!$H41:$I41)</f>
        <v>58211.89</v>
      </c>
    </row>
    <row r="42" spans="1:10" ht="15.75" hidden="1" customHeight="1" x14ac:dyDescent="0.25">
      <c r="A42" s="90">
        <v>45016</v>
      </c>
      <c r="B42" s="81" t="s">
        <v>6888</v>
      </c>
      <c r="C42" s="82">
        <v>140998</v>
      </c>
      <c r="D42" s="82">
        <v>0</v>
      </c>
      <c r="E42" s="82">
        <v>6900</v>
      </c>
      <c r="F42" s="82">
        <v>109296</v>
      </c>
      <c r="G42" s="82">
        <v>0</v>
      </c>
      <c r="H42" s="82">
        <v>257194</v>
      </c>
      <c r="I42" s="82">
        <f>SUM('INGRESO X AREA'!$H42*0.21)</f>
        <v>54010.74</v>
      </c>
      <c r="J42" s="82">
        <f>SUM('INGRESO X AREA'!$H42:$I42)</f>
        <v>311204.74</v>
      </c>
    </row>
    <row r="43" spans="1:10" ht="15.75" hidden="1" customHeight="1" x14ac:dyDescent="0.25">
      <c r="A43" s="90">
        <v>45016</v>
      </c>
      <c r="B43" s="81" t="s">
        <v>6893</v>
      </c>
      <c r="C43" s="82">
        <v>113622</v>
      </c>
      <c r="D43" s="82">
        <v>0</v>
      </c>
      <c r="E43" s="82">
        <v>0</v>
      </c>
      <c r="F43" s="82">
        <v>0</v>
      </c>
      <c r="G43" s="82">
        <v>60112</v>
      </c>
      <c r="H43" s="82">
        <v>173734</v>
      </c>
      <c r="I43" s="82">
        <f>SUM('INGRESO X AREA'!$H43*0.21)</f>
        <v>36484.14</v>
      </c>
      <c r="J43" s="82">
        <f>SUM('INGRESO X AREA'!$H43:$I43)</f>
        <v>210218.14</v>
      </c>
    </row>
    <row r="44" spans="1:10" ht="15.75" hidden="1" customHeight="1" x14ac:dyDescent="0.25">
      <c r="A44" s="90">
        <v>45016</v>
      </c>
      <c r="B44" s="81" t="s">
        <v>6890</v>
      </c>
      <c r="C44" s="82">
        <v>68324</v>
      </c>
      <c r="D44" s="82">
        <v>34380</v>
      </c>
      <c r="E44" s="82">
        <v>104033.88</v>
      </c>
      <c r="F44" s="82">
        <v>235620</v>
      </c>
      <c r="G44" s="82">
        <v>0</v>
      </c>
      <c r="H44" s="82">
        <v>442357.88</v>
      </c>
      <c r="I44" s="82">
        <f>SUM('INGRESO X AREA'!$H44*0.21)</f>
        <v>92895.154800000004</v>
      </c>
      <c r="J44" s="82">
        <f>SUM('INGRESO X AREA'!$H44:$I44)</f>
        <v>535253.03480000002</v>
      </c>
    </row>
    <row r="45" spans="1:10" ht="15.75" hidden="1" customHeight="1" x14ac:dyDescent="0.25">
      <c r="A45" s="90">
        <v>45016</v>
      </c>
      <c r="B45" s="81" t="s">
        <v>6891</v>
      </c>
      <c r="C45" s="82">
        <v>56492</v>
      </c>
      <c r="D45" s="82">
        <v>27504</v>
      </c>
      <c r="E45" s="82">
        <v>112628</v>
      </c>
      <c r="F45" s="82">
        <v>300560</v>
      </c>
      <c r="G45" s="82">
        <v>0</v>
      </c>
      <c r="H45" s="82">
        <v>497184</v>
      </c>
      <c r="I45" s="82">
        <f>SUM('INGRESO X AREA'!$H45*0.21)</f>
        <v>104408.64</v>
      </c>
      <c r="J45" s="82">
        <f>SUM('INGRESO X AREA'!$H45:$I45)</f>
        <v>601592.64</v>
      </c>
    </row>
    <row r="46" spans="1:10" ht="15.75" hidden="1" customHeight="1" x14ac:dyDescent="0.25">
      <c r="A46" s="90">
        <v>45016</v>
      </c>
      <c r="B46" s="81" t="s">
        <v>3982</v>
      </c>
      <c r="C46" s="82">
        <v>145040</v>
      </c>
      <c r="D46" s="82">
        <v>312856</v>
      </c>
      <c r="E46" s="82">
        <v>894515</v>
      </c>
      <c r="F46" s="82">
        <v>0</v>
      </c>
      <c r="G46" s="82">
        <v>0</v>
      </c>
      <c r="H46" s="82">
        <v>1352411</v>
      </c>
      <c r="I46" s="82">
        <f>SUM('INGRESO X AREA'!$H46*0.21)</f>
        <v>284006.31</v>
      </c>
      <c r="J46" s="82">
        <f>SUM('INGRESO X AREA'!$H46:$I46)</f>
        <v>1636417.31</v>
      </c>
    </row>
    <row r="47" spans="1:10" ht="15.75" hidden="1" customHeight="1" x14ac:dyDescent="0.25">
      <c r="A47" s="90">
        <v>45046</v>
      </c>
      <c r="B47" s="81" t="s">
        <v>6897</v>
      </c>
      <c r="C47" s="82">
        <v>0</v>
      </c>
      <c r="D47" s="82">
        <v>0</v>
      </c>
      <c r="E47" s="82">
        <v>16240</v>
      </c>
      <c r="F47" s="82">
        <v>16782</v>
      </c>
      <c r="G47" s="82">
        <v>0</v>
      </c>
      <c r="H47" s="82">
        <v>33022</v>
      </c>
      <c r="I47" s="82">
        <f>SUM('INGRESO X AREA'!$H47*0.21)</f>
        <v>6934.62</v>
      </c>
      <c r="J47" s="82">
        <f>SUM('INGRESO X AREA'!$H47:$I47)</f>
        <v>39956.620000000003</v>
      </c>
    </row>
    <row r="48" spans="1:10" ht="15.75" hidden="1" customHeight="1" x14ac:dyDescent="0.25">
      <c r="A48" s="90">
        <v>45046</v>
      </c>
      <c r="B48" s="81" t="s">
        <v>6881</v>
      </c>
      <c r="C48" s="82">
        <v>1588640</v>
      </c>
      <c r="D48" s="82">
        <v>97705</v>
      </c>
      <c r="E48" s="82">
        <v>1139120</v>
      </c>
      <c r="F48" s="82">
        <v>1252508</v>
      </c>
      <c r="G48" s="82">
        <v>0</v>
      </c>
      <c r="H48" s="82">
        <v>4077973</v>
      </c>
      <c r="I48" s="82">
        <f>SUM('INGRESO X AREA'!$H48*0.21)</f>
        <v>856374.33</v>
      </c>
      <c r="J48" s="82">
        <f>SUM('INGRESO X AREA'!$H48:$I48)</f>
        <v>4934347.33</v>
      </c>
    </row>
    <row r="49" spans="1:10" ht="15.75" hidden="1" customHeight="1" x14ac:dyDescent="0.25">
      <c r="A49" s="90">
        <v>45046</v>
      </c>
      <c r="B49" s="81" t="s">
        <v>6894</v>
      </c>
      <c r="C49" s="82">
        <v>0</v>
      </c>
      <c r="D49" s="82">
        <v>63463</v>
      </c>
      <c r="E49" s="82">
        <v>0</v>
      </c>
      <c r="F49" s="82">
        <v>0</v>
      </c>
      <c r="G49" s="82">
        <v>259440</v>
      </c>
      <c r="H49" s="82">
        <v>322903</v>
      </c>
      <c r="I49" s="82">
        <f>SUM('INGRESO X AREA'!$H49*0.21)</f>
        <v>67809.63</v>
      </c>
      <c r="J49" s="82">
        <f>SUM('INGRESO X AREA'!$H49:$I49)</f>
        <v>390712.63</v>
      </c>
    </row>
    <row r="50" spans="1:10" ht="15.75" hidden="1" customHeight="1" x14ac:dyDescent="0.25">
      <c r="A50" s="90">
        <v>45046</v>
      </c>
      <c r="B50" s="81" t="s">
        <v>5140</v>
      </c>
      <c r="C50" s="82">
        <v>79400</v>
      </c>
      <c r="D50" s="82">
        <v>0</v>
      </c>
      <c r="E50" s="82">
        <v>13150</v>
      </c>
      <c r="F50" s="82">
        <v>0</v>
      </c>
      <c r="G50" s="82">
        <v>0</v>
      </c>
      <c r="H50" s="82">
        <v>92550</v>
      </c>
      <c r="I50" s="82">
        <f>SUM('INGRESO X AREA'!$H50*0.21)</f>
        <v>19435.5</v>
      </c>
      <c r="J50" s="82">
        <f>SUM('INGRESO X AREA'!$H50:$I50)</f>
        <v>111985.5</v>
      </c>
    </row>
    <row r="51" spans="1:10" ht="15.75" hidden="1" customHeight="1" x14ac:dyDescent="0.25">
      <c r="A51" s="90">
        <v>45046</v>
      </c>
      <c r="B51" s="81" t="s">
        <v>5141</v>
      </c>
      <c r="C51" s="82">
        <v>371360</v>
      </c>
      <c r="D51" s="82">
        <v>0</v>
      </c>
      <c r="E51" s="82">
        <v>19053</v>
      </c>
      <c r="F51" s="82">
        <v>0</v>
      </c>
      <c r="G51" s="82">
        <v>0</v>
      </c>
      <c r="H51" s="82">
        <v>390413</v>
      </c>
      <c r="I51" s="82">
        <f>SUM('INGRESO X AREA'!$H51*0.21)</f>
        <v>81986.73</v>
      </c>
      <c r="J51" s="82">
        <f>SUM('INGRESO X AREA'!$H51:$I51)</f>
        <v>472399.73</v>
      </c>
    </row>
    <row r="52" spans="1:10" ht="15.75" hidden="1" customHeight="1" x14ac:dyDescent="0.25">
      <c r="A52" s="90">
        <v>45046</v>
      </c>
      <c r="B52" s="81" t="s">
        <v>6898</v>
      </c>
      <c r="C52" s="82">
        <v>0</v>
      </c>
      <c r="D52" s="82">
        <v>0</v>
      </c>
      <c r="E52" s="82">
        <v>30844.400000000001</v>
      </c>
      <c r="F52" s="82">
        <v>24862</v>
      </c>
      <c r="G52" s="82">
        <v>0</v>
      </c>
      <c r="H52" s="82">
        <v>55706.400000000001</v>
      </c>
      <c r="I52" s="82">
        <f>SUM('INGRESO X AREA'!$H52*0.21)</f>
        <v>11698.343999999999</v>
      </c>
      <c r="J52" s="82">
        <f>SUM('INGRESO X AREA'!$H52:$I52)</f>
        <v>67404.744000000006</v>
      </c>
    </row>
    <row r="53" spans="1:10" ht="15.75" hidden="1" customHeight="1" x14ac:dyDescent="0.25">
      <c r="A53" s="90">
        <v>45046</v>
      </c>
      <c r="B53" s="81" t="s">
        <v>6884</v>
      </c>
      <c r="C53" s="82">
        <v>104000</v>
      </c>
      <c r="D53" s="82">
        <v>0</v>
      </c>
      <c r="E53" s="82">
        <v>0</v>
      </c>
      <c r="F53" s="82">
        <v>84000</v>
      </c>
      <c r="G53" s="82">
        <v>0</v>
      </c>
      <c r="H53" s="82">
        <v>188000</v>
      </c>
      <c r="I53" s="82">
        <f>SUM('INGRESO X AREA'!$H53*0.21)</f>
        <v>39480</v>
      </c>
      <c r="J53" s="82">
        <f>SUM('INGRESO X AREA'!$H53:$I53)</f>
        <v>227480</v>
      </c>
    </row>
    <row r="54" spans="1:10" ht="15.75" hidden="1" customHeight="1" x14ac:dyDescent="0.25">
      <c r="A54" s="90">
        <v>45046</v>
      </c>
      <c r="B54" s="81" t="s">
        <v>6899</v>
      </c>
      <c r="C54" s="82">
        <v>11774</v>
      </c>
      <c r="D54" s="82">
        <v>37310</v>
      </c>
      <c r="E54" s="82">
        <v>187819</v>
      </c>
      <c r="F54" s="82">
        <v>45118</v>
      </c>
      <c r="G54" s="82">
        <v>0</v>
      </c>
      <c r="H54" s="82">
        <v>282021</v>
      </c>
      <c r="I54" s="82">
        <f>SUM('INGRESO X AREA'!$H54*0.21)</f>
        <v>59224.409999999996</v>
      </c>
      <c r="J54" s="82">
        <f>SUM('INGRESO X AREA'!$H54:$I54)</f>
        <v>341245.41</v>
      </c>
    </row>
    <row r="55" spans="1:10" ht="15.75" hidden="1" customHeight="1" x14ac:dyDescent="0.25">
      <c r="A55" s="90">
        <v>45046</v>
      </c>
      <c r="B55" s="81" t="s">
        <v>6900</v>
      </c>
      <c r="C55" s="82">
        <v>25413.573281249999</v>
      </c>
      <c r="D55" s="82">
        <v>0</v>
      </c>
      <c r="E55" s="82">
        <v>39857.599999999999</v>
      </c>
      <c r="F55" s="82">
        <v>0</v>
      </c>
      <c r="G55" s="82">
        <v>0</v>
      </c>
      <c r="H55" s="82">
        <v>65271.173281249998</v>
      </c>
      <c r="I55" s="82">
        <f>SUM('INGRESO X AREA'!$H55*0.21)</f>
        <v>13706.946389062499</v>
      </c>
      <c r="J55" s="82">
        <f>SUM('INGRESO X AREA'!$H55:$I55)</f>
        <v>78978.119670312502</v>
      </c>
    </row>
    <row r="56" spans="1:10" ht="15.75" hidden="1" customHeight="1" x14ac:dyDescent="0.25">
      <c r="A56" s="90">
        <v>45046</v>
      </c>
      <c r="B56" s="81" t="s">
        <v>6885</v>
      </c>
      <c r="C56" s="82">
        <v>384560</v>
      </c>
      <c r="D56" s="82">
        <v>74260</v>
      </c>
      <c r="E56" s="82">
        <v>269120</v>
      </c>
      <c r="F56" s="82">
        <v>630649</v>
      </c>
      <c r="G56" s="82">
        <v>0</v>
      </c>
      <c r="H56" s="82">
        <v>1358589</v>
      </c>
      <c r="I56" s="82">
        <f>SUM('INGRESO X AREA'!$H56*0.21)</f>
        <v>285303.69</v>
      </c>
      <c r="J56" s="82">
        <f>SUM('INGRESO X AREA'!$H56:$I56)</f>
        <v>1643892.69</v>
      </c>
    </row>
    <row r="57" spans="1:10" ht="15.75" hidden="1" customHeight="1" x14ac:dyDescent="0.25">
      <c r="A57" s="90">
        <v>45046</v>
      </c>
      <c r="B57" s="81" t="s">
        <v>6886</v>
      </c>
      <c r="C57" s="82">
        <v>104545</v>
      </c>
      <c r="D57" s="82">
        <v>0</v>
      </c>
      <c r="E57" s="82">
        <v>0</v>
      </c>
      <c r="F57" s="82">
        <v>0</v>
      </c>
      <c r="G57" s="82">
        <v>0</v>
      </c>
      <c r="H57" s="82">
        <v>104545</v>
      </c>
      <c r="I57" s="82">
        <f>SUM('INGRESO X AREA'!$H57*0.21)</f>
        <v>21954.45</v>
      </c>
      <c r="J57" s="82">
        <f>SUM('INGRESO X AREA'!$H57:$I57)</f>
        <v>126499.45</v>
      </c>
    </row>
    <row r="58" spans="1:10" ht="15.75" hidden="1" customHeight="1" x14ac:dyDescent="0.25">
      <c r="A58" s="90">
        <v>45046</v>
      </c>
      <c r="B58" s="81" t="s">
        <v>6901</v>
      </c>
      <c r="C58" s="82">
        <v>1914</v>
      </c>
      <c r="D58" s="82">
        <v>27504</v>
      </c>
      <c r="E58" s="82">
        <v>75120.3</v>
      </c>
      <c r="F58" s="82">
        <v>84000</v>
      </c>
      <c r="G58" s="82">
        <v>0</v>
      </c>
      <c r="H58" s="82">
        <v>188538.3</v>
      </c>
      <c r="I58" s="82">
        <f>SUM('INGRESO X AREA'!$H58*0.21)</f>
        <v>39593.042999999998</v>
      </c>
      <c r="J58" s="82">
        <f>SUM('INGRESO X AREA'!$H58:$I58)</f>
        <v>228131.34299999999</v>
      </c>
    </row>
    <row r="59" spans="1:10" ht="15.75" hidden="1" customHeight="1" x14ac:dyDescent="0.25">
      <c r="A59" s="90">
        <v>45046</v>
      </c>
      <c r="B59" s="81" t="s">
        <v>6892</v>
      </c>
      <c r="C59" s="82">
        <v>43680</v>
      </c>
      <c r="D59" s="82">
        <v>0</v>
      </c>
      <c r="E59" s="82">
        <v>0</v>
      </c>
      <c r="F59" s="82">
        <v>0</v>
      </c>
      <c r="G59" s="82">
        <v>0</v>
      </c>
      <c r="H59" s="82">
        <v>43680</v>
      </c>
      <c r="I59" s="82">
        <f>SUM('INGRESO X AREA'!$H59*0.21)</f>
        <v>9172.7999999999993</v>
      </c>
      <c r="J59" s="82">
        <f>SUM('INGRESO X AREA'!$H59:$I59)</f>
        <v>52852.800000000003</v>
      </c>
    </row>
    <row r="60" spans="1:10" ht="15.75" hidden="1" customHeight="1" x14ac:dyDescent="0.25">
      <c r="A60" s="90">
        <v>45046</v>
      </c>
      <c r="B60" s="81" t="s">
        <v>6888</v>
      </c>
      <c r="C60" s="82">
        <v>193760</v>
      </c>
      <c r="D60" s="82">
        <v>0</v>
      </c>
      <c r="E60" s="82">
        <v>5600</v>
      </c>
      <c r="F60" s="82">
        <v>99000</v>
      </c>
      <c r="G60" s="82">
        <v>0</v>
      </c>
      <c r="H60" s="82">
        <v>298360</v>
      </c>
      <c r="I60" s="82">
        <f>SUM('INGRESO X AREA'!$H60*0.21)</f>
        <v>62655.6</v>
      </c>
      <c r="J60" s="82">
        <f>SUM('INGRESO X AREA'!$H60:$I60)</f>
        <v>361015.6</v>
      </c>
    </row>
    <row r="61" spans="1:10" ht="15.75" hidden="1" customHeight="1" x14ac:dyDescent="0.25">
      <c r="A61" s="90">
        <v>45046</v>
      </c>
      <c r="B61" s="81" t="s">
        <v>6893</v>
      </c>
      <c r="C61" s="82">
        <v>156720</v>
      </c>
      <c r="D61" s="82">
        <v>0</v>
      </c>
      <c r="E61" s="82">
        <v>0</v>
      </c>
      <c r="F61" s="82">
        <v>104000</v>
      </c>
      <c r="G61" s="82">
        <v>0</v>
      </c>
      <c r="H61" s="82">
        <v>260720</v>
      </c>
      <c r="I61" s="82">
        <f>SUM('INGRESO X AREA'!$H61*0.21)</f>
        <v>54751.199999999997</v>
      </c>
      <c r="J61" s="82">
        <f>SUM('INGRESO X AREA'!$H61:$I61)</f>
        <v>315471.2</v>
      </c>
    </row>
    <row r="62" spans="1:10" ht="15.75" hidden="1" customHeight="1" x14ac:dyDescent="0.25">
      <c r="A62" s="90">
        <v>45046</v>
      </c>
      <c r="B62" s="81" t="s">
        <v>6890</v>
      </c>
      <c r="C62" s="82">
        <v>255840</v>
      </c>
      <c r="D62" s="82">
        <v>0</v>
      </c>
      <c r="E62" s="82">
        <v>0</v>
      </c>
      <c r="F62" s="82">
        <v>53500</v>
      </c>
      <c r="G62" s="82">
        <v>0</v>
      </c>
      <c r="H62" s="82">
        <v>309340</v>
      </c>
      <c r="I62" s="82">
        <f>SUM('INGRESO X AREA'!$H62*0.21)</f>
        <v>64961.399999999994</v>
      </c>
      <c r="J62" s="82">
        <f>SUM('INGRESO X AREA'!$H62:$I62)</f>
        <v>374301.4</v>
      </c>
    </row>
    <row r="63" spans="1:10" ht="15.75" hidden="1" customHeight="1" x14ac:dyDescent="0.25">
      <c r="A63" s="90">
        <v>45046</v>
      </c>
      <c r="B63" s="81" t="s">
        <v>6891</v>
      </c>
      <c r="C63" s="82">
        <v>28480</v>
      </c>
      <c r="D63" s="82">
        <v>0</v>
      </c>
      <c r="E63" s="82">
        <v>0</v>
      </c>
      <c r="F63" s="82">
        <v>178773</v>
      </c>
      <c r="G63" s="82">
        <v>0</v>
      </c>
      <c r="H63" s="82">
        <v>207253</v>
      </c>
      <c r="I63" s="82">
        <f>SUM('INGRESO X AREA'!$H63*0.21)</f>
        <v>43523.13</v>
      </c>
      <c r="J63" s="82">
        <f>SUM('INGRESO X AREA'!$H63:$I63)</f>
        <v>250776.13</v>
      </c>
    </row>
    <row r="64" spans="1:10" ht="15.75" hidden="1" customHeight="1" x14ac:dyDescent="0.25">
      <c r="A64" s="90">
        <v>45046</v>
      </c>
      <c r="B64" s="81" t="s">
        <v>3982</v>
      </c>
      <c r="C64" s="82">
        <v>332160</v>
      </c>
      <c r="D64" s="82">
        <v>136487</v>
      </c>
      <c r="E64" s="82">
        <v>354240.8</v>
      </c>
      <c r="F64" s="82">
        <v>253268</v>
      </c>
      <c r="G64" s="82">
        <v>719680</v>
      </c>
      <c r="H64" s="82">
        <v>1795835.8</v>
      </c>
      <c r="I64" s="82">
        <f>SUM('INGRESO X AREA'!$H64*0.21)</f>
        <v>377125.51799999998</v>
      </c>
      <c r="J64" s="82">
        <f>SUM('INGRESO X AREA'!$H64:$I64)</f>
        <v>2172961.318</v>
      </c>
    </row>
    <row r="65" spans="1:10" ht="15.75" hidden="1" customHeight="1" x14ac:dyDescent="0.25">
      <c r="A65" s="90">
        <v>45046</v>
      </c>
      <c r="B65" s="81" t="s">
        <v>6902</v>
      </c>
      <c r="C65" s="82">
        <v>0</v>
      </c>
      <c r="D65" s="82">
        <v>102107</v>
      </c>
      <c r="E65" s="82">
        <v>0</v>
      </c>
      <c r="F65" s="82">
        <v>0</v>
      </c>
      <c r="G65" s="82">
        <v>0</v>
      </c>
      <c r="H65" s="82">
        <v>102107</v>
      </c>
      <c r="I65" s="82">
        <f>SUM('INGRESO X AREA'!$H65*0.21)</f>
        <v>21442.469999999998</v>
      </c>
      <c r="J65" s="82">
        <f>SUM('INGRESO X AREA'!$H65:$I65)</f>
        <v>123549.47</v>
      </c>
    </row>
    <row r="66" spans="1:10" ht="15.75" hidden="1" customHeight="1" x14ac:dyDescent="0.25">
      <c r="A66" s="90">
        <v>45046</v>
      </c>
      <c r="B66" s="81" t="s">
        <v>6903</v>
      </c>
      <c r="C66" s="82">
        <v>52400</v>
      </c>
      <c r="D66" s="82">
        <v>0</v>
      </c>
      <c r="E66" s="82">
        <v>0</v>
      </c>
      <c r="F66" s="82">
        <v>0</v>
      </c>
      <c r="G66" s="82">
        <v>0</v>
      </c>
      <c r="H66" s="82">
        <v>52400</v>
      </c>
      <c r="I66" s="82">
        <f>SUM('INGRESO X AREA'!$H66*0.21)</f>
        <v>11004</v>
      </c>
      <c r="J66" s="82">
        <f>SUM('INGRESO X AREA'!$H66:$I66)</f>
        <v>63404</v>
      </c>
    </row>
    <row r="67" spans="1:10" ht="15.75" hidden="1" customHeight="1" x14ac:dyDescent="0.25">
      <c r="A67" s="90">
        <v>45077</v>
      </c>
      <c r="B67" s="81" t="s">
        <v>6897</v>
      </c>
      <c r="C67" s="82">
        <v>0</v>
      </c>
      <c r="D67" s="82">
        <v>0</v>
      </c>
      <c r="E67" s="82">
        <v>19720</v>
      </c>
      <c r="F67" s="82">
        <v>21754</v>
      </c>
      <c r="G67" s="82">
        <v>0</v>
      </c>
      <c r="H67" s="82">
        <v>41474</v>
      </c>
      <c r="I67" s="82">
        <f>SUM('INGRESO X AREA'!$H67*0.21)</f>
        <v>8709.5399999999991</v>
      </c>
      <c r="J67" s="82">
        <f>SUM('INGRESO X AREA'!$H67:$I67)</f>
        <v>50183.54</v>
      </c>
    </row>
    <row r="68" spans="1:10" ht="15.75" hidden="1" customHeight="1" x14ac:dyDescent="0.25">
      <c r="A68" s="90">
        <v>45077</v>
      </c>
      <c r="B68" s="81" t="s">
        <v>6881</v>
      </c>
      <c r="C68" s="82">
        <v>1590800</v>
      </c>
      <c r="D68" s="82">
        <v>135881.25000000003</v>
      </c>
      <c r="E68" s="82">
        <v>504391.2</v>
      </c>
      <c r="F68" s="82">
        <v>1413731</v>
      </c>
      <c r="G68" s="82">
        <v>0</v>
      </c>
      <c r="H68" s="82">
        <v>3644803.45</v>
      </c>
      <c r="I68" s="82">
        <f>SUM('INGRESO X AREA'!$H68*0.21)</f>
        <v>765408.72450000001</v>
      </c>
      <c r="J68" s="82">
        <f>SUM('INGRESO X AREA'!$H68:$I68)</f>
        <v>4410212.1744999997</v>
      </c>
    </row>
    <row r="69" spans="1:10" ht="15.75" hidden="1" customHeight="1" x14ac:dyDescent="0.25">
      <c r="A69" s="90">
        <v>45077</v>
      </c>
      <c r="B69" s="81" t="s">
        <v>5140</v>
      </c>
      <c r="C69" s="82">
        <v>66160</v>
      </c>
      <c r="D69" s="82">
        <v>0</v>
      </c>
      <c r="E69" s="82">
        <v>13150</v>
      </c>
      <c r="F69" s="82">
        <v>0</v>
      </c>
      <c r="G69" s="82">
        <v>0</v>
      </c>
      <c r="H69" s="82">
        <v>79310</v>
      </c>
      <c r="I69" s="82">
        <f>SUM('INGRESO X AREA'!$H69*0.21)</f>
        <v>16655.099999999999</v>
      </c>
      <c r="J69" s="82">
        <f>SUM('INGRESO X AREA'!$H69:$I69)</f>
        <v>95965.1</v>
      </c>
    </row>
    <row r="70" spans="1:10" ht="15.75" hidden="1" customHeight="1" x14ac:dyDescent="0.25">
      <c r="A70" s="90">
        <v>45077</v>
      </c>
      <c r="B70" s="81" t="s">
        <v>5141</v>
      </c>
      <c r="C70" s="82">
        <v>389440</v>
      </c>
      <c r="D70" s="82">
        <v>10512</v>
      </c>
      <c r="E70" s="82">
        <v>0</v>
      </c>
      <c r="F70" s="82">
        <v>0</v>
      </c>
      <c r="G70" s="82">
        <v>0</v>
      </c>
      <c r="H70" s="82">
        <v>399952</v>
      </c>
      <c r="I70" s="82">
        <f>SUM('INGRESO X AREA'!$H70*0.21)</f>
        <v>83989.92</v>
      </c>
      <c r="J70" s="82">
        <f>SUM('INGRESO X AREA'!$H70:$I70)</f>
        <v>483941.92</v>
      </c>
    </row>
    <row r="71" spans="1:10" ht="15.75" hidden="1" customHeight="1" x14ac:dyDescent="0.25">
      <c r="A71" s="90">
        <v>45077</v>
      </c>
      <c r="B71" s="81" t="s">
        <v>6898</v>
      </c>
      <c r="C71" s="82">
        <v>0</v>
      </c>
      <c r="D71" s="82">
        <v>0</v>
      </c>
      <c r="E71" s="82">
        <v>30844</v>
      </c>
      <c r="F71" s="82">
        <v>24862</v>
      </c>
      <c r="G71" s="82">
        <v>0</v>
      </c>
      <c r="H71" s="82">
        <v>55706</v>
      </c>
      <c r="I71" s="82">
        <f>SUM('INGRESO X AREA'!$H71*0.21)</f>
        <v>11698.26</v>
      </c>
      <c r="J71" s="82">
        <f>SUM('INGRESO X AREA'!$H71:$I71)</f>
        <v>67404.259999999995</v>
      </c>
    </row>
    <row r="72" spans="1:10" ht="15.75" hidden="1" customHeight="1" x14ac:dyDescent="0.25">
      <c r="A72" s="90">
        <v>45077</v>
      </c>
      <c r="B72" s="81" t="s">
        <v>6884</v>
      </c>
      <c r="C72" s="82">
        <v>101040</v>
      </c>
      <c r="D72" s="82">
        <v>84000</v>
      </c>
      <c r="E72" s="82">
        <v>0</v>
      </c>
      <c r="F72" s="82">
        <v>0</v>
      </c>
      <c r="G72" s="82">
        <v>0</v>
      </c>
      <c r="H72" s="82">
        <v>185040</v>
      </c>
      <c r="I72" s="82">
        <f>SUM('INGRESO X AREA'!$H72*0.21)</f>
        <v>38858.400000000001</v>
      </c>
      <c r="J72" s="82">
        <f>SUM('INGRESO X AREA'!$H72:$I72)</f>
        <v>223898.4</v>
      </c>
    </row>
    <row r="73" spans="1:10" ht="15.75" hidden="1" customHeight="1" x14ac:dyDescent="0.25">
      <c r="A73" s="90">
        <v>45077</v>
      </c>
      <c r="B73" s="81" t="s">
        <v>6899</v>
      </c>
      <c r="C73" s="82">
        <v>13440</v>
      </c>
      <c r="D73" s="82">
        <v>37130</v>
      </c>
      <c r="E73" s="82">
        <v>155741</v>
      </c>
      <c r="F73" s="82">
        <v>15111</v>
      </c>
      <c r="G73" s="82">
        <v>0</v>
      </c>
      <c r="H73" s="82">
        <v>221422</v>
      </c>
      <c r="I73" s="82">
        <f>SUM('INGRESO X AREA'!$H73*0.21)</f>
        <v>46498.619999999995</v>
      </c>
      <c r="J73" s="82">
        <f>SUM('INGRESO X AREA'!$H73:$I73)</f>
        <v>267920.62</v>
      </c>
    </row>
    <row r="74" spans="1:10" ht="15.75" hidden="1" customHeight="1" x14ac:dyDescent="0.25">
      <c r="A74" s="90">
        <v>45077</v>
      </c>
      <c r="B74" s="81" t="s">
        <v>6900</v>
      </c>
      <c r="C74" s="82">
        <v>0</v>
      </c>
      <c r="D74" s="82">
        <v>0</v>
      </c>
      <c r="E74" s="82">
        <v>33872</v>
      </c>
      <c r="F74" s="82">
        <v>21546.290390624999</v>
      </c>
      <c r="G74" s="82">
        <v>0</v>
      </c>
      <c r="H74" s="82">
        <v>55418.290390624999</v>
      </c>
      <c r="I74" s="82">
        <f>SUM('INGRESO X AREA'!$H74*0.21)</f>
        <v>11637.84098203125</v>
      </c>
      <c r="J74" s="82">
        <f>SUM('INGRESO X AREA'!$H74:$I74)</f>
        <v>67056.131372656251</v>
      </c>
    </row>
    <row r="75" spans="1:10" ht="15.75" hidden="1" customHeight="1" x14ac:dyDescent="0.25">
      <c r="A75" s="90">
        <v>45077</v>
      </c>
      <c r="B75" s="81" t="s">
        <v>6885</v>
      </c>
      <c r="C75" s="82">
        <v>313960</v>
      </c>
      <c r="D75" s="82">
        <v>37130</v>
      </c>
      <c r="E75" s="82">
        <v>150800</v>
      </c>
      <c r="F75" s="82">
        <v>315009</v>
      </c>
      <c r="G75" s="82">
        <v>0</v>
      </c>
      <c r="H75" s="82">
        <v>816899</v>
      </c>
      <c r="I75" s="82">
        <f>SUM('INGRESO X AREA'!$H75*0.21)</f>
        <v>171548.79</v>
      </c>
      <c r="J75" s="82">
        <f>SUM('INGRESO X AREA'!$H75:$I75)</f>
        <v>988447.79</v>
      </c>
    </row>
    <row r="76" spans="1:10" ht="15.75" hidden="1" customHeight="1" x14ac:dyDescent="0.25">
      <c r="A76" s="90">
        <v>45077</v>
      </c>
      <c r="B76" s="81" t="s">
        <v>6892</v>
      </c>
      <c r="C76" s="82">
        <v>102120</v>
      </c>
      <c r="D76" s="82">
        <v>27847</v>
      </c>
      <c r="E76" s="82">
        <v>58500</v>
      </c>
      <c r="F76" s="82">
        <v>0</v>
      </c>
      <c r="G76" s="82">
        <v>0</v>
      </c>
      <c r="H76" s="82">
        <v>188467</v>
      </c>
      <c r="I76" s="82">
        <f>SUM('INGRESO X AREA'!$H76*0.21)</f>
        <v>39578.07</v>
      </c>
      <c r="J76" s="82">
        <f>SUM('INGRESO X AREA'!$H76:$I76)</f>
        <v>228045.07</v>
      </c>
    </row>
    <row r="77" spans="1:10" ht="15.75" hidden="1" customHeight="1" x14ac:dyDescent="0.25">
      <c r="A77" s="90">
        <v>45077</v>
      </c>
      <c r="B77" s="81" t="s">
        <v>6888</v>
      </c>
      <c r="C77" s="82">
        <v>193000</v>
      </c>
      <c r="D77" s="82">
        <v>0</v>
      </c>
      <c r="E77" s="82">
        <v>5600</v>
      </c>
      <c r="F77" s="82">
        <v>168000</v>
      </c>
      <c r="G77" s="82">
        <v>0</v>
      </c>
      <c r="H77" s="82">
        <v>366600</v>
      </c>
      <c r="I77" s="82">
        <f>SUM('INGRESO X AREA'!$H77*0.21)</f>
        <v>76986</v>
      </c>
      <c r="J77" s="82">
        <f>SUM('INGRESO X AREA'!$H77:$I77)</f>
        <v>443586</v>
      </c>
    </row>
    <row r="78" spans="1:10" ht="15.75" hidden="1" customHeight="1" x14ac:dyDescent="0.25">
      <c r="A78" s="90">
        <v>45077</v>
      </c>
      <c r="B78" s="81" t="s">
        <v>6893</v>
      </c>
      <c r="C78" s="82">
        <v>146280</v>
      </c>
      <c r="D78" s="82">
        <v>0</v>
      </c>
      <c r="E78" s="82">
        <v>0</v>
      </c>
      <c r="F78" s="82">
        <v>52000</v>
      </c>
      <c r="G78" s="82">
        <v>0</v>
      </c>
      <c r="H78" s="82">
        <v>198280</v>
      </c>
      <c r="I78" s="82">
        <f>SUM('INGRESO X AREA'!$H78*0.21)</f>
        <v>41638.799999999996</v>
      </c>
      <c r="J78" s="82">
        <f>SUM('INGRESO X AREA'!$H78:$I78)</f>
        <v>239918.8</v>
      </c>
    </row>
    <row r="79" spans="1:10" ht="15.75" hidden="1" customHeight="1" x14ac:dyDescent="0.25">
      <c r="A79" s="90">
        <v>45077</v>
      </c>
      <c r="B79" s="81" t="s">
        <v>6890</v>
      </c>
      <c r="C79" s="82">
        <v>262600</v>
      </c>
      <c r="D79" s="82">
        <v>0</v>
      </c>
      <c r="E79" s="82">
        <v>0</v>
      </c>
      <c r="F79" s="82">
        <v>107000</v>
      </c>
      <c r="G79" s="82">
        <v>0</v>
      </c>
      <c r="H79" s="82">
        <v>369600</v>
      </c>
      <c r="I79" s="82">
        <f>SUM('INGRESO X AREA'!$H79*0.21)</f>
        <v>77616</v>
      </c>
      <c r="J79" s="82">
        <f>SUM('INGRESO X AREA'!$H79:$I79)</f>
        <v>447216</v>
      </c>
    </row>
    <row r="80" spans="1:10" ht="15.75" hidden="1" customHeight="1" x14ac:dyDescent="0.25">
      <c r="A80" s="90">
        <v>45077</v>
      </c>
      <c r="B80" s="81" t="s">
        <v>3982</v>
      </c>
      <c r="C80" s="82">
        <v>291560</v>
      </c>
      <c r="D80" s="82">
        <v>74260</v>
      </c>
      <c r="E80" s="82">
        <v>283968</v>
      </c>
      <c r="F80" s="82">
        <v>379982</v>
      </c>
      <c r="G80" s="82">
        <v>1108030</v>
      </c>
      <c r="H80" s="82">
        <v>2137800</v>
      </c>
      <c r="I80" s="82">
        <f>SUM('INGRESO X AREA'!$H80*0.21)</f>
        <v>448938</v>
      </c>
      <c r="J80" s="82">
        <f>SUM('INGRESO X AREA'!$H80:$I80)</f>
        <v>2586738</v>
      </c>
    </row>
    <row r="81" spans="1:10" ht="15.75" hidden="1" customHeight="1" x14ac:dyDescent="0.25">
      <c r="A81" s="90">
        <v>45077</v>
      </c>
      <c r="B81" s="81" t="s">
        <v>6903</v>
      </c>
      <c r="C81" s="82">
        <v>52080</v>
      </c>
      <c r="D81" s="82">
        <v>0</v>
      </c>
      <c r="E81" s="82">
        <v>0</v>
      </c>
      <c r="F81" s="82">
        <v>0</v>
      </c>
      <c r="G81" s="82">
        <v>0</v>
      </c>
      <c r="H81" s="82">
        <v>52080</v>
      </c>
      <c r="I81" s="82">
        <f>SUM('INGRESO X AREA'!$H81*0.21)</f>
        <v>10936.8</v>
      </c>
      <c r="J81" s="82">
        <f>SUM('INGRESO X AREA'!$H81:$I81)</f>
        <v>63016.800000000003</v>
      </c>
    </row>
    <row r="82" spans="1:10" ht="15.75" hidden="1" customHeight="1" x14ac:dyDescent="0.25">
      <c r="A82" s="90">
        <v>45107</v>
      </c>
      <c r="B82" s="81" t="s">
        <v>6881</v>
      </c>
      <c r="C82" s="82">
        <v>1596760</v>
      </c>
      <c r="D82" s="82">
        <v>482731</v>
      </c>
      <c r="E82" s="82">
        <v>2316686</v>
      </c>
      <c r="F82" s="82">
        <v>2483055</v>
      </c>
      <c r="G82" s="82">
        <v>2628480</v>
      </c>
      <c r="H82" s="82">
        <v>9507712</v>
      </c>
      <c r="I82" s="82">
        <f>SUM('INGRESO X AREA'!$H82*0.21)</f>
        <v>1996619.52</v>
      </c>
      <c r="J82" s="82">
        <f>SUM('INGRESO X AREA'!$H82:$I82)</f>
        <v>11504331.52</v>
      </c>
    </row>
    <row r="83" spans="1:10" ht="15.75" hidden="1" customHeight="1" x14ac:dyDescent="0.25">
      <c r="A83" s="90">
        <v>45107</v>
      </c>
      <c r="B83" s="81" t="s">
        <v>5140</v>
      </c>
      <c r="C83" s="82">
        <v>55120</v>
      </c>
      <c r="D83" s="82">
        <v>0</v>
      </c>
      <c r="E83" s="82">
        <v>19500</v>
      </c>
      <c r="F83" s="82">
        <v>0</v>
      </c>
      <c r="G83" s="82">
        <v>0</v>
      </c>
      <c r="H83" s="82">
        <v>74620</v>
      </c>
      <c r="I83" s="82">
        <f>SUM('INGRESO X AREA'!$H83*0.21)</f>
        <v>15670.199999999999</v>
      </c>
      <c r="J83" s="82">
        <f>SUM('INGRESO X AREA'!$H83:$I83)</f>
        <v>90290.2</v>
      </c>
    </row>
    <row r="84" spans="1:10" ht="15.75" hidden="1" customHeight="1" x14ac:dyDescent="0.25">
      <c r="A84" s="90">
        <v>45107</v>
      </c>
      <c r="B84" s="81" t="s">
        <v>5141</v>
      </c>
      <c r="C84" s="82">
        <v>399600</v>
      </c>
      <c r="D84" s="82">
        <v>74260</v>
      </c>
      <c r="E84" s="82">
        <v>84096</v>
      </c>
      <c r="F84" s="82">
        <v>120000</v>
      </c>
      <c r="G84" s="82">
        <v>0</v>
      </c>
      <c r="H84" s="82">
        <v>677956</v>
      </c>
      <c r="I84" s="82">
        <f>SUM('INGRESO X AREA'!$H84*0.21)</f>
        <v>142370.75999999998</v>
      </c>
      <c r="J84" s="82">
        <f>SUM('INGRESO X AREA'!$H84:$I84)</f>
        <v>820326.76</v>
      </c>
    </row>
    <row r="85" spans="1:10" ht="15.75" hidden="1" customHeight="1" x14ac:dyDescent="0.25">
      <c r="A85" s="90">
        <v>45107</v>
      </c>
      <c r="B85" s="81" t="s">
        <v>6884</v>
      </c>
      <c r="C85" s="82">
        <v>94800</v>
      </c>
      <c r="D85" s="82">
        <v>0</v>
      </c>
      <c r="E85" s="82">
        <v>0</v>
      </c>
      <c r="F85" s="82">
        <v>0</v>
      </c>
      <c r="G85" s="82">
        <v>0</v>
      </c>
      <c r="H85" s="82">
        <v>94800</v>
      </c>
      <c r="I85" s="82">
        <f>SUM('INGRESO X AREA'!$H85*0.21)</f>
        <v>19908</v>
      </c>
      <c r="J85" s="82">
        <f>SUM('INGRESO X AREA'!$H85:$I85)</f>
        <v>114708</v>
      </c>
    </row>
    <row r="86" spans="1:10" ht="15.75" hidden="1" customHeight="1" x14ac:dyDescent="0.25">
      <c r="A86" s="90">
        <v>45107</v>
      </c>
      <c r="B86" s="81" t="s">
        <v>6885</v>
      </c>
      <c r="C86" s="82">
        <v>324640</v>
      </c>
      <c r="D86" s="82">
        <v>164056</v>
      </c>
      <c r="E86" s="82">
        <v>277600</v>
      </c>
      <c r="F86" s="82">
        <v>260000</v>
      </c>
      <c r="G86" s="82">
        <v>0</v>
      </c>
      <c r="H86" s="82">
        <v>1026296</v>
      </c>
      <c r="I86" s="82">
        <f>SUM('INGRESO X AREA'!$H86*0.21)</f>
        <v>215522.16</v>
      </c>
      <c r="J86" s="82">
        <f>SUM('INGRESO X AREA'!$H86:$I86)</f>
        <v>1241818.1599999999</v>
      </c>
    </row>
    <row r="87" spans="1:10" ht="15.75" hidden="1" customHeight="1" x14ac:dyDescent="0.25">
      <c r="A87" s="90">
        <v>45107</v>
      </c>
      <c r="B87" s="81" t="s">
        <v>6892</v>
      </c>
      <c r="C87" s="82">
        <v>95600</v>
      </c>
      <c r="D87" s="82">
        <v>0</v>
      </c>
      <c r="E87" s="82">
        <v>27000</v>
      </c>
      <c r="F87" s="82">
        <v>0</v>
      </c>
      <c r="G87" s="82">
        <v>0</v>
      </c>
      <c r="H87" s="82">
        <v>122600</v>
      </c>
      <c r="I87" s="82">
        <f>SUM('INGRESO X AREA'!$H87*0.21)</f>
        <v>25746</v>
      </c>
      <c r="J87" s="82">
        <f>SUM('INGRESO X AREA'!$H87:$I87)</f>
        <v>148346</v>
      </c>
    </row>
    <row r="88" spans="1:10" ht="15.75" hidden="1" customHeight="1" x14ac:dyDescent="0.25">
      <c r="A88" s="90">
        <v>45107</v>
      </c>
      <c r="B88" s="81" t="s">
        <v>6904</v>
      </c>
      <c r="C88" s="82">
        <v>139236</v>
      </c>
      <c r="D88" s="82">
        <v>0</v>
      </c>
      <c r="E88" s="82">
        <v>0</v>
      </c>
      <c r="F88" s="82">
        <v>0</v>
      </c>
      <c r="G88" s="82">
        <v>885750</v>
      </c>
      <c r="H88" s="82">
        <v>1024986</v>
      </c>
      <c r="I88" s="82">
        <f>SUM('INGRESO X AREA'!$H88*0.21)</f>
        <v>215247.06</v>
      </c>
      <c r="J88" s="82">
        <f>SUM('INGRESO X AREA'!$H88:$I88)</f>
        <v>1240233.06</v>
      </c>
    </row>
    <row r="89" spans="1:10" ht="15.75" hidden="1" customHeight="1" x14ac:dyDescent="0.25">
      <c r="A89" s="90">
        <v>45107</v>
      </c>
      <c r="B89" s="81" t="s">
        <v>6905</v>
      </c>
      <c r="C89" s="82">
        <v>6400</v>
      </c>
      <c r="D89" s="82">
        <v>37130</v>
      </c>
      <c r="E89" s="82">
        <v>140035.20000000001</v>
      </c>
      <c r="F89" s="82">
        <v>126000</v>
      </c>
      <c r="G89" s="82">
        <v>0</v>
      </c>
      <c r="H89" s="82">
        <v>309565.2</v>
      </c>
      <c r="I89" s="82">
        <f>SUM('INGRESO X AREA'!$H89*0.21)</f>
        <v>65008.692000000003</v>
      </c>
      <c r="J89" s="82">
        <f>SUM('INGRESO X AREA'!$H89:$I89)</f>
        <v>374573.89199999999</v>
      </c>
    </row>
    <row r="90" spans="1:10" ht="15.75" hidden="1" customHeight="1" x14ac:dyDescent="0.25">
      <c r="A90" s="90">
        <v>45107</v>
      </c>
      <c r="B90" s="81" t="s">
        <v>6888</v>
      </c>
      <c r="C90" s="82">
        <v>183000</v>
      </c>
      <c r="D90" s="82">
        <v>0</v>
      </c>
      <c r="E90" s="82">
        <v>5600</v>
      </c>
      <c r="F90" s="82">
        <v>220000</v>
      </c>
      <c r="G90" s="82">
        <v>0</v>
      </c>
      <c r="H90" s="82">
        <v>408600</v>
      </c>
      <c r="I90" s="82">
        <f>SUM('INGRESO X AREA'!$H90*0.21)</f>
        <v>85806</v>
      </c>
      <c r="J90" s="82">
        <f>SUM('INGRESO X AREA'!$H90:$I90)</f>
        <v>494406</v>
      </c>
    </row>
    <row r="91" spans="1:10" ht="15.75" hidden="1" customHeight="1" x14ac:dyDescent="0.25">
      <c r="A91" s="90">
        <v>45107</v>
      </c>
      <c r="B91" s="81" t="s">
        <v>6893</v>
      </c>
      <c r="C91" s="82">
        <v>169040</v>
      </c>
      <c r="D91" s="82">
        <v>63346</v>
      </c>
      <c r="E91" s="82">
        <v>125280</v>
      </c>
      <c r="F91" s="82">
        <v>104000</v>
      </c>
      <c r="G91" s="82">
        <v>1500</v>
      </c>
      <c r="H91" s="82">
        <v>463166</v>
      </c>
      <c r="I91" s="82">
        <f>SUM('INGRESO X AREA'!$H91*0.21)</f>
        <v>97264.86</v>
      </c>
      <c r="J91" s="82">
        <f>SUM('INGRESO X AREA'!$H91:$I91)</f>
        <v>560430.86</v>
      </c>
    </row>
    <row r="92" spans="1:10" ht="15.75" hidden="1" customHeight="1" x14ac:dyDescent="0.25">
      <c r="A92" s="90">
        <v>45107</v>
      </c>
      <c r="B92" s="81" t="s">
        <v>6890</v>
      </c>
      <c r="C92" s="82">
        <v>245760</v>
      </c>
      <c r="D92" s="82">
        <v>0</v>
      </c>
      <c r="E92" s="82">
        <v>0</v>
      </c>
      <c r="F92" s="82">
        <v>55000</v>
      </c>
      <c r="G92" s="82">
        <v>0</v>
      </c>
      <c r="H92" s="82">
        <v>300760</v>
      </c>
      <c r="I92" s="82">
        <f>SUM('INGRESO X AREA'!$H92*0.21)</f>
        <v>63159.6</v>
      </c>
      <c r="J92" s="82">
        <f>SUM('INGRESO X AREA'!$H92:$I92)</f>
        <v>363919.6</v>
      </c>
    </row>
    <row r="93" spans="1:10" ht="15.75" hidden="1" customHeight="1" x14ac:dyDescent="0.25">
      <c r="A93" s="90">
        <v>45107</v>
      </c>
      <c r="B93" s="81" t="s">
        <v>3982</v>
      </c>
      <c r="C93" s="82">
        <v>163120</v>
      </c>
      <c r="D93" s="82">
        <v>167084</v>
      </c>
      <c r="E93" s="82">
        <v>464000</v>
      </c>
      <c r="F93" s="82">
        <v>251751</v>
      </c>
      <c r="G93" s="82">
        <v>706710</v>
      </c>
      <c r="H93" s="82">
        <v>175225</v>
      </c>
      <c r="I93" s="82">
        <f>SUM('INGRESO X AREA'!$H93*0.21)</f>
        <v>36797.25</v>
      </c>
      <c r="J93" s="82">
        <f>SUM('INGRESO X AREA'!$H93:$I93)</f>
        <v>212022.25</v>
      </c>
    </row>
    <row r="94" spans="1:10" ht="15.75" hidden="1" customHeight="1" x14ac:dyDescent="0.25">
      <c r="A94" s="90">
        <v>45107</v>
      </c>
      <c r="B94" s="81" t="s">
        <v>6903</v>
      </c>
      <c r="C94" s="82">
        <v>50080</v>
      </c>
      <c r="D94" s="82">
        <v>0</v>
      </c>
      <c r="E94" s="82">
        <v>0</v>
      </c>
      <c r="F94" s="82">
        <v>0</v>
      </c>
      <c r="G94" s="82">
        <v>0</v>
      </c>
      <c r="H94" s="82">
        <v>50080</v>
      </c>
      <c r="I94" s="82">
        <f>SUM('INGRESO X AREA'!$H94*0.21)</f>
        <v>10516.8</v>
      </c>
      <c r="J94" s="82">
        <f>SUM('INGRESO X AREA'!$H94:$I94)</f>
        <v>60596.800000000003</v>
      </c>
    </row>
    <row r="95" spans="1:10" ht="15.75" hidden="1" customHeight="1" x14ac:dyDescent="0.25">
      <c r="A95" s="90">
        <v>45107</v>
      </c>
      <c r="B95" s="81" t="s">
        <v>6906</v>
      </c>
      <c r="C95" s="82">
        <v>270000</v>
      </c>
      <c r="D95" s="82">
        <v>324888.2</v>
      </c>
      <c r="E95" s="82">
        <v>974237.60000000009</v>
      </c>
      <c r="F95" s="82">
        <v>3256671</v>
      </c>
      <c r="G95" s="82">
        <v>0</v>
      </c>
      <c r="H95" s="82">
        <v>4825796.8</v>
      </c>
      <c r="I95" s="82">
        <f>SUM('INGRESO X AREA'!$H95*0.21)</f>
        <v>1013417.328</v>
      </c>
      <c r="J95" s="82">
        <f>SUM('INGRESO X AREA'!$H95:$I95)</f>
        <v>5839214.1279999996</v>
      </c>
    </row>
    <row r="96" spans="1:10" ht="15.75" hidden="1" customHeight="1" x14ac:dyDescent="0.25">
      <c r="A96" s="90">
        <v>45138</v>
      </c>
      <c r="B96" s="81" t="s">
        <v>6881</v>
      </c>
      <c r="C96" s="82">
        <v>2603216</v>
      </c>
      <c r="D96" s="82">
        <v>780189</v>
      </c>
      <c r="E96" s="82">
        <v>2940641</v>
      </c>
      <c r="F96" s="82">
        <v>1747234.75</v>
      </c>
      <c r="G96" s="82">
        <v>1612920</v>
      </c>
      <c r="H96" s="82">
        <v>9684200.75</v>
      </c>
      <c r="I96" s="82">
        <f>SUM('INGRESO X AREA'!$H96*0.21)</f>
        <v>2033682.1575</v>
      </c>
      <c r="J96" s="82">
        <f>SUM('INGRESO X AREA'!$H96:$I96)</f>
        <v>11717882.907500001</v>
      </c>
    </row>
    <row r="97" spans="1:10" ht="15.75" hidden="1" customHeight="1" x14ac:dyDescent="0.25">
      <c r="A97" s="90">
        <v>45138</v>
      </c>
      <c r="B97" s="81" t="s">
        <v>5140</v>
      </c>
      <c r="C97" s="82">
        <v>38360</v>
      </c>
      <c r="D97" s="82">
        <v>14000</v>
      </c>
      <c r="E97" s="82">
        <v>19500</v>
      </c>
      <c r="F97" s="82">
        <v>0</v>
      </c>
      <c r="G97" s="82">
        <v>0</v>
      </c>
      <c r="H97" s="82">
        <v>71860</v>
      </c>
      <c r="I97" s="82">
        <f>SUM('INGRESO X AREA'!$H97*0.21)</f>
        <v>15090.599999999999</v>
      </c>
      <c r="J97" s="82">
        <f>SUM('INGRESO X AREA'!$H97:$I97)</f>
        <v>86950.6</v>
      </c>
    </row>
    <row r="98" spans="1:10" ht="15.75" hidden="1" customHeight="1" x14ac:dyDescent="0.25">
      <c r="A98" s="90">
        <v>45138</v>
      </c>
      <c r="B98" s="81" t="s">
        <v>5141</v>
      </c>
      <c r="C98" s="82">
        <v>611688</v>
      </c>
      <c r="D98" s="82">
        <v>103964</v>
      </c>
      <c r="E98" s="82">
        <v>42120</v>
      </c>
      <c r="F98" s="82">
        <v>212620</v>
      </c>
      <c r="G98" s="82">
        <v>0</v>
      </c>
      <c r="H98" s="82">
        <v>970392</v>
      </c>
      <c r="I98" s="82">
        <f>SUM('INGRESO X AREA'!$H98*0.21)</f>
        <v>203782.32</v>
      </c>
      <c r="J98" s="82">
        <f>SUM('INGRESO X AREA'!$H98:$I98)</f>
        <v>1174174.32</v>
      </c>
    </row>
    <row r="99" spans="1:10" ht="15.75" hidden="1" customHeight="1" x14ac:dyDescent="0.25">
      <c r="A99" s="90">
        <v>45138</v>
      </c>
      <c r="B99" s="81" t="s">
        <v>6884</v>
      </c>
      <c r="C99" s="82">
        <v>133784</v>
      </c>
      <c r="D99" s="82">
        <v>0</v>
      </c>
      <c r="E99" s="82">
        <v>1511</v>
      </c>
      <c r="F99" s="82">
        <v>210000</v>
      </c>
      <c r="G99" s="82">
        <v>0</v>
      </c>
      <c r="H99" s="82">
        <v>345295</v>
      </c>
      <c r="I99" s="82">
        <f>SUM('INGRESO X AREA'!$H99*0.21)</f>
        <v>72511.95</v>
      </c>
      <c r="J99" s="82">
        <f>SUM('INGRESO X AREA'!$H99:$I99)</f>
        <v>417806.95</v>
      </c>
    </row>
    <row r="100" spans="1:10" ht="15.75" hidden="1" customHeight="1" x14ac:dyDescent="0.25">
      <c r="A100" s="90">
        <v>45138</v>
      </c>
      <c r="B100" s="81" t="s">
        <v>6899</v>
      </c>
      <c r="C100" s="82">
        <v>13440</v>
      </c>
      <c r="D100" s="82">
        <v>103964</v>
      </c>
      <c r="E100" s="82">
        <v>440286.12</v>
      </c>
      <c r="F100" s="82">
        <v>195000</v>
      </c>
      <c r="G100" s="82">
        <v>0</v>
      </c>
      <c r="H100" s="82">
        <v>752690.12</v>
      </c>
      <c r="I100" s="82">
        <f>SUM('INGRESO X AREA'!$H100*0.21)</f>
        <v>158064.9252</v>
      </c>
      <c r="J100" s="82">
        <f>SUM('INGRESO X AREA'!$H100:$I100)</f>
        <v>910755.04520000005</v>
      </c>
    </row>
    <row r="101" spans="1:10" ht="15.75" hidden="1" customHeight="1" x14ac:dyDescent="0.25">
      <c r="A101" s="90">
        <v>45138</v>
      </c>
      <c r="B101" s="81" t="s">
        <v>6885</v>
      </c>
      <c r="C101" s="82">
        <v>428176</v>
      </c>
      <c r="D101" s="82">
        <v>51982</v>
      </c>
      <c r="E101" s="82">
        <v>175392</v>
      </c>
      <c r="F101" s="82">
        <v>325000</v>
      </c>
      <c r="G101" s="82">
        <v>0</v>
      </c>
      <c r="H101" s="82">
        <v>980550</v>
      </c>
      <c r="I101" s="82">
        <f>SUM('INGRESO X AREA'!$H101*0.21)</f>
        <v>205915.5</v>
      </c>
      <c r="J101" s="82">
        <f>SUM('INGRESO X AREA'!$H101:$I101)</f>
        <v>1186465.5</v>
      </c>
    </row>
    <row r="102" spans="1:10" ht="15.75" hidden="1" customHeight="1" x14ac:dyDescent="0.25">
      <c r="A102" s="90">
        <v>45138</v>
      </c>
      <c r="B102" s="81" t="s">
        <v>6892</v>
      </c>
      <c r="C102" s="82">
        <v>66024</v>
      </c>
      <c r="D102" s="82">
        <v>0</v>
      </c>
      <c r="E102" s="82">
        <v>63000</v>
      </c>
      <c r="F102" s="82">
        <v>0</v>
      </c>
      <c r="G102" s="82">
        <v>0</v>
      </c>
      <c r="H102" s="82">
        <v>129024</v>
      </c>
      <c r="I102" s="82">
        <f>SUM('INGRESO X AREA'!$H102*0.21)</f>
        <v>27095.039999999997</v>
      </c>
      <c r="J102" s="82">
        <f>SUM('INGRESO X AREA'!$H102:$I102)</f>
        <v>156119.04000000001</v>
      </c>
    </row>
    <row r="103" spans="1:10" ht="15.75" hidden="1" customHeight="1" x14ac:dyDescent="0.25">
      <c r="A103" s="90">
        <v>45138</v>
      </c>
      <c r="B103" s="81" t="s">
        <v>6904</v>
      </c>
      <c r="C103" s="82">
        <v>0</v>
      </c>
      <c r="D103" s="82">
        <v>51892.800000000003</v>
      </c>
      <c r="E103" s="82">
        <v>0</v>
      </c>
      <c r="F103" s="82">
        <v>0</v>
      </c>
      <c r="G103" s="82">
        <v>365040</v>
      </c>
      <c r="H103" s="82">
        <v>416932.8</v>
      </c>
      <c r="I103" s="82">
        <f>SUM('INGRESO X AREA'!$H103*0.21)</f>
        <v>87555.887999999992</v>
      </c>
      <c r="J103" s="82">
        <f>SUM('INGRESO X AREA'!$H103:$I103)</f>
        <v>504488.68799999997</v>
      </c>
    </row>
    <row r="104" spans="1:10" ht="15.75" hidden="1" customHeight="1" x14ac:dyDescent="0.25">
      <c r="A104" s="90">
        <v>45138</v>
      </c>
      <c r="B104" s="81" t="s">
        <v>6888</v>
      </c>
      <c r="C104" s="82">
        <v>314440</v>
      </c>
      <c r="D104" s="82">
        <v>194934.59999999998</v>
      </c>
      <c r="E104" s="82">
        <v>157500</v>
      </c>
      <c r="F104" s="82">
        <v>432000</v>
      </c>
      <c r="G104" s="82">
        <v>0</v>
      </c>
      <c r="H104" s="82">
        <v>1098874.6000000001</v>
      </c>
      <c r="I104" s="82">
        <f>SUM('INGRESO X AREA'!$H104*0.21)</f>
        <v>230763.666</v>
      </c>
      <c r="J104" s="82">
        <f>SUM('INGRESO X AREA'!$H104:$I104)</f>
        <v>1329638.2660000001</v>
      </c>
    </row>
    <row r="105" spans="1:10" ht="15.75" hidden="1" customHeight="1" x14ac:dyDescent="0.25">
      <c r="A105" s="90">
        <v>45138</v>
      </c>
      <c r="B105" s="81" t="s">
        <v>6893</v>
      </c>
      <c r="C105" s="82">
        <v>313208</v>
      </c>
      <c r="D105" s="82">
        <v>51982</v>
      </c>
      <c r="E105" s="82">
        <v>246360.8</v>
      </c>
      <c r="F105" s="82">
        <v>104000</v>
      </c>
      <c r="G105" s="82">
        <v>0</v>
      </c>
      <c r="H105" s="82">
        <v>715550.8</v>
      </c>
      <c r="I105" s="82">
        <f>SUM('INGRESO X AREA'!$H105*0.21)</f>
        <v>150265.66800000001</v>
      </c>
      <c r="J105" s="82">
        <f>SUM('INGRESO X AREA'!$H105:$I105)</f>
        <v>865816.46800000011</v>
      </c>
    </row>
    <row r="106" spans="1:10" ht="15.75" hidden="1" customHeight="1" x14ac:dyDescent="0.25">
      <c r="A106" s="90">
        <v>45138</v>
      </c>
      <c r="B106" s="81" t="s">
        <v>6890</v>
      </c>
      <c r="C106" s="82">
        <v>316680</v>
      </c>
      <c r="D106" s="82">
        <v>0</v>
      </c>
      <c r="E106" s="82">
        <v>0</v>
      </c>
      <c r="F106" s="82">
        <v>322000</v>
      </c>
      <c r="G106" s="82">
        <v>0</v>
      </c>
      <c r="H106" s="82">
        <v>638680</v>
      </c>
      <c r="I106" s="82">
        <f>SUM('INGRESO X AREA'!$H106*0.21)</f>
        <v>134122.79999999999</v>
      </c>
      <c r="J106" s="82">
        <f>SUM('INGRESO X AREA'!$H106:$I106)</f>
        <v>772802.8</v>
      </c>
    </row>
    <row r="107" spans="1:10" ht="15.75" hidden="1" customHeight="1" x14ac:dyDescent="0.25">
      <c r="A107" s="90">
        <v>45138</v>
      </c>
      <c r="B107" s="81" t="s">
        <v>3982</v>
      </c>
      <c r="C107" s="82">
        <v>466872</v>
      </c>
      <c r="D107" s="82">
        <v>285904.07999999996</v>
      </c>
      <c r="E107" s="82">
        <v>857260.03120000008</v>
      </c>
      <c r="F107" s="82">
        <v>372500</v>
      </c>
      <c r="G107" s="82">
        <v>1016330</v>
      </c>
      <c r="H107" s="82">
        <v>2998866.1112000002</v>
      </c>
      <c r="I107" s="82">
        <f>SUM('INGRESO X AREA'!$H107*0.21)</f>
        <v>629761.88335200003</v>
      </c>
      <c r="J107" s="82">
        <f>SUM('INGRESO X AREA'!$H107:$I107)</f>
        <v>3628627.9945520004</v>
      </c>
    </row>
    <row r="108" spans="1:10" ht="15.75" hidden="1" customHeight="1" x14ac:dyDescent="0.25">
      <c r="A108" s="90">
        <v>45138</v>
      </c>
      <c r="B108" s="81" t="s">
        <v>6903</v>
      </c>
      <c r="C108" s="82">
        <v>71176</v>
      </c>
      <c r="D108" s="82">
        <v>0</v>
      </c>
      <c r="E108" s="82">
        <v>0</v>
      </c>
      <c r="F108" s="82">
        <v>0</v>
      </c>
      <c r="G108" s="82">
        <v>0</v>
      </c>
      <c r="H108" s="82">
        <v>71176</v>
      </c>
      <c r="I108" s="82">
        <f>SUM('INGRESO X AREA'!$H108*0.21)</f>
        <v>14946.96</v>
      </c>
      <c r="J108" s="82">
        <f>SUM('INGRESO X AREA'!$H108:$I108)</f>
        <v>86122.959999999992</v>
      </c>
    </row>
    <row r="109" spans="1:10" ht="15.75" hidden="1" customHeight="1" x14ac:dyDescent="0.25">
      <c r="A109" s="90">
        <v>45138</v>
      </c>
      <c r="B109" s="81" t="s">
        <v>6906</v>
      </c>
      <c r="C109" s="82">
        <v>312144</v>
      </c>
      <c r="D109" s="82">
        <v>0</v>
      </c>
      <c r="E109" s="82">
        <v>0</v>
      </c>
      <c r="F109" s="82">
        <v>356250</v>
      </c>
      <c r="G109" s="82">
        <v>0</v>
      </c>
      <c r="H109" s="82">
        <v>668394</v>
      </c>
      <c r="I109" s="82">
        <f>SUM('INGRESO X AREA'!$H109*0.21)</f>
        <v>140362.74</v>
      </c>
      <c r="J109" s="82">
        <f>SUM('INGRESO X AREA'!$H109:$I109)</f>
        <v>808756.74</v>
      </c>
    </row>
    <row r="110" spans="1:10" ht="15.75" hidden="1" customHeight="1" x14ac:dyDescent="0.25">
      <c r="A110" s="90">
        <v>45169</v>
      </c>
      <c r="B110" s="81" t="s">
        <v>6881</v>
      </c>
      <c r="C110" s="82">
        <v>2481920</v>
      </c>
      <c r="D110" s="82">
        <v>427531</v>
      </c>
      <c r="E110" s="82">
        <v>1389441</v>
      </c>
      <c r="F110" s="82">
        <v>1093076.25</v>
      </c>
      <c r="G110" s="82">
        <v>1803840</v>
      </c>
      <c r="H110" s="82">
        <v>7195808.25</v>
      </c>
      <c r="I110" s="82">
        <f>SUM('INGRESO X AREA'!$H110*0.21)</f>
        <v>1511119.7324999999</v>
      </c>
      <c r="J110" s="82">
        <f>SUM('INGRESO X AREA'!$H110:$I110)</f>
        <v>8706927.9824999999</v>
      </c>
    </row>
    <row r="111" spans="1:10" ht="15.75" hidden="1" customHeight="1" x14ac:dyDescent="0.25">
      <c r="A111" s="90">
        <v>45169</v>
      </c>
      <c r="B111" s="81" t="s">
        <v>5140</v>
      </c>
      <c r="C111" s="82">
        <v>122640</v>
      </c>
      <c r="D111" s="82">
        <v>129964</v>
      </c>
      <c r="E111" s="82">
        <v>448224</v>
      </c>
      <c r="F111" s="82">
        <v>0</v>
      </c>
      <c r="G111" s="82">
        <v>0</v>
      </c>
      <c r="H111" s="82">
        <v>700828</v>
      </c>
      <c r="I111" s="82">
        <f>SUM('INGRESO X AREA'!$H111*0.21)</f>
        <v>147173.88</v>
      </c>
      <c r="J111" s="82">
        <f>SUM('INGRESO X AREA'!$H111:$I111)</f>
        <v>848001.88</v>
      </c>
    </row>
    <row r="112" spans="1:10" ht="15.75" hidden="1" customHeight="1" x14ac:dyDescent="0.25">
      <c r="A112" s="90">
        <v>45169</v>
      </c>
      <c r="B112" s="81" t="s">
        <v>6883</v>
      </c>
      <c r="C112" s="82">
        <v>161395</v>
      </c>
      <c r="D112" s="82">
        <v>233000</v>
      </c>
      <c r="E112" s="82">
        <v>844305</v>
      </c>
      <c r="F112" s="82">
        <v>0</v>
      </c>
      <c r="G112" s="82">
        <v>0</v>
      </c>
      <c r="H112" s="82">
        <v>1238700</v>
      </c>
      <c r="I112" s="82">
        <f>SUM('INGRESO X AREA'!$H112*0.21)</f>
        <v>260127</v>
      </c>
      <c r="J112" s="82">
        <f>SUM('INGRESO X AREA'!$H112:$I112)</f>
        <v>1498827</v>
      </c>
    </row>
    <row r="113" spans="1:10" ht="15.75" hidden="1" customHeight="1" x14ac:dyDescent="0.25">
      <c r="A113" s="90">
        <v>45169</v>
      </c>
      <c r="B113" s="81" t="s">
        <v>5141</v>
      </c>
      <c r="C113" s="82">
        <v>613424</v>
      </c>
      <c r="D113" s="82">
        <v>22000</v>
      </c>
      <c r="E113" s="82">
        <v>32000</v>
      </c>
      <c r="F113" s="82">
        <v>0</v>
      </c>
      <c r="G113" s="82">
        <v>0</v>
      </c>
      <c r="H113" s="82">
        <v>667424</v>
      </c>
      <c r="I113" s="82">
        <f>SUM('INGRESO X AREA'!$H113*0.21)</f>
        <v>140159.04000000001</v>
      </c>
      <c r="J113" s="82">
        <f>SUM('INGRESO X AREA'!$H113:$I113)</f>
        <v>807583.04</v>
      </c>
    </row>
    <row r="114" spans="1:10" ht="15.75" hidden="1" customHeight="1" x14ac:dyDescent="0.25">
      <c r="A114" s="90">
        <v>45169</v>
      </c>
      <c r="B114" s="81" t="s">
        <v>6884</v>
      </c>
      <c r="C114" s="82">
        <v>120960</v>
      </c>
      <c r="D114" s="82">
        <v>1511</v>
      </c>
      <c r="E114" s="82">
        <v>0</v>
      </c>
      <c r="F114" s="82">
        <v>130000</v>
      </c>
      <c r="G114" s="82">
        <v>0</v>
      </c>
      <c r="H114" s="82">
        <v>252471</v>
      </c>
      <c r="I114" s="82">
        <f>SUM('INGRESO X AREA'!$H114*0.21)</f>
        <v>53018.909999999996</v>
      </c>
      <c r="J114" s="82">
        <f>SUM('INGRESO X AREA'!$H114:$I114)</f>
        <v>305489.90999999997</v>
      </c>
    </row>
    <row r="115" spans="1:10" ht="15.75" hidden="1" customHeight="1" x14ac:dyDescent="0.25">
      <c r="A115" s="90">
        <v>45169</v>
      </c>
      <c r="B115" s="81" t="s">
        <v>6885</v>
      </c>
      <c r="C115" s="82">
        <v>464744</v>
      </c>
      <c r="D115" s="82">
        <v>129982</v>
      </c>
      <c r="E115" s="82">
        <v>212808.95999999999</v>
      </c>
      <c r="F115" s="82">
        <v>204000</v>
      </c>
      <c r="G115" s="82">
        <v>0</v>
      </c>
      <c r="H115" s="82">
        <v>1011534.96</v>
      </c>
      <c r="I115" s="82">
        <f>SUM('INGRESO X AREA'!$H115*0.21)</f>
        <v>212422.34159999999</v>
      </c>
      <c r="J115" s="82">
        <f>SUM('INGRESO X AREA'!$H115:$I115)</f>
        <v>1223957.3015999999</v>
      </c>
    </row>
    <row r="116" spans="1:10" ht="15.75" hidden="1" customHeight="1" x14ac:dyDescent="0.25">
      <c r="A116" s="90">
        <v>45169</v>
      </c>
      <c r="B116" s="81" t="s">
        <v>6907</v>
      </c>
      <c r="C116" s="82">
        <v>537095</v>
      </c>
      <c r="D116" s="82">
        <v>660000</v>
      </c>
      <c r="E116" s="82">
        <v>2698955</v>
      </c>
      <c r="F116" s="82">
        <v>80500</v>
      </c>
      <c r="G116" s="82">
        <v>0</v>
      </c>
      <c r="H116" s="82">
        <v>3976550</v>
      </c>
      <c r="I116" s="82">
        <f>SUM('INGRESO X AREA'!$H116*0.21)</f>
        <v>835075.5</v>
      </c>
      <c r="J116" s="82">
        <f>SUM('INGRESO X AREA'!$H116:$I116)</f>
        <v>4811625.5</v>
      </c>
    </row>
    <row r="117" spans="1:10" ht="15.75" hidden="1" customHeight="1" x14ac:dyDescent="0.25">
      <c r="A117" s="90">
        <v>45169</v>
      </c>
      <c r="B117" s="81" t="s">
        <v>6905</v>
      </c>
      <c r="C117" s="82">
        <v>23072</v>
      </c>
      <c r="D117" s="82">
        <v>51982</v>
      </c>
      <c r="E117" s="82">
        <v>220864</v>
      </c>
      <c r="F117" s="82">
        <v>126000</v>
      </c>
      <c r="G117" s="82">
        <v>0</v>
      </c>
      <c r="H117" s="82">
        <v>421918</v>
      </c>
      <c r="I117" s="82">
        <f>SUM('INGRESO X AREA'!$H117*0.21)</f>
        <v>88602.78</v>
      </c>
      <c r="J117" s="82">
        <f>SUM('INGRESO X AREA'!$H117:$I117)</f>
        <v>510520.78</v>
      </c>
    </row>
    <row r="118" spans="1:10" ht="15.75" hidden="1" customHeight="1" x14ac:dyDescent="0.25">
      <c r="A118" s="90">
        <v>45169</v>
      </c>
      <c r="B118" s="81" t="s">
        <v>6888</v>
      </c>
      <c r="C118" s="82">
        <v>328664</v>
      </c>
      <c r="D118" s="82">
        <v>0</v>
      </c>
      <c r="E118" s="82">
        <v>29440</v>
      </c>
      <c r="F118" s="82">
        <v>573000</v>
      </c>
      <c r="G118" s="82">
        <v>0</v>
      </c>
      <c r="H118" s="82">
        <v>931104</v>
      </c>
      <c r="I118" s="82">
        <f>SUM('INGRESO X AREA'!$H118*0.21)</f>
        <v>195531.84</v>
      </c>
      <c r="J118" s="82">
        <f>SUM('INGRESO X AREA'!$H118:$I118)</f>
        <v>1126635.8400000001</v>
      </c>
    </row>
    <row r="119" spans="1:10" ht="15.75" hidden="1" customHeight="1" x14ac:dyDescent="0.25">
      <c r="A119" s="90">
        <v>45169</v>
      </c>
      <c r="B119" s="81" t="s">
        <v>6893</v>
      </c>
      <c r="C119" s="82">
        <v>315616</v>
      </c>
      <c r="D119" s="82">
        <v>0</v>
      </c>
      <c r="E119" s="82">
        <v>0</v>
      </c>
      <c r="F119" s="82">
        <v>123750</v>
      </c>
      <c r="G119" s="82">
        <v>0</v>
      </c>
      <c r="H119" s="82">
        <v>439366</v>
      </c>
      <c r="I119" s="82">
        <f>SUM('INGRESO X AREA'!$H119*0.21)</f>
        <v>92266.86</v>
      </c>
      <c r="J119" s="82">
        <f>SUM('INGRESO X AREA'!$H119:$I119)</f>
        <v>531632.86</v>
      </c>
    </row>
    <row r="120" spans="1:10" ht="15.75" hidden="1" customHeight="1" x14ac:dyDescent="0.25">
      <c r="A120" s="90">
        <v>45169</v>
      </c>
      <c r="B120" s="81" t="s">
        <v>6890</v>
      </c>
      <c r="C120" s="82">
        <v>264208</v>
      </c>
      <c r="D120" s="82">
        <v>0</v>
      </c>
      <c r="E120" s="82">
        <v>0</v>
      </c>
      <c r="F120" s="82">
        <v>233000</v>
      </c>
      <c r="G120" s="82">
        <v>0</v>
      </c>
      <c r="H120" s="82">
        <v>497208</v>
      </c>
      <c r="I120" s="82">
        <f>SUM('INGRESO X AREA'!$H120*0.21)</f>
        <v>104413.68</v>
      </c>
      <c r="J120" s="82">
        <f>SUM('INGRESO X AREA'!$H120:$I120)</f>
        <v>601621.67999999993</v>
      </c>
    </row>
    <row r="121" spans="1:10" ht="15.75" hidden="1" customHeight="1" x14ac:dyDescent="0.25">
      <c r="A121" s="90">
        <v>45169</v>
      </c>
      <c r="B121" s="81" t="s">
        <v>3982</v>
      </c>
      <c r="C121" s="82">
        <v>438760</v>
      </c>
      <c r="D121" s="82">
        <v>0</v>
      </c>
      <c r="E121" s="82">
        <v>0</v>
      </c>
      <c r="F121" s="82">
        <v>123000</v>
      </c>
      <c r="G121" s="82">
        <v>0</v>
      </c>
      <c r="H121" s="82">
        <v>561760</v>
      </c>
      <c r="I121" s="82">
        <f>SUM('INGRESO X AREA'!$H121*0.21)</f>
        <v>117969.59999999999</v>
      </c>
      <c r="J121" s="82">
        <f>SUM('INGRESO X AREA'!$H121:$I121)</f>
        <v>679729.6</v>
      </c>
    </row>
    <row r="122" spans="1:10" ht="15.75" hidden="1" customHeight="1" x14ac:dyDescent="0.25">
      <c r="A122" s="90">
        <v>45169</v>
      </c>
      <c r="B122" s="81" t="s">
        <v>6903</v>
      </c>
      <c r="C122" s="82">
        <v>71176</v>
      </c>
      <c r="D122" s="82">
        <v>0</v>
      </c>
      <c r="E122" s="82">
        <v>0</v>
      </c>
      <c r="F122" s="82">
        <v>0</v>
      </c>
      <c r="G122" s="82">
        <v>0</v>
      </c>
      <c r="H122" s="82">
        <v>71176</v>
      </c>
      <c r="I122" s="82">
        <f>SUM('INGRESO X AREA'!$H122*0.21)</f>
        <v>14946.96</v>
      </c>
      <c r="J122" s="82">
        <f>SUM('INGRESO X AREA'!$H122:$I122)</f>
        <v>86122.959999999992</v>
      </c>
    </row>
    <row r="123" spans="1:10" ht="15.75" hidden="1" customHeight="1" x14ac:dyDescent="0.25">
      <c r="A123" s="90">
        <v>45169</v>
      </c>
      <c r="B123" s="81" t="s">
        <v>6906</v>
      </c>
      <c r="C123" s="82">
        <v>239624</v>
      </c>
      <c r="D123" s="82">
        <v>335700</v>
      </c>
      <c r="E123" s="82">
        <v>0</v>
      </c>
      <c r="F123" s="82">
        <v>241500</v>
      </c>
      <c r="G123" s="82">
        <v>0</v>
      </c>
      <c r="H123" s="82">
        <v>816824</v>
      </c>
      <c r="I123" s="82">
        <f>SUM('INGRESO X AREA'!$H123*0.21)</f>
        <v>171533.04</v>
      </c>
      <c r="J123" s="82">
        <f>SUM('INGRESO X AREA'!$H123:$I123)</f>
        <v>988357.04</v>
      </c>
    </row>
    <row r="124" spans="1:10" ht="15.75" hidden="1" customHeight="1" x14ac:dyDescent="0.25">
      <c r="A124" s="90">
        <v>45199</v>
      </c>
      <c r="B124" s="81" t="s">
        <v>6881</v>
      </c>
      <c r="C124" s="82">
        <v>2868255</v>
      </c>
      <c r="D124" s="82">
        <v>270903</v>
      </c>
      <c r="E124" s="82">
        <v>1163140</v>
      </c>
      <c r="F124" s="82">
        <v>1649309.375</v>
      </c>
      <c r="G124" s="82">
        <v>1397100</v>
      </c>
      <c r="H124" s="82">
        <v>7348707.375</v>
      </c>
      <c r="I124" s="82">
        <f>SUM('INGRESO X AREA'!$H124*0.21)</f>
        <v>1543228.5487499998</v>
      </c>
      <c r="J124" s="82">
        <f>SUM('INGRESO X AREA'!$H124:$I124)</f>
        <v>8891935.9237500001</v>
      </c>
    </row>
    <row r="125" spans="1:10" ht="15.75" hidden="1" customHeight="1" x14ac:dyDescent="0.25">
      <c r="A125" s="90">
        <v>45199</v>
      </c>
      <c r="B125" s="81" t="s">
        <v>6894</v>
      </c>
      <c r="C125" s="82">
        <v>0</v>
      </c>
      <c r="D125" s="82">
        <v>65777</v>
      </c>
      <c r="E125" s="82">
        <v>0</v>
      </c>
      <c r="F125" s="82">
        <v>0</v>
      </c>
      <c r="G125" s="82">
        <v>0</v>
      </c>
      <c r="H125" s="82">
        <v>65777</v>
      </c>
      <c r="I125" s="82">
        <f>SUM('INGRESO X AREA'!$H125*0.21)</f>
        <v>13813.17</v>
      </c>
      <c r="J125" s="82">
        <f>SUM('INGRESO X AREA'!$H125:$I125)</f>
        <v>79590.17</v>
      </c>
    </row>
    <row r="126" spans="1:10" ht="15.75" hidden="1" customHeight="1" x14ac:dyDescent="0.25">
      <c r="A126" s="90">
        <v>45199</v>
      </c>
      <c r="B126" s="81" t="s">
        <v>5140</v>
      </c>
      <c r="C126" s="82">
        <v>161350</v>
      </c>
      <c r="D126" s="82">
        <v>0</v>
      </c>
      <c r="E126" s="82">
        <v>6000</v>
      </c>
      <c r="F126" s="82">
        <v>0</v>
      </c>
      <c r="G126" s="82">
        <v>0</v>
      </c>
      <c r="H126" s="82">
        <v>167350</v>
      </c>
      <c r="I126" s="82">
        <f>SUM('INGRESO X AREA'!$H126*0.21)</f>
        <v>35143.5</v>
      </c>
      <c r="J126" s="82">
        <f>SUM('INGRESO X AREA'!$H126:$I126)</f>
        <v>202493.5</v>
      </c>
    </row>
    <row r="127" spans="1:10" ht="15.75" hidden="1" customHeight="1" x14ac:dyDescent="0.25">
      <c r="A127" s="90">
        <v>45199</v>
      </c>
      <c r="B127" s="81" t="s">
        <v>6883</v>
      </c>
      <c r="C127" s="82">
        <v>225745</v>
      </c>
      <c r="D127" s="82">
        <v>0</v>
      </c>
      <c r="E127" s="82">
        <v>0</v>
      </c>
      <c r="F127" s="82">
        <v>101875</v>
      </c>
      <c r="G127" s="82">
        <v>0</v>
      </c>
      <c r="H127" s="82">
        <v>327620</v>
      </c>
      <c r="I127" s="82">
        <f>SUM('INGRESO X AREA'!$H127*0.21)</f>
        <v>68800.2</v>
      </c>
      <c r="J127" s="82">
        <f>SUM('INGRESO X AREA'!$H127:$I127)</f>
        <v>396420.2</v>
      </c>
    </row>
    <row r="128" spans="1:10" ht="15.75" hidden="1" customHeight="1" x14ac:dyDescent="0.25">
      <c r="A128" s="90">
        <v>45199</v>
      </c>
      <c r="B128" s="81" t="s">
        <v>5141</v>
      </c>
      <c r="C128" s="82">
        <v>712790</v>
      </c>
      <c r="D128" s="82">
        <v>0</v>
      </c>
      <c r="E128" s="82">
        <v>9598</v>
      </c>
      <c r="F128" s="82">
        <v>0</v>
      </c>
      <c r="G128" s="82">
        <v>0</v>
      </c>
      <c r="H128" s="82">
        <v>722388</v>
      </c>
      <c r="I128" s="82">
        <f>SUM('INGRESO X AREA'!$H128*0.21)</f>
        <v>151701.47999999998</v>
      </c>
      <c r="J128" s="82">
        <f>SUM('INGRESO X AREA'!$H128:$I128)</f>
        <v>874089.48</v>
      </c>
    </row>
    <row r="129" spans="1:10" ht="15.75" hidden="1" customHeight="1" x14ac:dyDescent="0.25">
      <c r="A129" s="90">
        <v>45199</v>
      </c>
      <c r="B129" s="81" t="s">
        <v>6885</v>
      </c>
      <c r="C129" s="82">
        <v>535015</v>
      </c>
      <c r="D129" s="82">
        <v>236518</v>
      </c>
      <c r="E129" s="82">
        <v>491979.5</v>
      </c>
      <c r="F129" s="82">
        <v>603750</v>
      </c>
      <c r="G129" s="82">
        <v>0</v>
      </c>
      <c r="H129" s="82">
        <v>1867262.5</v>
      </c>
      <c r="I129" s="82">
        <f>SUM('INGRESO X AREA'!$H129*0.21)</f>
        <v>392125.125</v>
      </c>
      <c r="J129" s="82">
        <f>SUM('INGRESO X AREA'!$H129:$I129)</f>
        <v>2259387.625</v>
      </c>
    </row>
    <row r="130" spans="1:10" ht="15.75" hidden="1" customHeight="1" x14ac:dyDescent="0.25">
      <c r="A130" s="90">
        <v>45199</v>
      </c>
      <c r="B130" s="81" t="s">
        <v>6907</v>
      </c>
      <c r="C130" s="82">
        <v>921200</v>
      </c>
      <c r="D130" s="82">
        <v>0</v>
      </c>
      <c r="E130" s="82">
        <v>0</v>
      </c>
      <c r="F130" s="82">
        <v>101875</v>
      </c>
      <c r="G130" s="82">
        <v>0</v>
      </c>
      <c r="H130" s="82">
        <v>1023075</v>
      </c>
      <c r="I130" s="82">
        <f>SUM('INGRESO X AREA'!$H130*0.21)</f>
        <v>214845.75</v>
      </c>
      <c r="J130" s="82">
        <f>SUM('INGRESO X AREA'!$H130:$I130)</f>
        <v>1237920.75</v>
      </c>
    </row>
    <row r="131" spans="1:10" ht="15.75" hidden="1" customHeight="1" x14ac:dyDescent="0.25">
      <c r="A131" s="90">
        <v>45199</v>
      </c>
      <c r="B131" s="81" t="s">
        <v>6888</v>
      </c>
      <c r="C131" s="82">
        <v>320190</v>
      </c>
      <c r="D131" s="82">
        <v>0</v>
      </c>
      <c r="E131" s="82">
        <v>42000</v>
      </c>
      <c r="F131" s="82">
        <v>455749</v>
      </c>
      <c r="G131" s="82">
        <v>0</v>
      </c>
      <c r="H131" s="82">
        <v>817939</v>
      </c>
      <c r="I131" s="82">
        <f>SUM('INGRESO X AREA'!$H131*0.21)</f>
        <v>171767.19</v>
      </c>
      <c r="J131" s="82">
        <f>SUM('INGRESO X AREA'!$H131:$I131)</f>
        <v>989706.19</v>
      </c>
    </row>
    <row r="132" spans="1:10" ht="15.75" hidden="1" customHeight="1" x14ac:dyDescent="0.25">
      <c r="A132" s="90">
        <v>45199</v>
      </c>
      <c r="B132" s="81" t="s">
        <v>6890</v>
      </c>
      <c r="C132" s="82">
        <v>284700</v>
      </c>
      <c r="D132" s="82">
        <v>0</v>
      </c>
      <c r="E132" s="82">
        <v>0</v>
      </c>
      <c r="F132" s="82">
        <v>0</v>
      </c>
      <c r="G132" s="82">
        <v>0</v>
      </c>
      <c r="H132" s="82">
        <v>284700</v>
      </c>
      <c r="I132" s="82">
        <f>SUM('INGRESO X AREA'!$H132*0.21)</f>
        <v>59787</v>
      </c>
      <c r="J132" s="82">
        <f>SUM('INGRESO X AREA'!$H132:$I132)</f>
        <v>344487</v>
      </c>
    </row>
    <row r="133" spans="1:10" ht="15.75" hidden="1" customHeight="1" x14ac:dyDescent="0.25">
      <c r="A133" s="90">
        <v>45199</v>
      </c>
      <c r="B133" s="81" t="s">
        <v>6891</v>
      </c>
      <c r="C133" s="82">
        <v>118560</v>
      </c>
      <c r="D133" s="82">
        <v>270308</v>
      </c>
      <c r="E133" s="82">
        <v>1032776.88</v>
      </c>
      <c r="F133" s="82">
        <v>71562</v>
      </c>
      <c r="G133" s="82">
        <v>0</v>
      </c>
      <c r="H133" s="82">
        <v>1493206.88</v>
      </c>
      <c r="I133" s="82">
        <f>SUM('INGRESO X AREA'!$H133*0.21)</f>
        <v>313573.44479999994</v>
      </c>
      <c r="J133" s="82">
        <f>SUM('INGRESO X AREA'!$H133:$I133)</f>
        <v>1806780.3247999998</v>
      </c>
    </row>
    <row r="134" spans="1:10" ht="15.75" hidden="1" customHeight="1" x14ac:dyDescent="0.25">
      <c r="A134" s="90">
        <v>45199</v>
      </c>
      <c r="B134" s="81" t="s">
        <v>3982</v>
      </c>
      <c r="C134" s="82">
        <v>560950</v>
      </c>
      <c r="D134" s="82">
        <v>185837</v>
      </c>
      <c r="E134" s="82">
        <v>450984.8</v>
      </c>
      <c r="F134" s="82">
        <v>205875</v>
      </c>
      <c r="G134" s="82">
        <v>0</v>
      </c>
      <c r="H134" s="82">
        <v>1403646.8</v>
      </c>
      <c r="I134" s="82">
        <f>SUM('INGRESO X AREA'!$H134*0.21)</f>
        <v>294765.82799999998</v>
      </c>
      <c r="J134" s="82">
        <f>SUM('INGRESO X AREA'!$H134:$I134)</f>
        <v>1698412.628</v>
      </c>
    </row>
    <row r="135" spans="1:10" ht="15.75" hidden="1" customHeight="1" x14ac:dyDescent="0.25">
      <c r="A135" s="90">
        <v>45199</v>
      </c>
      <c r="B135" s="81" t="s">
        <v>6903</v>
      </c>
      <c r="C135" s="82">
        <v>52650</v>
      </c>
      <c r="D135" s="82">
        <v>0</v>
      </c>
      <c r="E135" s="82">
        <v>0</v>
      </c>
      <c r="F135" s="82">
        <v>0</v>
      </c>
      <c r="G135" s="82">
        <v>0</v>
      </c>
      <c r="H135" s="82">
        <v>52650</v>
      </c>
      <c r="I135" s="82">
        <f>SUM('INGRESO X AREA'!$H135*0.21)</f>
        <v>11056.5</v>
      </c>
      <c r="J135" s="82">
        <f>SUM('INGRESO X AREA'!$H135:$I135)</f>
        <v>63706.5</v>
      </c>
    </row>
    <row r="136" spans="1:10" ht="15.75" hidden="1" customHeight="1" x14ac:dyDescent="0.25">
      <c r="A136" s="90">
        <v>45199</v>
      </c>
      <c r="B136" s="81" t="s">
        <v>6906</v>
      </c>
      <c r="C136" s="82">
        <v>132914</v>
      </c>
      <c r="D136" s="82">
        <v>591299</v>
      </c>
      <c r="E136" s="82">
        <v>2012639.57</v>
      </c>
      <c r="F136" s="82">
        <v>201750</v>
      </c>
      <c r="G136" s="82">
        <v>4695520</v>
      </c>
      <c r="H136" s="82">
        <v>7634122.5700000003</v>
      </c>
      <c r="I136" s="82">
        <f>SUM('INGRESO X AREA'!$H136*0.21)</f>
        <v>1603165.7397</v>
      </c>
      <c r="J136" s="82">
        <f>SUM('INGRESO X AREA'!$H136:$I136)</f>
        <v>9237288.309700001</v>
      </c>
    </row>
    <row r="137" spans="1:10" ht="15.75" hidden="1" customHeight="1" x14ac:dyDescent="0.25">
      <c r="A137" s="90">
        <v>45230</v>
      </c>
      <c r="B137" s="81" t="s">
        <v>5141</v>
      </c>
      <c r="C137" s="82">
        <v>728325</v>
      </c>
      <c r="D137" s="82">
        <v>135154</v>
      </c>
      <c r="E137" s="82">
        <v>127972</v>
      </c>
      <c r="F137" s="82">
        <v>124465.4</v>
      </c>
      <c r="G137" s="82">
        <v>0</v>
      </c>
      <c r="H137" s="82">
        <v>1115916.3999999999</v>
      </c>
      <c r="I137" s="82">
        <f>SUM('INGRESO X AREA'!$H137*0.21)</f>
        <v>234342.44399999996</v>
      </c>
      <c r="J137" s="82">
        <f>SUM('INGRESO X AREA'!$H137:$I137)</f>
        <v>1350258.8439999998</v>
      </c>
    </row>
    <row r="138" spans="1:10" ht="15.75" hidden="1" customHeight="1" x14ac:dyDescent="0.25">
      <c r="A138" s="90">
        <v>45230</v>
      </c>
      <c r="B138" s="81" t="s">
        <v>6888</v>
      </c>
      <c r="C138" s="82">
        <v>355225</v>
      </c>
      <c r="D138" s="82">
        <v>371674</v>
      </c>
      <c r="E138" s="82">
        <v>630916.20000000007</v>
      </c>
      <c r="F138" s="82">
        <v>272810</v>
      </c>
      <c r="G138" s="82">
        <v>0</v>
      </c>
      <c r="H138" s="82">
        <v>1630625.2000000002</v>
      </c>
      <c r="I138" s="82">
        <f>SUM('INGRESO X AREA'!$H138*0.21)</f>
        <v>342431.29200000002</v>
      </c>
      <c r="J138" s="82">
        <f>SUM('INGRESO X AREA'!$H138:$I138)</f>
        <v>1973056.4920000001</v>
      </c>
    </row>
    <row r="139" spans="1:10" ht="15.75" hidden="1" customHeight="1" x14ac:dyDescent="0.25">
      <c r="A139" s="90">
        <v>45230</v>
      </c>
      <c r="B139" s="81" t="s">
        <v>6890</v>
      </c>
      <c r="C139" s="82">
        <v>284700</v>
      </c>
      <c r="D139" s="82">
        <v>0</v>
      </c>
      <c r="E139" s="82">
        <v>0</v>
      </c>
      <c r="F139" s="82">
        <v>0</v>
      </c>
      <c r="G139" s="82">
        <v>0</v>
      </c>
      <c r="H139" s="82">
        <v>284700</v>
      </c>
      <c r="I139" s="82">
        <f>SUM('INGRESO X AREA'!$H139*0.21)</f>
        <v>59787</v>
      </c>
      <c r="J139" s="82">
        <f>SUM('INGRESO X AREA'!$H139:$I139)</f>
        <v>344487</v>
      </c>
    </row>
    <row r="140" spans="1:10" ht="15.75" hidden="1" customHeight="1" x14ac:dyDescent="0.25">
      <c r="A140" s="90">
        <v>45230</v>
      </c>
      <c r="B140" s="81" t="s">
        <v>5140</v>
      </c>
      <c r="C140" s="82">
        <v>137800</v>
      </c>
      <c r="D140" s="82">
        <v>0</v>
      </c>
      <c r="E140" s="82">
        <v>12000</v>
      </c>
      <c r="F140" s="82">
        <v>0</v>
      </c>
      <c r="G140" s="82">
        <v>0</v>
      </c>
      <c r="H140" s="82">
        <v>149800</v>
      </c>
      <c r="I140" s="82">
        <f>SUM('INGRESO X AREA'!$H140*0.21)</f>
        <v>31458</v>
      </c>
      <c r="J140" s="82">
        <f>SUM('INGRESO X AREA'!$H140:$I140)</f>
        <v>181258</v>
      </c>
    </row>
    <row r="141" spans="1:10" ht="15.75" hidden="1" customHeight="1" x14ac:dyDescent="0.25">
      <c r="A141" s="90">
        <v>45230</v>
      </c>
      <c r="B141" s="81" t="s">
        <v>6906</v>
      </c>
      <c r="C141" s="82">
        <v>331240</v>
      </c>
      <c r="D141" s="82">
        <v>0</v>
      </c>
      <c r="E141" s="82">
        <v>0</v>
      </c>
      <c r="F141" s="82">
        <v>1222190</v>
      </c>
      <c r="G141" s="82">
        <v>0</v>
      </c>
      <c r="H141" s="82">
        <v>1553430</v>
      </c>
      <c r="I141" s="82">
        <f>SUM('INGRESO X AREA'!$H141*0.21)</f>
        <v>326220.3</v>
      </c>
      <c r="J141" s="82">
        <f>SUM('INGRESO X AREA'!$H141:$I141)</f>
        <v>1879650.3</v>
      </c>
    </row>
    <row r="142" spans="1:10" ht="15.75" hidden="1" customHeight="1" x14ac:dyDescent="0.25">
      <c r="A142" s="90">
        <v>45230</v>
      </c>
      <c r="B142" s="81" t="s">
        <v>6908</v>
      </c>
      <c r="C142" s="82">
        <v>269230</v>
      </c>
      <c r="D142" s="82">
        <v>0</v>
      </c>
      <c r="E142" s="82">
        <v>0</v>
      </c>
      <c r="F142" s="82">
        <v>0</v>
      </c>
      <c r="G142" s="82">
        <v>0</v>
      </c>
      <c r="H142" s="82">
        <v>269230</v>
      </c>
      <c r="I142" s="82">
        <f>SUM('INGRESO X AREA'!$H142*0.21)</f>
        <v>56538.299999999996</v>
      </c>
      <c r="J142" s="82">
        <f>SUM('INGRESO X AREA'!$H142:$I142)</f>
        <v>325768.3</v>
      </c>
    </row>
    <row r="143" spans="1:10" ht="15.75" hidden="1" customHeight="1" x14ac:dyDescent="0.25">
      <c r="A143" s="90">
        <v>45230</v>
      </c>
      <c r="B143" s="81" t="s">
        <v>6899</v>
      </c>
      <c r="C143" s="82">
        <v>38350</v>
      </c>
      <c r="D143" s="82">
        <v>67577.33</v>
      </c>
      <c r="E143" s="82">
        <v>288892.87200000003</v>
      </c>
      <c r="F143" s="82">
        <v>249750</v>
      </c>
      <c r="G143" s="82">
        <v>0</v>
      </c>
      <c r="H143" s="82">
        <v>644570.20200000005</v>
      </c>
      <c r="I143" s="82">
        <f>SUM('INGRESO X AREA'!$H143*0.21)</f>
        <v>135359.74242</v>
      </c>
      <c r="J143" s="82">
        <f>SUM('INGRESO X AREA'!$H143:$I143)</f>
        <v>779929.94442000007</v>
      </c>
    </row>
    <row r="144" spans="1:10" ht="15.75" hidden="1" customHeight="1" x14ac:dyDescent="0.25">
      <c r="A144" s="90">
        <v>45230</v>
      </c>
      <c r="B144" s="81" t="s">
        <v>6909</v>
      </c>
      <c r="C144" s="82">
        <v>25155</v>
      </c>
      <c r="D144" s="82">
        <v>67577.33</v>
      </c>
      <c r="E144" s="82">
        <v>286781.08199999999</v>
      </c>
      <c r="F144" s="82">
        <v>0</v>
      </c>
      <c r="G144" s="82">
        <v>45600</v>
      </c>
      <c r="H144" s="82">
        <v>425113.41200000001</v>
      </c>
      <c r="I144" s="82">
        <f>SUM('INGRESO X AREA'!$H144*0.21)</f>
        <v>89273.816519999993</v>
      </c>
      <c r="J144" s="82">
        <f>SUM('INGRESO X AREA'!$H144:$I144)</f>
        <v>514387.22852</v>
      </c>
    </row>
    <row r="145" spans="1:10" ht="15.75" hidden="1" customHeight="1" x14ac:dyDescent="0.25">
      <c r="A145" s="90">
        <v>45230</v>
      </c>
      <c r="B145" s="81" t="s">
        <v>6910</v>
      </c>
      <c r="C145" s="82">
        <v>49530</v>
      </c>
      <c r="D145" s="82">
        <v>27560</v>
      </c>
      <c r="E145" s="82">
        <v>67577</v>
      </c>
      <c r="F145" s="82">
        <v>151479.01</v>
      </c>
      <c r="G145" s="82">
        <v>0</v>
      </c>
      <c r="H145" s="82">
        <v>296146.01</v>
      </c>
      <c r="I145" s="82">
        <f>SUM('INGRESO X AREA'!$H145*0.21)</f>
        <v>62190.662100000001</v>
      </c>
      <c r="J145" s="82">
        <f>SUM('INGRESO X AREA'!$H145:$I145)</f>
        <v>358336.67210000003</v>
      </c>
    </row>
    <row r="146" spans="1:10" ht="15.75" hidden="1" customHeight="1" x14ac:dyDescent="0.25">
      <c r="A146" s="90">
        <v>45230</v>
      </c>
      <c r="B146" s="81" t="s">
        <v>6881</v>
      </c>
      <c r="C146" s="82">
        <v>2976155</v>
      </c>
      <c r="D146" s="82">
        <v>164408</v>
      </c>
      <c r="E146" s="82">
        <v>2206221</v>
      </c>
      <c r="F146" s="82">
        <v>2049723.4849999999</v>
      </c>
      <c r="G146" s="82">
        <v>586080</v>
      </c>
      <c r="H146" s="82">
        <v>7982587.4849999994</v>
      </c>
      <c r="I146" s="82">
        <f>SUM('INGRESO X AREA'!$H146*0.21)</f>
        <v>1676343.3718499998</v>
      </c>
      <c r="J146" s="82">
        <f>SUM('INGRESO X AREA'!$H146:$I146)</f>
        <v>9658930.8568499982</v>
      </c>
    </row>
    <row r="147" spans="1:10" ht="15.75" hidden="1" customHeight="1" x14ac:dyDescent="0.25">
      <c r="A147" s="90">
        <v>45230</v>
      </c>
      <c r="B147" s="81" t="s">
        <v>6904</v>
      </c>
      <c r="C147" s="82">
        <v>0</v>
      </c>
      <c r="D147" s="82">
        <v>135154.66</v>
      </c>
      <c r="E147" s="82">
        <v>0</v>
      </c>
      <c r="F147" s="82">
        <v>0</v>
      </c>
      <c r="G147" s="82">
        <v>0</v>
      </c>
      <c r="H147" s="82">
        <v>135154.66</v>
      </c>
      <c r="I147" s="82">
        <f>SUM('INGRESO X AREA'!$H147*0.21)</f>
        <v>28382.478599999999</v>
      </c>
      <c r="J147" s="82">
        <f>SUM('INGRESO X AREA'!$H147:$I147)</f>
        <v>163537.13860000001</v>
      </c>
    </row>
    <row r="148" spans="1:10" ht="15.75" hidden="1" customHeight="1" x14ac:dyDescent="0.25">
      <c r="A148" s="90">
        <v>45230</v>
      </c>
      <c r="B148" s="81" t="s">
        <v>6911</v>
      </c>
      <c r="C148" s="82">
        <v>239590</v>
      </c>
      <c r="D148" s="82">
        <v>230100</v>
      </c>
      <c r="E148" s="82">
        <v>2100</v>
      </c>
      <c r="F148" s="82">
        <v>3450</v>
      </c>
      <c r="G148" s="82">
        <v>0</v>
      </c>
      <c r="H148" s="82">
        <v>475240</v>
      </c>
      <c r="I148" s="82">
        <f>SUM('INGRESO X AREA'!$H148*0.21)</f>
        <v>99800.4</v>
      </c>
      <c r="J148" s="82">
        <f>SUM('INGRESO X AREA'!$H148:$I148)</f>
        <v>575040.4</v>
      </c>
    </row>
    <row r="149" spans="1:10" ht="15.75" hidden="1" customHeight="1" x14ac:dyDescent="0.25">
      <c r="A149" s="90">
        <v>45230</v>
      </c>
      <c r="B149" s="81" t="s">
        <v>6893</v>
      </c>
      <c r="C149" s="82">
        <v>343720</v>
      </c>
      <c r="D149" s="82">
        <v>334490</v>
      </c>
      <c r="E149" s="82">
        <v>0</v>
      </c>
      <c r="F149" s="82">
        <v>0</v>
      </c>
      <c r="G149" s="82">
        <v>0</v>
      </c>
      <c r="H149" s="82">
        <v>678210</v>
      </c>
      <c r="I149" s="82">
        <f>SUM('INGRESO X AREA'!$H149*0.21)</f>
        <v>142424.1</v>
      </c>
      <c r="J149" s="82">
        <f>SUM('INGRESO X AREA'!$H149:$I149)</f>
        <v>820634.1</v>
      </c>
    </row>
    <row r="150" spans="1:10" ht="15.75" hidden="1" customHeight="1" x14ac:dyDescent="0.25">
      <c r="A150" s="90">
        <v>45230</v>
      </c>
      <c r="B150" s="81" t="s">
        <v>6884</v>
      </c>
      <c r="C150" s="82">
        <v>132600</v>
      </c>
      <c r="D150" s="82">
        <v>136240</v>
      </c>
      <c r="E150" s="82">
        <v>0</v>
      </c>
      <c r="F150" s="82">
        <v>84250</v>
      </c>
      <c r="G150" s="82">
        <v>0</v>
      </c>
      <c r="H150" s="82">
        <v>353090</v>
      </c>
      <c r="I150" s="82">
        <f>SUM('INGRESO X AREA'!$H150*0.21)</f>
        <v>74148.899999999994</v>
      </c>
      <c r="J150" s="82">
        <f>SUM('INGRESO X AREA'!$H150:$I150)</f>
        <v>427238.9</v>
      </c>
    </row>
    <row r="151" spans="1:10" ht="15.75" hidden="1" customHeight="1" x14ac:dyDescent="0.25">
      <c r="A151" s="90">
        <v>45230</v>
      </c>
      <c r="B151" s="81" t="s">
        <v>6907</v>
      </c>
      <c r="C151" s="82">
        <v>893200</v>
      </c>
      <c r="D151" s="82">
        <v>0</v>
      </c>
      <c r="E151" s="82">
        <v>0</v>
      </c>
      <c r="F151" s="82">
        <v>0</v>
      </c>
      <c r="G151" s="82">
        <v>0</v>
      </c>
      <c r="H151" s="82">
        <v>893200</v>
      </c>
      <c r="I151" s="82">
        <f>SUM('INGRESO X AREA'!$H151*0.21)</f>
        <v>187572</v>
      </c>
      <c r="J151" s="82">
        <f>SUM('INGRESO X AREA'!$H151:$I151)</f>
        <v>1080772</v>
      </c>
    </row>
    <row r="152" spans="1:10" ht="15.75" hidden="1" customHeight="1" x14ac:dyDescent="0.25">
      <c r="A152" s="90">
        <v>45230</v>
      </c>
      <c r="B152" s="81" t="s">
        <v>3982</v>
      </c>
      <c r="C152" s="82">
        <v>496340</v>
      </c>
      <c r="D152" s="82">
        <v>50683</v>
      </c>
      <c r="E152" s="82">
        <v>121749.09</v>
      </c>
      <c r="F152" s="82">
        <v>172500</v>
      </c>
      <c r="G152" s="82">
        <v>858480</v>
      </c>
      <c r="H152" s="82">
        <v>1699752.0899999999</v>
      </c>
      <c r="I152" s="82">
        <f>SUM('INGRESO X AREA'!$H152*0.21)</f>
        <v>356947.93889999995</v>
      </c>
      <c r="J152" s="82">
        <f>SUM('INGRESO X AREA'!$H152:$I152)</f>
        <v>2056700.0288999998</v>
      </c>
    </row>
    <row r="153" spans="1:10" ht="15.75" hidden="1" customHeight="1" x14ac:dyDescent="0.25">
      <c r="A153" s="90">
        <v>45230</v>
      </c>
      <c r="B153" s="81" t="s">
        <v>6903</v>
      </c>
      <c r="C153" s="82">
        <v>53495</v>
      </c>
      <c r="D153" s="82">
        <v>0</v>
      </c>
      <c r="E153" s="82">
        <v>0</v>
      </c>
      <c r="F153" s="82">
        <v>0</v>
      </c>
      <c r="G153" s="82">
        <v>0</v>
      </c>
      <c r="H153" s="82">
        <v>53495</v>
      </c>
      <c r="I153" s="82">
        <f>SUM('INGRESO X AREA'!$H153*0.21)</f>
        <v>11233.949999999999</v>
      </c>
      <c r="J153" s="82">
        <f>SUM('INGRESO X AREA'!$H153:$I153)</f>
        <v>64728.95</v>
      </c>
    </row>
    <row r="154" spans="1:10" ht="15.75" hidden="1" customHeight="1" x14ac:dyDescent="0.25">
      <c r="A154" s="90">
        <v>45230</v>
      </c>
      <c r="B154" s="81" t="s">
        <v>6885</v>
      </c>
      <c r="C154" s="82">
        <v>588185</v>
      </c>
      <c r="D154" s="82">
        <v>67577.33</v>
      </c>
      <c r="E154" s="82">
        <v>223819</v>
      </c>
      <c r="F154" s="82">
        <v>258750</v>
      </c>
      <c r="G154" s="82">
        <v>0</v>
      </c>
      <c r="H154" s="82">
        <v>1138331.33</v>
      </c>
      <c r="I154" s="82">
        <f>SUM('INGRESO X AREA'!$H154*0.21)</f>
        <v>239049.57930000001</v>
      </c>
      <c r="J154" s="82">
        <f>SUM('INGRESO X AREA'!$H154:$I154)</f>
        <v>1377380.9093000002</v>
      </c>
    </row>
    <row r="155" spans="1:10" ht="15.75" hidden="1" customHeight="1" x14ac:dyDescent="0.25">
      <c r="A155" s="90">
        <v>45230</v>
      </c>
      <c r="B155" s="81" t="s">
        <v>6883</v>
      </c>
      <c r="C155" s="82">
        <v>230020</v>
      </c>
      <c r="D155" s="82">
        <v>0</v>
      </c>
      <c r="E155" s="82">
        <v>0</v>
      </c>
      <c r="F155" s="82">
        <v>203750</v>
      </c>
      <c r="G155" s="82">
        <v>0</v>
      </c>
      <c r="H155" s="82">
        <v>433770</v>
      </c>
      <c r="I155" s="82">
        <f>SUM('INGRESO X AREA'!$H155*0.21)</f>
        <v>91091.7</v>
      </c>
      <c r="J155" s="82">
        <f>SUM('INGRESO X AREA'!$H155:$I155)</f>
        <v>524861.69999999995</v>
      </c>
    </row>
    <row r="156" spans="1:10" ht="15.75" hidden="1" customHeight="1" x14ac:dyDescent="0.25">
      <c r="A156" s="90">
        <v>45230</v>
      </c>
      <c r="B156" s="81" t="s">
        <v>3117</v>
      </c>
      <c r="C156" s="82">
        <v>1950</v>
      </c>
      <c r="D156" s="82">
        <v>0</v>
      </c>
      <c r="E156" s="82">
        <v>12000</v>
      </c>
      <c r="F156" s="82">
        <v>123250</v>
      </c>
      <c r="G156" s="82">
        <v>0</v>
      </c>
      <c r="H156" s="82">
        <v>137200</v>
      </c>
      <c r="I156" s="82">
        <f>SUM('INGRESO X AREA'!$H156*0.21)</f>
        <v>28812</v>
      </c>
      <c r="J156" s="82">
        <f>SUM('INGRESO X AREA'!$H156:$I156)</f>
        <v>166012</v>
      </c>
    </row>
    <row r="157" spans="1:10" ht="15.75" hidden="1" customHeight="1" x14ac:dyDescent="0.25">
      <c r="A157" s="90">
        <v>45260</v>
      </c>
      <c r="B157" s="81" t="s">
        <v>5141</v>
      </c>
      <c r="C157" s="82">
        <v>800605</v>
      </c>
      <c r="D157" s="82">
        <v>0</v>
      </c>
      <c r="E157" s="82">
        <v>142000</v>
      </c>
      <c r="F157" s="82">
        <v>178125</v>
      </c>
      <c r="G157" s="82">
        <v>0</v>
      </c>
      <c r="H157" s="82">
        <v>1120730</v>
      </c>
      <c r="I157" s="82">
        <f>SUM('INGRESO X AREA'!$H157*0.21)</f>
        <v>235353.3</v>
      </c>
      <c r="J157" s="82">
        <f>SUM('INGRESO X AREA'!$H157:$I157)</f>
        <v>1356083.3</v>
      </c>
    </row>
    <row r="158" spans="1:10" ht="15.75" hidden="1" customHeight="1" x14ac:dyDescent="0.25">
      <c r="A158" s="90">
        <v>45260</v>
      </c>
      <c r="B158" s="81" t="s">
        <v>6888</v>
      </c>
      <c r="C158" s="82">
        <v>615875</v>
      </c>
      <c r="D158" s="82">
        <v>0</v>
      </c>
      <c r="E158" s="82">
        <v>0</v>
      </c>
      <c r="F158" s="82">
        <v>718124</v>
      </c>
      <c r="G158" s="82">
        <v>0</v>
      </c>
      <c r="H158" s="82">
        <v>1333999</v>
      </c>
      <c r="I158" s="82">
        <f>SUM('INGRESO X AREA'!$H158*0.21)</f>
        <v>280139.78999999998</v>
      </c>
      <c r="J158" s="82">
        <f>SUM('INGRESO X AREA'!$H158:$I158)</f>
        <v>1614138.79</v>
      </c>
    </row>
    <row r="159" spans="1:10" ht="15.75" hidden="1" customHeight="1" x14ac:dyDescent="0.25">
      <c r="A159" s="90">
        <v>45260</v>
      </c>
      <c r="B159" s="81" t="s">
        <v>6912</v>
      </c>
      <c r="C159" s="82">
        <v>0</v>
      </c>
      <c r="D159" s="82">
        <v>70680</v>
      </c>
      <c r="E159" s="82">
        <v>129892</v>
      </c>
      <c r="F159" s="82">
        <v>315000</v>
      </c>
      <c r="G159" s="82">
        <v>0</v>
      </c>
      <c r="H159" s="82">
        <v>515572</v>
      </c>
      <c r="I159" s="82">
        <f>SUM('INGRESO X AREA'!$H159*0.21)</f>
        <v>108270.12</v>
      </c>
      <c r="J159" s="82">
        <f>SUM('INGRESO X AREA'!$H159:$I159)</f>
        <v>623842.12</v>
      </c>
    </row>
    <row r="160" spans="1:10" ht="15.75" hidden="1" customHeight="1" x14ac:dyDescent="0.25">
      <c r="A160" s="90">
        <v>45260</v>
      </c>
      <c r="B160" s="81" t="s">
        <v>6890</v>
      </c>
      <c r="C160" s="82">
        <v>274755</v>
      </c>
      <c r="D160" s="82">
        <v>0</v>
      </c>
      <c r="E160" s="82">
        <v>0</v>
      </c>
      <c r="F160" s="82">
        <v>190000</v>
      </c>
      <c r="G160" s="82">
        <v>0</v>
      </c>
      <c r="H160" s="82">
        <v>464755</v>
      </c>
      <c r="I160" s="82">
        <f>SUM('INGRESO X AREA'!$H160*0.21)</f>
        <v>97598.55</v>
      </c>
      <c r="J160" s="82">
        <f>SUM('INGRESO X AREA'!$H160:$I160)</f>
        <v>562353.55000000005</v>
      </c>
    </row>
    <row r="161" spans="1:10" ht="15.75" hidden="1" customHeight="1" x14ac:dyDescent="0.25">
      <c r="A161" s="90">
        <v>45260</v>
      </c>
      <c r="B161" s="81" t="s">
        <v>5140</v>
      </c>
      <c r="C161" s="82">
        <v>129220</v>
      </c>
      <c r="D161" s="82">
        <v>0</v>
      </c>
      <c r="E161" s="82">
        <v>0</v>
      </c>
      <c r="F161" s="82">
        <v>7000</v>
      </c>
      <c r="G161" s="82">
        <v>0</v>
      </c>
      <c r="H161" s="82">
        <v>136220</v>
      </c>
      <c r="I161" s="82">
        <f>SUM('INGRESO X AREA'!$H161*0.21)</f>
        <v>28606.2</v>
      </c>
      <c r="J161" s="82">
        <f>SUM('INGRESO X AREA'!$H161:$I161)</f>
        <v>164826.20000000001</v>
      </c>
    </row>
    <row r="162" spans="1:10" ht="15.75" hidden="1" customHeight="1" x14ac:dyDescent="0.25">
      <c r="A162" s="90">
        <v>45260</v>
      </c>
      <c r="B162" s="81" t="s">
        <v>6906</v>
      </c>
      <c r="C162" s="82">
        <v>89972</v>
      </c>
      <c r="D162" s="82">
        <v>519471</v>
      </c>
      <c r="E162" s="82">
        <v>1417281.0299999998</v>
      </c>
      <c r="F162" s="82">
        <v>350625</v>
      </c>
      <c r="G162" s="82">
        <v>2375120</v>
      </c>
      <c r="H162" s="82">
        <v>4752469.0299999993</v>
      </c>
      <c r="I162" s="82">
        <f>SUM('INGRESO X AREA'!$H162*0.21)</f>
        <v>998018.49629999977</v>
      </c>
      <c r="J162" s="82">
        <f>SUM('INGRESO X AREA'!$H162:$I162)</f>
        <v>5750487.5262999991</v>
      </c>
    </row>
    <row r="163" spans="1:10" ht="15.75" hidden="1" customHeight="1" x14ac:dyDescent="0.25">
      <c r="A163" s="90">
        <v>45260</v>
      </c>
      <c r="B163" s="81" t="s">
        <v>6908</v>
      </c>
      <c r="C163" s="82">
        <v>260585</v>
      </c>
      <c r="D163" s="82">
        <v>0</v>
      </c>
      <c r="E163" s="82">
        <v>0</v>
      </c>
      <c r="F163" s="82">
        <v>0</v>
      </c>
      <c r="G163" s="82">
        <v>0</v>
      </c>
      <c r="H163" s="82">
        <v>260585</v>
      </c>
      <c r="I163" s="82">
        <f>SUM('INGRESO X AREA'!$H163*0.21)</f>
        <v>54722.85</v>
      </c>
      <c r="J163" s="82">
        <f>SUM('INGRESO X AREA'!$H163:$I163)</f>
        <v>315307.84999999998</v>
      </c>
    </row>
    <row r="164" spans="1:10" ht="15.75" hidden="1" customHeight="1" x14ac:dyDescent="0.25">
      <c r="A164" s="90">
        <v>45260</v>
      </c>
      <c r="B164" s="81" t="s">
        <v>6909</v>
      </c>
      <c r="C164" s="82">
        <v>23075</v>
      </c>
      <c r="D164" s="82">
        <v>0</v>
      </c>
      <c r="E164" s="82">
        <v>0</v>
      </c>
      <c r="F164" s="82">
        <v>321375</v>
      </c>
      <c r="G164" s="82">
        <v>0</v>
      </c>
      <c r="H164" s="82">
        <v>344450</v>
      </c>
      <c r="I164" s="82">
        <f>SUM('INGRESO X AREA'!$H164*0.21)</f>
        <v>72334.5</v>
      </c>
      <c r="J164" s="82">
        <f>SUM('INGRESO X AREA'!$H164:$I164)</f>
        <v>416784.5</v>
      </c>
    </row>
    <row r="165" spans="1:10" ht="15.75" hidden="1" customHeight="1" x14ac:dyDescent="0.25">
      <c r="A165" s="90">
        <v>45260</v>
      </c>
      <c r="B165" s="81" t="s">
        <v>6910</v>
      </c>
      <c r="C165" s="82">
        <v>53560</v>
      </c>
      <c r="D165" s="82">
        <v>0</v>
      </c>
      <c r="E165" s="82">
        <v>0</v>
      </c>
      <c r="F165" s="82">
        <v>0</v>
      </c>
      <c r="G165" s="82">
        <v>0</v>
      </c>
      <c r="H165" s="82">
        <v>53560</v>
      </c>
      <c r="I165" s="82">
        <f>SUM('INGRESO X AREA'!$H165*0.21)</f>
        <v>11247.6</v>
      </c>
      <c r="J165" s="82">
        <f>SUM('INGRESO X AREA'!$H165:$I165)</f>
        <v>64807.6</v>
      </c>
    </row>
    <row r="166" spans="1:10" ht="15.75" hidden="1" customHeight="1" x14ac:dyDescent="0.25">
      <c r="A166" s="90">
        <v>45260</v>
      </c>
      <c r="B166" s="81" t="s">
        <v>6881</v>
      </c>
      <c r="C166" s="82">
        <v>3043885</v>
      </c>
      <c r="D166" s="82">
        <v>314210</v>
      </c>
      <c r="E166" s="82">
        <v>1434848.71</v>
      </c>
      <c r="F166" s="82">
        <v>2635082.5</v>
      </c>
      <c r="G166" s="82">
        <v>3676320</v>
      </c>
      <c r="H166" s="82">
        <v>11104346.210000001</v>
      </c>
      <c r="I166" s="82">
        <f>SUM('INGRESO X AREA'!$H166*0.21)</f>
        <v>2331912.7041000002</v>
      </c>
      <c r="J166" s="82">
        <f>SUM('INGRESO X AREA'!$H166:$I166)</f>
        <v>13436258.914100001</v>
      </c>
    </row>
    <row r="167" spans="1:10" ht="15.75" hidden="1" customHeight="1" x14ac:dyDescent="0.25">
      <c r="A167" s="90">
        <v>45260</v>
      </c>
      <c r="B167" s="81" t="s">
        <v>6911</v>
      </c>
      <c r="C167" s="82">
        <v>222690</v>
      </c>
      <c r="D167" s="82">
        <v>0</v>
      </c>
      <c r="E167" s="82">
        <v>0</v>
      </c>
      <c r="F167" s="82">
        <v>0</v>
      </c>
      <c r="G167" s="82">
        <v>0</v>
      </c>
      <c r="H167" s="82">
        <v>222690</v>
      </c>
      <c r="I167" s="82">
        <f>SUM('INGRESO X AREA'!$H167*0.21)</f>
        <v>46764.9</v>
      </c>
      <c r="J167" s="82">
        <f>SUM('INGRESO X AREA'!$H167:$I167)</f>
        <v>269454.90000000002</v>
      </c>
    </row>
    <row r="168" spans="1:10" ht="15.75" hidden="1" customHeight="1" x14ac:dyDescent="0.25">
      <c r="A168" s="90">
        <v>45260</v>
      </c>
      <c r="B168" s="81" t="s">
        <v>6893</v>
      </c>
      <c r="C168" s="82">
        <v>266500</v>
      </c>
      <c r="D168" s="82">
        <v>0</v>
      </c>
      <c r="E168" s="82">
        <v>0</v>
      </c>
      <c r="F168" s="82">
        <v>0</v>
      </c>
      <c r="G168" s="82">
        <v>0</v>
      </c>
      <c r="H168" s="82">
        <v>266500</v>
      </c>
      <c r="I168" s="82">
        <f>SUM('INGRESO X AREA'!$H168*0.21)</f>
        <v>55965</v>
      </c>
      <c r="J168" s="82">
        <f>SUM('INGRESO X AREA'!$H168:$I168)</f>
        <v>322465</v>
      </c>
    </row>
    <row r="169" spans="1:10" ht="15.75" hidden="1" customHeight="1" x14ac:dyDescent="0.25">
      <c r="A169" s="90">
        <v>45260</v>
      </c>
      <c r="B169" s="81" t="s">
        <v>6884</v>
      </c>
      <c r="C169" s="82">
        <v>126620</v>
      </c>
      <c r="D169" s="82">
        <v>0</v>
      </c>
      <c r="E169" s="82">
        <v>0</v>
      </c>
      <c r="F169" s="82">
        <v>84256</v>
      </c>
      <c r="G169" s="82">
        <v>0</v>
      </c>
      <c r="H169" s="82">
        <v>210876</v>
      </c>
      <c r="I169" s="82">
        <f>SUM('INGRESO X AREA'!$H169*0.21)</f>
        <v>44283.96</v>
      </c>
      <c r="J169" s="82">
        <f>SUM('INGRESO X AREA'!$H169:$I169)</f>
        <v>255159.96</v>
      </c>
    </row>
    <row r="170" spans="1:10" ht="15.75" hidden="1" customHeight="1" x14ac:dyDescent="0.25">
      <c r="A170" s="90">
        <v>45260</v>
      </c>
      <c r="B170" s="81" t="s">
        <v>6907</v>
      </c>
      <c r="C170" s="82">
        <v>353920</v>
      </c>
      <c r="D170" s="82">
        <v>0</v>
      </c>
      <c r="E170" s="82">
        <v>0</v>
      </c>
      <c r="F170" s="82">
        <v>0</v>
      </c>
      <c r="G170" s="82">
        <v>0</v>
      </c>
      <c r="H170" s="82">
        <v>353920</v>
      </c>
      <c r="I170" s="82">
        <f>SUM('INGRESO X AREA'!$H170*0.21)</f>
        <v>74323.199999999997</v>
      </c>
      <c r="J170" s="82">
        <f>SUM('INGRESO X AREA'!$H170:$I170)</f>
        <v>428243.20000000001</v>
      </c>
    </row>
    <row r="171" spans="1:10" ht="15.75" hidden="1" customHeight="1" x14ac:dyDescent="0.25">
      <c r="A171" s="90">
        <v>45260</v>
      </c>
      <c r="B171" s="81" t="s">
        <v>3982</v>
      </c>
      <c r="C171" s="82">
        <v>459810</v>
      </c>
      <c r="D171" s="82">
        <v>0</v>
      </c>
      <c r="E171" s="82">
        <v>0</v>
      </c>
      <c r="F171" s="82">
        <v>86250</v>
      </c>
      <c r="G171" s="82">
        <v>0</v>
      </c>
      <c r="H171" s="82">
        <v>546060</v>
      </c>
      <c r="I171" s="82">
        <f>SUM('INGRESO X AREA'!$H171*0.21)</f>
        <v>114672.59999999999</v>
      </c>
      <c r="J171" s="82">
        <f>SUM('INGRESO X AREA'!$H171:$I171)</f>
        <v>660732.6</v>
      </c>
    </row>
    <row r="172" spans="1:10" ht="15.75" hidden="1" customHeight="1" x14ac:dyDescent="0.25">
      <c r="A172" s="90">
        <v>45260</v>
      </c>
      <c r="B172" s="81" t="s">
        <v>6900</v>
      </c>
      <c r="C172" s="82">
        <v>42770</v>
      </c>
      <c r="D172" s="82">
        <v>67577</v>
      </c>
      <c r="E172" s="82">
        <v>287164</v>
      </c>
      <c r="F172" s="82">
        <v>237125</v>
      </c>
      <c r="G172" s="82">
        <v>0</v>
      </c>
      <c r="H172" s="82">
        <v>634636</v>
      </c>
      <c r="I172" s="82">
        <f>SUM('INGRESO X AREA'!$H172*0.21)</f>
        <v>133273.56</v>
      </c>
      <c r="J172" s="82">
        <f>SUM('INGRESO X AREA'!$H172:$I172)</f>
        <v>767909.56</v>
      </c>
    </row>
    <row r="173" spans="1:10" ht="15.75" hidden="1" customHeight="1" x14ac:dyDescent="0.25">
      <c r="A173" s="90">
        <v>45260</v>
      </c>
      <c r="B173" s="81" t="s">
        <v>6903</v>
      </c>
      <c r="C173" s="82">
        <v>50700</v>
      </c>
      <c r="D173" s="82">
        <v>0</v>
      </c>
      <c r="E173" s="82">
        <v>0</v>
      </c>
      <c r="F173" s="82">
        <v>0</v>
      </c>
      <c r="G173" s="82">
        <v>0</v>
      </c>
      <c r="H173" s="82">
        <v>50700</v>
      </c>
      <c r="I173" s="82">
        <f>SUM('INGRESO X AREA'!$H173*0.21)</f>
        <v>10647</v>
      </c>
      <c r="J173" s="82">
        <f>SUM('INGRESO X AREA'!$H173:$I173)</f>
        <v>61347</v>
      </c>
    </row>
    <row r="174" spans="1:10" ht="15.75" hidden="1" customHeight="1" x14ac:dyDescent="0.25">
      <c r="A174" s="90">
        <v>45260</v>
      </c>
      <c r="B174" s="81" t="s">
        <v>6885</v>
      </c>
      <c r="C174" s="82">
        <v>594880</v>
      </c>
      <c r="D174" s="82">
        <v>0</v>
      </c>
      <c r="E174" s="82">
        <v>0</v>
      </c>
      <c r="F174" s="82">
        <v>84250</v>
      </c>
      <c r="G174" s="82">
        <v>0</v>
      </c>
      <c r="H174" s="82">
        <v>679130</v>
      </c>
      <c r="I174" s="82">
        <f>SUM('INGRESO X AREA'!$H174*0.21)</f>
        <v>142617.29999999999</v>
      </c>
      <c r="J174" s="82">
        <f>SUM('INGRESO X AREA'!$H174:$I174)</f>
        <v>821747.3</v>
      </c>
    </row>
    <row r="175" spans="1:10" ht="15.75" hidden="1" customHeight="1" x14ac:dyDescent="0.25">
      <c r="A175" s="90">
        <v>45260</v>
      </c>
      <c r="B175" s="81" t="s">
        <v>6883</v>
      </c>
      <c r="C175" s="82">
        <v>211050</v>
      </c>
      <c r="D175" s="82">
        <v>0</v>
      </c>
      <c r="E175" s="82">
        <v>0</v>
      </c>
      <c r="F175" s="82">
        <v>130000</v>
      </c>
      <c r="G175" s="82">
        <v>0</v>
      </c>
      <c r="H175" s="82">
        <v>341050</v>
      </c>
      <c r="I175" s="82">
        <f>SUM('INGRESO X AREA'!$H175*0.21)</f>
        <v>71620.5</v>
      </c>
      <c r="J175" s="82">
        <f>SUM('INGRESO X AREA'!$H175:$I175)</f>
        <v>412670.5</v>
      </c>
    </row>
    <row r="176" spans="1:10" ht="15.75" hidden="1" customHeight="1" x14ac:dyDescent="0.25">
      <c r="A176" s="90">
        <v>45260</v>
      </c>
      <c r="B176" s="81" t="s">
        <v>3117</v>
      </c>
      <c r="C176" s="82">
        <v>1950</v>
      </c>
      <c r="D176" s="82">
        <v>0</v>
      </c>
      <c r="E176" s="82">
        <v>25000</v>
      </c>
      <c r="F176" s="82">
        <v>0</v>
      </c>
      <c r="G176" s="82">
        <v>0</v>
      </c>
      <c r="H176" s="82">
        <v>26950</v>
      </c>
      <c r="I176" s="82">
        <f>SUM('INGRESO X AREA'!$H176*0.21)</f>
        <v>5659.5</v>
      </c>
      <c r="J176" s="82">
        <f>SUM('INGRESO X AREA'!$H176:$I176)</f>
        <v>32609.5</v>
      </c>
    </row>
    <row r="177" spans="1:10" ht="15.75" hidden="1" customHeight="1" x14ac:dyDescent="0.25">
      <c r="A177" s="90">
        <v>45260</v>
      </c>
      <c r="B177" s="81" t="s">
        <v>6913</v>
      </c>
      <c r="C177" s="82">
        <v>228665</v>
      </c>
      <c r="D177" s="82">
        <v>720000</v>
      </c>
      <c r="E177" s="82">
        <v>1626880</v>
      </c>
      <c r="F177" s="82">
        <v>0</v>
      </c>
      <c r="G177" s="82">
        <v>0</v>
      </c>
      <c r="H177" s="82">
        <v>2575545</v>
      </c>
      <c r="I177" s="82">
        <f>SUM('INGRESO X AREA'!$H177*0.21)</f>
        <v>540864.44999999995</v>
      </c>
      <c r="J177" s="82">
        <f>SUM('INGRESO X AREA'!$H177:$I177)</f>
        <v>3116409.45</v>
      </c>
    </row>
    <row r="178" spans="1:10" ht="15.75" hidden="1" customHeight="1" x14ac:dyDescent="0.25">
      <c r="A178" s="90">
        <v>45291</v>
      </c>
      <c r="B178" s="81" t="s">
        <v>5141</v>
      </c>
      <c r="C178" s="82">
        <v>818415</v>
      </c>
      <c r="D178" s="82">
        <v>67557</v>
      </c>
      <c r="E178" s="82">
        <v>112000</v>
      </c>
      <c r="F178" s="82">
        <v>20000</v>
      </c>
      <c r="G178" s="82">
        <v>0</v>
      </c>
      <c r="H178" s="82">
        <v>1017972</v>
      </c>
      <c r="I178" s="82">
        <f>SUM('INGRESO X AREA'!$H178*0.21)</f>
        <v>213774.12</v>
      </c>
      <c r="J178" s="82">
        <f>SUM('INGRESO X AREA'!$H178:$I178)</f>
        <v>1231746.1200000001</v>
      </c>
    </row>
    <row r="179" spans="1:10" ht="15.75" hidden="1" customHeight="1" x14ac:dyDescent="0.25">
      <c r="A179" s="90">
        <v>45291</v>
      </c>
      <c r="B179" s="81" t="s">
        <v>6888</v>
      </c>
      <c r="C179" s="82">
        <v>610610</v>
      </c>
      <c r="D179" s="82">
        <v>0</v>
      </c>
      <c r="E179" s="82">
        <v>0</v>
      </c>
      <c r="F179" s="82">
        <v>10000</v>
      </c>
      <c r="G179" s="82">
        <v>0</v>
      </c>
      <c r="H179" s="82">
        <v>620610</v>
      </c>
      <c r="I179" s="82">
        <f>SUM('INGRESO X AREA'!$H179*0.21)</f>
        <v>130328.09999999999</v>
      </c>
      <c r="J179" s="82">
        <f>SUM('INGRESO X AREA'!$H179:$I179)</f>
        <v>750938.1</v>
      </c>
    </row>
    <row r="180" spans="1:10" ht="15.75" hidden="1" customHeight="1" x14ac:dyDescent="0.25">
      <c r="A180" s="90">
        <v>45291</v>
      </c>
      <c r="B180" s="81" t="s">
        <v>6890</v>
      </c>
      <c r="C180" s="82">
        <v>253695</v>
      </c>
      <c r="D180" s="82">
        <v>0</v>
      </c>
      <c r="E180" s="82">
        <v>0</v>
      </c>
      <c r="F180" s="82">
        <v>374000</v>
      </c>
      <c r="G180" s="82">
        <v>0</v>
      </c>
      <c r="H180" s="82">
        <v>627695</v>
      </c>
      <c r="I180" s="82">
        <f>SUM('INGRESO X AREA'!$H180*0.21)</f>
        <v>131815.94999999998</v>
      </c>
      <c r="J180" s="82">
        <f>SUM('INGRESO X AREA'!$H180:$I180)</f>
        <v>759510.95</v>
      </c>
    </row>
    <row r="181" spans="1:10" ht="15.75" hidden="1" customHeight="1" x14ac:dyDescent="0.25">
      <c r="A181" s="90">
        <v>45291</v>
      </c>
      <c r="B181" s="81" t="s">
        <v>5140</v>
      </c>
      <c r="C181" s="82">
        <v>129675</v>
      </c>
      <c r="D181" s="82">
        <v>0</v>
      </c>
      <c r="E181" s="82">
        <v>14000</v>
      </c>
      <c r="F181" s="82">
        <v>0</v>
      </c>
      <c r="G181" s="82">
        <v>0</v>
      </c>
      <c r="H181" s="82">
        <v>143675</v>
      </c>
      <c r="I181" s="82">
        <f>SUM('INGRESO X AREA'!$H181*0.21)</f>
        <v>30171.75</v>
      </c>
      <c r="J181" s="82">
        <f>SUM('INGRESO X AREA'!$H181:$I181)</f>
        <v>173846.75</v>
      </c>
    </row>
    <row r="182" spans="1:10" ht="15.75" hidden="1" customHeight="1" x14ac:dyDescent="0.25">
      <c r="A182" s="90">
        <v>45291</v>
      </c>
      <c r="B182" s="81" t="s">
        <v>6906</v>
      </c>
      <c r="C182" s="82">
        <v>261782</v>
      </c>
      <c r="D182" s="82">
        <v>0</v>
      </c>
      <c r="E182" s="82">
        <v>0</v>
      </c>
      <c r="F182" s="82">
        <v>1198500</v>
      </c>
      <c r="G182" s="82">
        <v>0</v>
      </c>
      <c r="H182" s="82">
        <v>1460282</v>
      </c>
      <c r="I182" s="82">
        <f>SUM('INGRESO X AREA'!$H182*0.21)</f>
        <v>306659.21999999997</v>
      </c>
      <c r="J182" s="82">
        <f>SUM('INGRESO X AREA'!$H182:$I182)</f>
        <v>1766941.22</v>
      </c>
    </row>
    <row r="183" spans="1:10" ht="15.75" hidden="1" customHeight="1" x14ac:dyDescent="0.25">
      <c r="A183" s="90">
        <v>45291</v>
      </c>
      <c r="B183" s="81" t="s">
        <v>6908</v>
      </c>
      <c r="C183" s="82">
        <v>169195</v>
      </c>
      <c r="D183" s="82">
        <v>0</v>
      </c>
      <c r="E183" s="82">
        <v>0</v>
      </c>
      <c r="F183" s="82">
        <v>250000</v>
      </c>
      <c r="G183" s="82">
        <v>0</v>
      </c>
      <c r="H183" s="82">
        <v>419195</v>
      </c>
      <c r="I183" s="82">
        <f>SUM('INGRESO X AREA'!$H183*0.21)</f>
        <v>88030.95</v>
      </c>
      <c r="J183" s="82">
        <f>SUM('INGRESO X AREA'!$H183:$I183)</f>
        <v>507225.95</v>
      </c>
    </row>
    <row r="184" spans="1:10" ht="15.75" hidden="1" customHeight="1" x14ac:dyDescent="0.25">
      <c r="A184" s="90">
        <v>45291</v>
      </c>
      <c r="B184" s="81" t="s">
        <v>6909</v>
      </c>
      <c r="C184" s="82">
        <v>27950</v>
      </c>
      <c r="D184" s="82">
        <v>67557</v>
      </c>
      <c r="E184" s="82">
        <v>287000</v>
      </c>
      <c r="F184" s="82">
        <v>262500</v>
      </c>
      <c r="G184" s="82">
        <v>0</v>
      </c>
      <c r="H184" s="82">
        <v>645007</v>
      </c>
      <c r="I184" s="82">
        <f>SUM('INGRESO X AREA'!$H184*0.21)</f>
        <v>135451.47</v>
      </c>
      <c r="J184" s="82">
        <f>SUM('INGRESO X AREA'!$H184:$I184)</f>
        <v>780458.47</v>
      </c>
    </row>
    <row r="185" spans="1:10" ht="15.75" hidden="1" customHeight="1" x14ac:dyDescent="0.25">
      <c r="A185" s="90">
        <v>45291</v>
      </c>
      <c r="B185" s="81" t="s">
        <v>6881</v>
      </c>
      <c r="C185" s="82">
        <v>3051563.125</v>
      </c>
      <c r="D185" s="82">
        <v>730224</v>
      </c>
      <c r="E185" s="82">
        <v>2540667</v>
      </c>
      <c r="F185" s="82">
        <v>1264885</v>
      </c>
      <c r="G185" s="82">
        <v>3341040</v>
      </c>
      <c r="H185" s="82">
        <v>10928379.125</v>
      </c>
      <c r="I185" s="82">
        <f>SUM('INGRESO X AREA'!$H185*0.21)</f>
        <v>2294959.61625</v>
      </c>
      <c r="J185" s="82">
        <f>SUM('INGRESO X AREA'!$H185:$I185)</f>
        <v>13223338.741250001</v>
      </c>
    </row>
    <row r="186" spans="1:10" ht="15.75" hidden="1" customHeight="1" x14ac:dyDescent="0.25">
      <c r="A186" s="90">
        <v>45291</v>
      </c>
      <c r="B186" s="81" t="s">
        <v>6904</v>
      </c>
      <c r="C186" s="82">
        <v>0</v>
      </c>
      <c r="D186" s="82">
        <v>67577</v>
      </c>
      <c r="E186" s="82">
        <v>0</v>
      </c>
      <c r="F186" s="82">
        <v>0</v>
      </c>
      <c r="G186" s="82">
        <v>237600</v>
      </c>
      <c r="H186" s="82">
        <v>305177</v>
      </c>
      <c r="I186" s="82">
        <f>SUM('INGRESO X AREA'!$H186*0.21)</f>
        <v>64087.17</v>
      </c>
      <c r="J186" s="82">
        <f>SUM('INGRESO X AREA'!$H186:$I186)</f>
        <v>369264.17</v>
      </c>
    </row>
    <row r="187" spans="1:10" ht="15.75" hidden="1" customHeight="1" x14ac:dyDescent="0.25">
      <c r="A187" s="90">
        <v>45291</v>
      </c>
      <c r="B187" s="81" t="s">
        <v>6893</v>
      </c>
      <c r="C187" s="82">
        <v>110240</v>
      </c>
      <c r="D187" s="82">
        <v>0</v>
      </c>
      <c r="E187" s="82">
        <v>0</v>
      </c>
      <c r="F187" s="82">
        <v>20000</v>
      </c>
      <c r="G187" s="82">
        <v>0</v>
      </c>
      <c r="H187" s="82">
        <v>130240</v>
      </c>
      <c r="I187" s="82">
        <f>SUM('INGRESO X AREA'!$H187*0.21)</f>
        <v>27350.399999999998</v>
      </c>
      <c r="J187" s="82">
        <f>SUM('INGRESO X AREA'!$H187:$I187)</f>
        <v>157590.39999999999</v>
      </c>
    </row>
    <row r="188" spans="1:10" ht="15.75" hidden="1" customHeight="1" x14ac:dyDescent="0.25">
      <c r="A188" s="90">
        <v>45291</v>
      </c>
      <c r="B188" s="81" t="s">
        <v>6884</v>
      </c>
      <c r="C188" s="82">
        <v>127270</v>
      </c>
      <c r="D188" s="82">
        <v>0</v>
      </c>
      <c r="E188" s="82">
        <v>0</v>
      </c>
      <c r="F188" s="82">
        <v>84256</v>
      </c>
      <c r="G188" s="82">
        <v>0</v>
      </c>
      <c r="H188" s="82">
        <v>211526</v>
      </c>
      <c r="I188" s="82">
        <f>SUM('INGRESO X AREA'!$H188*0.21)</f>
        <v>44420.46</v>
      </c>
      <c r="J188" s="82">
        <f>SUM('INGRESO X AREA'!$H188:$I188)</f>
        <v>255946.46</v>
      </c>
    </row>
    <row r="189" spans="1:10" ht="15.75" hidden="1" customHeight="1" x14ac:dyDescent="0.25">
      <c r="A189" s="90">
        <v>45291</v>
      </c>
      <c r="B189" s="81" t="s">
        <v>3982</v>
      </c>
      <c r="C189" s="82">
        <v>454350</v>
      </c>
      <c r="D189" s="82">
        <v>0</v>
      </c>
      <c r="E189" s="82">
        <v>0</v>
      </c>
      <c r="F189" s="82">
        <v>87750</v>
      </c>
      <c r="G189" s="82">
        <v>0</v>
      </c>
      <c r="H189" s="82">
        <v>542100</v>
      </c>
      <c r="I189" s="82">
        <f>SUM('INGRESO X AREA'!$H189*0.21)</f>
        <v>113841</v>
      </c>
      <c r="J189" s="82">
        <f>SUM('INGRESO X AREA'!$H189:$I189)</f>
        <v>655941</v>
      </c>
    </row>
    <row r="190" spans="1:10" ht="15.75" hidden="1" customHeight="1" x14ac:dyDescent="0.25">
      <c r="A190" s="90">
        <v>45291</v>
      </c>
      <c r="B190" s="81" t="s">
        <v>6900</v>
      </c>
      <c r="C190" s="82">
        <v>29640</v>
      </c>
      <c r="D190" s="82">
        <v>67557</v>
      </c>
      <c r="E190" s="82">
        <v>256505</v>
      </c>
      <c r="F190" s="82">
        <v>329000</v>
      </c>
      <c r="G190" s="82">
        <v>0</v>
      </c>
      <c r="H190" s="82">
        <v>682702</v>
      </c>
      <c r="I190" s="82">
        <f>SUM('INGRESO X AREA'!$H190*0.21)</f>
        <v>143367.41999999998</v>
      </c>
      <c r="J190" s="82">
        <f>SUM('INGRESO X AREA'!$H190:$I190)</f>
        <v>826069.41999999993</v>
      </c>
    </row>
    <row r="191" spans="1:10" ht="15.75" hidden="1" customHeight="1" x14ac:dyDescent="0.25">
      <c r="A191" s="90">
        <v>45291</v>
      </c>
      <c r="B191" s="81" t="s">
        <v>6903</v>
      </c>
      <c r="C191" s="82">
        <v>50700</v>
      </c>
      <c r="D191" s="82">
        <v>0</v>
      </c>
      <c r="E191" s="82">
        <v>0</v>
      </c>
      <c r="F191" s="82">
        <v>0</v>
      </c>
      <c r="G191" s="82">
        <v>0</v>
      </c>
      <c r="H191" s="82">
        <v>50700</v>
      </c>
      <c r="I191" s="82">
        <f>SUM('INGRESO X AREA'!$H191*0.21)</f>
        <v>10647</v>
      </c>
      <c r="J191" s="82">
        <f>SUM('INGRESO X AREA'!$H191:$I191)</f>
        <v>61347</v>
      </c>
    </row>
    <row r="192" spans="1:10" ht="15.75" hidden="1" customHeight="1" x14ac:dyDescent="0.25">
      <c r="A192" s="90">
        <v>45291</v>
      </c>
      <c r="B192" s="81" t="s">
        <v>6885</v>
      </c>
      <c r="C192" s="82">
        <v>642980</v>
      </c>
      <c r="D192" s="82">
        <v>67557</v>
      </c>
      <c r="E192" s="82">
        <v>242442.43</v>
      </c>
      <c r="F192" s="82">
        <v>169500</v>
      </c>
      <c r="G192" s="82">
        <v>0</v>
      </c>
      <c r="H192" s="82">
        <v>1122479.43</v>
      </c>
      <c r="I192" s="82">
        <f>SUM('INGRESO X AREA'!$H192*0.21)</f>
        <v>235720.68029999998</v>
      </c>
      <c r="J192" s="82">
        <f>SUM('INGRESO X AREA'!$H192:$I192)</f>
        <v>1358200.1102999998</v>
      </c>
    </row>
    <row r="193" spans="1:10" ht="15.75" hidden="1" customHeight="1" x14ac:dyDescent="0.25">
      <c r="A193" s="90">
        <v>45291</v>
      </c>
      <c r="B193" s="81" t="s">
        <v>6883</v>
      </c>
      <c r="C193" s="82">
        <v>66850</v>
      </c>
      <c r="D193" s="82">
        <v>0</v>
      </c>
      <c r="E193" s="82">
        <v>0</v>
      </c>
      <c r="F193" s="82">
        <v>170000</v>
      </c>
      <c r="G193" s="82">
        <v>0</v>
      </c>
      <c r="H193" s="82">
        <v>236850</v>
      </c>
      <c r="I193" s="82">
        <f>SUM('INGRESO X AREA'!$H193*0.21)</f>
        <v>49738.5</v>
      </c>
      <c r="J193" s="82">
        <f>SUM('INGRESO X AREA'!$H193:$I193)</f>
        <v>286588.5</v>
      </c>
    </row>
    <row r="194" spans="1:10" ht="15.75" hidden="1" customHeight="1" x14ac:dyDescent="0.25">
      <c r="A194" s="90">
        <v>45291</v>
      </c>
      <c r="B194" s="81" t="s">
        <v>3117</v>
      </c>
      <c r="C194" s="82">
        <v>4420</v>
      </c>
      <c r="D194" s="82">
        <v>0</v>
      </c>
      <c r="E194" s="82">
        <v>0</v>
      </c>
      <c r="F194" s="82">
        <v>138250</v>
      </c>
      <c r="G194" s="82">
        <v>0</v>
      </c>
      <c r="H194" s="82">
        <v>142670</v>
      </c>
      <c r="I194" s="82">
        <f>SUM('INGRESO X AREA'!$H194*0.21)</f>
        <v>29960.699999999997</v>
      </c>
      <c r="J194" s="82">
        <f>SUM('INGRESO X AREA'!$H194:$I194)</f>
        <v>172630.7</v>
      </c>
    </row>
    <row r="195" spans="1:10" ht="15.75" hidden="1" customHeight="1" x14ac:dyDescent="0.25">
      <c r="A195" s="90">
        <v>45291</v>
      </c>
      <c r="B195" s="81" t="s">
        <v>6913</v>
      </c>
      <c r="C195" s="82">
        <v>578261</v>
      </c>
      <c r="D195" s="82">
        <v>120000</v>
      </c>
      <c r="E195" s="82">
        <v>260000</v>
      </c>
      <c r="F195" s="82">
        <v>0</v>
      </c>
      <c r="G195" s="82">
        <v>0</v>
      </c>
      <c r="H195" s="82">
        <v>958261</v>
      </c>
      <c r="I195" s="82">
        <f>SUM('INGRESO X AREA'!$H195*0.21)</f>
        <v>201234.81</v>
      </c>
      <c r="J195" s="82">
        <f>SUM('INGRESO X AREA'!$H195:$I195)</f>
        <v>1159495.81</v>
      </c>
    </row>
    <row r="196" spans="1:10" ht="15.75" hidden="1" customHeight="1" x14ac:dyDescent="0.25">
      <c r="A196" s="90">
        <v>45322</v>
      </c>
      <c r="B196" s="81" t="s">
        <v>5141</v>
      </c>
      <c r="C196" s="82">
        <v>1566240</v>
      </c>
      <c r="D196" s="82">
        <v>0</v>
      </c>
      <c r="E196" s="82">
        <v>69000</v>
      </c>
      <c r="F196" s="82">
        <v>155000</v>
      </c>
      <c r="G196" s="82">
        <v>0</v>
      </c>
      <c r="H196" s="82">
        <v>1790240</v>
      </c>
      <c r="I196" s="82">
        <f>SUM('INGRESO X AREA'!$H196*0.21)</f>
        <v>375950.39999999997</v>
      </c>
      <c r="J196" s="82">
        <f>SUM('INGRESO X AREA'!$H196:$I196)</f>
        <v>2166190.4</v>
      </c>
    </row>
    <row r="197" spans="1:10" ht="15.75" hidden="1" customHeight="1" x14ac:dyDescent="0.25">
      <c r="A197" s="90">
        <v>45322</v>
      </c>
      <c r="B197" s="81" t="s">
        <v>6888</v>
      </c>
      <c r="C197" s="82">
        <v>1109880</v>
      </c>
      <c r="D197" s="82">
        <v>400395</v>
      </c>
      <c r="E197" s="82">
        <v>723019.54999999993</v>
      </c>
      <c r="F197" s="82">
        <v>248000</v>
      </c>
      <c r="G197" s="82">
        <v>0</v>
      </c>
      <c r="H197" s="82">
        <v>2481294.5499999998</v>
      </c>
      <c r="I197" s="82">
        <f>SUM('INGRESO X AREA'!$H197*0.21)</f>
        <v>521071.85549999995</v>
      </c>
      <c r="J197" s="82">
        <f>SUM('INGRESO X AREA'!$H197:$I197)</f>
        <v>3002366.4054999999</v>
      </c>
    </row>
    <row r="198" spans="1:10" ht="15.75" hidden="1" customHeight="1" x14ac:dyDescent="0.25">
      <c r="A198" s="90">
        <v>45322</v>
      </c>
      <c r="B198" s="81" t="s">
        <v>6890</v>
      </c>
      <c r="C198" s="82">
        <v>406560</v>
      </c>
      <c r="D198" s="82">
        <v>0</v>
      </c>
      <c r="E198" s="82">
        <v>0</v>
      </c>
      <c r="F198" s="82">
        <v>0</v>
      </c>
      <c r="G198" s="82">
        <v>0</v>
      </c>
      <c r="H198" s="82">
        <v>406560</v>
      </c>
      <c r="I198" s="82">
        <f>SUM('INGRESO X AREA'!$H198*0.21)</f>
        <v>85377.599999999991</v>
      </c>
      <c r="J198" s="82">
        <f>SUM('INGRESO X AREA'!$H198:$I198)</f>
        <v>491937.6</v>
      </c>
    </row>
    <row r="199" spans="1:10" ht="15.75" hidden="1" customHeight="1" x14ac:dyDescent="0.25">
      <c r="A199" s="90">
        <v>45322</v>
      </c>
      <c r="B199" s="81" t="s">
        <v>5140</v>
      </c>
      <c r="C199" s="82">
        <v>315000</v>
      </c>
      <c r="D199" s="82">
        <v>418376</v>
      </c>
      <c r="E199" s="82">
        <v>904918</v>
      </c>
      <c r="F199" s="82">
        <v>0</v>
      </c>
      <c r="G199" s="82">
        <v>0</v>
      </c>
      <c r="H199" s="82">
        <v>1638294</v>
      </c>
      <c r="I199" s="82">
        <f>SUM('INGRESO X AREA'!$H199*0.21)</f>
        <v>344041.74</v>
      </c>
      <c r="J199" s="82">
        <f>SUM('INGRESO X AREA'!$H199:$I199)</f>
        <v>1982335.74</v>
      </c>
    </row>
    <row r="200" spans="1:10" ht="15.75" hidden="1" customHeight="1" x14ac:dyDescent="0.25">
      <c r="A200" s="90">
        <v>45322</v>
      </c>
      <c r="B200" s="81" t="s">
        <v>6908</v>
      </c>
      <c r="C200" s="82">
        <v>284520</v>
      </c>
      <c r="D200" s="82">
        <v>373702</v>
      </c>
      <c r="E200" s="82">
        <v>1109452.98</v>
      </c>
      <c r="F200" s="82">
        <v>466500</v>
      </c>
      <c r="G200" s="82">
        <v>0</v>
      </c>
      <c r="H200" s="82">
        <v>2234174.98</v>
      </c>
      <c r="I200" s="82">
        <f>SUM('INGRESO X AREA'!$H200*0.21)</f>
        <v>469176.74579999998</v>
      </c>
      <c r="J200" s="82">
        <f>SUM('INGRESO X AREA'!$H200:$I200)</f>
        <v>2703351.7258000001</v>
      </c>
    </row>
    <row r="201" spans="1:10" ht="15.75" hidden="1" customHeight="1" x14ac:dyDescent="0.25">
      <c r="A201" s="90">
        <v>45322</v>
      </c>
      <c r="B201" s="81" t="s">
        <v>6909</v>
      </c>
      <c r="C201" s="82">
        <v>0</v>
      </c>
      <c r="D201" s="82">
        <v>0</v>
      </c>
      <c r="E201" s="82">
        <v>287629</v>
      </c>
      <c r="F201" s="82">
        <v>0</v>
      </c>
      <c r="G201" s="82">
        <v>0</v>
      </c>
      <c r="H201" s="82">
        <v>287629</v>
      </c>
      <c r="I201" s="82">
        <f>SUM('INGRESO X AREA'!$H201*0.21)</f>
        <v>60402.09</v>
      </c>
      <c r="J201" s="82">
        <f>SUM('INGRESO X AREA'!$H201:$I201)</f>
        <v>348031.08999999997</v>
      </c>
    </row>
    <row r="202" spans="1:10" ht="15.75" hidden="1" customHeight="1" x14ac:dyDescent="0.25">
      <c r="A202" s="90">
        <v>45322</v>
      </c>
      <c r="B202" s="81" t="s">
        <v>6910</v>
      </c>
      <c r="C202" s="82">
        <v>205716</v>
      </c>
      <c r="D202" s="82">
        <v>0</v>
      </c>
      <c r="E202" s="82">
        <v>0</v>
      </c>
      <c r="F202" s="82">
        <v>0</v>
      </c>
      <c r="G202" s="82">
        <v>0</v>
      </c>
      <c r="H202" s="82">
        <v>205716</v>
      </c>
      <c r="I202" s="82">
        <f>SUM('INGRESO X AREA'!$H202*0.21)</f>
        <v>43200.36</v>
      </c>
      <c r="J202" s="82">
        <f>SUM('INGRESO X AREA'!$H202:$I202)</f>
        <v>248916.36</v>
      </c>
    </row>
    <row r="203" spans="1:10" ht="15.75" hidden="1" customHeight="1" x14ac:dyDescent="0.25">
      <c r="A203" s="90">
        <v>45322</v>
      </c>
      <c r="B203" s="81" t="s">
        <v>6881</v>
      </c>
      <c r="C203" s="82">
        <v>5479560</v>
      </c>
      <c r="D203" s="82">
        <v>320316</v>
      </c>
      <c r="E203" s="82">
        <v>711008.15</v>
      </c>
      <c r="F203" s="82">
        <v>1763813.5937500026</v>
      </c>
      <c r="G203" s="82">
        <v>3942960</v>
      </c>
      <c r="H203" s="82">
        <v>12217657.743750002</v>
      </c>
      <c r="I203" s="82">
        <f>SUM('INGRESO X AREA'!$H203*0.21)</f>
        <v>2565708.1261875005</v>
      </c>
      <c r="J203" s="82">
        <f>SUM('INGRESO X AREA'!$H203:$I203)</f>
        <v>14783365.869937502</v>
      </c>
    </row>
    <row r="204" spans="1:10" ht="15.75" hidden="1" customHeight="1" x14ac:dyDescent="0.25">
      <c r="A204" s="90">
        <v>45322</v>
      </c>
      <c r="B204" s="81" t="s">
        <v>6911</v>
      </c>
      <c r="C204" s="82">
        <v>439080</v>
      </c>
      <c r="D204" s="82">
        <v>0</v>
      </c>
      <c r="E204" s="82">
        <v>0</v>
      </c>
      <c r="F204" s="82">
        <v>0</v>
      </c>
      <c r="G204" s="82">
        <v>0</v>
      </c>
      <c r="H204" s="82">
        <v>439080</v>
      </c>
      <c r="I204" s="82">
        <f>SUM('INGRESO X AREA'!$H204*0.21)</f>
        <v>92206.8</v>
      </c>
      <c r="J204" s="82">
        <f>SUM('INGRESO X AREA'!$H204:$I204)</f>
        <v>531286.80000000005</v>
      </c>
    </row>
    <row r="205" spans="1:10" ht="15.75" hidden="1" customHeight="1" x14ac:dyDescent="0.25">
      <c r="A205" s="90">
        <v>45322</v>
      </c>
      <c r="B205" s="81" t="s">
        <v>6893</v>
      </c>
      <c r="C205" s="82">
        <v>203520</v>
      </c>
      <c r="D205" s="82">
        <v>0</v>
      </c>
      <c r="E205" s="82">
        <v>0</v>
      </c>
      <c r="F205" s="82">
        <v>0</v>
      </c>
      <c r="G205" s="82">
        <v>0</v>
      </c>
      <c r="H205" s="82">
        <v>203520</v>
      </c>
      <c r="I205" s="82">
        <f>SUM('INGRESO X AREA'!$H205*0.21)</f>
        <v>42739.199999999997</v>
      </c>
      <c r="J205" s="82">
        <f>SUM('INGRESO X AREA'!$H205:$I205)</f>
        <v>246259.20000000001</v>
      </c>
    </row>
    <row r="206" spans="1:10" ht="15.75" hidden="1" customHeight="1" x14ac:dyDescent="0.25">
      <c r="A206" s="90">
        <v>45322</v>
      </c>
      <c r="B206" s="81" t="s">
        <v>6884</v>
      </c>
      <c r="C206" s="82">
        <v>226920</v>
      </c>
      <c r="D206" s="82">
        <v>0</v>
      </c>
      <c r="E206" s="82">
        <v>0</v>
      </c>
      <c r="F206" s="82">
        <v>0</v>
      </c>
      <c r="G206" s="82">
        <v>0</v>
      </c>
      <c r="H206" s="82">
        <v>226920</v>
      </c>
      <c r="I206" s="82">
        <f>SUM('INGRESO X AREA'!$H206*0.21)</f>
        <v>47653.2</v>
      </c>
      <c r="J206" s="82">
        <f>SUM('INGRESO X AREA'!$H206:$I206)</f>
        <v>274573.2</v>
      </c>
    </row>
    <row r="207" spans="1:10" ht="15.75" hidden="1" customHeight="1" x14ac:dyDescent="0.25">
      <c r="A207" s="90">
        <v>45322</v>
      </c>
      <c r="B207" s="81" t="s">
        <v>3982</v>
      </c>
      <c r="C207" s="82">
        <v>1455720</v>
      </c>
      <c r="D207" s="82">
        <v>80079</v>
      </c>
      <c r="E207" s="82">
        <v>108000</v>
      </c>
      <c r="F207" s="82">
        <v>0</v>
      </c>
      <c r="G207" s="82">
        <v>1932000</v>
      </c>
      <c r="H207" s="82">
        <v>3575799</v>
      </c>
      <c r="I207" s="82">
        <f>SUM('INGRESO X AREA'!$H207*0.21)</f>
        <v>750917.78999999992</v>
      </c>
      <c r="J207" s="82">
        <f>SUM('INGRESO X AREA'!$H207:$I207)</f>
        <v>4326716.79</v>
      </c>
    </row>
    <row r="208" spans="1:10" ht="15.75" hidden="1" customHeight="1" x14ac:dyDescent="0.25">
      <c r="A208" s="90">
        <v>45322</v>
      </c>
      <c r="B208" s="81" t="s">
        <v>6903</v>
      </c>
      <c r="C208" s="82">
        <v>93600</v>
      </c>
      <c r="D208" s="82">
        <v>0</v>
      </c>
      <c r="E208" s="82">
        <v>0</v>
      </c>
      <c r="F208" s="82">
        <v>0</v>
      </c>
      <c r="G208" s="82">
        <v>0</v>
      </c>
      <c r="H208" s="82">
        <v>93600</v>
      </c>
      <c r="I208" s="82">
        <f>SUM('INGRESO X AREA'!$H208*0.21)</f>
        <v>19656</v>
      </c>
      <c r="J208" s="82">
        <f>SUM('INGRESO X AREA'!$H208:$I208)</f>
        <v>113256</v>
      </c>
    </row>
    <row r="209" spans="1:10" ht="15.75" hidden="1" customHeight="1" x14ac:dyDescent="0.25">
      <c r="A209" s="90">
        <v>45322</v>
      </c>
      <c r="B209" s="81" t="s">
        <v>6885</v>
      </c>
      <c r="C209" s="82">
        <v>1276680</v>
      </c>
      <c r="D209" s="82">
        <v>106772</v>
      </c>
      <c r="E209" s="82">
        <v>378359.10000000003</v>
      </c>
      <c r="F209" s="82">
        <v>0</v>
      </c>
      <c r="G209" s="82">
        <v>0</v>
      </c>
      <c r="H209" s="82">
        <v>1761811.1</v>
      </c>
      <c r="I209" s="82">
        <f>SUM('INGRESO X AREA'!$H209*0.21)</f>
        <v>369980.33100000001</v>
      </c>
      <c r="J209" s="82">
        <f>SUM('INGRESO X AREA'!$H209:$I209)</f>
        <v>2131791.4309999999</v>
      </c>
    </row>
    <row r="210" spans="1:10" ht="15.75" hidden="1" customHeight="1" x14ac:dyDescent="0.25">
      <c r="A210" s="90">
        <v>45322</v>
      </c>
      <c r="B210" s="81" t="s">
        <v>6913</v>
      </c>
      <c r="C210" s="82">
        <v>1103625</v>
      </c>
      <c r="D210" s="82">
        <v>182495</v>
      </c>
      <c r="E210" s="82">
        <v>469111.89999999997</v>
      </c>
      <c r="F210" s="82">
        <v>160000</v>
      </c>
      <c r="G210" s="82">
        <v>0</v>
      </c>
      <c r="H210" s="82">
        <f t="shared" ref="H210:H225" si="0">SUM(C210,D210,E210,F210,G210)</f>
        <v>1915231.9</v>
      </c>
      <c r="I210" s="82">
        <f>SUM('INGRESO X AREA'!$H210*0.21)</f>
        <v>402198.69899999996</v>
      </c>
      <c r="J210" s="82">
        <f>SUM('INGRESO X AREA'!$H210:$I210)</f>
        <v>2317430.5989999999</v>
      </c>
    </row>
    <row r="211" spans="1:10" ht="15.75" hidden="1" customHeight="1" x14ac:dyDescent="0.25">
      <c r="A211" s="90">
        <v>45351</v>
      </c>
      <c r="B211" s="81" t="s">
        <v>5141</v>
      </c>
      <c r="C211" s="82">
        <v>1341720</v>
      </c>
      <c r="D211" s="82">
        <v>0</v>
      </c>
      <c r="E211" s="82">
        <v>0</v>
      </c>
      <c r="F211" s="82">
        <v>544500</v>
      </c>
      <c r="G211" s="82">
        <v>0</v>
      </c>
      <c r="H211" s="82">
        <f t="shared" si="0"/>
        <v>1886220</v>
      </c>
      <c r="I211" s="82">
        <f>SUM('INGRESO X AREA'!$H211*0.21)</f>
        <v>396106.2</v>
      </c>
      <c r="J211" s="82">
        <f>SUM('INGRESO X AREA'!$H211:$I211)</f>
        <v>2282326.2000000002</v>
      </c>
    </row>
    <row r="212" spans="1:10" ht="15.75" hidden="1" customHeight="1" x14ac:dyDescent="0.25">
      <c r="A212" s="90">
        <v>45351</v>
      </c>
      <c r="B212" s="81" t="s">
        <v>6888</v>
      </c>
      <c r="C212" s="82">
        <v>1176960</v>
      </c>
      <c r="D212" s="82">
        <v>0</v>
      </c>
      <c r="E212" s="82">
        <v>0</v>
      </c>
      <c r="F212" s="82">
        <v>528000</v>
      </c>
      <c r="G212" s="82">
        <v>0</v>
      </c>
      <c r="H212" s="82">
        <f t="shared" si="0"/>
        <v>1704960</v>
      </c>
      <c r="I212" s="82">
        <f>SUM('INGRESO X AREA'!$H212*0.21)</f>
        <v>358041.59999999998</v>
      </c>
      <c r="J212" s="82">
        <f>SUM('INGRESO X AREA'!$H212:$I212)</f>
        <v>2063001.6000000001</v>
      </c>
    </row>
    <row r="213" spans="1:10" ht="15.75" hidden="1" customHeight="1" x14ac:dyDescent="0.25">
      <c r="A213" s="90">
        <v>45351</v>
      </c>
      <c r="B213" s="81" t="s">
        <v>6890</v>
      </c>
      <c r="C213" s="82">
        <v>375840</v>
      </c>
      <c r="D213" s="82">
        <v>0</v>
      </c>
      <c r="E213" s="82">
        <v>0</v>
      </c>
      <c r="F213" s="82">
        <v>0</v>
      </c>
      <c r="G213" s="82">
        <v>0</v>
      </c>
      <c r="H213" s="82">
        <f t="shared" si="0"/>
        <v>375840</v>
      </c>
      <c r="I213" s="82">
        <f>SUM('INGRESO X AREA'!$H213*0.21)</f>
        <v>78926.399999999994</v>
      </c>
      <c r="J213" s="82">
        <f>SUM('INGRESO X AREA'!$H213:$I213)</f>
        <v>454766.4</v>
      </c>
    </row>
    <row r="214" spans="1:10" ht="15.75" hidden="1" customHeight="1" x14ac:dyDescent="0.25">
      <c r="A214" s="90">
        <v>45351</v>
      </c>
      <c r="B214" s="81" t="s">
        <v>5140</v>
      </c>
      <c r="C214" s="82">
        <v>511560</v>
      </c>
      <c r="D214" s="82">
        <v>0</v>
      </c>
      <c r="E214" s="82">
        <v>0</v>
      </c>
      <c r="F214" s="82">
        <v>0</v>
      </c>
      <c r="G214" s="82">
        <v>0</v>
      </c>
      <c r="H214" s="82">
        <f t="shared" si="0"/>
        <v>511560</v>
      </c>
      <c r="I214" s="82">
        <f>SUM('INGRESO X AREA'!$H214*0.21)</f>
        <v>107427.59999999999</v>
      </c>
      <c r="J214" s="82">
        <f>SUM('INGRESO X AREA'!$H214:$I214)</f>
        <v>618987.6</v>
      </c>
    </row>
    <row r="215" spans="1:10" ht="15.75" hidden="1" customHeight="1" x14ac:dyDescent="0.25">
      <c r="A215" s="90">
        <v>45351</v>
      </c>
      <c r="B215" s="81" t="s">
        <v>6906</v>
      </c>
      <c r="C215" s="82">
        <v>32280</v>
      </c>
      <c r="D215" s="82">
        <v>747405.26</v>
      </c>
      <c r="E215" s="82">
        <v>2876063</v>
      </c>
      <c r="F215" s="82"/>
      <c r="G215" s="82">
        <v>3776256</v>
      </c>
      <c r="H215" s="82">
        <f t="shared" si="0"/>
        <v>7432004.2599999998</v>
      </c>
      <c r="I215" s="82">
        <f>SUM('INGRESO X AREA'!$H215*0.21)</f>
        <v>1560720.8946</v>
      </c>
      <c r="J215" s="82">
        <f>SUM('INGRESO X AREA'!$H215:$I215)</f>
        <v>8992725.1546</v>
      </c>
    </row>
    <row r="216" spans="1:10" ht="15.75" hidden="1" customHeight="1" x14ac:dyDescent="0.25">
      <c r="A216" s="90">
        <v>45351</v>
      </c>
      <c r="B216" s="81" t="s">
        <v>6908</v>
      </c>
      <c r="C216" s="82">
        <v>184400</v>
      </c>
      <c r="D216" s="82">
        <v>0</v>
      </c>
      <c r="E216" s="82">
        <v>0</v>
      </c>
      <c r="F216" s="82">
        <v>0</v>
      </c>
      <c r="G216" s="82">
        <v>0</v>
      </c>
      <c r="H216" s="82">
        <f t="shared" si="0"/>
        <v>184400</v>
      </c>
      <c r="I216" s="82">
        <f>SUM('INGRESO X AREA'!$H216*0.21)</f>
        <v>38724</v>
      </c>
      <c r="J216" s="82">
        <f>SUM('INGRESO X AREA'!$H216:$I216)</f>
        <v>223124</v>
      </c>
    </row>
    <row r="217" spans="1:10" ht="15.75" hidden="1" customHeight="1" x14ac:dyDescent="0.25">
      <c r="A217" s="90">
        <v>45351</v>
      </c>
      <c r="B217" s="81" t="s">
        <v>6881</v>
      </c>
      <c r="C217" s="82">
        <v>6370440</v>
      </c>
      <c r="D217" s="82">
        <v>332180</v>
      </c>
      <c r="E217" s="82">
        <v>1125134</v>
      </c>
      <c r="F217" s="82">
        <v>1490867.2187500019</v>
      </c>
      <c r="G217" s="82">
        <v>1769850</v>
      </c>
      <c r="H217" s="82">
        <f t="shared" si="0"/>
        <v>11088471.218750002</v>
      </c>
      <c r="I217" s="82">
        <f>SUM('INGRESO X AREA'!$H217*0.21)</f>
        <v>2328578.9559375001</v>
      </c>
      <c r="J217" s="82">
        <f>SUM('INGRESO X AREA'!$H217:$I217)</f>
        <v>13417050.174687501</v>
      </c>
    </row>
    <row r="218" spans="1:10" ht="15.75" hidden="1" customHeight="1" x14ac:dyDescent="0.25">
      <c r="A218" s="90">
        <v>45351</v>
      </c>
      <c r="B218" s="81" t="s">
        <v>6893</v>
      </c>
      <c r="C218" s="82">
        <v>160080</v>
      </c>
      <c r="D218" s="82">
        <v>0</v>
      </c>
      <c r="E218" s="82">
        <v>0</v>
      </c>
      <c r="F218" s="82">
        <v>0</v>
      </c>
      <c r="G218" s="82">
        <v>0</v>
      </c>
      <c r="H218" s="82">
        <f t="shared" si="0"/>
        <v>160080</v>
      </c>
      <c r="I218" s="82">
        <f>SUM('INGRESO X AREA'!$H218*0.21)</f>
        <v>33616.799999999996</v>
      </c>
      <c r="J218" s="82">
        <f>SUM('INGRESO X AREA'!$H218:$I218)</f>
        <v>193696.8</v>
      </c>
    </row>
    <row r="219" spans="1:10" ht="15.75" hidden="1" customHeight="1" x14ac:dyDescent="0.25">
      <c r="A219" s="90">
        <v>45351</v>
      </c>
      <c r="B219" s="81" t="s">
        <v>6884</v>
      </c>
      <c r="C219" s="82">
        <v>204000</v>
      </c>
      <c r="D219" s="82">
        <v>0</v>
      </c>
      <c r="E219" s="82">
        <v>0</v>
      </c>
      <c r="F219" s="82">
        <v>110000</v>
      </c>
      <c r="G219" s="82">
        <v>0</v>
      </c>
      <c r="H219" s="82">
        <f t="shared" si="0"/>
        <v>314000</v>
      </c>
      <c r="I219" s="82">
        <f>SUM('INGRESO X AREA'!$H219*0.21)</f>
        <v>65940</v>
      </c>
      <c r="J219" s="82">
        <f>SUM('INGRESO X AREA'!$H219:$I219)</f>
        <v>379940</v>
      </c>
    </row>
    <row r="220" spans="1:10" ht="15.75" hidden="1" customHeight="1" x14ac:dyDescent="0.25">
      <c r="A220" s="90">
        <v>45351</v>
      </c>
      <c r="B220" s="81" t="s">
        <v>3982</v>
      </c>
      <c r="C220" s="82">
        <v>1392720</v>
      </c>
      <c r="D220" s="82">
        <v>160158</v>
      </c>
      <c r="E220" s="82">
        <v>240480</v>
      </c>
      <c r="F220" s="82">
        <v>455000</v>
      </c>
      <c r="G220" s="82">
        <v>2205000</v>
      </c>
      <c r="H220" s="82">
        <f t="shared" si="0"/>
        <v>4453358</v>
      </c>
      <c r="I220" s="82">
        <f>SUM('INGRESO X AREA'!$H220*0.21)</f>
        <v>935205.17999999993</v>
      </c>
      <c r="J220" s="82">
        <f>SUM('INGRESO X AREA'!$H220:$I220)</f>
        <v>5388563.1799999997</v>
      </c>
    </row>
    <row r="221" spans="1:10" ht="15.75" hidden="1" customHeight="1" x14ac:dyDescent="0.25">
      <c r="A221" s="90">
        <v>45351</v>
      </c>
      <c r="B221" s="81" t="s">
        <v>6903</v>
      </c>
      <c r="C221" s="82">
        <v>90480</v>
      </c>
      <c r="D221" s="82">
        <v>0</v>
      </c>
      <c r="E221" s="82">
        <v>0</v>
      </c>
      <c r="F221" s="82">
        <v>0</v>
      </c>
      <c r="G221" s="82">
        <v>0</v>
      </c>
      <c r="H221" s="82">
        <f t="shared" si="0"/>
        <v>90480</v>
      </c>
      <c r="I221" s="82">
        <f>SUM('INGRESO X AREA'!$H221*0.21)</f>
        <v>19000.8</v>
      </c>
      <c r="J221" s="82">
        <f>SUM('INGRESO X AREA'!$H221:$I221)</f>
        <v>109480.8</v>
      </c>
    </row>
    <row r="222" spans="1:10" ht="15.75" hidden="1" customHeight="1" x14ac:dyDescent="0.25">
      <c r="A222" s="90">
        <v>45351</v>
      </c>
      <c r="B222" s="81" t="s">
        <v>6885</v>
      </c>
      <c r="C222" s="82">
        <v>1221720</v>
      </c>
      <c r="D222" s="82">
        <v>0</v>
      </c>
      <c r="E222" s="82">
        <v>0</v>
      </c>
      <c r="F222" s="82">
        <v>105000</v>
      </c>
      <c r="G222" s="82">
        <v>0</v>
      </c>
      <c r="H222" s="82">
        <f t="shared" si="0"/>
        <v>1326720</v>
      </c>
      <c r="I222" s="82">
        <f>SUM('INGRESO X AREA'!$H222*0.21)</f>
        <v>278611.20000000001</v>
      </c>
      <c r="J222" s="82">
        <f>SUM('INGRESO X AREA'!$H222:$I222)</f>
        <v>1605331.2</v>
      </c>
    </row>
    <row r="223" spans="1:10" ht="15.75" hidden="1" customHeight="1" x14ac:dyDescent="0.25">
      <c r="A223" s="90">
        <v>45351</v>
      </c>
      <c r="B223" s="81" t="s">
        <v>3117</v>
      </c>
      <c r="C223" s="82">
        <v>77880</v>
      </c>
      <c r="D223" s="82">
        <v>0</v>
      </c>
      <c r="E223" s="82">
        <v>0</v>
      </c>
      <c r="F223" s="82">
        <v>105000</v>
      </c>
      <c r="G223" s="82">
        <v>453300</v>
      </c>
      <c r="H223" s="82">
        <f t="shared" si="0"/>
        <v>636180</v>
      </c>
      <c r="I223" s="82">
        <f>SUM('INGRESO X AREA'!$H223*0.21)</f>
        <v>133597.79999999999</v>
      </c>
      <c r="J223" s="82">
        <f>SUM('INGRESO X AREA'!$H223:$I223)</f>
        <v>769777.8</v>
      </c>
    </row>
    <row r="224" spans="1:10" ht="15.75" hidden="1" customHeight="1" x14ac:dyDescent="0.25">
      <c r="A224" s="90">
        <v>45351</v>
      </c>
      <c r="B224" s="81" t="s">
        <v>6913</v>
      </c>
      <c r="C224" s="82">
        <v>1056915</v>
      </c>
      <c r="D224" s="82">
        <v>0</v>
      </c>
      <c r="E224" s="82">
        <v>0</v>
      </c>
      <c r="F224" s="82">
        <v>640000</v>
      </c>
      <c r="G224" s="82">
        <v>0</v>
      </c>
      <c r="H224" s="82">
        <f t="shared" si="0"/>
        <v>1696915</v>
      </c>
      <c r="I224" s="82">
        <f>SUM('INGRESO X AREA'!$H224*0.21)</f>
        <v>356352.14999999997</v>
      </c>
      <c r="J224" s="82">
        <f>SUM('INGRESO X AREA'!$H224:$I224)</f>
        <v>2053267.15</v>
      </c>
    </row>
    <row r="225" spans="1:10" ht="15.75" hidden="1" customHeight="1" x14ac:dyDescent="0.25">
      <c r="A225" s="90">
        <v>45351</v>
      </c>
      <c r="B225" s="81" t="s">
        <v>6914</v>
      </c>
      <c r="C225" s="82">
        <v>26400</v>
      </c>
      <c r="D225" s="82">
        <v>106772</v>
      </c>
      <c r="E225" s="82">
        <v>453764</v>
      </c>
      <c r="F225" s="82">
        <v>358145.38124999998</v>
      </c>
      <c r="G225" s="82">
        <v>0</v>
      </c>
      <c r="H225" s="82">
        <f t="shared" si="0"/>
        <v>945081.38124999998</v>
      </c>
      <c r="I225" s="82">
        <f>SUM('INGRESO X AREA'!$H225*0.21)</f>
        <v>198467.09006249998</v>
      </c>
      <c r="J225" s="82">
        <f>SUM('INGRESO X AREA'!$H225:$I225)</f>
        <v>1143548.4713125001</v>
      </c>
    </row>
    <row r="226" spans="1:10" ht="15.75" hidden="1" customHeight="1" x14ac:dyDescent="0.25">
      <c r="A226" s="90">
        <v>45351</v>
      </c>
      <c r="B226" s="81" t="s">
        <v>6911</v>
      </c>
      <c r="C226" s="82">
        <v>406560</v>
      </c>
      <c r="D226" s="82">
        <v>0</v>
      </c>
      <c r="E226" s="82">
        <v>0</v>
      </c>
      <c r="F226" s="82">
        <v>0</v>
      </c>
      <c r="G226" s="82">
        <v>0</v>
      </c>
      <c r="H226" s="82">
        <f>SUM('INGRESO X AREA'!$C226:$G226)</f>
        <v>406560</v>
      </c>
      <c r="I226" s="82">
        <f>SUM('INGRESO X AREA'!$H226*0.21)</f>
        <v>85377.599999999991</v>
      </c>
      <c r="J226" s="82">
        <f>SUM('INGRESO X AREA'!$H226:$I226)</f>
        <v>491937.6</v>
      </c>
    </row>
    <row r="227" spans="1:10" ht="15.75" customHeight="1" x14ac:dyDescent="0.25">
      <c r="A227" s="90">
        <v>45382</v>
      </c>
      <c r="B227" s="81" t="s">
        <v>5141</v>
      </c>
      <c r="C227" s="82">
        <v>1274520</v>
      </c>
      <c r="D227" s="82">
        <v>138803</v>
      </c>
      <c r="E227" s="82">
        <v>72000</v>
      </c>
      <c r="F227" s="82">
        <v>508000</v>
      </c>
      <c r="G227" s="82">
        <v>0</v>
      </c>
      <c r="H227" s="82">
        <f>SUM('INGRESO X AREA'!$C227:$G227)</f>
        <v>1993323</v>
      </c>
      <c r="I227" s="82">
        <f>SUM('INGRESO X AREA'!$H227*0.21)</f>
        <v>418597.82999999996</v>
      </c>
      <c r="J227" s="82">
        <f>SUM('INGRESO X AREA'!$H227:$I227)</f>
        <v>2411920.83</v>
      </c>
    </row>
    <row r="228" spans="1:10" ht="15.75" customHeight="1" x14ac:dyDescent="0.25">
      <c r="A228" s="90">
        <v>45382</v>
      </c>
      <c r="B228" s="81" t="s">
        <v>6888</v>
      </c>
      <c r="C228" s="82">
        <v>1233840</v>
      </c>
      <c r="D228" s="82">
        <v>0</v>
      </c>
      <c r="E228" s="82">
        <v>0</v>
      </c>
      <c r="F228" s="82">
        <v>228000</v>
      </c>
      <c r="G228" s="82">
        <v>0</v>
      </c>
      <c r="H228" s="82">
        <f>SUM('INGRESO X AREA'!$C228:$G228)</f>
        <v>1461840</v>
      </c>
      <c r="I228" s="82">
        <f>SUM('INGRESO X AREA'!$H228*0.21)</f>
        <v>306986.39999999997</v>
      </c>
      <c r="J228" s="82">
        <f>SUM('INGRESO X AREA'!$H228:$I228)</f>
        <v>1768826.4</v>
      </c>
    </row>
    <row r="229" spans="1:10" ht="15.75" customHeight="1" x14ac:dyDescent="0.25">
      <c r="A229" s="90">
        <v>45382</v>
      </c>
      <c r="B229" s="81" t="s">
        <v>6890</v>
      </c>
      <c r="C229" s="82">
        <v>401760</v>
      </c>
      <c r="D229" s="82">
        <v>0</v>
      </c>
      <c r="E229" s="82">
        <v>0</v>
      </c>
      <c r="F229" s="82">
        <v>0</v>
      </c>
      <c r="G229" s="82">
        <v>0</v>
      </c>
      <c r="H229" s="82">
        <f>SUM('INGRESO X AREA'!$C229:$G229)</f>
        <v>401760</v>
      </c>
      <c r="I229" s="82">
        <f>SUM('INGRESO X AREA'!$H229*0.21)</f>
        <v>84369.599999999991</v>
      </c>
      <c r="J229" s="82">
        <f>SUM('INGRESO X AREA'!$H229:$I229)</f>
        <v>486129.6</v>
      </c>
    </row>
    <row r="230" spans="1:10" ht="15.75" customHeight="1" x14ac:dyDescent="0.25">
      <c r="A230" s="90">
        <v>45382</v>
      </c>
      <c r="B230" s="81" t="s">
        <v>5140</v>
      </c>
      <c r="C230" s="82">
        <v>520800</v>
      </c>
      <c r="D230" s="82">
        <v>0</v>
      </c>
      <c r="E230" s="82">
        <v>0</v>
      </c>
      <c r="F230" s="82">
        <v>0</v>
      </c>
      <c r="G230" s="82">
        <v>0</v>
      </c>
      <c r="H230" s="82">
        <f>SUM('INGRESO X AREA'!$C230:$G230)</f>
        <v>520800</v>
      </c>
      <c r="I230" s="82">
        <f>SUM('INGRESO X AREA'!$H230*0.21)</f>
        <v>109368</v>
      </c>
      <c r="J230" s="82">
        <f>SUM('INGRESO X AREA'!$H230:$I230)</f>
        <v>630168</v>
      </c>
    </row>
    <row r="231" spans="1:10" ht="15.75" customHeight="1" x14ac:dyDescent="0.25">
      <c r="A231" s="90">
        <v>45382</v>
      </c>
      <c r="B231" s="81" t="s">
        <v>6906</v>
      </c>
      <c r="C231" s="82">
        <v>1000680</v>
      </c>
      <c r="D231" s="82">
        <v>0</v>
      </c>
      <c r="E231" s="82">
        <v>0</v>
      </c>
      <c r="F231" s="82">
        <v>0</v>
      </c>
      <c r="G231" s="82">
        <v>0</v>
      </c>
      <c r="H231" s="82">
        <f>SUM('INGRESO X AREA'!$C231:$G231)</f>
        <v>1000680</v>
      </c>
      <c r="I231" s="82">
        <f>SUM('INGRESO X AREA'!$H231*0.21)</f>
        <v>210142.8</v>
      </c>
      <c r="J231" s="82">
        <f>SUM('INGRESO X AREA'!$H231:$I231)</f>
        <v>1210822.8</v>
      </c>
    </row>
    <row r="232" spans="1:10" ht="15.75" customHeight="1" x14ac:dyDescent="0.25">
      <c r="A232" s="90">
        <v>45382</v>
      </c>
      <c r="B232" s="81" t="s">
        <v>6908</v>
      </c>
      <c r="C232" s="82">
        <v>79080</v>
      </c>
      <c r="D232" s="82">
        <v>0</v>
      </c>
      <c r="E232" s="82">
        <v>0</v>
      </c>
      <c r="F232" s="82">
        <v>300000</v>
      </c>
      <c r="G232" s="82">
        <v>0</v>
      </c>
      <c r="H232" s="82">
        <f>SUM('INGRESO X AREA'!$C232:$G232)</f>
        <v>379080</v>
      </c>
      <c r="I232" s="82">
        <f>SUM('INGRESO X AREA'!$H232*0.21)</f>
        <v>79606.8</v>
      </c>
      <c r="J232" s="82">
        <f>SUM('INGRESO X AREA'!$H232:$I232)</f>
        <v>458686.8</v>
      </c>
    </row>
    <row r="233" spans="1:10" ht="15.75" customHeight="1" x14ac:dyDescent="0.25">
      <c r="A233" s="90">
        <v>45382</v>
      </c>
      <c r="B233" s="81" t="s">
        <v>6881</v>
      </c>
      <c r="C233" s="82">
        <v>1515720</v>
      </c>
      <c r="D233" s="82">
        <v>65249.999999999993</v>
      </c>
      <c r="E233" s="82">
        <v>232220.4</v>
      </c>
      <c r="F233" s="82">
        <v>1971089.2625000032</v>
      </c>
      <c r="G233" s="82">
        <v>0</v>
      </c>
      <c r="H233" s="82">
        <f>SUM('INGRESO X AREA'!$C233:$G233)</f>
        <v>3784279.6625000034</v>
      </c>
      <c r="I233" s="82">
        <f>SUM('INGRESO X AREA'!$H233*0.21)</f>
        <v>794698.72912500065</v>
      </c>
      <c r="J233" s="82">
        <f>SUM('INGRESO X AREA'!$H233:$I233)</f>
        <v>4578978.3916250039</v>
      </c>
    </row>
    <row r="234" spans="1:10" ht="15.75" customHeight="1" x14ac:dyDescent="0.25">
      <c r="A234" s="90">
        <v>45382</v>
      </c>
      <c r="B234" s="81" t="s">
        <v>6893</v>
      </c>
      <c r="C234" s="82">
        <v>165600</v>
      </c>
      <c r="D234" s="82">
        <v>0</v>
      </c>
      <c r="E234" s="82">
        <v>0</v>
      </c>
      <c r="F234" s="82"/>
      <c r="G234" s="82">
        <v>0</v>
      </c>
      <c r="H234" s="82">
        <f>SUM('INGRESO X AREA'!$C234:$G234)</f>
        <v>165600</v>
      </c>
      <c r="I234" s="82">
        <f>SUM('INGRESO X AREA'!$H234*0.21)</f>
        <v>34776</v>
      </c>
      <c r="J234" s="82">
        <f>SUM('INGRESO X AREA'!$H234:$I234)</f>
        <v>200376</v>
      </c>
    </row>
    <row r="235" spans="1:10" ht="15.75" customHeight="1" x14ac:dyDescent="0.25">
      <c r="A235" s="90">
        <v>45382</v>
      </c>
      <c r="B235" s="81" t="s">
        <v>6884</v>
      </c>
      <c r="C235" s="82">
        <v>192960</v>
      </c>
      <c r="D235" s="82">
        <v>0</v>
      </c>
      <c r="E235" s="82">
        <v>0</v>
      </c>
      <c r="F235" s="82">
        <v>270000</v>
      </c>
      <c r="G235" s="82">
        <v>0</v>
      </c>
      <c r="H235" s="82">
        <f>SUM('INGRESO X AREA'!$C235:$G235)</f>
        <v>462960</v>
      </c>
      <c r="I235" s="82">
        <f>SUM('INGRESO X AREA'!$H235*0.21)</f>
        <v>97221.599999999991</v>
      </c>
      <c r="J235" s="82">
        <f>SUM('INGRESO X AREA'!$H235:$I235)</f>
        <v>560181.6</v>
      </c>
    </row>
    <row r="236" spans="1:10" ht="15.75" customHeight="1" x14ac:dyDescent="0.25">
      <c r="A236" s="90">
        <v>45382</v>
      </c>
      <c r="B236" s="81" t="s">
        <v>3982</v>
      </c>
      <c r="C236" s="82">
        <v>1377840</v>
      </c>
      <c r="D236" s="82">
        <v>0</v>
      </c>
      <c r="E236" s="82">
        <v>0</v>
      </c>
      <c r="F236" s="82">
        <v>150500</v>
      </c>
      <c r="G236" s="82">
        <v>0</v>
      </c>
      <c r="H236" s="82">
        <f>SUM('INGRESO X AREA'!$C236:$G236)</f>
        <v>1528340</v>
      </c>
      <c r="I236" s="82">
        <f>SUM('INGRESO X AREA'!$H236*0.21)</f>
        <v>320951.39999999997</v>
      </c>
      <c r="J236" s="82">
        <f>SUM('INGRESO X AREA'!$H236:$I236)</f>
        <v>1849291.4</v>
      </c>
    </row>
    <row r="237" spans="1:10" ht="15.75" customHeight="1" x14ac:dyDescent="0.25">
      <c r="A237" s="90">
        <v>45382</v>
      </c>
      <c r="B237" s="81" t="s">
        <v>6903</v>
      </c>
      <c r="C237" s="82">
        <v>9720</v>
      </c>
      <c r="D237" s="82">
        <v>0</v>
      </c>
      <c r="E237" s="82">
        <v>0</v>
      </c>
      <c r="F237" s="82"/>
      <c r="G237" s="82">
        <v>0</v>
      </c>
      <c r="H237" s="82">
        <f>SUM('INGRESO X AREA'!$C237:$G237)</f>
        <v>9720</v>
      </c>
      <c r="I237" s="82">
        <f>SUM('INGRESO X AREA'!$H237*0.21)</f>
        <v>2041.1999999999998</v>
      </c>
      <c r="J237" s="82">
        <f>SUM('INGRESO X AREA'!$H237:$I237)</f>
        <v>11761.2</v>
      </c>
    </row>
    <row r="238" spans="1:10" ht="15.75" customHeight="1" x14ac:dyDescent="0.25">
      <c r="A238" s="90">
        <v>45382</v>
      </c>
      <c r="B238" s="81" t="s">
        <v>6885</v>
      </c>
      <c r="C238" s="82">
        <v>1187760</v>
      </c>
      <c r="D238" s="82">
        <v>0</v>
      </c>
      <c r="E238" s="82">
        <v>0</v>
      </c>
      <c r="F238" s="82">
        <v>110000</v>
      </c>
      <c r="G238" s="82">
        <v>0</v>
      </c>
      <c r="H238" s="82">
        <f>SUM('INGRESO X AREA'!$C238:$G238)</f>
        <v>1297760</v>
      </c>
      <c r="I238" s="82">
        <f>SUM('INGRESO X AREA'!$H238*0.21)</f>
        <v>272529.59999999998</v>
      </c>
      <c r="J238" s="82">
        <f>SUM('INGRESO X AREA'!$H238:$I238)</f>
        <v>1570289.6</v>
      </c>
    </row>
    <row r="239" spans="1:10" ht="15.75" customHeight="1" x14ac:dyDescent="0.25">
      <c r="A239" s="90">
        <v>45382</v>
      </c>
      <c r="B239" s="81" t="s">
        <v>3117</v>
      </c>
      <c r="C239" s="82">
        <v>99480</v>
      </c>
      <c r="D239" s="82">
        <v>0</v>
      </c>
      <c r="E239" s="82">
        <v>0</v>
      </c>
      <c r="F239" s="82">
        <v>301000</v>
      </c>
      <c r="G239" s="82">
        <v>0</v>
      </c>
      <c r="H239" s="82">
        <f>SUM('INGRESO X AREA'!$C239:$G239)</f>
        <v>400480</v>
      </c>
      <c r="I239" s="82">
        <f>SUM('INGRESO X AREA'!$H239*0.21)</f>
        <v>84100.800000000003</v>
      </c>
      <c r="J239" s="82">
        <f>SUM('INGRESO X AREA'!$H239:$I239)</f>
        <v>484580.8</v>
      </c>
    </row>
    <row r="240" spans="1:10" ht="15.75" customHeight="1" x14ac:dyDescent="0.25">
      <c r="A240" s="90">
        <v>45382</v>
      </c>
      <c r="B240" s="81" t="s">
        <v>6913</v>
      </c>
      <c r="C240" s="82">
        <v>968490</v>
      </c>
      <c r="D240" s="82">
        <v>0</v>
      </c>
      <c r="E240" s="82">
        <v>0</v>
      </c>
      <c r="F240" s="82">
        <v>160000</v>
      </c>
      <c r="G240" s="82">
        <v>0</v>
      </c>
      <c r="H240" s="82">
        <f>SUM('INGRESO X AREA'!$C240:$G240)</f>
        <v>1128490</v>
      </c>
      <c r="I240" s="82">
        <f>SUM('INGRESO X AREA'!$H240*0.21)</f>
        <v>236982.9</v>
      </c>
      <c r="J240" s="82">
        <f>SUM('INGRESO X AREA'!$H240:$I240)</f>
        <v>1365472.9</v>
      </c>
    </row>
    <row r="241" spans="1:10" ht="15.75" customHeight="1" x14ac:dyDescent="0.25">
      <c r="A241" s="90">
        <v>45382</v>
      </c>
      <c r="B241" s="81" t="s">
        <v>6914</v>
      </c>
      <c r="C241" s="82"/>
      <c r="D241" s="82">
        <v>0</v>
      </c>
      <c r="E241" s="82">
        <v>0</v>
      </c>
      <c r="F241" s="82">
        <v>0</v>
      </c>
      <c r="G241" s="82">
        <v>0</v>
      </c>
      <c r="H241" s="82">
        <f>SUM('INGRESO X AREA'!$C241:$G241)</f>
        <v>0</v>
      </c>
      <c r="I241" s="82">
        <f>SUM('INGRESO X AREA'!$H241*0.21)</f>
        <v>0</v>
      </c>
      <c r="J241" s="82">
        <f>SUM('INGRESO X AREA'!$H241:$I241)</f>
        <v>0</v>
      </c>
    </row>
    <row r="242" spans="1:10" ht="15.75" customHeight="1" x14ac:dyDescent="0.25">
      <c r="A242" s="90">
        <v>45382</v>
      </c>
      <c r="B242" s="81" t="s">
        <v>6911</v>
      </c>
      <c r="C242" s="82">
        <v>409200</v>
      </c>
      <c r="D242" s="82">
        <v>0</v>
      </c>
      <c r="E242" s="82">
        <v>0</v>
      </c>
      <c r="F242" s="82">
        <v>0</v>
      </c>
      <c r="G242" s="82">
        <v>0</v>
      </c>
      <c r="H242" s="82">
        <f>SUM('INGRESO X AREA'!$C242:$G242)</f>
        <v>409200</v>
      </c>
      <c r="I242" s="82">
        <f>SUM('INGRESO X AREA'!$H242*0.21)</f>
        <v>85932</v>
      </c>
      <c r="J242" s="82">
        <f>SUM('INGRESO X AREA'!$H242:$I242)</f>
        <v>495132</v>
      </c>
    </row>
    <row r="243" spans="1:10" ht="15.75" customHeight="1" x14ac:dyDescent="0.25">
      <c r="A243" s="90">
        <v>45382</v>
      </c>
      <c r="B243" s="81" t="s">
        <v>6915</v>
      </c>
      <c r="C243" s="82">
        <v>6960</v>
      </c>
      <c r="D243" s="82">
        <v>0</v>
      </c>
      <c r="E243" s="82">
        <v>0</v>
      </c>
      <c r="F243" s="82">
        <v>0</v>
      </c>
      <c r="G243" s="82">
        <v>0</v>
      </c>
      <c r="H243" s="82">
        <f>SUM('INGRESO X AREA'!$C243:$G243)</f>
        <v>6960</v>
      </c>
      <c r="I243" s="82">
        <f>SUM('INGRESO X AREA'!$H243*0.21)</f>
        <v>1461.6</v>
      </c>
      <c r="J243" s="82">
        <f>SUM('INGRESO X AREA'!$H243:$I243)</f>
        <v>8421.6</v>
      </c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topLeftCell="A142" workbookViewId="0">
      <selection activeCell="C166" sqref="C166"/>
    </sheetView>
  </sheetViews>
  <sheetFormatPr baseColWidth="10" defaultColWidth="14.42578125" defaultRowHeight="15" customHeight="1" x14ac:dyDescent="0.25"/>
  <cols>
    <col min="1" max="1" width="55.28515625" customWidth="1"/>
    <col min="2" max="2" width="14.28515625" customWidth="1"/>
    <col min="3" max="3" width="23.5703125" customWidth="1"/>
    <col min="4" max="26" width="10.7109375" customWidth="1"/>
  </cols>
  <sheetData>
    <row r="1" spans="1:3" x14ac:dyDescent="0.25">
      <c r="A1" s="188" t="s">
        <v>6916</v>
      </c>
      <c r="B1" s="188" t="s">
        <v>8</v>
      </c>
      <c r="C1" s="188" t="s">
        <v>9</v>
      </c>
    </row>
    <row r="2" spans="1:3" x14ac:dyDescent="0.25">
      <c r="A2" s="188" t="s">
        <v>11</v>
      </c>
      <c r="B2" s="188" t="s">
        <v>1816</v>
      </c>
      <c r="C2" s="188" t="s">
        <v>19</v>
      </c>
    </row>
    <row r="3" spans="1:3" x14ac:dyDescent="0.25">
      <c r="A3" s="188" t="s">
        <v>14</v>
      </c>
      <c r="B3" s="188" t="s">
        <v>1816</v>
      </c>
      <c r="C3" s="188" t="s">
        <v>103</v>
      </c>
    </row>
    <row r="4" spans="1:3" x14ac:dyDescent="0.25">
      <c r="A4" s="188" t="s">
        <v>17</v>
      </c>
      <c r="B4" s="188" t="s">
        <v>6917</v>
      </c>
      <c r="C4" s="188" t="s">
        <v>19</v>
      </c>
    </row>
    <row r="5" spans="1:3" x14ac:dyDescent="0.25">
      <c r="A5" s="188" t="s">
        <v>21</v>
      </c>
      <c r="B5" s="188" t="s">
        <v>6917</v>
      </c>
      <c r="C5" s="188" t="s">
        <v>19</v>
      </c>
    </row>
    <row r="6" spans="1:3" x14ac:dyDescent="0.25">
      <c r="A6" s="188" t="s">
        <v>33</v>
      </c>
      <c r="B6" s="188" t="s">
        <v>1816</v>
      </c>
      <c r="C6" s="188" t="s">
        <v>103</v>
      </c>
    </row>
    <row r="7" spans="1:3" x14ac:dyDescent="0.25">
      <c r="A7" s="188" t="s">
        <v>36</v>
      </c>
      <c r="B7" s="188" t="s">
        <v>6917</v>
      </c>
      <c r="C7" s="188" t="s">
        <v>19</v>
      </c>
    </row>
    <row r="8" spans="1:3" x14ac:dyDescent="0.25">
      <c r="A8" s="188" t="s">
        <v>46</v>
      </c>
      <c r="B8" s="188" t="s">
        <v>6917</v>
      </c>
      <c r="C8" s="188" t="s">
        <v>19</v>
      </c>
    </row>
    <row r="9" spans="1:3" x14ac:dyDescent="0.25">
      <c r="A9" s="188" t="s">
        <v>49</v>
      </c>
      <c r="B9" s="188" t="s">
        <v>1816</v>
      </c>
      <c r="C9" s="188" t="s">
        <v>103</v>
      </c>
    </row>
    <row r="10" spans="1:3" x14ac:dyDescent="0.25">
      <c r="A10" s="188" t="s">
        <v>52</v>
      </c>
      <c r="B10" s="188" t="s">
        <v>1816</v>
      </c>
      <c r="C10" s="188" t="s">
        <v>103</v>
      </c>
    </row>
    <row r="11" spans="1:3" x14ac:dyDescent="0.25">
      <c r="A11" s="188" t="s">
        <v>56</v>
      </c>
      <c r="B11" s="188" t="s">
        <v>1816</v>
      </c>
      <c r="C11" s="188" t="s">
        <v>19</v>
      </c>
    </row>
    <row r="12" spans="1:3" x14ac:dyDescent="0.25">
      <c r="A12" s="188" t="s">
        <v>59</v>
      </c>
      <c r="B12" s="188" t="s">
        <v>1816</v>
      </c>
      <c r="C12" s="188" t="s">
        <v>103</v>
      </c>
    </row>
    <row r="13" spans="1:3" x14ac:dyDescent="0.25">
      <c r="A13" s="188" t="s">
        <v>80</v>
      </c>
      <c r="B13" s="188" t="s">
        <v>1816</v>
      </c>
      <c r="C13" s="188" t="s">
        <v>19</v>
      </c>
    </row>
    <row r="14" spans="1:3" x14ac:dyDescent="0.25">
      <c r="A14" s="188" t="s">
        <v>84</v>
      </c>
      <c r="B14" s="188" t="s">
        <v>1816</v>
      </c>
      <c r="C14" s="188" t="s">
        <v>19</v>
      </c>
    </row>
    <row r="15" spans="1:3" x14ac:dyDescent="0.25">
      <c r="A15" s="188" t="s">
        <v>87</v>
      </c>
      <c r="B15" s="188" t="s">
        <v>1816</v>
      </c>
      <c r="C15" s="188" t="s">
        <v>19</v>
      </c>
    </row>
    <row r="16" spans="1:3" x14ac:dyDescent="0.25">
      <c r="A16" s="188" t="s">
        <v>101</v>
      </c>
      <c r="B16" s="188" t="s">
        <v>6918</v>
      </c>
      <c r="C16" s="188" t="s">
        <v>103</v>
      </c>
    </row>
    <row r="17" spans="1:3" x14ac:dyDescent="0.25">
      <c r="A17" s="188" t="s">
        <v>125</v>
      </c>
      <c r="B17" s="188" t="s">
        <v>1816</v>
      </c>
      <c r="C17" s="188" t="s">
        <v>19</v>
      </c>
    </row>
    <row r="18" spans="1:3" x14ac:dyDescent="0.25">
      <c r="A18" s="188" t="s">
        <v>129</v>
      </c>
      <c r="B18" s="188" t="s">
        <v>1816</v>
      </c>
      <c r="C18" s="188" t="s">
        <v>103</v>
      </c>
    </row>
    <row r="19" spans="1:3" x14ac:dyDescent="0.25">
      <c r="A19" s="188" t="s">
        <v>132</v>
      </c>
      <c r="B19" s="188" t="s">
        <v>1816</v>
      </c>
      <c r="C19" s="188" t="s">
        <v>19</v>
      </c>
    </row>
    <row r="20" spans="1:3" x14ac:dyDescent="0.25">
      <c r="A20" s="188" t="s">
        <v>153</v>
      </c>
      <c r="B20" s="188" t="s">
        <v>1816</v>
      </c>
      <c r="C20" s="188" t="s">
        <v>103</v>
      </c>
    </row>
    <row r="21" spans="1:3" ht="15.75" customHeight="1" x14ac:dyDescent="0.25">
      <c r="A21" s="188" t="s">
        <v>163</v>
      </c>
      <c r="B21" s="188" t="s">
        <v>1816</v>
      </c>
      <c r="C21" s="188" t="s">
        <v>19</v>
      </c>
    </row>
    <row r="22" spans="1:3" ht="15.75" customHeight="1" x14ac:dyDescent="0.25">
      <c r="A22" s="188" t="s">
        <v>166</v>
      </c>
      <c r="B22" s="188" t="s">
        <v>1816</v>
      </c>
      <c r="C22" s="188" t="s">
        <v>19</v>
      </c>
    </row>
    <row r="23" spans="1:3" ht="15.75" customHeight="1" x14ac:dyDescent="0.25">
      <c r="A23" s="188" t="s">
        <v>173</v>
      </c>
      <c r="B23" s="188" t="s">
        <v>6917</v>
      </c>
      <c r="C23" s="188" t="s">
        <v>19</v>
      </c>
    </row>
    <row r="24" spans="1:3" ht="15.75" customHeight="1" x14ac:dyDescent="0.25">
      <c r="A24" s="188" t="s">
        <v>182</v>
      </c>
      <c r="B24" s="188" t="s">
        <v>1816</v>
      </c>
      <c r="C24" s="188" t="s">
        <v>19</v>
      </c>
    </row>
    <row r="25" spans="1:3" ht="15.75" customHeight="1" x14ac:dyDescent="0.25">
      <c r="A25" s="188" t="s">
        <v>188</v>
      </c>
      <c r="B25" s="188" t="s">
        <v>6919</v>
      </c>
      <c r="C25" s="188" t="s">
        <v>103</v>
      </c>
    </row>
    <row r="26" spans="1:3" ht="15.75" customHeight="1" x14ac:dyDescent="0.25">
      <c r="A26" s="188" t="s">
        <v>189</v>
      </c>
      <c r="B26" s="188" t="s">
        <v>6919</v>
      </c>
      <c r="C26" s="188" t="s">
        <v>103</v>
      </c>
    </row>
    <row r="27" spans="1:3" ht="15.75" customHeight="1" x14ac:dyDescent="0.25">
      <c r="A27" s="188" t="s">
        <v>190</v>
      </c>
      <c r="B27" s="188" t="s">
        <v>6919</v>
      </c>
      <c r="C27" s="188" t="s">
        <v>19</v>
      </c>
    </row>
    <row r="28" spans="1:3" ht="15.75" customHeight="1" x14ac:dyDescent="0.25">
      <c r="A28" s="188" t="s">
        <v>191</v>
      </c>
      <c r="B28" s="188" t="s">
        <v>6919</v>
      </c>
      <c r="C28" s="188" t="s">
        <v>19</v>
      </c>
    </row>
    <row r="29" spans="1:3" ht="15.75" customHeight="1" x14ac:dyDescent="0.25">
      <c r="A29" s="188" t="s">
        <v>192</v>
      </c>
      <c r="B29" s="188" t="s">
        <v>6919</v>
      </c>
      <c r="C29" s="188" t="s">
        <v>103</v>
      </c>
    </row>
    <row r="30" spans="1:3" ht="15.75" customHeight="1" x14ac:dyDescent="0.25">
      <c r="A30" s="188" t="s">
        <v>193</v>
      </c>
      <c r="B30" s="188" t="s">
        <v>6919</v>
      </c>
      <c r="C30" s="188" t="s">
        <v>19</v>
      </c>
    </row>
    <row r="31" spans="1:3" ht="15.75" customHeight="1" x14ac:dyDescent="0.25">
      <c r="A31" s="188" t="s">
        <v>194</v>
      </c>
      <c r="B31" s="188" t="s">
        <v>6918</v>
      </c>
      <c r="C31" s="188" t="s">
        <v>103</v>
      </c>
    </row>
    <row r="32" spans="1:3" ht="15.75" customHeight="1" x14ac:dyDescent="0.25">
      <c r="A32" s="188" t="s">
        <v>195</v>
      </c>
      <c r="B32" s="188" t="s">
        <v>6918</v>
      </c>
      <c r="C32" s="188" t="s">
        <v>103</v>
      </c>
    </row>
    <row r="33" spans="1:3" ht="15.75" customHeight="1" x14ac:dyDescent="0.25">
      <c r="A33" s="188" t="s">
        <v>196</v>
      </c>
      <c r="B33" s="188" t="s">
        <v>6918</v>
      </c>
      <c r="C33" s="188" t="s">
        <v>103</v>
      </c>
    </row>
    <row r="34" spans="1:3" ht="15.75" customHeight="1" x14ac:dyDescent="0.25">
      <c r="A34" s="188" t="s">
        <v>197</v>
      </c>
      <c r="B34" s="188" t="s">
        <v>6918</v>
      </c>
      <c r="C34" s="188" t="s">
        <v>103</v>
      </c>
    </row>
    <row r="35" spans="1:3" ht="15.75" customHeight="1" x14ac:dyDescent="0.25">
      <c r="A35" s="188" t="s">
        <v>198</v>
      </c>
      <c r="B35" s="188" t="s">
        <v>6918</v>
      </c>
      <c r="C35" s="188" t="s">
        <v>103</v>
      </c>
    </row>
    <row r="36" spans="1:3" ht="15.75" customHeight="1" x14ac:dyDescent="0.25">
      <c r="A36" s="188" t="s">
        <v>199</v>
      </c>
      <c r="B36" s="188" t="s">
        <v>1816</v>
      </c>
      <c r="C36" s="188" t="s">
        <v>103</v>
      </c>
    </row>
    <row r="37" spans="1:3" ht="15.75" customHeight="1" x14ac:dyDescent="0.25">
      <c r="A37" s="188" t="s">
        <v>200</v>
      </c>
      <c r="B37" s="188" t="s">
        <v>1816</v>
      </c>
      <c r="C37" s="188" t="s">
        <v>19</v>
      </c>
    </row>
    <row r="38" spans="1:3" ht="15.75" customHeight="1" x14ac:dyDescent="0.25">
      <c r="A38" s="188" t="s">
        <v>201</v>
      </c>
      <c r="B38" s="188" t="s">
        <v>1816</v>
      </c>
      <c r="C38" s="188" t="s">
        <v>19</v>
      </c>
    </row>
    <row r="39" spans="1:3" ht="15.75" customHeight="1" x14ac:dyDescent="0.25">
      <c r="A39" s="188" t="s">
        <v>202</v>
      </c>
      <c r="B39" s="188" t="s">
        <v>1816</v>
      </c>
      <c r="C39" s="188" t="s">
        <v>19</v>
      </c>
    </row>
    <row r="40" spans="1:3" ht="15.75" customHeight="1" x14ac:dyDescent="0.25">
      <c r="A40" s="188" t="s">
        <v>203</v>
      </c>
      <c r="B40" s="188" t="s">
        <v>1816</v>
      </c>
      <c r="C40" s="188" t="s">
        <v>19</v>
      </c>
    </row>
    <row r="41" spans="1:3" ht="15.75" customHeight="1" x14ac:dyDescent="0.25">
      <c r="A41" s="188" t="s">
        <v>204</v>
      </c>
      <c r="B41" s="188" t="s">
        <v>1816</v>
      </c>
      <c r="C41" s="188" t="s">
        <v>19</v>
      </c>
    </row>
    <row r="42" spans="1:3" ht="15.75" customHeight="1" x14ac:dyDescent="0.25">
      <c r="A42" s="188" t="s">
        <v>205</v>
      </c>
      <c r="B42" s="188" t="s">
        <v>6920</v>
      </c>
      <c r="C42" s="188" t="s">
        <v>19</v>
      </c>
    </row>
    <row r="43" spans="1:3" ht="15.75" customHeight="1" x14ac:dyDescent="0.25">
      <c r="A43" s="188" t="s">
        <v>206</v>
      </c>
      <c r="B43" s="188" t="s">
        <v>6920</v>
      </c>
      <c r="C43" s="188" t="s">
        <v>19</v>
      </c>
    </row>
    <row r="44" spans="1:3" ht="15.75" customHeight="1" x14ac:dyDescent="0.25">
      <c r="A44" s="188" t="s">
        <v>207</v>
      </c>
      <c r="B44" s="188" t="s">
        <v>6920</v>
      </c>
      <c r="C44" s="188" t="s">
        <v>19</v>
      </c>
    </row>
    <row r="45" spans="1:3" ht="15.75" customHeight="1" x14ac:dyDescent="0.25">
      <c r="A45" s="188" t="s">
        <v>208</v>
      </c>
      <c r="B45" s="188" t="s">
        <v>6920</v>
      </c>
      <c r="C45" s="188" t="s">
        <v>19</v>
      </c>
    </row>
    <row r="46" spans="1:3" ht="15.75" customHeight="1" x14ac:dyDescent="0.25">
      <c r="A46" s="8" t="s">
        <v>209</v>
      </c>
      <c r="B46" s="8" t="s">
        <v>1816</v>
      </c>
      <c r="C46" s="8" t="s">
        <v>19</v>
      </c>
    </row>
    <row r="47" spans="1:3" ht="15.75" customHeight="1" x14ac:dyDescent="0.25">
      <c r="A47" s="8" t="s">
        <v>210</v>
      </c>
      <c r="B47" s="8" t="s">
        <v>1816</v>
      </c>
      <c r="C47" s="8" t="s">
        <v>19</v>
      </c>
    </row>
    <row r="48" spans="1:3" ht="15.75" customHeight="1" x14ac:dyDescent="0.25">
      <c r="A48" s="8" t="s">
        <v>211</v>
      </c>
      <c r="B48" s="8" t="s">
        <v>1816</v>
      </c>
      <c r="C48" s="8" t="s">
        <v>19</v>
      </c>
    </row>
    <row r="49" spans="1:3" ht="15.75" customHeight="1" x14ac:dyDescent="0.25">
      <c r="A49" s="8" t="s">
        <v>212</v>
      </c>
      <c r="B49" s="8" t="s">
        <v>1816</v>
      </c>
      <c r="C49" s="8" t="s">
        <v>19</v>
      </c>
    </row>
    <row r="50" spans="1:3" ht="15.75" customHeight="1" x14ac:dyDescent="0.25">
      <c r="A50" s="188" t="s">
        <v>213</v>
      </c>
      <c r="B50" s="188" t="s">
        <v>6920</v>
      </c>
      <c r="C50" s="8" t="s">
        <v>19</v>
      </c>
    </row>
    <row r="51" spans="1:3" ht="15.75" customHeight="1" x14ac:dyDescent="0.25">
      <c r="A51" s="188" t="s">
        <v>214</v>
      </c>
      <c r="B51" s="188" t="s">
        <v>1816</v>
      </c>
      <c r="C51" s="188" t="s">
        <v>19</v>
      </c>
    </row>
    <row r="52" spans="1:3" ht="15.75" customHeight="1" x14ac:dyDescent="0.25">
      <c r="A52" s="188" t="s">
        <v>218</v>
      </c>
      <c r="B52" s="188" t="s">
        <v>1816</v>
      </c>
      <c r="C52" s="188" t="s">
        <v>19</v>
      </c>
    </row>
    <row r="53" spans="1:3" ht="15.75" customHeight="1" x14ac:dyDescent="0.25">
      <c r="A53" s="188" t="s">
        <v>222</v>
      </c>
      <c r="B53" s="188" t="s">
        <v>1816</v>
      </c>
      <c r="C53" s="188" t="s">
        <v>19</v>
      </c>
    </row>
    <row r="54" spans="1:3" ht="15.75" customHeight="1" x14ac:dyDescent="0.25">
      <c r="A54" s="188" t="s">
        <v>248</v>
      </c>
      <c r="B54" s="188" t="s">
        <v>1816</v>
      </c>
      <c r="C54" s="188" t="s">
        <v>19</v>
      </c>
    </row>
    <row r="55" spans="1:3" ht="15.75" customHeight="1" x14ac:dyDescent="0.25">
      <c r="A55" s="188" t="s">
        <v>253</v>
      </c>
      <c r="B55" s="188" t="s">
        <v>1816</v>
      </c>
      <c r="C55" s="188" t="s">
        <v>19</v>
      </c>
    </row>
    <row r="56" spans="1:3" ht="15.75" customHeight="1" x14ac:dyDescent="0.25">
      <c r="A56" s="188" t="s">
        <v>300</v>
      </c>
      <c r="B56" s="188" t="s">
        <v>1816</v>
      </c>
      <c r="C56" s="188" t="s">
        <v>19</v>
      </c>
    </row>
    <row r="57" spans="1:3" ht="15.75" customHeight="1" x14ac:dyDescent="0.25">
      <c r="A57" s="188" t="s">
        <v>334</v>
      </c>
      <c r="B57" s="188" t="s">
        <v>1816</v>
      </c>
      <c r="C57" s="188" t="s">
        <v>19</v>
      </c>
    </row>
    <row r="58" spans="1:3" ht="15.75" customHeight="1" x14ac:dyDescent="0.25">
      <c r="A58" s="188" t="s">
        <v>337</v>
      </c>
      <c r="B58" s="188" t="s">
        <v>6917</v>
      </c>
      <c r="C58" s="188" t="s">
        <v>19</v>
      </c>
    </row>
    <row r="59" spans="1:3" ht="15.75" customHeight="1" x14ac:dyDescent="0.25">
      <c r="A59" s="188" t="s">
        <v>339</v>
      </c>
      <c r="B59" s="188" t="s">
        <v>1816</v>
      </c>
      <c r="C59" s="188" t="s">
        <v>19</v>
      </c>
    </row>
    <row r="60" spans="1:3" ht="15.75" customHeight="1" x14ac:dyDescent="0.25">
      <c r="A60" s="188" t="s">
        <v>349</v>
      </c>
      <c r="B60" s="188" t="s">
        <v>1816</v>
      </c>
      <c r="C60" s="188" t="s">
        <v>19</v>
      </c>
    </row>
    <row r="61" spans="1:3" ht="15.75" customHeight="1" x14ac:dyDescent="0.25">
      <c r="A61" s="188" t="s">
        <v>351</v>
      </c>
      <c r="B61" s="188" t="s">
        <v>1816</v>
      </c>
      <c r="C61" s="188" t="s">
        <v>19</v>
      </c>
    </row>
    <row r="62" spans="1:3" ht="15.75" customHeight="1" x14ac:dyDescent="0.25">
      <c r="A62" s="188" t="s">
        <v>363</v>
      </c>
      <c r="B62" s="188" t="s">
        <v>1816</v>
      </c>
      <c r="C62" s="188" t="s">
        <v>19</v>
      </c>
    </row>
    <row r="63" spans="1:3" ht="15.75" customHeight="1" x14ac:dyDescent="0.25">
      <c r="A63" s="188" t="s">
        <v>365</v>
      </c>
      <c r="B63" s="188" t="s">
        <v>1816</v>
      </c>
      <c r="C63" s="188" t="s">
        <v>19</v>
      </c>
    </row>
    <row r="64" spans="1:3" ht="15.75" customHeight="1" x14ac:dyDescent="0.25">
      <c r="A64" s="188" t="s">
        <v>375</v>
      </c>
      <c r="B64" s="188" t="s">
        <v>1816</v>
      </c>
      <c r="C64" s="188" t="s">
        <v>19</v>
      </c>
    </row>
    <row r="65" spans="1:3" ht="15.75" customHeight="1" x14ac:dyDescent="0.25">
      <c r="A65" s="188" t="s">
        <v>409</v>
      </c>
      <c r="B65" s="188" t="s">
        <v>1816</v>
      </c>
      <c r="C65" s="188" t="s">
        <v>19</v>
      </c>
    </row>
    <row r="66" spans="1:3" ht="15.75" customHeight="1" x14ac:dyDescent="0.25">
      <c r="A66" s="188" t="s">
        <v>426</v>
      </c>
      <c r="B66" s="188" t="s">
        <v>1816</v>
      </c>
      <c r="C66" s="188" t="s">
        <v>19</v>
      </c>
    </row>
    <row r="67" spans="1:3" ht="15.75" customHeight="1" x14ac:dyDescent="0.25">
      <c r="A67" s="188" t="s">
        <v>441</v>
      </c>
      <c r="B67" s="188" t="s">
        <v>6918</v>
      </c>
      <c r="C67" s="188" t="s">
        <v>103</v>
      </c>
    </row>
    <row r="68" spans="1:3" ht="15.75" customHeight="1" x14ac:dyDescent="0.25">
      <c r="A68" s="188" t="s">
        <v>450</v>
      </c>
      <c r="B68" s="188" t="s">
        <v>1816</v>
      </c>
      <c r="C68" s="188" t="s">
        <v>103</v>
      </c>
    </row>
    <row r="69" spans="1:3" ht="15.75" customHeight="1" x14ac:dyDescent="0.25">
      <c r="A69" s="188" t="s">
        <v>505</v>
      </c>
      <c r="B69" s="188" t="s">
        <v>1816</v>
      </c>
      <c r="C69" s="188" t="s">
        <v>19</v>
      </c>
    </row>
    <row r="70" spans="1:3" ht="15.75" customHeight="1" x14ac:dyDescent="0.25">
      <c r="A70" s="188" t="s">
        <v>517</v>
      </c>
      <c r="B70" s="188" t="s">
        <v>1816</v>
      </c>
      <c r="C70" s="188" t="s">
        <v>19</v>
      </c>
    </row>
    <row r="71" spans="1:3" ht="15.75" customHeight="1" x14ac:dyDescent="0.25">
      <c r="A71" s="188" t="s">
        <v>529</v>
      </c>
      <c r="B71" s="188" t="s">
        <v>1816</v>
      </c>
      <c r="C71" s="188" t="s">
        <v>19</v>
      </c>
    </row>
    <row r="72" spans="1:3" ht="15.75" customHeight="1" x14ac:dyDescent="0.25">
      <c r="A72" s="188" t="s">
        <v>601</v>
      </c>
      <c r="B72" s="188" t="s">
        <v>1816</v>
      </c>
      <c r="C72" s="188" t="s">
        <v>19</v>
      </c>
    </row>
    <row r="73" spans="1:3" ht="15.75" customHeight="1" x14ac:dyDescent="0.25">
      <c r="A73" s="188" t="s">
        <v>650</v>
      </c>
      <c r="B73" s="188" t="s">
        <v>1816</v>
      </c>
      <c r="C73" s="188" t="s">
        <v>103</v>
      </c>
    </row>
    <row r="74" spans="1:3" ht="15.75" customHeight="1" x14ac:dyDescent="0.25">
      <c r="A74" s="188" t="s">
        <v>653</v>
      </c>
      <c r="B74" s="188" t="s">
        <v>1816</v>
      </c>
      <c r="C74" s="188" t="s">
        <v>19</v>
      </c>
    </row>
    <row r="75" spans="1:3" ht="15.75" customHeight="1" x14ac:dyDescent="0.25">
      <c r="A75" s="188" t="s">
        <v>658</v>
      </c>
      <c r="B75" s="188" t="s">
        <v>1816</v>
      </c>
      <c r="C75" s="188" t="s">
        <v>103</v>
      </c>
    </row>
    <row r="76" spans="1:3" ht="15.75" customHeight="1" x14ac:dyDescent="0.25">
      <c r="A76" s="188" t="s">
        <v>665</v>
      </c>
      <c r="B76" s="188" t="s">
        <v>1816</v>
      </c>
      <c r="C76" s="188" t="s">
        <v>19</v>
      </c>
    </row>
    <row r="77" spans="1:3" ht="15.75" customHeight="1" x14ac:dyDescent="0.25">
      <c r="A77" s="188" t="s">
        <v>670</v>
      </c>
      <c r="B77" s="188" t="s">
        <v>1816</v>
      </c>
      <c r="C77" s="188" t="s">
        <v>19</v>
      </c>
    </row>
    <row r="78" spans="1:3" ht="15.75" customHeight="1" x14ac:dyDescent="0.25">
      <c r="A78" s="188" t="s">
        <v>690</v>
      </c>
      <c r="B78" s="188" t="s">
        <v>6920</v>
      </c>
      <c r="C78" s="188" t="s">
        <v>103</v>
      </c>
    </row>
    <row r="79" spans="1:3" ht="15.75" customHeight="1" x14ac:dyDescent="0.25">
      <c r="A79" s="188" t="s">
        <v>714</v>
      </c>
      <c r="B79" s="188" t="s">
        <v>1816</v>
      </c>
      <c r="C79" s="188" t="s">
        <v>103</v>
      </c>
    </row>
    <row r="80" spans="1:3" ht="15.75" customHeight="1" x14ac:dyDescent="0.25">
      <c r="A80" s="188" t="s">
        <v>721</v>
      </c>
      <c r="B80" s="188" t="s">
        <v>1816</v>
      </c>
      <c r="C80" s="188" t="s">
        <v>19</v>
      </c>
    </row>
    <row r="81" spans="1:3" ht="15.75" customHeight="1" x14ac:dyDescent="0.25">
      <c r="A81" s="188" t="s">
        <v>746</v>
      </c>
      <c r="B81" s="188" t="s">
        <v>1816</v>
      </c>
      <c r="C81" s="188" t="s">
        <v>19</v>
      </c>
    </row>
    <row r="82" spans="1:3" ht="15.75" customHeight="1" x14ac:dyDescent="0.25">
      <c r="A82" s="188" t="s">
        <v>754</v>
      </c>
      <c r="B82" s="188" t="s">
        <v>1816</v>
      </c>
      <c r="C82" s="188" t="s">
        <v>19</v>
      </c>
    </row>
    <row r="83" spans="1:3" ht="15.75" customHeight="1" x14ac:dyDescent="0.25">
      <c r="A83" s="188" t="s">
        <v>801</v>
      </c>
      <c r="B83" s="188" t="s">
        <v>1816</v>
      </c>
      <c r="C83" s="188" t="s">
        <v>19</v>
      </c>
    </row>
    <row r="84" spans="1:3" ht="15.75" customHeight="1" x14ac:dyDescent="0.25">
      <c r="A84" s="188" t="s">
        <v>804</v>
      </c>
      <c r="B84" s="188" t="s">
        <v>1816</v>
      </c>
      <c r="C84" s="188" t="s">
        <v>19</v>
      </c>
    </row>
    <row r="85" spans="1:3" ht="15.75" customHeight="1" x14ac:dyDescent="0.25">
      <c r="A85" s="188" t="s">
        <v>844</v>
      </c>
      <c r="B85" s="188" t="s">
        <v>1816</v>
      </c>
      <c r="C85" s="188" t="s">
        <v>19</v>
      </c>
    </row>
    <row r="86" spans="1:3" ht="15.75" customHeight="1" x14ac:dyDescent="0.25">
      <c r="A86" s="188" t="s">
        <v>866</v>
      </c>
      <c r="B86" s="188" t="s">
        <v>1816</v>
      </c>
      <c r="C86" s="188" t="s">
        <v>19</v>
      </c>
    </row>
    <row r="87" spans="1:3" ht="15.75" customHeight="1" x14ac:dyDescent="0.25">
      <c r="A87" s="188" t="s">
        <v>918</v>
      </c>
      <c r="B87" s="188" t="s">
        <v>1816</v>
      </c>
      <c r="C87" s="188" t="s">
        <v>19</v>
      </c>
    </row>
    <row r="88" spans="1:3" ht="15.75" customHeight="1" x14ac:dyDescent="0.25">
      <c r="A88" s="188" t="s">
        <v>952</v>
      </c>
      <c r="B88" s="188" t="s">
        <v>1816</v>
      </c>
      <c r="C88" s="188" t="s">
        <v>19</v>
      </c>
    </row>
    <row r="89" spans="1:3" ht="15.75" customHeight="1" x14ac:dyDescent="0.25">
      <c r="A89" s="188" t="s">
        <v>1050</v>
      </c>
      <c r="B89" s="188" t="s">
        <v>1816</v>
      </c>
      <c r="C89" s="188" t="s">
        <v>19</v>
      </c>
    </row>
    <row r="90" spans="1:3" ht="15.75" customHeight="1" x14ac:dyDescent="0.25">
      <c r="A90" s="188" t="s">
        <v>1057</v>
      </c>
      <c r="B90" s="188" t="s">
        <v>1816</v>
      </c>
      <c r="C90" s="188" t="s">
        <v>19</v>
      </c>
    </row>
    <row r="91" spans="1:3" ht="15.75" customHeight="1" x14ac:dyDescent="0.25">
      <c r="A91" s="188" t="s">
        <v>1114</v>
      </c>
      <c r="B91" s="188" t="s">
        <v>6919</v>
      </c>
      <c r="C91" s="188" t="s">
        <v>103</v>
      </c>
    </row>
    <row r="92" spans="1:3" ht="15.75" customHeight="1" x14ac:dyDescent="0.25">
      <c r="A92" s="188" t="s">
        <v>1115</v>
      </c>
      <c r="B92" s="188" t="s">
        <v>6919</v>
      </c>
      <c r="C92" s="188" t="s">
        <v>19</v>
      </c>
    </row>
    <row r="93" spans="1:3" ht="15.75" customHeight="1" x14ac:dyDescent="0.25">
      <c r="A93" s="188" t="s">
        <v>1116</v>
      </c>
      <c r="B93" s="188" t="s">
        <v>1816</v>
      </c>
      <c r="C93" s="188" t="s">
        <v>19</v>
      </c>
    </row>
    <row r="94" spans="1:3" ht="15.75" customHeight="1" x14ac:dyDescent="0.25">
      <c r="A94" s="188" t="s">
        <v>1117</v>
      </c>
      <c r="B94" s="188" t="s">
        <v>1816</v>
      </c>
      <c r="C94" s="188" t="s">
        <v>19</v>
      </c>
    </row>
    <row r="95" spans="1:3" ht="15.75" customHeight="1" x14ac:dyDescent="0.25">
      <c r="A95" s="188" t="s">
        <v>1118</v>
      </c>
      <c r="B95" s="188" t="s">
        <v>6920</v>
      </c>
      <c r="C95" s="188" t="s">
        <v>19</v>
      </c>
    </row>
    <row r="96" spans="1:3" ht="15.75" customHeight="1" x14ac:dyDescent="0.25">
      <c r="A96" s="188" t="s">
        <v>1119</v>
      </c>
      <c r="B96" s="188" t="s">
        <v>6920</v>
      </c>
      <c r="C96" s="188" t="s">
        <v>19</v>
      </c>
    </row>
    <row r="97" spans="1:3" ht="15.75" customHeight="1" x14ac:dyDescent="0.25">
      <c r="A97" s="188" t="s">
        <v>1128</v>
      </c>
      <c r="B97" s="188" t="s">
        <v>1816</v>
      </c>
      <c r="C97" s="188" t="s">
        <v>19</v>
      </c>
    </row>
    <row r="98" spans="1:3" ht="15.75" customHeight="1" x14ac:dyDescent="0.25">
      <c r="A98" s="188" t="s">
        <v>1140</v>
      </c>
      <c r="B98" s="188" t="s">
        <v>1816</v>
      </c>
      <c r="C98" s="188" t="s">
        <v>103</v>
      </c>
    </row>
    <row r="99" spans="1:3" ht="15.75" customHeight="1" x14ac:dyDescent="0.25">
      <c r="A99" s="188" t="s">
        <v>1143</v>
      </c>
      <c r="B99" s="188" t="s">
        <v>1816</v>
      </c>
      <c r="C99" s="188" t="s">
        <v>103</v>
      </c>
    </row>
    <row r="100" spans="1:3" ht="15.75" customHeight="1" x14ac:dyDescent="0.25">
      <c r="A100" s="188" t="s">
        <v>1158</v>
      </c>
      <c r="B100" s="188" t="s">
        <v>1816</v>
      </c>
      <c r="C100" s="188" t="s">
        <v>19</v>
      </c>
    </row>
    <row r="101" spans="1:3" ht="15.75" customHeight="1" x14ac:dyDescent="0.25">
      <c r="A101" s="188" t="s">
        <v>1185</v>
      </c>
      <c r="B101" s="188" t="s">
        <v>1816</v>
      </c>
      <c r="C101" s="188" t="s">
        <v>19</v>
      </c>
    </row>
    <row r="102" spans="1:3" ht="15.75" customHeight="1" x14ac:dyDescent="0.25">
      <c r="A102" s="188" t="s">
        <v>1227</v>
      </c>
      <c r="B102" s="188" t="s">
        <v>1816</v>
      </c>
      <c r="C102" s="188" t="s">
        <v>19</v>
      </c>
    </row>
    <row r="103" spans="1:3" ht="15.75" customHeight="1" x14ac:dyDescent="0.25">
      <c r="A103" s="188" t="s">
        <v>1231</v>
      </c>
      <c r="B103" s="188" t="s">
        <v>1816</v>
      </c>
      <c r="C103" s="188" t="s">
        <v>19</v>
      </c>
    </row>
    <row r="104" spans="1:3" ht="15.75" customHeight="1" x14ac:dyDescent="0.25">
      <c r="A104" s="188" t="s">
        <v>1280</v>
      </c>
      <c r="B104" s="188" t="s">
        <v>1816</v>
      </c>
      <c r="C104" s="188" t="s">
        <v>19</v>
      </c>
    </row>
    <row r="105" spans="1:3" ht="15.75" customHeight="1" x14ac:dyDescent="0.25">
      <c r="A105" s="188" t="s">
        <v>1308</v>
      </c>
      <c r="B105" s="188" t="s">
        <v>1816</v>
      </c>
      <c r="C105" s="188" t="s">
        <v>19</v>
      </c>
    </row>
    <row r="106" spans="1:3" ht="15.75" customHeight="1" x14ac:dyDescent="0.25">
      <c r="A106" s="188" t="s">
        <v>1333</v>
      </c>
      <c r="B106" s="188" t="s">
        <v>1816</v>
      </c>
      <c r="C106" s="188" t="s">
        <v>19</v>
      </c>
    </row>
    <row r="107" spans="1:3" ht="15.75" customHeight="1" x14ac:dyDescent="0.25">
      <c r="A107" s="188" t="s">
        <v>1346</v>
      </c>
      <c r="B107" s="188" t="s">
        <v>1816</v>
      </c>
      <c r="C107" s="188" t="s">
        <v>19</v>
      </c>
    </row>
    <row r="108" spans="1:3" ht="15.75" customHeight="1" x14ac:dyDescent="0.25">
      <c r="A108" s="188" t="s">
        <v>1362</v>
      </c>
      <c r="B108" s="188" t="s">
        <v>1816</v>
      </c>
      <c r="C108" s="188" t="s">
        <v>19</v>
      </c>
    </row>
    <row r="109" spans="1:3" ht="15.75" customHeight="1" x14ac:dyDescent="0.25">
      <c r="A109" s="188" t="s">
        <v>1366</v>
      </c>
      <c r="B109" s="188" t="s">
        <v>1816</v>
      </c>
      <c r="C109" s="188" t="s">
        <v>19</v>
      </c>
    </row>
    <row r="110" spans="1:3" ht="15.75" customHeight="1" x14ac:dyDescent="0.25">
      <c r="A110" s="188" t="s">
        <v>1415</v>
      </c>
      <c r="B110" s="188" t="s">
        <v>1816</v>
      </c>
      <c r="C110" s="188" t="s">
        <v>19</v>
      </c>
    </row>
    <row r="111" spans="1:3" ht="15.75" customHeight="1" x14ac:dyDescent="0.25">
      <c r="A111" s="188" t="s">
        <v>1450</v>
      </c>
      <c r="B111" s="188" t="s">
        <v>1816</v>
      </c>
      <c r="C111" s="188" t="s">
        <v>19</v>
      </c>
    </row>
    <row r="112" spans="1:3" ht="15.75" customHeight="1" x14ac:dyDescent="0.25">
      <c r="A112" s="188" t="s">
        <v>1501</v>
      </c>
      <c r="B112" s="188" t="s">
        <v>1816</v>
      </c>
      <c r="C112" s="188" t="s">
        <v>19</v>
      </c>
    </row>
    <row r="113" spans="1:3" ht="15.75" customHeight="1" x14ac:dyDescent="0.25">
      <c r="A113" s="188" t="s">
        <v>1613</v>
      </c>
      <c r="B113" s="188" t="s">
        <v>1816</v>
      </c>
      <c r="C113" s="188" t="s">
        <v>19</v>
      </c>
    </row>
    <row r="114" spans="1:3" ht="15.75" customHeight="1" x14ac:dyDescent="0.25">
      <c r="A114" s="188" t="s">
        <v>1659</v>
      </c>
      <c r="B114" s="188" t="s">
        <v>1816</v>
      </c>
      <c r="C114" s="188" t="s">
        <v>19</v>
      </c>
    </row>
    <row r="115" spans="1:3" ht="15.75" customHeight="1" x14ac:dyDescent="0.25">
      <c r="A115" s="188" t="s">
        <v>1664</v>
      </c>
      <c r="B115" s="188" t="s">
        <v>1816</v>
      </c>
      <c r="C115" s="188" t="s">
        <v>19</v>
      </c>
    </row>
    <row r="116" spans="1:3" ht="15.75" customHeight="1" x14ac:dyDescent="0.25">
      <c r="A116" s="188" t="s">
        <v>1761</v>
      </c>
      <c r="B116" s="188" t="s">
        <v>1816</v>
      </c>
      <c r="C116" s="188" t="s">
        <v>19</v>
      </c>
    </row>
    <row r="117" spans="1:3" ht="15.75" customHeight="1" x14ac:dyDescent="0.25">
      <c r="A117" s="188" t="s">
        <v>1818</v>
      </c>
      <c r="B117" s="188" t="s">
        <v>1816</v>
      </c>
      <c r="C117" s="188" t="s">
        <v>19</v>
      </c>
    </row>
    <row r="118" spans="1:3" ht="15.75" customHeight="1" x14ac:dyDescent="0.25">
      <c r="A118" s="188" t="s">
        <v>1862</v>
      </c>
      <c r="B118" s="188" t="s">
        <v>1816</v>
      </c>
      <c r="C118" s="188" t="s">
        <v>19</v>
      </c>
    </row>
    <row r="119" spans="1:3" ht="15.75" customHeight="1" x14ac:dyDescent="0.25">
      <c r="A119" s="188" t="s">
        <v>1964</v>
      </c>
      <c r="B119" s="188" t="s">
        <v>1816</v>
      </c>
      <c r="C119" s="188" t="s">
        <v>19</v>
      </c>
    </row>
    <row r="120" spans="1:3" ht="15.75" customHeight="1" x14ac:dyDescent="0.25">
      <c r="A120" s="188" t="s">
        <v>1966</v>
      </c>
      <c r="B120" s="188" t="s">
        <v>6920</v>
      </c>
      <c r="C120" s="188" t="s">
        <v>19</v>
      </c>
    </row>
    <row r="121" spans="1:3" ht="15.75" customHeight="1" x14ac:dyDescent="0.25">
      <c r="A121" s="188" t="s">
        <v>2006</v>
      </c>
      <c r="B121" s="188" t="s">
        <v>6920</v>
      </c>
      <c r="C121" s="188" t="s">
        <v>19</v>
      </c>
    </row>
    <row r="122" spans="1:3" ht="15.75" customHeight="1" x14ac:dyDescent="0.25">
      <c r="A122" s="188" t="s">
        <v>2017</v>
      </c>
      <c r="B122" s="188" t="s">
        <v>1816</v>
      </c>
      <c r="C122" s="188" t="s">
        <v>19</v>
      </c>
    </row>
    <row r="123" spans="1:3" ht="15.75" customHeight="1" x14ac:dyDescent="0.25">
      <c r="A123" s="188" t="s">
        <v>2025</v>
      </c>
      <c r="B123" s="188" t="s">
        <v>1816</v>
      </c>
      <c r="C123" s="188" t="s">
        <v>19</v>
      </c>
    </row>
    <row r="124" spans="1:3" ht="15.75" customHeight="1" x14ac:dyDescent="0.25">
      <c r="A124" s="188" t="s">
        <v>2057</v>
      </c>
      <c r="B124" s="188" t="s">
        <v>1816</v>
      </c>
      <c r="C124" s="188" t="s">
        <v>19</v>
      </c>
    </row>
    <row r="125" spans="1:3" ht="15.75" customHeight="1" x14ac:dyDescent="0.25">
      <c r="A125" s="188" t="s">
        <v>2102</v>
      </c>
      <c r="B125" s="188" t="s">
        <v>1816</v>
      </c>
      <c r="C125" s="188" t="s">
        <v>19</v>
      </c>
    </row>
    <row r="126" spans="1:3" ht="15.75" customHeight="1" x14ac:dyDescent="0.25">
      <c r="A126" s="188" t="s">
        <v>2105</v>
      </c>
      <c r="B126" s="188" t="s">
        <v>1816</v>
      </c>
      <c r="C126" s="188" t="s">
        <v>19</v>
      </c>
    </row>
    <row r="127" spans="1:3" ht="15.75" customHeight="1" x14ac:dyDescent="0.25">
      <c r="A127" s="188" t="s">
        <v>2121</v>
      </c>
      <c r="B127" s="188" t="s">
        <v>1816</v>
      </c>
      <c r="C127" s="188" t="s">
        <v>19</v>
      </c>
    </row>
    <row r="128" spans="1:3" ht="15.75" customHeight="1" x14ac:dyDescent="0.25">
      <c r="A128" s="188" t="s">
        <v>2174</v>
      </c>
      <c r="B128" s="188" t="s">
        <v>1816</v>
      </c>
      <c r="C128" s="188" t="s">
        <v>19</v>
      </c>
    </row>
    <row r="129" spans="1:3" ht="15.75" customHeight="1" x14ac:dyDescent="0.25">
      <c r="A129" s="188" t="s">
        <v>2175</v>
      </c>
      <c r="B129" s="188" t="s">
        <v>1816</v>
      </c>
      <c r="C129" s="188" t="s">
        <v>19</v>
      </c>
    </row>
    <row r="130" spans="1:3" ht="15.75" customHeight="1" x14ac:dyDescent="0.25">
      <c r="A130" s="188" t="s">
        <v>2210</v>
      </c>
      <c r="B130" s="188" t="s">
        <v>1816</v>
      </c>
      <c r="C130" s="188" t="s">
        <v>103</v>
      </c>
    </row>
    <row r="131" spans="1:3" ht="15.75" customHeight="1" x14ac:dyDescent="0.25">
      <c r="A131" s="188" t="s">
        <v>2236</v>
      </c>
      <c r="B131" s="188" t="s">
        <v>1816</v>
      </c>
      <c r="C131" s="188" t="s">
        <v>19</v>
      </c>
    </row>
    <row r="132" spans="1:3" ht="15.75" customHeight="1" x14ac:dyDescent="0.25">
      <c r="A132" s="188" t="s">
        <v>2248</v>
      </c>
      <c r="B132" s="188" t="s">
        <v>1816</v>
      </c>
      <c r="C132" s="188" t="s">
        <v>19</v>
      </c>
    </row>
    <row r="133" spans="1:3" ht="15.75" customHeight="1" x14ac:dyDescent="0.25">
      <c r="A133" s="188" t="s">
        <v>2251</v>
      </c>
      <c r="B133" s="188" t="s">
        <v>1816</v>
      </c>
      <c r="C133" s="188" t="s">
        <v>19</v>
      </c>
    </row>
    <row r="134" spans="1:3" ht="15.75" customHeight="1" x14ac:dyDescent="0.25">
      <c r="A134" s="188" t="s">
        <v>2264</v>
      </c>
      <c r="B134" s="188" t="s">
        <v>1816</v>
      </c>
      <c r="C134" s="188" t="s">
        <v>19</v>
      </c>
    </row>
    <row r="135" spans="1:3" ht="15.75" customHeight="1" x14ac:dyDescent="0.25">
      <c r="A135" s="188" t="s">
        <v>2325</v>
      </c>
      <c r="B135" s="188" t="s">
        <v>1816</v>
      </c>
      <c r="C135" s="188" t="s">
        <v>19</v>
      </c>
    </row>
    <row r="136" spans="1:3" ht="15.75" customHeight="1" x14ac:dyDescent="0.25">
      <c r="A136" s="188" t="s">
        <v>2329</v>
      </c>
      <c r="B136" s="188" t="s">
        <v>1816</v>
      </c>
      <c r="C136" s="188" t="s">
        <v>19</v>
      </c>
    </row>
    <row r="137" spans="1:3" ht="15.75" customHeight="1" x14ac:dyDescent="0.25">
      <c r="A137" s="188" t="s">
        <v>2387</v>
      </c>
      <c r="B137" s="188" t="s">
        <v>1816</v>
      </c>
      <c r="C137" s="188" t="s">
        <v>19</v>
      </c>
    </row>
    <row r="138" spans="1:3" ht="15.75" customHeight="1" x14ac:dyDescent="0.25">
      <c r="A138" s="188" t="s">
        <v>2403</v>
      </c>
      <c r="B138" s="188" t="s">
        <v>1816</v>
      </c>
      <c r="C138" s="188" t="s">
        <v>19</v>
      </c>
    </row>
    <row r="139" spans="1:3" ht="15.75" customHeight="1" x14ac:dyDescent="0.25">
      <c r="A139" s="188" t="s">
        <v>2421</v>
      </c>
      <c r="B139" s="188" t="s">
        <v>1816</v>
      </c>
      <c r="C139" s="188" t="s">
        <v>19</v>
      </c>
    </row>
    <row r="140" spans="1:3" ht="15.75" customHeight="1" x14ac:dyDescent="0.25">
      <c r="A140" s="188" t="s">
        <v>2426</v>
      </c>
      <c r="B140" s="188" t="s">
        <v>1816</v>
      </c>
      <c r="C140" s="188" t="s">
        <v>19</v>
      </c>
    </row>
    <row r="141" spans="1:3" ht="15.75" customHeight="1" x14ac:dyDescent="0.25">
      <c r="A141" s="188" t="s">
        <v>2457</v>
      </c>
      <c r="B141" s="188" t="s">
        <v>1816</v>
      </c>
      <c r="C141" s="188" t="s">
        <v>19</v>
      </c>
    </row>
    <row r="142" spans="1:3" ht="15.75" customHeight="1" x14ac:dyDescent="0.25">
      <c r="A142" s="188" t="s">
        <v>2459</v>
      </c>
      <c r="B142" s="188" t="s">
        <v>1816</v>
      </c>
      <c r="C142" s="188" t="s">
        <v>19</v>
      </c>
    </row>
    <row r="143" spans="1:3" ht="15.75" customHeight="1" x14ac:dyDescent="0.25">
      <c r="A143" s="188" t="s">
        <v>2463</v>
      </c>
      <c r="B143" s="188" t="s">
        <v>1816</v>
      </c>
      <c r="C143" s="188" t="s">
        <v>19</v>
      </c>
    </row>
    <row r="144" spans="1:3" ht="15.75" customHeight="1" x14ac:dyDescent="0.25">
      <c r="A144" s="188" t="s">
        <v>2466</v>
      </c>
      <c r="B144" s="188" t="s">
        <v>1816</v>
      </c>
      <c r="C144" s="188" t="s">
        <v>19</v>
      </c>
    </row>
    <row r="145" spans="1:3" ht="15.75" customHeight="1" x14ac:dyDescent="0.25">
      <c r="A145" s="188" t="s">
        <v>2472</v>
      </c>
      <c r="B145" s="188" t="s">
        <v>1816</v>
      </c>
      <c r="C145" s="188" t="s">
        <v>19</v>
      </c>
    </row>
    <row r="146" spans="1:3" ht="15.75" customHeight="1" x14ac:dyDescent="0.25">
      <c r="A146" s="188" t="s">
        <v>2476</v>
      </c>
      <c r="B146" s="188" t="s">
        <v>1816</v>
      </c>
      <c r="C146" s="188" t="s">
        <v>19</v>
      </c>
    </row>
    <row r="147" spans="1:3" ht="15.75" customHeight="1" x14ac:dyDescent="0.25">
      <c r="A147" s="97" t="s">
        <v>2480</v>
      </c>
      <c r="B147" s="188" t="s">
        <v>1816</v>
      </c>
      <c r="C147" s="188" t="s">
        <v>103</v>
      </c>
    </row>
    <row r="148" spans="1:3" ht="15.75" customHeight="1" x14ac:dyDescent="0.25">
      <c r="A148" s="188" t="s">
        <v>2483</v>
      </c>
      <c r="B148" s="188" t="s">
        <v>1816</v>
      </c>
      <c r="C148" s="188" t="s">
        <v>103</v>
      </c>
    </row>
    <row r="149" spans="1:3" ht="15.75" customHeight="1" x14ac:dyDescent="0.25">
      <c r="A149" s="188" t="s">
        <v>2484</v>
      </c>
      <c r="B149" s="188" t="s">
        <v>1816</v>
      </c>
      <c r="C149" s="188" t="s">
        <v>103</v>
      </c>
    </row>
    <row r="150" spans="1:3" ht="15.75" customHeight="1" x14ac:dyDescent="0.25">
      <c r="A150" s="188" t="s">
        <v>2485</v>
      </c>
      <c r="B150" s="188" t="s">
        <v>1816</v>
      </c>
      <c r="C150" s="188" t="s">
        <v>103</v>
      </c>
    </row>
    <row r="151" spans="1:3" ht="15.75" customHeight="1" x14ac:dyDescent="0.25">
      <c r="A151" s="188" t="s">
        <v>2486</v>
      </c>
      <c r="B151" s="188" t="s">
        <v>1816</v>
      </c>
      <c r="C151" s="188" t="s">
        <v>103</v>
      </c>
    </row>
    <row r="152" spans="1:3" ht="15.75" customHeight="1" x14ac:dyDescent="0.25">
      <c r="A152" s="188" t="s">
        <v>2509</v>
      </c>
      <c r="B152" s="188" t="s">
        <v>1816</v>
      </c>
      <c r="C152" s="188" t="s">
        <v>19</v>
      </c>
    </row>
    <row r="153" spans="1:3" ht="15.75" customHeight="1" x14ac:dyDescent="0.25">
      <c r="A153" s="188" t="s">
        <v>2585</v>
      </c>
      <c r="B153" s="188" t="s">
        <v>1816</v>
      </c>
      <c r="C153" s="188" t="s">
        <v>19</v>
      </c>
    </row>
    <row r="154" spans="1:3" ht="15.75" customHeight="1" x14ac:dyDescent="0.25">
      <c r="A154" s="188" t="s">
        <v>2616</v>
      </c>
      <c r="B154" s="188" t="s">
        <v>1816</v>
      </c>
      <c r="C154" s="188" t="s">
        <v>19</v>
      </c>
    </row>
    <row r="155" spans="1:3" ht="15.75" customHeight="1" x14ac:dyDescent="0.25">
      <c r="A155" s="188" t="s">
        <v>2641</v>
      </c>
      <c r="B155" s="188" t="s">
        <v>6919</v>
      </c>
      <c r="C155" s="188" t="s">
        <v>19</v>
      </c>
    </row>
    <row r="156" spans="1:3" ht="15.75" customHeight="1" x14ac:dyDescent="0.25">
      <c r="A156" s="188" t="s">
        <v>2642</v>
      </c>
      <c r="B156" s="188" t="s">
        <v>6919</v>
      </c>
      <c r="C156" s="188" t="s">
        <v>103</v>
      </c>
    </row>
    <row r="157" spans="1:3" ht="15.75" customHeight="1" x14ac:dyDescent="0.25">
      <c r="A157" s="188" t="s">
        <v>2644</v>
      </c>
      <c r="B157" s="188" t="s">
        <v>1816</v>
      </c>
      <c r="C157" s="188" t="s">
        <v>19</v>
      </c>
    </row>
    <row r="158" spans="1:3" ht="15.75" customHeight="1" x14ac:dyDescent="0.25">
      <c r="A158" s="188" t="s">
        <v>2645</v>
      </c>
      <c r="B158" s="188" t="s">
        <v>1816</v>
      </c>
      <c r="C158" s="188" t="s">
        <v>19</v>
      </c>
    </row>
    <row r="159" spans="1:3" ht="15.75" customHeight="1" x14ac:dyDescent="0.25">
      <c r="A159" t="s">
        <v>2690</v>
      </c>
      <c r="B159" s="188" t="s">
        <v>6919</v>
      </c>
      <c r="C159" s="188" t="s">
        <v>19</v>
      </c>
    </row>
    <row r="160" spans="1:3" ht="15.75" customHeight="1" x14ac:dyDescent="0.25">
      <c r="A160" t="s">
        <v>2702</v>
      </c>
      <c r="B160" s="188" t="s">
        <v>1816</v>
      </c>
      <c r="C160" s="188" t="s">
        <v>19</v>
      </c>
    </row>
    <row r="161" spans="1:3" ht="15.75" customHeight="1" x14ac:dyDescent="0.25">
      <c r="A161" t="s">
        <v>2707</v>
      </c>
      <c r="B161" s="188" t="s">
        <v>1816</v>
      </c>
      <c r="C161" s="188" t="s">
        <v>19</v>
      </c>
    </row>
    <row r="162" spans="1:3" ht="15.75" customHeight="1" x14ac:dyDescent="0.25">
      <c r="A162" t="s">
        <v>2735</v>
      </c>
      <c r="B162" s="188" t="s">
        <v>1816</v>
      </c>
      <c r="C162" s="188" t="s">
        <v>19</v>
      </c>
    </row>
    <row r="163" spans="1:3" ht="15.75" customHeight="1" x14ac:dyDescent="0.25">
      <c r="A163" t="s">
        <v>2738</v>
      </c>
      <c r="B163" s="188" t="s">
        <v>1816</v>
      </c>
      <c r="C163" s="188" t="s">
        <v>19</v>
      </c>
    </row>
    <row r="164" spans="1:3" ht="15.75" customHeight="1" x14ac:dyDescent="0.25">
      <c r="A164" t="s">
        <v>2783</v>
      </c>
      <c r="B164" s="188" t="s">
        <v>1816</v>
      </c>
      <c r="C164" s="188" t="s">
        <v>19</v>
      </c>
    </row>
    <row r="165" spans="1:3" ht="15.75" customHeight="1" x14ac:dyDescent="0.25">
      <c r="A165" t="s">
        <v>2823</v>
      </c>
      <c r="B165" s="188" t="s">
        <v>1816</v>
      </c>
      <c r="C165" s="188" t="s">
        <v>19</v>
      </c>
    </row>
    <row r="166" spans="1:3" ht="15.75" customHeight="1" x14ac:dyDescent="0.25"/>
    <row r="167" spans="1:3" ht="15.75" customHeight="1" x14ac:dyDescent="0.25"/>
    <row r="168" spans="1:3" ht="15.75" customHeight="1" x14ac:dyDescent="0.25"/>
    <row r="169" spans="1:3" ht="15.75" customHeight="1" x14ac:dyDescent="0.25"/>
    <row r="170" spans="1:3" ht="15.75" customHeight="1" x14ac:dyDescent="0.25"/>
    <row r="171" spans="1:3" ht="15.75" customHeight="1" x14ac:dyDescent="0.25"/>
    <row r="172" spans="1:3" ht="15.75" customHeight="1" x14ac:dyDescent="0.25"/>
    <row r="173" spans="1:3" ht="15.75" customHeight="1" x14ac:dyDescent="0.25"/>
    <row r="174" spans="1:3" ht="15.75" customHeight="1" x14ac:dyDescent="0.25"/>
    <row r="175" spans="1:3" ht="15.75" customHeight="1" x14ac:dyDescent="0.25"/>
    <row r="176" spans="1:3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60BA-CF9C-428D-96D8-BED3CCA3EE3D}">
  <dimension ref="A1:C528"/>
  <sheetViews>
    <sheetView topLeftCell="A10" workbookViewId="0">
      <selection activeCell="K19" sqref="K19"/>
    </sheetView>
  </sheetViews>
  <sheetFormatPr baseColWidth="10" defaultColWidth="11.42578125" defaultRowHeight="15" x14ac:dyDescent="0.25"/>
  <cols>
    <col min="1" max="1" width="36.42578125" bestFit="1" customWidth="1"/>
  </cols>
  <sheetData>
    <row r="1" spans="1:3" x14ac:dyDescent="0.25">
      <c r="A1" t="s">
        <v>6921</v>
      </c>
      <c r="B1" t="s">
        <v>6922</v>
      </c>
      <c r="C1" t="s">
        <v>6923</v>
      </c>
    </row>
    <row r="2" spans="1:3" x14ac:dyDescent="0.25">
      <c r="A2" t="s">
        <v>6924</v>
      </c>
      <c r="B2" t="str">
        <f>"-34,4479472"</f>
        <v>-34,4479472</v>
      </c>
      <c r="C2" t="str">
        <f>"-58,7061277"</f>
        <v>-58,7061277</v>
      </c>
    </row>
    <row r="3" spans="1:3" x14ac:dyDescent="0.25">
      <c r="A3" t="s">
        <v>6925</v>
      </c>
      <c r="B3" t="str">
        <f>"-31,4137158"</f>
        <v>-31,4137158</v>
      </c>
      <c r="C3" t="str">
        <f>"-64,1856698"</f>
        <v>-64,1856698</v>
      </c>
    </row>
    <row r="4" spans="1:3" x14ac:dyDescent="0.25">
      <c r="A4" t="s">
        <v>6898</v>
      </c>
      <c r="B4" t="str">
        <f>"-34,604748"</f>
        <v>-34,604748</v>
      </c>
      <c r="C4" t="str">
        <f>"-58,3999929"</f>
        <v>-58,3999929</v>
      </c>
    </row>
    <row r="5" spans="1:3" x14ac:dyDescent="0.25">
      <c r="A5" t="s">
        <v>6926</v>
      </c>
      <c r="B5" t="str">
        <f>"-34,5575537"</f>
        <v>-34,5575537</v>
      </c>
      <c r="C5" t="str">
        <f>"-58,4600583"</f>
        <v>-58,4600583</v>
      </c>
    </row>
    <row r="6" spans="1:3" x14ac:dyDescent="0.25">
      <c r="A6" t="s">
        <v>6927</v>
      </c>
      <c r="B6" t="str">
        <f>"-34,6501907"</f>
        <v>-34,6501907</v>
      </c>
      <c r="C6" t="str">
        <f>"-58,5652073"</f>
        <v>-58,5652073</v>
      </c>
    </row>
    <row r="7" spans="1:3" x14ac:dyDescent="0.25">
      <c r="A7" t="s">
        <v>6928</v>
      </c>
      <c r="B7" t="str">
        <f>"-34,6080059"</f>
        <v>-34,6080059</v>
      </c>
      <c r="C7" t="str">
        <f>"-58,4625299"</f>
        <v>-58,4625299</v>
      </c>
    </row>
    <row r="8" spans="1:3" x14ac:dyDescent="0.25">
      <c r="A8" t="s">
        <v>6929</v>
      </c>
      <c r="B8" t="str">
        <f>"-34,6080059"</f>
        <v>-34,6080059</v>
      </c>
      <c r="C8" t="str">
        <f>"-58,4625299"</f>
        <v>-58,4625299</v>
      </c>
    </row>
    <row r="9" spans="1:3" x14ac:dyDescent="0.25">
      <c r="A9" t="s">
        <v>6930</v>
      </c>
      <c r="B9" t="str">
        <f>"-32,9459539"</f>
        <v>-32,9459539</v>
      </c>
      <c r="C9" t="str">
        <f>"-60,6471041"</f>
        <v>-60,6471041</v>
      </c>
    </row>
    <row r="10" spans="1:3" x14ac:dyDescent="0.25">
      <c r="A10" t="s">
        <v>6931</v>
      </c>
      <c r="B10" t="str">
        <f>"-42,7656006"</f>
        <v>-42,7656006</v>
      </c>
      <c r="C10" t="str">
        <f>"-65,0351368"</f>
        <v>-65,0351368</v>
      </c>
    </row>
    <row r="11" spans="1:3" x14ac:dyDescent="0.25">
      <c r="A11" t="s">
        <v>6932</v>
      </c>
      <c r="B11" t="str">
        <f>"-37,994697"</f>
        <v>-37,994697</v>
      </c>
      <c r="C11" t="str">
        <f>"-57,5536038"</f>
        <v>-57,5536038</v>
      </c>
    </row>
    <row r="12" spans="1:3" x14ac:dyDescent="0.25">
      <c r="A12" t="s">
        <v>6933</v>
      </c>
      <c r="B12" t="str">
        <f>"-38,0020892"</f>
        <v>-38,0020892</v>
      </c>
      <c r="C12" t="str">
        <f>"-57,5485212"</f>
        <v>-57,5485212</v>
      </c>
    </row>
    <row r="13" spans="1:3" x14ac:dyDescent="0.25">
      <c r="A13" t="s">
        <v>6934</v>
      </c>
      <c r="B13" t="str">
        <f>"-32,8917362"</f>
        <v>-32,8917362</v>
      </c>
      <c r="C13" t="str">
        <f>"-68,8404055"</f>
        <v>-68,8404055</v>
      </c>
    </row>
    <row r="14" spans="1:3" x14ac:dyDescent="0.25">
      <c r="A14" t="s">
        <v>6935</v>
      </c>
      <c r="B14" t="str">
        <f>"-32,8894587"</f>
        <v>-32,8894587</v>
      </c>
      <c r="C14" t="str">
        <f>"-68,8458386"</f>
        <v>-68,8458386</v>
      </c>
    </row>
    <row r="15" spans="1:3" x14ac:dyDescent="0.25">
      <c r="A15" t="s">
        <v>6936</v>
      </c>
      <c r="B15" t="str">
        <f>"-31,3953172"</f>
        <v>-31,3953172</v>
      </c>
      <c r="C15" t="str">
        <f>"-58,0173937"</f>
        <v>-58,0173937</v>
      </c>
    </row>
    <row r="16" spans="1:3" x14ac:dyDescent="0.25">
      <c r="A16" t="s">
        <v>6937</v>
      </c>
      <c r="B16" t="str">
        <f>"-31,379676"</f>
        <v>-31,379676</v>
      </c>
      <c r="C16" t="str">
        <f>"-64,1804043"</f>
        <v>-64,1804043</v>
      </c>
    </row>
    <row r="17" spans="1:3" x14ac:dyDescent="0.25">
      <c r="A17" t="s">
        <v>6938</v>
      </c>
      <c r="B17" t="str">
        <f>"-26,8299318"</f>
        <v>-26,8299318</v>
      </c>
      <c r="C17" t="str">
        <f>"-65,2059204"</f>
        <v>-65,2059204</v>
      </c>
    </row>
    <row r="18" spans="1:3" x14ac:dyDescent="0.25">
      <c r="A18" t="s">
        <v>6939</v>
      </c>
      <c r="B18" t="str">
        <f>"-34,4796243"</f>
        <v>-34,4796243</v>
      </c>
      <c r="C18" t="str">
        <f>"-58,6611384"</f>
        <v>-58,6611384</v>
      </c>
    </row>
    <row r="19" spans="1:3" x14ac:dyDescent="0.25">
      <c r="A19" t="s">
        <v>6940</v>
      </c>
      <c r="B19" t="str">
        <f>"-34,7629494"</f>
        <v>-34,7629494</v>
      </c>
      <c r="C19" t="str">
        <f>"-58,2171371"</f>
        <v>-58,2171371</v>
      </c>
    </row>
    <row r="20" spans="1:3" x14ac:dyDescent="0.25">
      <c r="A20" t="s">
        <v>6941</v>
      </c>
      <c r="B20" t="str">
        <f>"-34,7455508"</f>
        <v>-34,7455508</v>
      </c>
      <c r="C20" t="str">
        <f>"-58,495016"</f>
        <v>-58,495016</v>
      </c>
    </row>
    <row r="21" spans="1:3" x14ac:dyDescent="0.25">
      <c r="A21" t="s">
        <v>6942</v>
      </c>
      <c r="B21" t="str">
        <f>"-34,6036844"</f>
        <v>-34,6036844</v>
      </c>
      <c r="C21" t="str">
        <f>"-58,3815591"</f>
        <v>-58,3815591</v>
      </c>
    </row>
    <row r="22" spans="1:3" x14ac:dyDescent="0.25">
      <c r="A22" t="s">
        <v>6943</v>
      </c>
      <c r="B22" t="str">
        <f>"-34,5791537"</f>
        <v>-34,5791537</v>
      </c>
      <c r="C22" t="str">
        <f>"-58,3739171"</f>
        <v>-58,3739171</v>
      </c>
    </row>
    <row r="23" spans="1:3" x14ac:dyDescent="0.25">
      <c r="A23" t="s">
        <v>6944</v>
      </c>
      <c r="B23" t="str">
        <f>"-34,6461882"</f>
        <v>-34,6461882</v>
      </c>
      <c r="C23" t="str">
        <f>"-58,386777"</f>
        <v>-58,386777</v>
      </c>
    </row>
    <row r="24" spans="1:3" x14ac:dyDescent="0.25">
      <c r="A24" t="s">
        <v>6945</v>
      </c>
      <c r="B24" t="str">
        <f>"-34,6419697"</f>
        <v>-34,6419697</v>
      </c>
      <c r="C24" t="str">
        <f>"-58,3479608"</f>
        <v>-58,3479608</v>
      </c>
    </row>
    <row r="25" spans="1:3" x14ac:dyDescent="0.25">
      <c r="A25" t="s">
        <v>6946</v>
      </c>
      <c r="B25" t="str">
        <f>"-34,6123879"</f>
        <v>-34,6123879</v>
      </c>
      <c r="C25" t="str">
        <f>"-58,372595"</f>
        <v>-58,372595</v>
      </c>
    </row>
    <row r="26" spans="1:3" x14ac:dyDescent="0.25">
      <c r="A26" t="s">
        <v>6947</v>
      </c>
      <c r="B26" t="str">
        <f>"-34,59868"</f>
        <v>-34,59868</v>
      </c>
      <c r="C26" t="str">
        <f>"-58,37794"</f>
        <v>-58,37794</v>
      </c>
    </row>
    <row r="27" spans="1:3" x14ac:dyDescent="0.25">
      <c r="A27" t="s">
        <v>6948</v>
      </c>
      <c r="B27" t="str">
        <f>"-34,5069567"</f>
        <v>-34,5069567</v>
      </c>
      <c r="C27" t="str">
        <f>"-58,5019086"</f>
        <v>-58,5019086</v>
      </c>
    </row>
    <row r="28" spans="1:3" x14ac:dyDescent="0.25">
      <c r="A28" t="s">
        <v>6949</v>
      </c>
      <c r="B28" t="str">
        <f>"-34,57161"</f>
        <v>-34,57161</v>
      </c>
      <c r="C28" t="str">
        <f>"-58,3967061"</f>
        <v>-58,3967061</v>
      </c>
    </row>
    <row r="29" spans="1:3" x14ac:dyDescent="0.25">
      <c r="A29" t="s">
        <v>6950</v>
      </c>
      <c r="B29" t="str">
        <f>"-34,5767412"</f>
        <v>-34,5767412</v>
      </c>
      <c r="C29" t="str">
        <f>"-58,3887835"</f>
        <v>-58,3887835</v>
      </c>
    </row>
    <row r="30" spans="1:3" x14ac:dyDescent="0.25">
      <c r="A30" t="s">
        <v>6951</v>
      </c>
      <c r="B30" t="str">
        <f>"-34,5767412"</f>
        <v>-34,5767412</v>
      </c>
      <c r="C30" t="str">
        <f>"-58,3887835"</f>
        <v>-58,3887835</v>
      </c>
    </row>
    <row r="31" spans="1:3" x14ac:dyDescent="0.25">
      <c r="A31" t="s">
        <v>6952</v>
      </c>
      <c r="B31" t="str">
        <f>"-34,6560245"</f>
        <v>-34,6560245</v>
      </c>
      <c r="C31" t="str">
        <f>"-58,393374"</f>
        <v>-58,393374</v>
      </c>
    </row>
    <row r="32" spans="1:3" x14ac:dyDescent="0.25">
      <c r="A32" t="s">
        <v>6953</v>
      </c>
      <c r="B32" t="str">
        <f>"-34,620755"</f>
        <v>-34,620755</v>
      </c>
      <c r="C32" t="str">
        <f>"-58,358779"</f>
        <v>-58,358779</v>
      </c>
    </row>
    <row r="33" spans="1:3" x14ac:dyDescent="0.25">
      <c r="A33" t="s">
        <v>6954</v>
      </c>
      <c r="B33" t="str">
        <f>"-34,7204862"</f>
        <v>-34,7204862</v>
      </c>
      <c r="C33" t="str">
        <f>"-58,5861241"</f>
        <v>-58,5861241</v>
      </c>
    </row>
    <row r="34" spans="1:3" x14ac:dyDescent="0.25">
      <c r="A34" t="s">
        <v>6955</v>
      </c>
      <c r="B34" t="str">
        <f>"-34,5740334"</f>
        <v>-34,5740334</v>
      </c>
      <c r="C34" t="str">
        <f>"-58,3923743"</f>
        <v>-58,3923743</v>
      </c>
    </row>
    <row r="35" spans="1:3" x14ac:dyDescent="0.25">
      <c r="A35" t="s">
        <v>6956</v>
      </c>
      <c r="B35" t="str">
        <f>"-34,6862922"</f>
        <v>-34,6862922</v>
      </c>
      <c r="C35" t="str">
        <f>"-58,3638244"</f>
        <v>-58,3638244</v>
      </c>
    </row>
    <row r="36" spans="1:3" x14ac:dyDescent="0.25">
      <c r="A36" t="s">
        <v>6957</v>
      </c>
      <c r="B36" t="str">
        <f>"-34,6449826"</f>
        <v>-34,6449826</v>
      </c>
      <c r="C36" t="str">
        <f>"-58,3471526"</f>
        <v>-58,3471526</v>
      </c>
    </row>
    <row r="37" spans="1:3" x14ac:dyDescent="0.25">
      <c r="A37" t="s">
        <v>6958</v>
      </c>
      <c r="B37" t="str">
        <f>"-34,8543335"</f>
        <v>-34,8543335</v>
      </c>
      <c r="C37" t="str">
        <f>"-57,9079667"</f>
        <v>-57,9079667</v>
      </c>
    </row>
    <row r="38" spans="1:3" x14ac:dyDescent="0.25">
      <c r="A38" t="s">
        <v>6959</v>
      </c>
      <c r="B38" t="str">
        <f>"-34,48146"</f>
        <v>-34,48146</v>
      </c>
      <c r="C38" t="str">
        <f>"-58,60739"</f>
        <v>-58,60739</v>
      </c>
    </row>
    <row r="39" spans="1:3" x14ac:dyDescent="0.25">
      <c r="A39" t="s">
        <v>6960</v>
      </c>
      <c r="B39" t="str">
        <f>"-34,622848"</f>
        <v>-34,622848</v>
      </c>
      <c r="C39" t="str">
        <f>"-58,3547115"</f>
        <v>-58,3547115</v>
      </c>
    </row>
    <row r="40" spans="1:3" x14ac:dyDescent="0.25">
      <c r="A40" t="s">
        <v>6961</v>
      </c>
      <c r="B40" t="str">
        <f>"-34,5827896"</f>
        <v>-34,5827896</v>
      </c>
      <c r="C40" t="str">
        <f>"-58,3698184"</f>
        <v>-58,3698184</v>
      </c>
    </row>
    <row r="41" spans="1:3" x14ac:dyDescent="0.25">
      <c r="A41" t="s">
        <v>6962</v>
      </c>
      <c r="B41" t="str">
        <f>"-34,6267531"</f>
        <v>-34,6267531</v>
      </c>
      <c r="C41" t="str">
        <f>"-58,3542882"</f>
        <v>-58,3542882</v>
      </c>
    </row>
    <row r="42" spans="1:3" x14ac:dyDescent="0.25">
      <c r="A42" t="s">
        <v>6963</v>
      </c>
      <c r="B42" t="str">
        <f>"-34,6417147"</f>
        <v>-34,6417147</v>
      </c>
      <c r="C42" t="str">
        <f>"-58,3603708"</f>
        <v>-58,3603708</v>
      </c>
    </row>
    <row r="43" spans="1:3" x14ac:dyDescent="0.25">
      <c r="A43" t="s">
        <v>6964</v>
      </c>
      <c r="B43" t="str">
        <f>"-34,4948079"</f>
        <v>-34,4948079</v>
      </c>
      <c r="C43" t="str">
        <f>"-58,5164546"</f>
        <v>-58,5164546</v>
      </c>
    </row>
    <row r="44" spans="1:3" x14ac:dyDescent="0.25">
      <c r="A44" t="s">
        <v>6965</v>
      </c>
      <c r="B44" t="str">
        <f>"-34,6103283"</f>
        <v>-34,6103283</v>
      </c>
      <c r="C44" t="str">
        <f>"-58,4088624"</f>
        <v>-58,4088624</v>
      </c>
    </row>
    <row r="45" spans="1:3" x14ac:dyDescent="0.25">
      <c r="A45" t="s">
        <v>6966</v>
      </c>
      <c r="B45" t="str">
        <f>"-34,5761917"</f>
        <v>-34,5761917</v>
      </c>
      <c r="C45" t="str">
        <f>"-58,4487479"</f>
        <v>-58,4487479</v>
      </c>
    </row>
    <row r="46" spans="1:3" x14ac:dyDescent="0.25">
      <c r="A46" t="s">
        <v>6967</v>
      </c>
      <c r="B46" t="str">
        <f>"-32,1738657"</f>
        <v>-32,1738657</v>
      </c>
      <c r="C46" t="str">
        <f>"-64,112158"</f>
        <v>-64,112158</v>
      </c>
    </row>
    <row r="47" spans="1:3" x14ac:dyDescent="0.25">
      <c r="A47" t="s">
        <v>6968</v>
      </c>
      <c r="B47" t="str">
        <f>"-34,5945019"</f>
        <v>-34,5945019</v>
      </c>
      <c r="C47" t="str">
        <f>"-58,4290399"</f>
        <v>-58,4290399</v>
      </c>
    </row>
    <row r="48" spans="1:3" x14ac:dyDescent="0.25">
      <c r="A48" t="s">
        <v>6969</v>
      </c>
      <c r="B48" t="str">
        <f>"-34,9158207"</f>
        <v>-34,9158207</v>
      </c>
      <c r="C48" t="str">
        <f>"-57,9547143"</f>
        <v>-57,9547143</v>
      </c>
    </row>
    <row r="49" spans="1:3" x14ac:dyDescent="0.25">
      <c r="A49" t="s">
        <v>6970</v>
      </c>
      <c r="B49" t="str">
        <f>"-34,6080059"</f>
        <v>-34,6080059</v>
      </c>
      <c r="C49" t="str">
        <f>"-58,4625299"</f>
        <v>-58,4625299</v>
      </c>
    </row>
    <row r="50" spans="1:3" x14ac:dyDescent="0.25">
      <c r="A50" t="s">
        <v>6971</v>
      </c>
      <c r="B50" t="str">
        <f>"-31,4123238"</f>
        <v>-31,4123238</v>
      </c>
      <c r="C50" t="str">
        <f>"-64,1826061"</f>
        <v>-64,1826061</v>
      </c>
    </row>
    <row r="51" spans="1:3" x14ac:dyDescent="0.25">
      <c r="A51" t="s">
        <v>6972</v>
      </c>
      <c r="B51" t="str">
        <f>"-40,8119087"</f>
        <v>-40,8119087</v>
      </c>
      <c r="C51" t="str">
        <f>"-62,9962044"</f>
        <v>-62,9962044</v>
      </c>
    </row>
    <row r="52" spans="1:3" x14ac:dyDescent="0.25">
      <c r="A52" t="s">
        <v>6973</v>
      </c>
      <c r="B52" t="str">
        <f>"-53,7858183"</f>
        <v>-53,7858183</v>
      </c>
      <c r="C52" t="str">
        <f>"-67,704748"</f>
        <v>-67,704748</v>
      </c>
    </row>
    <row r="53" spans="1:3" x14ac:dyDescent="0.25">
      <c r="A53" t="s">
        <v>6974</v>
      </c>
      <c r="B53" t="str">
        <f>"-34,5948714"</f>
        <v>-34,5948714</v>
      </c>
      <c r="C53" t="str">
        <f>"-58,3735174"</f>
        <v>-58,3735174</v>
      </c>
    </row>
    <row r="54" spans="1:3" x14ac:dyDescent="0.25">
      <c r="A54" t="s">
        <v>6975</v>
      </c>
      <c r="B54" t="str">
        <f>"25,6750019"</f>
        <v>25,6750019</v>
      </c>
      <c r="C54" t="str">
        <f>"-100,4696273"</f>
        <v>-100,4696273</v>
      </c>
    </row>
    <row r="55" spans="1:3" x14ac:dyDescent="0.25">
      <c r="A55" t="s">
        <v>6976</v>
      </c>
      <c r="B55" t="str">
        <f>"-34,5673765"</f>
        <v>-34,5673765</v>
      </c>
      <c r="C55" t="str">
        <f>"-58,4372148"</f>
        <v>-58,4372148</v>
      </c>
    </row>
    <row r="56" spans="1:3" x14ac:dyDescent="0.25">
      <c r="A56" t="s">
        <v>6977</v>
      </c>
      <c r="B56" t="str">
        <f>"-34,4891704"</f>
        <v>-34,4891704</v>
      </c>
      <c r="C56" t="str">
        <f>"-58,4996792"</f>
        <v>-58,4996792</v>
      </c>
    </row>
    <row r="57" spans="1:3" x14ac:dyDescent="0.25">
      <c r="A57" t="s">
        <v>6978</v>
      </c>
      <c r="B57" t="str">
        <f>"-34,595728"</f>
        <v>-34,595728</v>
      </c>
      <c r="C57" t="str">
        <f>"-58,392329"</f>
        <v>-58,392329</v>
      </c>
    </row>
    <row r="58" spans="1:3" x14ac:dyDescent="0.25">
      <c r="A58" t="s">
        <v>6979</v>
      </c>
      <c r="B58" t="str">
        <f>"-34,5587809"</f>
        <v>-34,5587809</v>
      </c>
      <c r="C58" t="str">
        <f>"-58,4592546"</f>
        <v>-58,4592546</v>
      </c>
    </row>
    <row r="59" spans="1:3" x14ac:dyDescent="0.25">
      <c r="A59" t="s">
        <v>6980</v>
      </c>
      <c r="B59" t="str">
        <f>"-34,6188617"</f>
        <v>-34,6188617</v>
      </c>
      <c r="C59" t="str">
        <f>"-58,4364419"</f>
        <v>-58,4364419</v>
      </c>
    </row>
    <row r="60" spans="1:3" x14ac:dyDescent="0.25">
      <c r="A60" t="s">
        <v>6981</v>
      </c>
      <c r="B60" t="str">
        <f>"-34,5876422"</f>
        <v>-34,5876422</v>
      </c>
      <c r="C60" t="str">
        <f>"-58,4118658"</f>
        <v>-58,4118658</v>
      </c>
    </row>
    <row r="61" spans="1:3" x14ac:dyDescent="0.25">
      <c r="A61" t="s">
        <v>6982</v>
      </c>
      <c r="B61" t="str">
        <f>"-34,6044866"</f>
        <v>-34,6044866</v>
      </c>
      <c r="C61" t="str">
        <f>"-58,4037605"</f>
        <v>-58,4037605</v>
      </c>
    </row>
    <row r="62" spans="1:3" x14ac:dyDescent="0.25">
      <c r="A62" t="s">
        <v>6983</v>
      </c>
      <c r="B62" t="str">
        <f>"-34,5807441"</f>
        <v>-34,5807441</v>
      </c>
      <c r="C62" t="str">
        <f>"-58,4070947"</f>
        <v>-58,4070947</v>
      </c>
    </row>
    <row r="63" spans="1:3" x14ac:dyDescent="0.25">
      <c r="A63" t="s">
        <v>6984</v>
      </c>
      <c r="B63" t="str">
        <f>"-34,5892469"</f>
        <v>-34,5892469</v>
      </c>
      <c r="C63" t="str">
        <f>"-58,3938866"</f>
        <v>-58,3938866</v>
      </c>
    </row>
    <row r="64" spans="1:3" x14ac:dyDescent="0.25">
      <c r="A64" t="s">
        <v>6985</v>
      </c>
      <c r="B64" t="str">
        <f>"-34,5746571"</f>
        <v>-34,5746571</v>
      </c>
      <c r="C64" t="str">
        <f>"-58,4873776"</f>
        <v>-58,4873776</v>
      </c>
    </row>
    <row r="65" spans="1:3" x14ac:dyDescent="0.25">
      <c r="A65" t="s">
        <v>6986</v>
      </c>
      <c r="B65" t="str">
        <f>"-34,6099359"</f>
        <v>-34,6099359</v>
      </c>
      <c r="C65" t="str">
        <f>"-58,3629546"</f>
        <v>-58,3629546</v>
      </c>
    </row>
    <row r="66" spans="1:3" x14ac:dyDescent="0.25">
      <c r="A66" t="s">
        <v>6987</v>
      </c>
      <c r="B66" t="str">
        <f>"-34,6262376"</f>
        <v>-34,6262376</v>
      </c>
      <c r="C66" t="str">
        <f>"-58,401295"</f>
        <v>-58,401295</v>
      </c>
    </row>
    <row r="67" spans="1:3" x14ac:dyDescent="0.25">
      <c r="A67" t="s">
        <v>6988</v>
      </c>
      <c r="B67" t="str">
        <f>"-34,6335886"</f>
        <v>-34,6335886</v>
      </c>
      <c r="C67" t="str">
        <f>"-58,4820756"</f>
        <v>-58,4820756</v>
      </c>
    </row>
    <row r="68" spans="1:3" x14ac:dyDescent="0.25">
      <c r="A68" t="s">
        <v>6989</v>
      </c>
      <c r="B68" t="str">
        <f>"-34,6263616"</f>
        <v>-34,6263616</v>
      </c>
      <c r="C68" t="str">
        <f>"-58,4005063"</f>
        <v>-58,4005063</v>
      </c>
    </row>
    <row r="69" spans="1:3" x14ac:dyDescent="0.25">
      <c r="A69" t="s">
        <v>6990</v>
      </c>
      <c r="B69" t="str">
        <f>"-34,6265151"</f>
        <v>-34,6265151</v>
      </c>
      <c r="C69" t="str">
        <f>"-58,401175"</f>
        <v>-58,401175</v>
      </c>
    </row>
    <row r="70" spans="1:3" x14ac:dyDescent="0.25">
      <c r="A70" t="s">
        <v>6991</v>
      </c>
      <c r="B70" t="str">
        <f>"-34,6264638"</f>
        <v>-34,6264638</v>
      </c>
      <c r="C70" t="str">
        <f>"-58,4009966"</f>
        <v>-58,4009966</v>
      </c>
    </row>
    <row r="71" spans="1:3" x14ac:dyDescent="0.25">
      <c r="A71" t="s">
        <v>6992</v>
      </c>
      <c r="B71" t="str">
        <f>"-34,6264462"</f>
        <v>-34,6264462</v>
      </c>
      <c r="C71" t="str">
        <f>"-58,4014069"</f>
        <v>-58,4014069</v>
      </c>
    </row>
    <row r="72" spans="1:3" x14ac:dyDescent="0.25">
      <c r="A72" t="s">
        <v>6993</v>
      </c>
      <c r="B72" t="str">
        <f>"-34,6363346"</f>
        <v>-34,6363346</v>
      </c>
      <c r="C72" t="str">
        <f>"-58,4932665"</f>
        <v>-58,4932665</v>
      </c>
    </row>
    <row r="73" spans="1:3" x14ac:dyDescent="0.25">
      <c r="A73" t="s">
        <v>6994</v>
      </c>
      <c r="B73" t="str">
        <f>"-34,6532968"</f>
        <v>-34,6532968</v>
      </c>
      <c r="C73" t="str">
        <f>"-58,4168245"</f>
        <v>-58,4168245</v>
      </c>
    </row>
    <row r="74" spans="1:3" x14ac:dyDescent="0.25">
      <c r="A74" t="s">
        <v>6995</v>
      </c>
      <c r="B74" t="str">
        <f>"-34,6262745"</f>
        <v>-34,6262745</v>
      </c>
      <c r="C74" t="str">
        <f>"-58,4003985"</f>
        <v>-58,4003985</v>
      </c>
    </row>
    <row r="75" spans="1:3" x14ac:dyDescent="0.25">
      <c r="A75" t="s">
        <v>6996</v>
      </c>
      <c r="B75" t="str">
        <f>"-34,6253619"</f>
        <v>-34,6253619</v>
      </c>
      <c r="C75" t="str">
        <f>"-58,4820243"</f>
        <v>-58,4820243</v>
      </c>
    </row>
    <row r="76" spans="1:3" x14ac:dyDescent="0.25">
      <c r="A76" t="s">
        <v>6997</v>
      </c>
      <c r="B76" t="str">
        <f>"-34,6363809"</f>
        <v>-34,6363809</v>
      </c>
      <c r="C76" t="str">
        <f>"-58,4932244"</f>
        <v>-58,4932244</v>
      </c>
    </row>
    <row r="77" spans="1:3" x14ac:dyDescent="0.25">
      <c r="A77" t="s">
        <v>6998</v>
      </c>
      <c r="B77" t="str">
        <f>"-34,594732"</f>
        <v>-34,594732</v>
      </c>
      <c r="C77" t="str">
        <f>"-58,401964"</f>
        <v>-58,401964</v>
      </c>
    </row>
    <row r="78" spans="1:3" x14ac:dyDescent="0.25">
      <c r="A78" t="s">
        <v>6999</v>
      </c>
      <c r="B78" t="str">
        <f>"-34,6594044"</f>
        <v>-34,6594044</v>
      </c>
      <c r="C78" t="str">
        <f>"-58,4414921"</f>
        <v>-58,4414921</v>
      </c>
    </row>
    <row r="79" spans="1:3" x14ac:dyDescent="0.25">
      <c r="A79" t="s">
        <v>7000</v>
      </c>
      <c r="B79" t="str">
        <f>"-34,6401486"</f>
        <v>-34,6401486</v>
      </c>
      <c r="C79" t="str">
        <f>"-58,5286065"</f>
        <v>-58,5286065</v>
      </c>
    </row>
    <row r="80" spans="1:3" x14ac:dyDescent="0.25">
      <c r="A80" t="s">
        <v>7001</v>
      </c>
      <c r="B80" t="str">
        <f>"-34,4475286"</f>
        <v>-34,4475286</v>
      </c>
      <c r="C80" t="str">
        <f>"-58,8677818"</f>
        <v>-58,8677818</v>
      </c>
    </row>
    <row r="81" spans="1:3" x14ac:dyDescent="0.25">
      <c r="A81" t="s">
        <v>7002</v>
      </c>
      <c r="B81" t="str">
        <f>"-34,7764075"</f>
        <v>-34,7764075</v>
      </c>
      <c r="C81" t="str">
        <f>"-58,4072824"</f>
        <v>-58,4072824</v>
      </c>
    </row>
    <row r="82" spans="1:3" x14ac:dyDescent="0.25">
      <c r="A82" t="s">
        <v>7003</v>
      </c>
      <c r="B82" t="str">
        <f>"-34,8669412"</f>
        <v>-34,8669412</v>
      </c>
      <c r="C82" t="str">
        <f>"-58,0427097"</f>
        <v>-58,0427097</v>
      </c>
    </row>
    <row r="83" spans="1:3" x14ac:dyDescent="0.25">
      <c r="A83" t="s">
        <v>7004</v>
      </c>
      <c r="B83" t="str">
        <f>"-34,6222288"</f>
        <v>-34,6222288</v>
      </c>
      <c r="C83" t="str">
        <f>"-58,4374381"</f>
        <v>-58,4374381</v>
      </c>
    </row>
    <row r="84" spans="1:3" x14ac:dyDescent="0.25">
      <c r="A84" t="s">
        <v>7005</v>
      </c>
      <c r="B84" t="str">
        <f>"-34,9204948"</f>
        <v>-34,9204948</v>
      </c>
      <c r="C84" t="str">
        <f>"-57,9535657"</f>
        <v>-57,9535657</v>
      </c>
    </row>
    <row r="85" spans="1:3" x14ac:dyDescent="0.25">
      <c r="A85" t="s">
        <v>7006</v>
      </c>
      <c r="B85" t="str">
        <f>"-34,6031052"</f>
        <v>-34,6031052</v>
      </c>
      <c r="C85" t="str">
        <f>"-58,3749376"</f>
        <v>-58,3749376</v>
      </c>
    </row>
    <row r="86" spans="1:3" x14ac:dyDescent="0.25">
      <c r="A86" t="s">
        <v>7007</v>
      </c>
      <c r="B86" t="str">
        <f>"-34,5673765"</f>
        <v>-34,5673765</v>
      </c>
      <c r="C86" t="str">
        <f>"-58,4372148"</f>
        <v>-58,4372148</v>
      </c>
    </row>
    <row r="87" spans="1:3" x14ac:dyDescent="0.25">
      <c r="A87" t="s">
        <v>7008</v>
      </c>
      <c r="B87" t="str">
        <f>"-34,595244"</f>
        <v>-34,595244</v>
      </c>
      <c r="C87" t="str">
        <f>"-58,3935523"</f>
        <v>-58,3935523</v>
      </c>
    </row>
    <row r="88" spans="1:3" x14ac:dyDescent="0.25">
      <c r="A88" t="s">
        <v>7009</v>
      </c>
      <c r="B88" t="str">
        <f>"-34,6283465"</f>
        <v>-34,6283465</v>
      </c>
      <c r="C88" t="str">
        <f>"-58,4595638"</f>
        <v>-58,4595638</v>
      </c>
    </row>
    <row r="89" spans="1:3" x14ac:dyDescent="0.25">
      <c r="A89" t="s">
        <v>7010</v>
      </c>
      <c r="B89" t="str">
        <f>"-34,5782918"</f>
        <v>-34,5782918</v>
      </c>
      <c r="C89" t="str">
        <f>"-58,488749"</f>
        <v>-58,488749</v>
      </c>
    </row>
    <row r="90" spans="1:3" x14ac:dyDescent="0.25">
      <c r="A90" t="s">
        <v>7011</v>
      </c>
      <c r="B90" t="str">
        <f>"-34,4043652"</f>
        <v>-34,4043652</v>
      </c>
      <c r="C90" t="str">
        <f>"-58,6201247"</f>
        <v>-58,6201247</v>
      </c>
    </row>
    <row r="91" spans="1:3" x14ac:dyDescent="0.25">
      <c r="A91" t="s">
        <v>7012</v>
      </c>
      <c r="B91" t="str">
        <f>"-34,619689"</f>
        <v>-34,619689</v>
      </c>
      <c r="C91" t="str">
        <f>"-58,5054469"</f>
        <v>-58,5054469</v>
      </c>
    </row>
    <row r="92" spans="1:3" x14ac:dyDescent="0.25">
      <c r="A92" t="s">
        <v>7013</v>
      </c>
      <c r="B92" t="str">
        <f>"-34,5724714"</f>
        <v>-34,5724714</v>
      </c>
      <c r="C92" t="str">
        <f>"-58,4332669"</f>
        <v>-58,4332669</v>
      </c>
    </row>
    <row r="93" spans="1:3" x14ac:dyDescent="0.25">
      <c r="A93" t="s">
        <v>7014</v>
      </c>
      <c r="B93" t="str">
        <f>"-34,4692612"</f>
        <v>-34,4692612</v>
      </c>
      <c r="C93" t="str">
        <f>"-58,5101955"</f>
        <v>-58,5101955</v>
      </c>
    </row>
    <row r="94" spans="1:3" x14ac:dyDescent="0.25">
      <c r="A94" t="s">
        <v>7015</v>
      </c>
      <c r="B94" t="str">
        <f>"-34,5998588"</f>
        <v>-34,5998588</v>
      </c>
      <c r="C94" t="str">
        <f>"-58,4610204"</f>
        <v>-58,4610204</v>
      </c>
    </row>
    <row r="95" spans="1:3" x14ac:dyDescent="0.25">
      <c r="A95" t="s">
        <v>7016</v>
      </c>
      <c r="B95" t="str">
        <f>"-34,6044234"</f>
        <v>-34,6044234</v>
      </c>
      <c r="C95" t="str">
        <f>"-58,3851634"</f>
        <v>-58,3851634</v>
      </c>
    </row>
    <row r="96" spans="1:3" x14ac:dyDescent="0.25">
      <c r="A96" t="s">
        <v>7017</v>
      </c>
      <c r="B96" t="str">
        <f>"-34,6058249"</f>
        <v>-34,6058249</v>
      </c>
      <c r="C96" t="str">
        <f>"-58,3994387"</f>
        <v>-58,3994387</v>
      </c>
    </row>
    <row r="97" spans="1:3" x14ac:dyDescent="0.25">
      <c r="A97" t="s">
        <v>7018</v>
      </c>
      <c r="B97" t="str">
        <f>"3,4613516"</f>
        <v>3,4613516</v>
      </c>
      <c r="C97" t="str">
        <f>"-76,5297296"</f>
        <v>-76,5297296</v>
      </c>
    </row>
    <row r="98" spans="1:3" x14ac:dyDescent="0.25">
      <c r="A98" t="s">
        <v>7019</v>
      </c>
      <c r="B98" t="str">
        <f>"-31,6500772"</f>
        <v>-31,6500772</v>
      </c>
      <c r="C98" t="str">
        <f>"-60,7075549"</f>
        <v>-60,7075549</v>
      </c>
    </row>
    <row r="99" spans="1:3" x14ac:dyDescent="0.25">
      <c r="A99" t="s">
        <v>7020</v>
      </c>
      <c r="B99" t="str">
        <f>"-32,9472547"</f>
        <v>-32,9472547</v>
      </c>
      <c r="C99" t="str">
        <f>"-60,6476751"</f>
        <v>-60,6476751</v>
      </c>
    </row>
    <row r="100" spans="1:3" x14ac:dyDescent="0.25">
      <c r="A100" t="s">
        <v>7021</v>
      </c>
      <c r="B100" t="str">
        <f>"-31,620485"</f>
        <v>-31,620485</v>
      </c>
      <c r="C100" t="str">
        <f>"-60,6984599"</f>
        <v>-60,6984599</v>
      </c>
    </row>
    <row r="101" spans="1:3" x14ac:dyDescent="0.25">
      <c r="A101" t="s">
        <v>7022</v>
      </c>
      <c r="B101" t="str">
        <f>"-32,9474605"</f>
        <v>-32,9474605</v>
      </c>
      <c r="C101" t="str">
        <f>"-60,6383823"</f>
        <v>-60,6383823</v>
      </c>
    </row>
    <row r="102" spans="1:3" x14ac:dyDescent="0.25">
      <c r="A102" t="s">
        <v>7023</v>
      </c>
      <c r="B102" t="str">
        <f>"-32,9477882"</f>
        <v>-32,9477882</v>
      </c>
      <c r="C102" t="str">
        <f>"-60,6463653"</f>
        <v>-60,6463653</v>
      </c>
    </row>
    <row r="103" spans="1:3" x14ac:dyDescent="0.25">
      <c r="A103" t="s">
        <v>7024</v>
      </c>
      <c r="B103" t="str">
        <f>"-36,696637"</f>
        <v>-36,696637</v>
      </c>
      <c r="C103" t="str">
        <f>"-56,67764"</f>
        <v>-56,67764</v>
      </c>
    </row>
    <row r="104" spans="1:3" x14ac:dyDescent="0.25">
      <c r="A104" t="s">
        <v>7025</v>
      </c>
      <c r="B104" t="str">
        <f>"-37,9708961"</f>
        <v>-37,9708961</v>
      </c>
      <c r="C104" t="str">
        <f>"-57,6347686"</f>
        <v>-57,6347686</v>
      </c>
    </row>
    <row r="105" spans="1:3" x14ac:dyDescent="0.25">
      <c r="A105" t="s">
        <v>7026</v>
      </c>
      <c r="B105" t="str">
        <f>"-34,5755174"</f>
        <v>-34,5755174</v>
      </c>
      <c r="C105" t="str">
        <f>"-58,4036268"</f>
        <v>-58,4036268</v>
      </c>
    </row>
    <row r="106" spans="1:3" x14ac:dyDescent="0.25">
      <c r="A106" t="s">
        <v>7027</v>
      </c>
      <c r="B106" t="str">
        <f>"-38,0054771"</f>
        <v>-38,0054771</v>
      </c>
      <c r="C106" t="str">
        <f>"-57,5426106"</f>
        <v>-57,5426106</v>
      </c>
    </row>
    <row r="107" spans="1:3" x14ac:dyDescent="0.25">
      <c r="A107" t="s">
        <v>7028</v>
      </c>
      <c r="B107" t="str">
        <f>"-34,6042876977883"</f>
        <v>-34,6042876977883</v>
      </c>
      <c r="C107" t="str">
        <f>"-58,4604682049704"</f>
        <v>-58,4604682049704</v>
      </c>
    </row>
    <row r="108" spans="1:3" x14ac:dyDescent="0.25">
      <c r="A108" t="s">
        <v>7029</v>
      </c>
      <c r="B108" t="str">
        <f>"-37,9978013"</f>
        <v>-37,9978013</v>
      </c>
      <c r="C108" t="str">
        <f>"-57,5520598"</f>
        <v>-57,5520598</v>
      </c>
    </row>
    <row r="109" spans="1:3" x14ac:dyDescent="0.25">
      <c r="A109" t="s">
        <v>7030</v>
      </c>
      <c r="B109" t="str">
        <f>"-33,8086201"</f>
        <v>-33,8086201</v>
      </c>
      <c r="C109" t="str">
        <f>"-59,5026421"</f>
        <v>-59,5026421</v>
      </c>
    </row>
    <row r="110" spans="1:3" x14ac:dyDescent="0.25">
      <c r="A110" t="s">
        <v>7031</v>
      </c>
      <c r="B110" t="str">
        <f>"-38,012144"</f>
        <v>-38,012144</v>
      </c>
      <c r="C110" t="str">
        <f>"-57,5438957"</f>
        <v>-57,5438957</v>
      </c>
    </row>
    <row r="111" spans="1:3" x14ac:dyDescent="0.25">
      <c r="A111" t="s">
        <v>7032</v>
      </c>
      <c r="B111" t="str">
        <f>"-38,3852562"</f>
        <v>-38,3852562</v>
      </c>
      <c r="C111" t="str">
        <f>"-60,2652004"</f>
        <v>-60,2652004</v>
      </c>
    </row>
    <row r="112" spans="1:3" x14ac:dyDescent="0.25">
      <c r="A112" t="s">
        <v>7033</v>
      </c>
      <c r="B112" t="str">
        <f>"-34,6525997"</f>
        <v>-34,6525997</v>
      </c>
      <c r="C112" t="str">
        <f>"-59,4319214"</f>
        <v>-59,4319214</v>
      </c>
    </row>
    <row r="113" spans="1:3" x14ac:dyDescent="0.25">
      <c r="A113" t="s">
        <v>7034</v>
      </c>
      <c r="B113" t="str">
        <f>"-38,0043765"</f>
        <v>-38,0043765</v>
      </c>
      <c r="C113" t="str">
        <f>"-57,5591289"</f>
        <v>-57,5591289</v>
      </c>
    </row>
    <row r="114" spans="1:3" x14ac:dyDescent="0.25">
      <c r="A114" t="s">
        <v>7035</v>
      </c>
      <c r="B114" t="str">
        <f>"38,440429"</f>
        <v>38,440429</v>
      </c>
      <c r="C114" t="str">
        <f>"-122,7140548"</f>
        <v>-122,7140548</v>
      </c>
    </row>
    <row r="115" spans="1:3" x14ac:dyDescent="0.25">
      <c r="A115" t="s">
        <v>7036</v>
      </c>
      <c r="B115" t="str">
        <f>"-38,720901"</f>
        <v>-38,720901</v>
      </c>
      <c r="C115" t="str">
        <f>"-62,2608023"</f>
        <v>-62,2608023</v>
      </c>
    </row>
    <row r="116" spans="1:3" x14ac:dyDescent="0.25">
      <c r="A116" t="s">
        <v>7037</v>
      </c>
      <c r="B116" t="str">
        <f>"-38,012144"</f>
        <v>-38,012144</v>
      </c>
      <c r="C116" t="str">
        <f>"-57,5438957"</f>
        <v>-57,5438957</v>
      </c>
    </row>
    <row r="117" spans="1:3" x14ac:dyDescent="0.25">
      <c r="A117" t="s">
        <v>7038</v>
      </c>
      <c r="B117" t="str">
        <f>"-34,5880968"</f>
        <v>-34,5880968</v>
      </c>
      <c r="C117" t="str">
        <f>"-58,3834393"</f>
        <v>-58,3834393</v>
      </c>
    </row>
    <row r="118" spans="1:3" x14ac:dyDescent="0.25">
      <c r="A118" t="s">
        <v>7039</v>
      </c>
      <c r="B118" t="str">
        <f>"-38,5571776"</f>
        <v>-38,5571776</v>
      </c>
      <c r="C118" t="str">
        <f>"-58,7463937"</f>
        <v>-58,7463937</v>
      </c>
    </row>
    <row r="119" spans="1:3" x14ac:dyDescent="0.25">
      <c r="A119" t="s">
        <v>7040</v>
      </c>
      <c r="B119" t="str">
        <f>"-37,3128744"</f>
        <v>-37,3128744</v>
      </c>
      <c r="C119" t="str">
        <f>"-59,1171591"</f>
        <v>-59,1171591</v>
      </c>
    </row>
    <row r="120" spans="1:3" x14ac:dyDescent="0.25">
      <c r="A120" t="s">
        <v>7041</v>
      </c>
      <c r="B120" t="str">
        <f>"-35,6596742"</f>
        <v>-35,6596742</v>
      </c>
      <c r="C120" t="str">
        <f>"-63,7538856"</f>
        <v>-63,7538856</v>
      </c>
    </row>
    <row r="121" spans="1:3" x14ac:dyDescent="0.25">
      <c r="A121" t="s">
        <v>7042</v>
      </c>
      <c r="B121" t="str">
        <f>"-37,9969066"</f>
        <v>-37,9969066</v>
      </c>
      <c r="C121" t="str">
        <f>"-57,5516206"</f>
        <v>-57,5516206</v>
      </c>
    </row>
    <row r="122" spans="1:3" x14ac:dyDescent="0.25">
      <c r="A122" t="s">
        <v>7043</v>
      </c>
      <c r="B122" t="str">
        <f>"-37,9925797"</f>
        <v>-37,9925797</v>
      </c>
      <c r="C122" t="str">
        <f>"-57,5639745"</f>
        <v>-57,5639745</v>
      </c>
    </row>
    <row r="123" spans="1:3" x14ac:dyDescent="0.25">
      <c r="A123" t="s">
        <v>7044</v>
      </c>
      <c r="B123" t="str">
        <f>"-37,991529"</f>
        <v>-37,991529</v>
      </c>
      <c r="C123" t="str">
        <f>"-57,5634274"</f>
        <v>-57,5634274</v>
      </c>
    </row>
    <row r="124" spans="1:3" x14ac:dyDescent="0.25">
      <c r="A124" t="s">
        <v>7045</v>
      </c>
      <c r="B124" t="str">
        <f>"-34,8958363"</f>
        <v>-34,8958363</v>
      </c>
      <c r="C124" t="str">
        <f>"-60,0197814"</f>
        <v>-60,0197814</v>
      </c>
    </row>
    <row r="125" spans="1:3" x14ac:dyDescent="0.25">
      <c r="A125" t="s">
        <v>7046</v>
      </c>
      <c r="B125" t="str">
        <f>"-34,5663931"</f>
        <v>-34,5663931</v>
      </c>
      <c r="C125" t="str">
        <f>"-58,4370551"</f>
        <v>-58,4370551</v>
      </c>
    </row>
    <row r="126" spans="1:3" x14ac:dyDescent="0.25">
      <c r="A126" t="s">
        <v>7047</v>
      </c>
      <c r="B126" t="str">
        <f>"-34,6036844"</f>
        <v>-34,6036844</v>
      </c>
      <c r="C126" t="str">
        <f>"-58,3815591"</f>
        <v>-58,3815591</v>
      </c>
    </row>
    <row r="127" spans="1:3" x14ac:dyDescent="0.25">
      <c r="A127" t="s">
        <v>7048</v>
      </c>
      <c r="B127" t="str">
        <f>"-37,3245522"</f>
        <v>-37,3245522</v>
      </c>
      <c r="C127" t="str">
        <f>"-59,1362665"</f>
        <v>-59,1362665</v>
      </c>
    </row>
    <row r="128" spans="1:3" x14ac:dyDescent="0.25">
      <c r="A128" t="s">
        <v>7049</v>
      </c>
      <c r="B128" t="str">
        <f>"-34,5453074"</f>
        <v>-34,5453074</v>
      </c>
      <c r="C128" t="str">
        <f>"-58,4878006"</f>
        <v>-58,4878006</v>
      </c>
    </row>
    <row r="129" spans="1:3" x14ac:dyDescent="0.25">
      <c r="A129" t="s">
        <v>7050</v>
      </c>
      <c r="B129" t="str">
        <f>"-34,590153"</f>
        <v>-34,590153</v>
      </c>
      <c r="C129" t="str">
        <f>"-60,9453022"</f>
        <v>-60,9453022</v>
      </c>
    </row>
    <row r="130" spans="1:3" x14ac:dyDescent="0.25">
      <c r="A130" t="s">
        <v>7051</v>
      </c>
      <c r="B130" t="str">
        <f>"-24,789883"</f>
        <v>-24,789883</v>
      </c>
      <c r="C130" t="str">
        <f>"-65,4119111"</f>
        <v>-65,4119111</v>
      </c>
    </row>
    <row r="131" spans="1:3" x14ac:dyDescent="0.25">
      <c r="A131" t="s">
        <v>7052</v>
      </c>
      <c r="B131" t="str">
        <f>"-26,8365843"</f>
        <v>-26,8365843</v>
      </c>
      <c r="C131" t="str">
        <f>"-65,1953754"</f>
        <v>-65,1953754</v>
      </c>
    </row>
    <row r="132" spans="1:3" x14ac:dyDescent="0.25">
      <c r="A132" t="s">
        <v>7053</v>
      </c>
      <c r="B132" t="str">
        <f>"-24,7930811"</f>
        <v>-24,7930811</v>
      </c>
      <c r="C132" t="str">
        <f>"-65,4112492"</f>
        <v>-65,4112492</v>
      </c>
    </row>
    <row r="133" spans="1:3" x14ac:dyDescent="0.25">
      <c r="A133" t="s">
        <v>7054</v>
      </c>
      <c r="B133" t="str">
        <f>"-27,7885925"</f>
        <v>-27,7885925</v>
      </c>
      <c r="C133" t="str">
        <f>"-64,2596221"</f>
        <v>-64,2596221</v>
      </c>
    </row>
    <row r="134" spans="1:3" x14ac:dyDescent="0.25">
      <c r="A134" t="s">
        <v>7055</v>
      </c>
      <c r="B134" t="str">
        <f>"-31,3953172"</f>
        <v>-31,3953172</v>
      </c>
      <c r="C134" t="str">
        <f>"-58,0173937"</f>
        <v>-58,0173937</v>
      </c>
    </row>
    <row r="135" spans="1:3" x14ac:dyDescent="0.25">
      <c r="A135" t="s">
        <v>7056</v>
      </c>
      <c r="B135" t="str">
        <f>"-34,6044308"</f>
        <v>-34,6044308</v>
      </c>
      <c r="C135" t="str">
        <f>"-58,4011972"</f>
        <v>-58,4011972</v>
      </c>
    </row>
    <row r="136" spans="1:3" x14ac:dyDescent="0.25">
      <c r="A136" t="s">
        <v>6965</v>
      </c>
      <c r="B136" t="str">
        <f>"-34,6129495"</f>
        <v>-34,6129495</v>
      </c>
      <c r="C136" t="str">
        <f>"-58,4088415"</f>
        <v>-58,4088415</v>
      </c>
    </row>
    <row r="137" spans="1:3" x14ac:dyDescent="0.25">
      <c r="A137" t="s">
        <v>7057</v>
      </c>
      <c r="B137" t="str">
        <f>"-29,4135561"</f>
        <v>-29,4135561</v>
      </c>
      <c r="C137" t="str">
        <f>"-66,853285"</f>
        <v>-66,853285</v>
      </c>
    </row>
    <row r="138" spans="1:3" x14ac:dyDescent="0.25">
      <c r="A138" t="s">
        <v>7058</v>
      </c>
      <c r="B138" t="str">
        <f>"-29,7907288"</f>
        <v>-29,7907288</v>
      </c>
      <c r="C138" t="str">
        <f>"-58,0594218"</f>
        <v>-58,0594218</v>
      </c>
    </row>
    <row r="139" spans="1:3" x14ac:dyDescent="0.25">
      <c r="A139" t="s">
        <v>6966</v>
      </c>
      <c r="B139" t="str">
        <f>"-34,5761917"</f>
        <v>-34,5761917</v>
      </c>
      <c r="C139" t="str">
        <f>"-58,4487479"</f>
        <v>-58,4487479</v>
      </c>
    </row>
    <row r="140" spans="1:3" x14ac:dyDescent="0.25">
      <c r="A140" t="s">
        <v>7059</v>
      </c>
      <c r="B140" t="str">
        <f>"-34,5001815"</f>
        <v>-34,5001815</v>
      </c>
      <c r="C140" t="str">
        <f>"-58,6949477"</f>
        <v>-58,6949477</v>
      </c>
    </row>
    <row r="141" spans="1:3" x14ac:dyDescent="0.25">
      <c r="A141" t="s">
        <v>6968</v>
      </c>
      <c r="B141" t="str">
        <f>"-34,5945019"</f>
        <v>-34,5945019</v>
      </c>
      <c r="C141" t="str">
        <f>"-58,4290399"</f>
        <v>-58,4290399</v>
      </c>
    </row>
    <row r="142" spans="1:3" x14ac:dyDescent="0.25">
      <c r="A142" t="s">
        <v>7060</v>
      </c>
      <c r="B142" t="str">
        <f>"-27,4494823"</f>
        <v>-27,4494823</v>
      </c>
      <c r="C142" t="str">
        <f>"-58,9809705"</f>
        <v>-58,9809705</v>
      </c>
    </row>
    <row r="143" spans="1:3" x14ac:dyDescent="0.25">
      <c r="A143" t="s">
        <v>7061</v>
      </c>
      <c r="B143" t="str">
        <f>"-34,7717698"</f>
        <v>-34,7717698</v>
      </c>
      <c r="C143" t="str">
        <f>"-58,3534861"</f>
        <v>-58,3534861</v>
      </c>
    </row>
    <row r="144" spans="1:3" x14ac:dyDescent="0.25">
      <c r="A144" t="s">
        <v>7062</v>
      </c>
      <c r="B144" t="str">
        <f>"-34,5802669"</f>
        <v>-34,5802669</v>
      </c>
      <c r="C144" t="str">
        <f>"-58,5673333"</f>
        <v>-58,5673333</v>
      </c>
    </row>
    <row r="145" spans="1:3" x14ac:dyDescent="0.25">
      <c r="A145" t="s">
        <v>7063</v>
      </c>
      <c r="B145" t="str">
        <f>"-34,6033208"</f>
        <v>-34,6033208</v>
      </c>
      <c r="C145" t="str">
        <f>"-58,4928113"</f>
        <v>-58,4928113</v>
      </c>
    </row>
    <row r="146" spans="1:3" x14ac:dyDescent="0.25">
      <c r="A146" t="s">
        <v>6931</v>
      </c>
      <c r="B146" t="str">
        <f>"-42,7656006"</f>
        <v>-42,7656006</v>
      </c>
      <c r="C146" t="str">
        <f>"-65,0351368"</f>
        <v>-65,0351368</v>
      </c>
    </row>
    <row r="147" spans="1:3" x14ac:dyDescent="0.25">
      <c r="A147" t="s">
        <v>7064</v>
      </c>
      <c r="B147" t="str">
        <f>"-26,8299318"</f>
        <v>-26,8299318</v>
      </c>
      <c r="C147" t="str">
        <f>"-65,2059204"</f>
        <v>-65,2059204</v>
      </c>
    </row>
    <row r="148" spans="1:3" x14ac:dyDescent="0.25">
      <c r="A148" t="s">
        <v>2972</v>
      </c>
      <c r="B148" t="str">
        <f>"-34,5091988"</f>
        <v>-34,5091988</v>
      </c>
      <c r="C148" t="str">
        <f>"-58,5408863"</f>
        <v>-58,5408863</v>
      </c>
    </row>
    <row r="149" spans="1:3" x14ac:dyDescent="0.25">
      <c r="A149" t="s">
        <v>7065</v>
      </c>
      <c r="B149" t="str">
        <f>"-34,5869219"</f>
        <v>-34,5869219</v>
      </c>
      <c r="C149" t="str">
        <f>"-58,429821"</f>
        <v>-58,429821</v>
      </c>
    </row>
    <row r="150" spans="1:3" x14ac:dyDescent="0.25">
      <c r="A150" t="s">
        <v>7066</v>
      </c>
      <c r="B150" t="str">
        <f>"-42,7862284"</f>
        <v>-42,7862284</v>
      </c>
      <c r="C150" t="str">
        <f>"-65,0434529"</f>
        <v>-65,0434529</v>
      </c>
    </row>
    <row r="151" spans="1:3" x14ac:dyDescent="0.25">
      <c r="A151" t="s">
        <v>7067</v>
      </c>
      <c r="B151" t="str">
        <f>"-32,9399802"</f>
        <v>-32,9399802</v>
      </c>
      <c r="C151" t="str">
        <f>"-60,7089811"</f>
        <v>-60,7089811</v>
      </c>
    </row>
    <row r="152" spans="1:3" x14ac:dyDescent="0.25">
      <c r="A152" t="s">
        <v>7068</v>
      </c>
      <c r="B152" t="str">
        <f>"-41,1334722"</f>
        <v>-41,1334722</v>
      </c>
      <c r="C152" t="str">
        <f>"-71,3102778"</f>
        <v>-71,3102778</v>
      </c>
    </row>
    <row r="153" spans="1:3" x14ac:dyDescent="0.25">
      <c r="A153" t="s">
        <v>7069</v>
      </c>
      <c r="B153" t="str">
        <f>"-27,8056323"</f>
        <v>-27,8056323</v>
      </c>
      <c r="C153" t="str">
        <f>"-64,2653724"</f>
        <v>-64,2653724</v>
      </c>
    </row>
    <row r="154" spans="1:3" x14ac:dyDescent="0.25">
      <c r="A154" t="s">
        <v>7070</v>
      </c>
      <c r="B154" t="str">
        <f>"-51,6193233"</f>
        <v>-51,6193233</v>
      </c>
      <c r="C154" t="str">
        <f>"-69,2203556"</f>
        <v>-69,2203556</v>
      </c>
    </row>
    <row r="155" spans="1:3" x14ac:dyDescent="0.25">
      <c r="A155" t="s">
        <v>7071</v>
      </c>
      <c r="B155" t="str">
        <f>"-41,1336901"</f>
        <v>-41,1336901</v>
      </c>
      <c r="C155" t="str">
        <f>"-71,3047512"</f>
        <v>-71,3047512</v>
      </c>
    </row>
    <row r="156" spans="1:3" x14ac:dyDescent="0.25">
      <c r="A156" t="s">
        <v>7072</v>
      </c>
      <c r="B156" t="str">
        <f>"-32,947778"</f>
        <v>-32,947778</v>
      </c>
      <c r="C156" t="str">
        <f>"-60,6464529"</f>
        <v>-60,6464529</v>
      </c>
    </row>
    <row r="157" spans="1:3" x14ac:dyDescent="0.25">
      <c r="A157" t="s">
        <v>7073</v>
      </c>
      <c r="B157" t="str">
        <f>"-41,1343734"</f>
        <v>-41,1343734</v>
      </c>
      <c r="C157" t="str">
        <f>"-71,2807782"</f>
        <v>-71,2807782</v>
      </c>
    </row>
    <row r="158" spans="1:3" x14ac:dyDescent="0.25">
      <c r="A158" t="s">
        <v>7074</v>
      </c>
      <c r="B158" t="str">
        <f>"-45,8609662"</f>
        <v>-45,8609662</v>
      </c>
      <c r="C158" t="str">
        <f>"-67,4802679"</f>
        <v>-67,4802679</v>
      </c>
    </row>
    <row r="159" spans="1:3" x14ac:dyDescent="0.25">
      <c r="A159" t="s">
        <v>7075</v>
      </c>
      <c r="B159" t="str">
        <f>"-54,8074078"</f>
        <v>-54,8074078</v>
      </c>
      <c r="C159" t="str">
        <f>"-68,3128878"</f>
        <v>-68,3128878</v>
      </c>
    </row>
    <row r="160" spans="1:3" x14ac:dyDescent="0.25">
      <c r="A160" t="s">
        <v>7076</v>
      </c>
      <c r="B160" t="str">
        <f>"-32,8894587"</f>
        <v>-32,8894587</v>
      </c>
      <c r="C160" t="str">
        <f>"-68,8458386"</f>
        <v>-68,8458386</v>
      </c>
    </row>
    <row r="161" spans="1:3" x14ac:dyDescent="0.25">
      <c r="A161" t="s">
        <v>7077</v>
      </c>
      <c r="B161" t="str">
        <f>"-34,5995702"</f>
        <v>-34,5995702</v>
      </c>
      <c r="C161" t="str">
        <f>"-58,4279441"</f>
        <v>-58,4279441</v>
      </c>
    </row>
    <row r="162" spans="1:3" x14ac:dyDescent="0.25">
      <c r="A162" t="s">
        <v>7078</v>
      </c>
      <c r="B162" t="str">
        <f>"-31,5335102"</f>
        <v>-31,5335102</v>
      </c>
      <c r="C162" t="str">
        <f>"-68,4832764"</f>
        <v>-68,4832764</v>
      </c>
    </row>
    <row r="163" spans="1:3" x14ac:dyDescent="0.25">
      <c r="A163" t="s">
        <v>7079</v>
      </c>
      <c r="B163" t="str">
        <f>"-32,9945801"</f>
        <v>-32,9945801</v>
      </c>
      <c r="C163" t="str">
        <f>"-68,6858374"</f>
        <v>-68,6858374</v>
      </c>
    </row>
    <row r="164" spans="1:3" x14ac:dyDescent="0.25">
      <c r="A164" t="s">
        <v>7080</v>
      </c>
      <c r="B164" t="str">
        <f>"-32,8841597"</f>
        <v>-32,8841597</v>
      </c>
      <c r="C164" t="str">
        <f>"-68,8387252"</f>
        <v>-68,8387252</v>
      </c>
    </row>
    <row r="165" spans="1:3" x14ac:dyDescent="0.25">
      <c r="A165" t="s">
        <v>7081</v>
      </c>
      <c r="B165" t="str">
        <f>"-34,6147488"</f>
        <v>-34,6147488</v>
      </c>
      <c r="C165" t="str">
        <f>"-68,332763"</f>
        <v>-68,332763</v>
      </c>
    </row>
    <row r="166" spans="1:3" x14ac:dyDescent="0.25">
      <c r="A166" t="s">
        <v>7082</v>
      </c>
      <c r="B166" t="str">
        <f>"-33,8088481"</f>
        <v>-33,8088481</v>
      </c>
      <c r="C166" t="str">
        <f>"-59,5027461"</f>
        <v>-59,5027461</v>
      </c>
    </row>
    <row r="167" spans="1:3" x14ac:dyDescent="0.25">
      <c r="A167" t="s">
        <v>7083</v>
      </c>
      <c r="B167" t="str">
        <f>"-31,3451187"</f>
        <v>-31,3451187</v>
      </c>
      <c r="C167" t="str">
        <f>"-64,2359393"</f>
        <v>-64,2359393</v>
      </c>
    </row>
    <row r="168" spans="1:3" x14ac:dyDescent="0.25">
      <c r="A168" t="s">
        <v>7084</v>
      </c>
      <c r="B168" t="str">
        <f>"-31,4142631"</f>
        <v>-31,4142631</v>
      </c>
      <c r="C168" t="str">
        <f>"-64,1836164"</f>
        <v>-64,1836164</v>
      </c>
    </row>
    <row r="169" spans="1:3" x14ac:dyDescent="0.25">
      <c r="A169" t="s">
        <v>7085</v>
      </c>
      <c r="B169" t="str">
        <f>"-31,4129569"</f>
        <v>-31,4129569</v>
      </c>
      <c r="C169" t="str">
        <f>"-64,204528"</f>
        <v>-64,204528</v>
      </c>
    </row>
    <row r="170" spans="1:3" x14ac:dyDescent="0.25">
      <c r="A170" t="s">
        <v>7086</v>
      </c>
      <c r="B170" t="str">
        <f>"-33,1240341"</f>
        <v>-33,1240341</v>
      </c>
      <c r="C170" t="str">
        <f>"-64,34755"</f>
        <v>-64,34755</v>
      </c>
    </row>
    <row r="171" spans="1:3" x14ac:dyDescent="0.25">
      <c r="A171" t="s">
        <v>7087</v>
      </c>
      <c r="B171" t="str">
        <f>"-31,4357076"</f>
        <v>-31,4357076</v>
      </c>
      <c r="C171" t="str">
        <f>"-64,1493255"</f>
        <v>-64,1493255</v>
      </c>
    </row>
    <row r="172" spans="1:3" x14ac:dyDescent="0.25">
      <c r="A172" t="s">
        <v>7088</v>
      </c>
      <c r="B172" t="str">
        <f>"-34,56505"</f>
        <v>-34,56505</v>
      </c>
      <c r="C172" t="str">
        <f>"-58,453706"</f>
        <v>-58,453706</v>
      </c>
    </row>
    <row r="173" spans="1:3" x14ac:dyDescent="0.25">
      <c r="A173" t="s">
        <v>7089</v>
      </c>
      <c r="B173" t="str">
        <f>"-34,5635258"</f>
        <v>-34,5635258</v>
      </c>
      <c r="C173" t="str">
        <f>"-58,4560196"</f>
        <v>-58,4560196</v>
      </c>
    </row>
    <row r="174" spans="1:3" x14ac:dyDescent="0.25">
      <c r="A174" t="s">
        <v>7090</v>
      </c>
      <c r="B174" t="str">
        <f>"-34,5951549"</f>
        <v>-34,5951549</v>
      </c>
      <c r="C174" t="str">
        <f>"-58,3990062"</f>
        <v>-58,3990062</v>
      </c>
    </row>
    <row r="175" spans="1:3" x14ac:dyDescent="0.25">
      <c r="A175" t="s">
        <v>7091</v>
      </c>
      <c r="B175" t="str">
        <f>"-34,5939206"</f>
        <v>-34,5939206</v>
      </c>
      <c r="C175" t="str">
        <f>"-58,4045238"</f>
        <v>-58,4045238</v>
      </c>
    </row>
    <row r="176" spans="1:3" x14ac:dyDescent="0.25">
      <c r="A176" t="s">
        <v>7092</v>
      </c>
      <c r="B176" t="str">
        <f>"-34,5706566"</f>
        <v>-34,5706566</v>
      </c>
      <c r="C176" t="str">
        <f>"-58,4451058"</f>
        <v>-58,4451058</v>
      </c>
    </row>
    <row r="177" spans="1:3" x14ac:dyDescent="0.25">
      <c r="A177" t="s">
        <v>7093</v>
      </c>
      <c r="B177" t="str">
        <f>"-34,5155101"</f>
        <v>-34,5155101</v>
      </c>
      <c r="C177" t="str">
        <f>"-58,4878683"</f>
        <v>-58,4878683</v>
      </c>
    </row>
    <row r="178" spans="1:3" x14ac:dyDescent="0.25">
      <c r="A178" t="s">
        <v>7094</v>
      </c>
      <c r="B178" t="str">
        <f>"-34,4695802"</f>
        <v>-34,4695802</v>
      </c>
      <c r="C178" t="str">
        <f>"-58,5111209"</f>
        <v>-58,5111209</v>
      </c>
    </row>
    <row r="179" spans="1:3" x14ac:dyDescent="0.25">
      <c r="A179" t="s">
        <v>7095</v>
      </c>
      <c r="B179" t="str">
        <f>"-34,6036844"</f>
        <v>-34,6036844</v>
      </c>
      <c r="C179" t="str">
        <f>"-58,3815591"</f>
        <v>-58,3815591</v>
      </c>
    </row>
    <row r="180" spans="1:3" x14ac:dyDescent="0.25">
      <c r="A180" t="s">
        <v>7096</v>
      </c>
      <c r="B180" t="str">
        <f>"-34,5846827"</f>
        <v>-34,5846827</v>
      </c>
      <c r="C180" t="str">
        <f>"-58,4170906"</f>
        <v>-58,4170906</v>
      </c>
    </row>
    <row r="181" spans="1:3" x14ac:dyDescent="0.25">
      <c r="A181" t="s">
        <v>7097</v>
      </c>
      <c r="B181" t="str">
        <f>"-34,6396506"</f>
        <v>-34,6396506</v>
      </c>
      <c r="C181" t="str">
        <f>"-58,5275764"</f>
        <v>-58,5275764</v>
      </c>
    </row>
    <row r="182" spans="1:3" x14ac:dyDescent="0.25">
      <c r="A182" t="s">
        <v>7098</v>
      </c>
      <c r="B182" t="str">
        <f>"-34,6819589"</f>
        <v>-34,6819589</v>
      </c>
      <c r="C182" t="str">
        <f>"-58,4830656"</f>
        <v>-58,4830656</v>
      </c>
    </row>
    <row r="183" spans="1:3" x14ac:dyDescent="0.25">
      <c r="A183" t="s">
        <v>7099</v>
      </c>
      <c r="B183" t="str">
        <f>"-34,630331"</f>
        <v>-34,630331</v>
      </c>
      <c r="C183" t="str">
        <f>"-58,462641"</f>
        <v>-58,462641</v>
      </c>
    </row>
    <row r="184" spans="1:3" x14ac:dyDescent="0.25">
      <c r="A184" t="s">
        <v>7100</v>
      </c>
      <c r="B184" t="str">
        <f>"-34,5805783"</f>
        <v>-34,5805783</v>
      </c>
      <c r="C184" t="str">
        <f>"-58,4082052"</f>
        <v>-58,4082052</v>
      </c>
    </row>
    <row r="185" spans="1:3" x14ac:dyDescent="0.25">
      <c r="A185" t="s">
        <v>7101</v>
      </c>
      <c r="B185" t="str">
        <f>"-34,6750155"</f>
        <v>-34,6750155</v>
      </c>
      <c r="C185" t="str">
        <f>"-58,503718"</f>
        <v>-58,503718</v>
      </c>
    </row>
    <row r="186" spans="1:3" x14ac:dyDescent="0.25">
      <c r="A186" t="s">
        <v>7102</v>
      </c>
      <c r="B186" t="str">
        <f>"-31,451281"</f>
        <v>-31,451281</v>
      </c>
      <c r="C186" t="str">
        <f>"-64,1819295"</f>
        <v>-64,1819295</v>
      </c>
    </row>
    <row r="187" spans="1:3" x14ac:dyDescent="0.25">
      <c r="A187" t="s">
        <v>7103</v>
      </c>
      <c r="B187" t="str">
        <f>"-34,8963663"</f>
        <v>-34,8963663</v>
      </c>
      <c r="C187" t="str">
        <f>"-60,0159425"</f>
        <v>-60,0159425</v>
      </c>
    </row>
    <row r="188" spans="1:3" x14ac:dyDescent="0.25">
      <c r="A188" t="s">
        <v>7104</v>
      </c>
      <c r="B188" t="str">
        <f>"-28,4647217"</f>
        <v>-28,4647217</v>
      </c>
      <c r="C188" t="str">
        <f>"-65,8005463"</f>
        <v>-65,8005463</v>
      </c>
    </row>
    <row r="189" spans="1:3" x14ac:dyDescent="0.25">
      <c r="A189" t="s">
        <v>7105</v>
      </c>
      <c r="B189" t="str">
        <f>"-34,4875114"</f>
        <v>-34,4875114</v>
      </c>
      <c r="C189" t="str">
        <f>"-58,4961601"</f>
        <v>-58,4961601</v>
      </c>
    </row>
    <row r="190" spans="1:3" x14ac:dyDescent="0.25">
      <c r="A190" t="s">
        <v>7106</v>
      </c>
      <c r="B190" t="str">
        <f>"-39,0293218"</f>
        <v>-39,0293218</v>
      </c>
      <c r="C190" t="str">
        <f>"-67,5692269"</f>
        <v>-67,5692269</v>
      </c>
    </row>
    <row r="191" spans="1:3" x14ac:dyDescent="0.25">
      <c r="A191" t="s">
        <v>7107</v>
      </c>
      <c r="B191" t="str">
        <f>"-38,7158189"</f>
        <v>-38,7158189</v>
      </c>
      <c r="C191" t="str">
        <f>"-62,2616029"</f>
        <v>-62,2616029</v>
      </c>
    </row>
    <row r="192" spans="1:3" x14ac:dyDescent="0.25">
      <c r="A192" t="s">
        <v>7108</v>
      </c>
      <c r="B192" t="str">
        <f>"-34,5137581"</f>
        <v>-34,5137581</v>
      </c>
      <c r="C192" t="str">
        <f>"-58,5651181"</f>
        <v>-58,5651181</v>
      </c>
    </row>
    <row r="193" spans="1:3" x14ac:dyDescent="0.25">
      <c r="A193" t="s">
        <v>7109</v>
      </c>
      <c r="B193" t="str">
        <f>"-34,5866842"</f>
        <v>-34,5866842</v>
      </c>
      <c r="C193" t="str">
        <f>"-58,5769935"</f>
        <v>-58,5769935</v>
      </c>
    </row>
    <row r="194" spans="1:3" x14ac:dyDescent="0.25">
      <c r="A194" t="s">
        <v>7110</v>
      </c>
      <c r="B194" t="str">
        <f>"-34,6335325"</f>
        <v>-34,6335325</v>
      </c>
      <c r="C194" t="str">
        <f>"-58,7666508"</f>
        <v>-58,7666508</v>
      </c>
    </row>
    <row r="195" spans="1:3" x14ac:dyDescent="0.25">
      <c r="A195" t="s">
        <v>7111</v>
      </c>
      <c r="B195" t="str">
        <f>"-34,7476175"</f>
        <v>-34,7476175</v>
      </c>
      <c r="C195" t="str">
        <f>"-58,4135238"</f>
        <v>-58,4135238</v>
      </c>
    </row>
    <row r="196" spans="1:3" x14ac:dyDescent="0.25">
      <c r="A196" t="s">
        <v>7112</v>
      </c>
      <c r="B196" t="str">
        <f>"-34,6490254"</f>
        <v>-34,6490254</v>
      </c>
      <c r="C196" t="str">
        <f>"-58,5003162"</f>
        <v>-58,5003162</v>
      </c>
    </row>
    <row r="197" spans="1:3" x14ac:dyDescent="0.25">
      <c r="A197" t="s">
        <v>7113</v>
      </c>
      <c r="B197" t="str">
        <f>"-34,5492357"</f>
        <v>-34,5492357</v>
      </c>
      <c r="C197" t="str">
        <f>"-58,5588195"</f>
        <v>-58,5588195</v>
      </c>
    </row>
    <row r="198" spans="1:3" x14ac:dyDescent="0.25">
      <c r="A198" t="s">
        <v>7114</v>
      </c>
      <c r="B198" t="str">
        <f>"-34,700796"</f>
        <v>-34,700796</v>
      </c>
      <c r="C198" t="str">
        <f>"-58,3732961"</f>
        <v>-58,3732961</v>
      </c>
    </row>
    <row r="199" spans="1:3" x14ac:dyDescent="0.25">
      <c r="A199" t="s">
        <v>7115</v>
      </c>
      <c r="B199" t="str">
        <f>"-34,6665562"</f>
        <v>-34,6665562</v>
      </c>
      <c r="C199" t="str">
        <f>"-58,7272164"</f>
        <v>-58,7272164</v>
      </c>
    </row>
    <row r="200" spans="1:3" x14ac:dyDescent="0.25">
      <c r="A200" t="s">
        <v>7116</v>
      </c>
      <c r="B200" t="str">
        <f>"-34,6553316"</f>
        <v>-34,6553316</v>
      </c>
      <c r="C200" t="str">
        <f>"-58,560469"</f>
        <v>-58,560469</v>
      </c>
    </row>
    <row r="201" spans="1:3" x14ac:dyDescent="0.25">
      <c r="A201" t="s">
        <v>7117</v>
      </c>
      <c r="B201" t="str">
        <f>"-34,6553316"</f>
        <v>-34,6553316</v>
      </c>
      <c r="C201" t="str">
        <f>"-58,560469"</f>
        <v>-58,560469</v>
      </c>
    </row>
    <row r="202" spans="1:3" x14ac:dyDescent="0.25">
      <c r="A202" t="s">
        <v>7118</v>
      </c>
      <c r="B202" t="str">
        <f>"-34,9204948"</f>
        <v>-34,9204948</v>
      </c>
      <c r="C202" t="str">
        <f>"-57,9535657"</f>
        <v>-57,9535657</v>
      </c>
    </row>
    <row r="203" spans="1:3" x14ac:dyDescent="0.25">
      <c r="A203" t="s">
        <v>7119</v>
      </c>
      <c r="B203" t="str">
        <f>"-34,6061554"</f>
        <v>-34,6061554</v>
      </c>
      <c r="C203" t="str">
        <f>"-58,402174"</f>
        <v>-58,402174</v>
      </c>
    </row>
    <row r="204" spans="1:3" x14ac:dyDescent="0.25">
      <c r="A204" t="s">
        <v>7120</v>
      </c>
      <c r="B204" t="str">
        <f>"-34,5790846"</f>
        <v>-34,5790846</v>
      </c>
      <c r="C204" t="str">
        <f>"-58,5391764"</f>
        <v>-58,5391764</v>
      </c>
    </row>
    <row r="205" spans="1:3" x14ac:dyDescent="0.25">
      <c r="A205" t="s">
        <v>7121</v>
      </c>
      <c r="B205" t="str">
        <f>"-34,7798134"</f>
        <v>-34,7798134</v>
      </c>
      <c r="C205" t="str">
        <f>"-58,3117067"</f>
        <v>-58,3117067</v>
      </c>
    </row>
    <row r="206" spans="1:3" x14ac:dyDescent="0.25">
      <c r="A206" t="s">
        <v>7122</v>
      </c>
      <c r="B206" t="str">
        <f>"-34,8076042"</f>
        <v>-34,8076042</v>
      </c>
      <c r="C206" t="str">
        <f>"-58,2748212"</f>
        <v>-58,2748212</v>
      </c>
    </row>
    <row r="207" spans="1:3" x14ac:dyDescent="0.25">
      <c r="A207" t="s">
        <v>7123</v>
      </c>
      <c r="B207" t="str">
        <f>"-34,5434401"</f>
        <v>-34,5434401</v>
      </c>
      <c r="C207" t="str">
        <f>"-58,7088058"</f>
        <v>-58,7088058</v>
      </c>
    </row>
    <row r="208" spans="1:3" x14ac:dyDescent="0.25">
      <c r="A208" t="s">
        <v>7124</v>
      </c>
      <c r="B208" t="str">
        <f>"-34,6075427"</f>
        <v>-34,6075427</v>
      </c>
      <c r="C208" t="str">
        <f>"-58,5641806"</f>
        <v>-58,5641806</v>
      </c>
    </row>
    <row r="209" spans="1:3" x14ac:dyDescent="0.25">
      <c r="A209" t="s">
        <v>7125</v>
      </c>
      <c r="B209" t="str">
        <f>"-34,8152941"</f>
        <v>-34,8152941</v>
      </c>
      <c r="C209" t="str">
        <f>"-58,3964943"</f>
        <v>-58,3964943</v>
      </c>
    </row>
    <row r="210" spans="1:3" x14ac:dyDescent="0.25">
      <c r="A210" t="s">
        <v>7126</v>
      </c>
      <c r="B210" t="str">
        <f>"-34,5137581"</f>
        <v>-34,5137581</v>
      </c>
      <c r="C210" t="str">
        <f>"-58,5651181"</f>
        <v>-58,5651181</v>
      </c>
    </row>
    <row r="211" spans="1:3" x14ac:dyDescent="0.25">
      <c r="A211" t="s">
        <v>7127</v>
      </c>
      <c r="B211" t="str">
        <f>"-26,8284071"</f>
        <v>-26,8284071</v>
      </c>
      <c r="C211" t="str">
        <f>"-65,205819"</f>
        <v>-65,205819</v>
      </c>
    </row>
    <row r="212" spans="1:3" x14ac:dyDescent="0.25">
      <c r="A212" t="s">
        <v>7128</v>
      </c>
      <c r="B212" t="str">
        <f>"-34,6752032"</f>
        <v>-34,6752032</v>
      </c>
      <c r="C212" t="str">
        <f>"-58,3846599"</f>
        <v>-58,3846599</v>
      </c>
    </row>
    <row r="213" spans="1:3" x14ac:dyDescent="0.25">
      <c r="A213" t="s">
        <v>7129</v>
      </c>
      <c r="B213" t="str">
        <f>"-33,2284129"</f>
        <v>-33,2284129</v>
      </c>
      <c r="C213" t="str">
        <f>"-60,3287394"</f>
        <v>-60,3287394</v>
      </c>
    </row>
    <row r="214" spans="1:3" x14ac:dyDescent="0.25">
      <c r="A214" t="s">
        <v>7130</v>
      </c>
      <c r="B214" t="str">
        <f>"-24,7975429"</f>
        <v>-24,7975429</v>
      </c>
      <c r="C214" t="str">
        <f>"-65,4174309"</f>
        <v>-65,4174309</v>
      </c>
    </row>
    <row r="215" spans="1:3" x14ac:dyDescent="0.25">
      <c r="A215" t="s">
        <v>7131</v>
      </c>
      <c r="B215" t="str">
        <f>"-46,4417536"</f>
        <v>-46,4417536</v>
      </c>
      <c r="C215" t="str">
        <f>"-67,5185351"</f>
        <v>-67,5185351</v>
      </c>
    </row>
    <row r="216" spans="1:3" x14ac:dyDescent="0.25">
      <c r="A216" t="s">
        <v>7132</v>
      </c>
      <c r="B216" t="str">
        <f>"-34,6582355"</f>
        <v>-34,6582355</v>
      </c>
      <c r="C216" t="str">
        <f>"-58,4796865"</f>
        <v>-58,4796865</v>
      </c>
    </row>
    <row r="217" spans="1:3" x14ac:dyDescent="0.25">
      <c r="A217" t="s">
        <v>7133</v>
      </c>
      <c r="B217" t="str">
        <f>"-24,187147"</f>
        <v>-24,187147</v>
      </c>
      <c r="C217" t="str">
        <f>"-65,30264"</f>
        <v>-65,30264</v>
      </c>
    </row>
    <row r="218" spans="1:3" x14ac:dyDescent="0.25">
      <c r="A218" t="s">
        <v>7134</v>
      </c>
      <c r="B218" t="str">
        <f>"-45,8608874"</f>
        <v>-45,8608874</v>
      </c>
      <c r="C218" t="str">
        <f>"-67,4847559"</f>
        <v>-67,4847559</v>
      </c>
    </row>
    <row r="219" spans="1:3" x14ac:dyDescent="0.25">
      <c r="A219" t="s">
        <v>7135</v>
      </c>
      <c r="B219" t="str">
        <f>"-45,8627487"</f>
        <v>-45,8627487</v>
      </c>
      <c r="C219" t="str">
        <f>"-67,49656"</f>
        <v>-67,49656</v>
      </c>
    </row>
    <row r="220" spans="1:3" x14ac:dyDescent="0.25">
      <c r="A220" t="s">
        <v>7136</v>
      </c>
      <c r="B220" t="str">
        <f>"-54,8054264"</f>
        <v>-54,8054264</v>
      </c>
      <c r="C220" t="str">
        <f>"-68,3023728"</f>
        <v>-68,3023728</v>
      </c>
    </row>
    <row r="221" spans="1:3" x14ac:dyDescent="0.25">
      <c r="A221" t="s">
        <v>7137</v>
      </c>
      <c r="B221" t="str">
        <f>"-34,6536378"</f>
        <v>-34,6536378</v>
      </c>
      <c r="C221" t="str">
        <f>"-58,6292519"</f>
        <v>-58,6292519</v>
      </c>
    </row>
    <row r="222" spans="1:3" x14ac:dyDescent="0.25">
      <c r="A222" t="s">
        <v>7138</v>
      </c>
      <c r="B222" t="str">
        <f>"-34,775065"</f>
        <v>-34,775065</v>
      </c>
      <c r="C222" t="str">
        <f>"-58,6222651"</f>
        <v>-58,6222651</v>
      </c>
    </row>
    <row r="223" spans="1:3" x14ac:dyDescent="0.25">
      <c r="A223" t="s">
        <v>7139</v>
      </c>
      <c r="B223" t="str">
        <f>"-34,6501907"</f>
        <v>-34,6501907</v>
      </c>
      <c r="C223" t="str">
        <f>"-58,5652073"</f>
        <v>-58,5652073</v>
      </c>
    </row>
    <row r="224" spans="1:3" x14ac:dyDescent="0.25">
      <c r="A224" t="s">
        <v>7140</v>
      </c>
      <c r="B224" t="str">
        <f>"-34,6055909"</f>
        <v>-34,6055909</v>
      </c>
      <c r="C224" t="str">
        <f>"-58,399209"</f>
        <v>-58,399209</v>
      </c>
    </row>
    <row r="225" spans="1:3" x14ac:dyDescent="0.25">
      <c r="A225" t="s">
        <v>7141</v>
      </c>
      <c r="B225" t="str">
        <f>"-34,7432302"</f>
        <v>-34,7432302</v>
      </c>
      <c r="C225" t="str">
        <f>"-58,3941962"</f>
        <v>-58,3941962</v>
      </c>
    </row>
    <row r="226" spans="1:3" x14ac:dyDescent="0.25">
      <c r="A226" t="s">
        <v>7142</v>
      </c>
      <c r="B226" t="str">
        <f>"-31,4134037"</f>
        <v>-31,4134037</v>
      </c>
      <c r="C226" t="str">
        <f>"-64,1882027"</f>
        <v>-64,1882027</v>
      </c>
    </row>
    <row r="227" spans="1:3" x14ac:dyDescent="0.25">
      <c r="A227" t="s">
        <v>7143</v>
      </c>
      <c r="B227" t="str">
        <f>"-31,4202255"</f>
        <v>-31,4202255</v>
      </c>
      <c r="C227" t="str">
        <f>"-64,184207"</f>
        <v>-64,184207</v>
      </c>
    </row>
    <row r="228" spans="1:3" x14ac:dyDescent="0.25">
      <c r="A228" t="s">
        <v>7144</v>
      </c>
      <c r="B228" t="str">
        <f>"-33,1645765"</f>
        <v>-33,1645765</v>
      </c>
      <c r="C228" t="str">
        <f>"-64,3594138"</f>
        <v>-64,3594138</v>
      </c>
    </row>
    <row r="229" spans="1:3" x14ac:dyDescent="0.25">
      <c r="A229" t="s">
        <v>7145</v>
      </c>
      <c r="B229" t="str">
        <f>"-31,4209096"</f>
        <v>-31,4209096</v>
      </c>
      <c r="C229" t="str">
        <f>"-64,1845134"</f>
        <v>-64,1845134</v>
      </c>
    </row>
    <row r="230" spans="1:3" x14ac:dyDescent="0.25">
      <c r="A230" t="s">
        <v>7146</v>
      </c>
      <c r="B230" t="str">
        <f>"-31,4201309"</f>
        <v>-31,4201309</v>
      </c>
      <c r="C230" t="str">
        <f>"-64,184587"</f>
        <v>-64,184587</v>
      </c>
    </row>
    <row r="231" spans="1:3" x14ac:dyDescent="0.25">
      <c r="A231" t="s">
        <v>7147</v>
      </c>
      <c r="B231" t="str">
        <f>"-31,415309"</f>
        <v>-31,415309</v>
      </c>
      <c r="C231" t="str">
        <f>"-64,1819089"</f>
        <v>-64,1819089</v>
      </c>
    </row>
    <row r="232" spans="1:3" x14ac:dyDescent="0.25">
      <c r="A232" t="s">
        <v>7148</v>
      </c>
      <c r="B232" t="str">
        <f>"-31,3672544"</f>
        <v>-31,3672544</v>
      </c>
      <c r="C232" t="str">
        <f>"-64,2187348"</f>
        <v>-64,2187348</v>
      </c>
    </row>
    <row r="233" spans="1:3" x14ac:dyDescent="0.25">
      <c r="A233" t="s">
        <v>7149</v>
      </c>
      <c r="B233" t="str">
        <f>"-37,9941672"</f>
        <v>-37,9941672</v>
      </c>
      <c r="C233" t="str">
        <f>"-57,5545386"</f>
        <v>-57,5545386</v>
      </c>
    </row>
    <row r="234" spans="1:3" x14ac:dyDescent="0.25">
      <c r="A234" t="s">
        <v>7150</v>
      </c>
      <c r="B234" t="str">
        <f>"-38,0020892"</f>
        <v>-38,0020892</v>
      </c>
      <c r="C234" t="str">
        <f>"-57,5485212"</f>
        <v>-57,5485212</v>
      </c>
    </row>
    <row r="235" spans="1:3" x14ac:dyDescent="0.25">
      <c r="A235" t="s">
        <v>6930</v>
      </c>
      <c r="B235" t="str">
        <f>"-32,9459735"</f>
        <v>-32,9459735</v>
      </c>
      <c r="C235" t="str">
        <f>"-60,6470286"</f>
        <v>-60,6470286</v>
      </c>
    </row>
    <row r="236" spans="1:3" x14ac:dyDescent="0.25">
      <c r="A236" t="s">
        <v>7151</v>
      </c>
      <c r="B236" t="str">
        <f>"-36,3155099"</f>
        <v>-36,3155099</v>
      </c>
      <c r="C236" t="str">
        <f>"-57,677083"</f>
        <v>-57,677083</v>
      </c>
    </row>
    <row r="237" spans="1:3" x14ac:dyDescent="0.25">
      <c r="A237" t="s">
        <v>7152</v>
      </c>
      <c r="B237" t="str">
        <f>"-45,8644441"</f>
        <v>-45,8644441</v>
      </c>
      <c r="C237" t="str">
        <f>"-67,4971555"</f>
        <v>-67,4971555</v>
      </c>
    </row>
    <row r="238" spans="1:3" x14ac:dyDescent="0.25">
      <c r="A238" t="s">
        <v>7153</v>
      </c>
      <c r="B238" t="str">
        <f>"-34,7593416"</f>
        <v>-34,7593416</v>
      </c>
      <c r="C238" t="str">
        <f>"-58,3985009"</f>
        <v>-58,3985009</v>
      </c>
    </row>
    <row r="239" spans="1:3" x14ac:dyDescent="0.25">
      <c r="A239" t="s">
        <v>7154</v>
      </c>
      <c r="B239" t="str">
        <f>"-32,9766767"</f>
        <v>-32,9766767</v>
      </c>
      <c r="C239" t="str">
        <f>"-60,6513044"</f>
        <v>-60,6513044</v>
      </c>
    </row>
    <row r="240" spans="1:3" x14ac:dyDescent="0.25">
      <c r="A240" t="s">
        <v>7155</v>
      </c>
      <c r="B240" t="str">
        <f>"-34,5151052"</f>
        <v>-34,5151052</v>
      </c>
      <c r="C240" t="str">
        <f>"-58,7662461"</f>
        <v>-58,7662461</v>
      </c>
    </row>
    <row r="241" spans="1:3" x14ac:dyDescent="0.25">
      <c r="A241" t="s">
        <v>7156</v>
      </c>
      <c r="B241" t="str">
        <f>"-32,4210927"</f>
        <v>-32,4210927</v>
      </c>
      <c r="C241" t="str">
        <f>"-63,248076"</f>
        <v>-63,248076</v>
      </c>
    </row>
    <row r="242" spans="1:3" x14ac:dyDescent="0.25">
      <c r="A242" t="s">
        <v>7157</v>
      </c>
      <c r="B242" t="str">
        <f>"-34,6062751"</f>
        <v>-34,6062751</v>
      </c>
      <c r="C242" t="str">
        <f>"-58,4859095"</f>
        <v>-58,4859095</v>
      </c>
    </row>
    <row r="243" spans="1:3" x14ac:dyDescent="0.25">
      <c r="A243" t="s">
        <v>7158</v>
      </c>
      <c r="B243" t="str">
        <f>"-34,5692326"</f>
        <v>-34,5692326</v>
      </c>
      <c r="C243" t="str">
        <f>"-58,4457621"</f>
        <v>-58,4457621</v>
      </c>
    </row>
    <row r="244" spans="1:3" x14ac:dyDescent="0.25">
      <c r="A244" t="s">
        <v>7159</v>
      </c>
      <c r="B244" t="str">
        <f>"-46,4441167"</f>
        <v>-46,4441167</v>
      </c>
      <c r="C244" t="str">
        <f>"-67,521813"</f>
        <v>-67,521813</v>
      </c>
    </row>
    <row r="245" spans="1:3" x14ac:dyDescent="0.25">
      <c r="A245" t="s">
        <v>7160</v>
      </c>
      <c r="B245" t="str">
        <f>"-38,938856"</f>
        <v>-38,938856</v>
      </c>
      <c r="C245" t="str">
        <f>"-67,99052"</f>
        <v>-67,99052</v>
      </c>
    </row>
    <row r="246" spans="1:3" x14ac:dyDescent="0.25">
      <c r="A246" t="s">
        <v>7161</v>
      </c>
      <c r="B246" t="str">
        <f>"-43,2541718"</f>
        <v>-43,2541718</v>
      </c>
      <c r="C246" t="str">
        <f>"-65,3077041"</f>
        <v>-65,3077041</v>
      </c>
    </row>
    <row r="247" spans="1:3" x14ac:dyDescent="0.25">
      <c r="A247" t="s">
        <v>7162</v>
      </c>
      <c r="B247" t="str">
        <f>"-34,6251805"</f>
        <v>-34,6251805</v>
      </c>
      <c r="C247" t="str">
        <f>"-58,4535666"</f>
        <v>-58,4535666</v>
      </c>
    </row>
    <row r="248" spans="1:3" x14ac:dyDescent="0.25">
      <c r="A248" t="s">
        <v>7163</v>
      </c>
      <c r="B248" t="str">
        <f>"-54,8121674"</f>
        <v>-54,8121674</v>
      </c>
      <c r="C248" t="str">
        <f>"-68,3287368"</f>
        <v>-68,3287368</v>
      </c>
    </row>
    <row r="249" spans="1:3" x14ac:dyDescent="0.25">
      <c r="A249" t="s">
        <v>7164</v>
      </c>
      <c r="B249" t="str">
        <f>"-35,6384728"</f>
        <v>-35,6384728</v>
      </c>
      <c r="C249" t="str">
        <f>"-59,7784288"</f>
        <v>-59,7784288</v>
      </c>
    </row>
    <row r="250" spans="1:3" x14ac:dyDescent="0.25">
      <c r="A250" t="s">
        <v>7165</v>
      </c>
      <c r="B250" t="str">
        <f>"-31,4196913"</f>
        <v>-31,4196913</v>
      </c>
      <c r="C250" t="str">
        <f>"-64,1876806"</f>
        <v>-64,1876806</v>
      </c>
    </row>
    <row r="251" spans="1:3" x14ac:dyDescent="0.25">
      <c r="A251" t="s">
        <v>7166</v>
      </c>
      <c r="B251" t="str">
        <f>"18,4670588"</f>
        <v>18,4670588</v>
      </c>
      <c r="C251" t="str">
        <f>"-66,1184593"</f>
        <v>-66,1184593</v>
      </c>
    </row>
    <row r="252" spans="1:3" x14ac:dyDescent="0.25">
      <c r="A252" t="s">
        <v>7167</v>
      </c>
      <c r="B252" t="str">
        <f>"-31,5351074"</f>
        <v>-31,5351074</v>
      </c>
      <c r="C252" t="str">
        <f>"-68,5385941"</f>
        <v>-68,5385941</v>
      </c>
    </row>
    <row r="253" spans="1:3" x14ac:dyDescent="0.25">
      <c r="A253" t="s">
        <v>7168</v>
      </c>
      <c r="B253" t="str">
        <f>"-34,5608563"</f>
        <v>-34,5608563</v>
      </c>
      <c r="C253" t="str">
        <f>"-58,6104387"</f>
        <v>-58,6104387</v>
      </c>
    </row>
    <row r="254" spans="1:3" x14ac:dyDescent="0.25">
      <c r="A254" t="s">
        <v>7169</v>
      </c>
      <c r="B254" t="str">
        <f>"-34,7540608"</f>
        <v>-34,7540608</v>
      </c>
      <c r="C254" t="str">
        <f>"-58,4013889"</f>
        <v>-58,4013889</v>
      </c>
    </row>
    <row r="255" spans="1:3" x14ac:dyDescent="0.25">
      <c r="A255" t="s">
        <v>7170</v>
      </c>
      <c r="B255" t="str">
        <f>"-34,7548573"</f>
        <v>-34,7548573</v>
      </c>
      <c r="C255" t="str">
        <f>"-58,6225742"</f>
        <v>-58,6225742</v>
      </c>
    </row>
    <row r="256" spans="1:3" x14ac:dyDescent="0.25">
      <c r="A256" t="s">
        <v>7171</v>
      </c>
      <c r="B256" t="str">
        <f>"-34,6036292"</f>
        <v>-34,6036292</v>
      </c>
      <c r="C256" t="str">
        <f>"-58,4583029"</f>
        <v>-58,4583029</v>
      </c>
    </row>
    <row r="257" spans="1:3" x14ac:dyDescent="0.25">
      <c r="A257" t="s">
        <v>7172</v>
      </c>
      <c r="B257" t="str">
        <f>"-24,7813068"</f>
        <v>-24,7813068</v>
      </c>
      <c r="C257" t="str">
        <f>"-65,4027774"</f>
        <v>-65,4027774</v>
      </c>
    </row>
    <row r="258" spans="1:3" x14ac:dyDescent="0.25">
      <c r="A258" t="s">
        <v>7173</v>
      </c>
      <c r="B258" t="str">
        <f>"-29,4124652"</f>
        <v>-29,4124652</v>
      </c>
      <c r="C258" t="str">
        <f>"-66,8577601"</f>
        <v>-66,8577601</v>
      </c>
    </row>
    <row r="259" spans="1:3" x14ac:dyDescent="0.25">
      <c r="A259" t="s">
        <v>7174</v>
      </c>
      <c r="B259" t="str">
        <f>"-27,4472541"</f>
        <v>-27,4472541</v>
      </c>
      <c r="C259" t="str">
        <f>"-58,9872219"</f>
        <v>-58,9872219</v>
      </c>
    </row>
    <row r="260" spans="1:3" x14ac:dyDescent="0.25">
      <c r="A260" t="s">
        <v>7175</v>
      </c>
      <c r="B260" t="str">
        <f>"-34,6040513"</f>
        <v>-34,6040513</v>
      </c>
      <c r="C260" t="str">
        <f>"-58,3811069"</f>
        <v>-58,3811069</v>
      </c>
    </row>
    <row r="261" spans="1:3" x14ac:dyDescent="0.25">
      <c r="A261" t="s">
        <v>7176</v>
      </c>
      <c r="B261" t="str">
        <f>"-34,5878389"</f>
        <v>-34,5878389</v>
      </c>
      <c r="C261" t="str">
        <f>"-58,4090754"</f>
        <v>-58,4090754</v>
      </c>
    </row>
    <row r="262" spans="1:3" x14ac:dyDescent="0.25">
      <c r="A262" t="s">
        <v>7177</v>
      </c>
      <c r="B262" t="str">
        <f>"-34,4916389"</f>
        <v>-34,4916389</v>
      </c>
      <c r="C262" t="str">
        <f>"-58,547084"</f>
        <v>-58,547084</v>
      </c>
    </row>
    <row r="263" spans="1:3" x14ac:dyDescent="0.25">
      <c r="A263" t="s">
        <v>7178</v>
      </c>
      <c r="B263" t="str">
        <f>"-34,1007833"</f>
        <v>-34,1007833</v>
      </c>
      <c r="C263" t="str">
        <f>"-59,0222919"</f>
        <v>-59,0222919</v>
      </c>
    </row>
    <row r="264" spans="1:3" x14ac:dyDescent="0.25">
      <c r="A264" t="s">
        <v>7179</v>
      </c>
      <c r="B264" t="str">
        <f>"-34,5806497"</f>
        <v>-34,5806497</v>
      </c>
      <c r="C264" t="str">
        <f>"-58,4136091"</f>
        <v>-58,4136091</v>
      </c>
    </row>
    <row r="265" spans="1:3" x14ac:dyDescent="0.25">
      <c r="A265" t="s">
        <v>7180</v>
      </c>
      <c r="B265" t="str">
        <f>"-34,5806497"</f>
        <v>-34,5806497</v>
      </c>
      <c r="C265" t="str">
        <f>"-58,4136091"</f>
        <v>-58,4136091</v>
      </c>
    </row>
    <row r="266" spans="1:3" x14ac:dyDescent="0.25">
      <c r="A266" t="s">
        <v>7181</v>
      </c>
      <c r="B266" t="str">
        <f>"-32,9608693"</f>
        <v>-32,9608693</v>
      </c>
      <c r="C266" t="str">
        <f>"-60,6680476"</f>
        <v>-60,6680476</v>
      </c>
    </row>
    <row r="267" spans="1:3" x14ac:dyDescent="0.25">
      <c r="A267" t="s">
        <v>7182</v>
      </c>
      <c r="B267" t="str">
        <f>"-33,4563559"</f>
        <v>-33,4563559</v>
      </c>
      <c r="C267" t="str">
        <f>"-61,4991875"</f>
        <v>-61,4991875</v>
      </c>
    </row>
    <row r="268" spans="1:3" x14ac:dyDescent="0.25">
      <c r="A268" t="s">
        <v>7183</v>
      </c>
      <c r="B268" t="str">
        <f>"-34,5983653"</f>
        <v>-34,5983653</v>
      </c>
      <c r="C268" t="str">
        <f>"-58,4401209"</f>
        <v>-58,4401209</v>
      </c>
    </row>
    <row r="269" spans="1:3" x14ac:dyDescent="0.25">
      <c r="A269" t="s">
        <v>7184</v>
      </c>
      <c r="B269" t="str">
        <f>"-34,6080059"</f>
        <v>-34,6080059</v>
      </c>
      <c r="C269" t="str">
        <f>"-58,4625299"</f>
        <v>-58,4625299</v>
      </c>
    </row>
    <row r="270" spans="1:3" x14ac:dyDescent="0.25">
      <c r="A270" t="s">
        <v>7185</v>
      </c>
      <c r="B270" t="str">
        <f>"-34,5331268"</f>
        <v>-34,5331268</v>
      </c>
      <c r="C270" t="str">
        <f>"-58,70158"</f>
        <v>-58,70158</v>
      </c>
    </row>
    <row r="271" spans="1:3" x14ac:dyDescent="0.25">
      <c r="A271" t="s">
        <v>7186</v>
      </c>
      <c r="B271" t="str">
        <f>"-34,7229452"</f>
        <v>-34,7229452</v>
      </c>
      <c r="C271" t="str">
        <f>"-58,2587037"</f>
        <v>-58,2587037</v>
      </c>
    </row>
    <row r="272" spans="1:3" x14ac:dyDescent="0.25">
      <c r="A272" t="s">
        <v>7187</v>
      </c>
      <c r="B272" t="str">
        <f>"20,7379323"</f>
        <v>20,7379323</v>
      </c>
      <c r="C272" t="str">
        <f>"-99,9423166"</f>
        <v>-99,9423166</v>
      </c>
    </row>
    <row r="273" spans="1:3" x14ac:dyDescent="0.25">
      <c r="A273" t="s">
        <v>7188</v>
      </c>
      <c r="B273" t="str">
        <f>"-34,6083028"</f>
        <v>-34,6083028</v>
      </c>
      <c r="C273" t="str">
        <f>"-58,5134373"</f>
        <v>-58,5134373</v>
      </c>
    </row>
    <row r="274" spans="1:3" x14ac:dyDescent="0.25">
      <c r="A274" t="s">
        <v>7189</v>
      </c>
      <c r="B274" t="str">
        <f>"-38,0005912"</f>
        <v>-38,0005912</v>
      </c>
      <c r="C274" t="str">
        <f>"-57,5729618"</f>
        <v>-57,5729618</v>
      </c>
    </row>
    <row r="275" spans="1:3" x14ac:dyDescent="0.25">
      <c r="A275" t="s">
        <v>7190</v>
      </c>
      <c r="B275" t="str">
        <f>"-24,747996"</f>
        <v>-24,747996</v>
      </c>
      <c r="C275" t="str">
        <f>"-65,4829135"</f>
        <v>-65,4829135</v>
      </c>
    </row>
    <row r="276" spans="1:3" x14ac:dyDescent="0.25">
      <c r="A276" t="s">
        <v>7191</v>
      </c>
      <c r="B276" t="str">
        <f>"-36,6189017"</f>
        <v>-36,6189017</v>
      </c>
      <c r="C276" t="str">
        <f>"-64,2884852"</f>
        <v>-64,2884852</v>
      </c>
    </row>
    <row r="277" spans="1:3" x14ac:dyDescent="0.25">
      <c r="A277" t="s">
        <v>7192</v>
      </c>
      <c r="B277" t="str">
        <f>"-34,7873724"</f>
        <v>-34,7873724</v>
      </c>
      <c r="C277" t="str">
        <f>"-58,2533696"</f>
        <v>-58,2533696</v>
      </c>
    </row>
    <row r="278" spans="1:3" x14ac:dyDescent="0.25">
      <c r="A278" t="s">
        <v>7193</v>
      </c>
      <c r="B278" t="str">
        <f>"-37,1145662"</f>
        <v>-37,1145662</v>
      </c>
      <c r="C278" t="str">
        <f>"-56,8607055"</f>
        <v>-56,8607055</v>
      </c>
    </row>
    <row r="279" spans="1:3" x14ac:dyDescent="0.25">
      <c r="A279" t="s">
        <v>7194</v>
      </c>
      <c r="B279" t="str">
        <f>"-34,6799132"</f>
        <v>-34,6799132</v>
      </c>
      <c r="C279" t="str">
        <f>"-58,5561007"</f>
        <v>-58,5561007</v>
      </c>
    </row>
    <row r="280" spans="1:3" x14ac:dyDescent="0.25">
      <c r="A280" t="s">
        <v>7195</v>
      </c>
      <c r="B280" t="str">
        <f>"-34,7821343"</f>
        <v>-34,7821343</v>
      </c>
      <c r="C280" t="str">
        <f>"-58,3146344"</f>
        <v>-58,3146344</v>
      </c>
    </row>
    <row r="281" spans="1:3" x14ac:dyDescent="0.25">
      <c r="A281" t="s">
        <v>7196</v>
      </c>
      <c r="B281" t="str">
        <f>"-34,9961083"</f>
        <v>-34,9961083</v>
      </c>
      <c r="C281" t="str">
        <f>"-58,0477341"</f>
        <v>-58,0477341</v>
      </c>
    </row>
    <row r="282" spans="1:3" x14ac:dyDescent="0.25">
      <c r="A282" t="s">
        <v>7197</v>
      </c>
      <c r="B282" t="str">
        <f>"-34,6459883"</f>
        <v>-34,6459883</v>
      </c>
      <c r="C282" t="str">
        <f>"-58,5919511"</f>
        <v>-58,5919511</v>
      </c>
    </row>
    <row r="283" spans="1:3" x14ac:dyDescent="0.25">
      <c r="A283" t="s">
        <v>7198</v>
      </c>
      <c r="B283" t="str">
        <f>"-34,6068755"</f>
        <v>-34,6068755</v>
      </c>
      <c r="C283" t="str">
        <f>"-58,5622576"</f>
        <v>-58,5622576</v>
      </c>
    </row>
    <row r="284" spans="1:3" x14ac:dyDescent="0.25">
      <c r="A284" t="s">
        <v>7199</v>
      </c>
      <c r="B284" t="str">
        <f>"-34,688305"</f>
        <v>-34,688305</v>
      </c>
      <c r="C284" t="str">
        <f>"-58,4006485"</f>
        <v>-58,4006485</v>
      </c>
    </row>
    <row r="285" spans="1:3" x14ac:dyDescent="0.25">
      <c r="A285" t="s">
        <v>7200</v>
      </c>
      <c r="B285" t="str">
        <f>"-34,7580422"</f>
        <v>-34,7580422</v>
      </c>
      <c r="C285" t="str">
        <f>"-58,279608"</f>
        <v>-58,279608</v>
      </c>
    </row>
    <row r="286" spans="1:3" x14ac:dyDescent="0.25">
      <c r="A286" t="s">
        <v>7201</v>
      </c>
      <c r="B286" t="str">
        <f>"-24,182942"</f>
        <v>-24,182942</v>
      </c>
      <c r="C286" t="str">
        <f>"-65,3030699"</f>
        <v>-65,3030699</v>
      </c>
    </row>
    <row r="287" spans="1:3" x14ac:dyDescent="0.25">
      <c r="A287" t="s">
        <v>7202</v>
      </c>
      <c r="B287" t="str">
        <f>"-36,6184562"</f>
        <v>-36,6184562</v>
      </c>
      <c r="C287" t="str">
        <f>"-64,2884802"</f>
        <v>-64,2884802</v>
      </c>
    </row>
    <row r="288" spans="1:3" x14ac:dyDescent="0.25">
      <c r="A288" t="s">
        <v>7203</v>
      </c>
      <c r="B288" t="str">
        <f>"-32,1722029"</f>
        <v>-32,1722029</v>
      </c>
      <c r="C288" t="str">
        <f>"-64,1145768"</f>
        <v>-64,1145768</v>
      </c>
    </row>
    <row r="289" spans="1:3" x14ac:dyDescent="0.25">
      <c r="A289" t="s">
        <v>7204</v>
      </c>
      <c r="B289" t="str">
        <f>"-34,6525356"</f>
        <v>-34,6525356</v>
      </c>
      <c r="C289" t="str">
        <f>"-59,4233322"</f>
        <v>-59,4233322</v>
      </c>
    </row>
    <row r="290" spans="1:3" x14ac:dyDescent="0.25">
      <c r="A290" t="s">
        <v>7205</v>
      </c>
      <c r="B290" t="str">
        <f>"-32,945779"</f>
        <v>-32,945779</v>
      </c>
      <c r="C290" t="str">
        <f>"-60,648027"</f>
        <v>-60,648027</v>
      </c>
    </row>
    <row r="291" spans="1:3" x14ac:dyDescent="0.25">
      <c r="A291" t="s">
        <v>7206</v>
      </c>
      <c r="B291" t="str">
        <f>"-31,5378514"</f>
        <v>-31,5378514</v>
      </c>
      <c r="C291" t="str">
        <f>"-68,5388451"</f>
        <v>-68,5388451</v>
      </c>
    </row>
    <row r="292" spans="1:3" x14ac:dyDescent="0.25">
      <c r="A292" t="s">
        <v>7207</v>
      </c>
      <c r="B292" t="str">
        <f>"-24,7821269"</f>
        <v>-24,7821269</v>
      </c>
      <c r="C292" t="str">
        <f>"-65,4231976"</f>
        <v>-65,4231976</v>
      </c>
    </row>
    <row r="293" spans="1:3" x14ac:dyDescent="0.25">
      <c r="A293" t="s">
        <v>7208</v>
      </c>
      <c r="B293" t="str">
        <f>"-42,7659028"</f>
        <v>-42,7659028</v>
      </c>
      <c r="C293" t="str">
        <f>"-65,0348417"</f>
        <v>-65,0348417</v>
      </c>
    </row>
    <row r="294" spans="1:3" x14ac:dyDescent="0.25">
      <c r="A294" t="s">
        <v>7209</v>
      </c>
      <c r="B294" t="str">
        <f>"-26,8262273"</f>
        <v>-26,8262273</v>
      </c>
      <c r="C294" t="str">
        <f>"-65,204016"</f>
        <v>-65,204016</v>
      </c>
    </row>
    <row r="295" spans="1:3" x14ac:dyDescent="0.25">
      <c r="A295" t="s">
        <v>7210</v>
      </c>
      <c r="B295" t="str">
        <f>"-34,7984952"</f>
        <v>-34,7984952</v>
      </c>
      <c r="C295" t="str">
        <f>"-58,3918028"</f>
        <v>-58,3918028</v>
      </c>
    </row>
    <row r="296" spans="1:3" x14ac:dyDescent="0.25">
      <c r="A296" t="s">
        <v>7211</v>
      </c>
      <c r="B296" t="str">
        <f>"-27,7833574"</f>
        <v>-27,7833574</v>
      </c>
      <c r="C296" t="str">
        <f>"-64,264167"</f>
        <v>-64,264167</v>
      </c>
    </row>
    <row r="297" spans="1:3" x14ac:dyDescent="0.25">
      <c r="A297" t="s">
        <v>7212</v>
      </c>
      <c r="B297" t="str">
        <f>"-40,1533901"</f>
        <v>-40,1533901</v>
      </c>
      <c r="C297" t="str">
        <f>"-71,3498278"</f>
        <v>-71,3498278</v>
      </c>
    </row>
    <row r="298" spans="1:3" x14ac:dyDescent="0.25">
      <c r="A298" t="s">
        <v>7213</v>
      </c>
      <c r="B298" t="str">
        <f>"-38,9390212"</f>
        <v>-38,9390212</v>
      </c>
      <c r="C298" t="str">
        <f>"-67,973811"</f>
        <v>-67,973811</v>
      </c>
    </row>
    <row r="299" spans="1:3" x14ac:dyDescent="0.25">
      <c r="A299" t="s">
        <v>7214</v>
      </c>
      <c r="B299" t="str">
        <f>"-42,9129567"</f>
        <v>-42,9129567</v>
      </c>
      <c r="C299" t="str">
        <f>"-71,3184733"</f>
        <v>-71,3184733</v>
      </c>
    </row>
    <row r="300" spans="1:3" x14ac:dyDescent="0.25">
      <c r="A300" t="s">
        <v>7215</v>
      </c>
      <c r="B300" t="str">
        <f>"-40,8083785"</f>
        <v>-40,8083785</v>
      </c>
      <c r="C300" t="str">
        <f>"-62,9932193"</f>
        <v>-62,9932193</v>
      </c>
    </row>
    <row r="301" spans="1:3" x14ac:dyDescent="0.25">
      <c r="A301" t="s">
        <v>7216</v>
      </c>
      <c r="B301" t="str">
        <f>"-42,7668299"</f>
        <v>-42,7668299</v>
      </c>
      <c r="C301" t="str">
        <f>"-65,0346766"</f>
        <v>-65,0346766</v>
      </c>
    </row>
    <row r="302" spans="1:3" x14ac:dyDescent="0.25">
      <c r="A302" t="s">
        <v>7217</v>
      </c>
      <c r="B302" t="str">
        <f>"-45,8769585"</f>
        <v>-45,8769585</v>
      </c>
      <c r="C302" t="str">
        <f>"-67,5217291"</f>
        <v>-67,5217291</v>
      </c>
    </row>
    <row r="303" spans="1:3" x14ac:dyDescent="0.25">
      <c r="A303" t="s">
        <v>7218</v>
      </c>
      <c r="B303" t="str">
        <f>"-43,3018085"</f>
        <v>-43,3018085</v>
      </c>
      <c r="C303" t="str">
        <f>"-65,1038226"</f>
        <v>-65,1038226</v>
      </c>
    </row>
    <row r="304" spans="1:3" x14ac:dyDescent="0.25">
      <c r="A304" t="s">
        <v>7219</v>
      </c>
      <c r="B304" t="str">
        <f>"-37,3254752"</f>
        <v>-37,3254752</v>
      </c>
      <c r="C304" t="str">
        <f>"-59,1337603"</f>
        <v>-59,1337603</v>
      </c>
    </row>
    <row r="305" spans="1:3" x14ac:dyDescent="0.25">
      <c r="A305" t="s">
        <v>7220</v>
      </c>
      <c r="B305" t="str">
        <f>"-37,8488698"</f>
        <v>-37,8488698</v>
      </c>
      <c r="C305" t="str">
        <f>"-58,2579015"</f>
        <v>-58,2579015</v>
      </c>
    </row>
    <row r="306" spans="1:3" x14ac:dyDescent="0.25">
      <c r="A306" t="s">
        <v>7221</v>
      </c>
      <c r="B306" t="str">
        <f>"-34,5766631"</f>
        <v>-34,5766631</v>
      </c>
      <c r="C306" t="str">
        <f>"-58,4388722"</f>
        <v>-58,4388722</v>
      </c>
    </row>
    <row r="307" spans="1:3" x14ac:dyDescent="0.25">
      <c r="A307" t="s">
        <v>7222</v>
      </c>
      <c r="B307" t="str">
        <f>"-34,5205882"</f>
        <v>-34,5205882</v>
      </c>
      <c r="C307" t="str">
        <f>"-58,7514076"</f>
        <v>-58,7514076</v>
      </c>
    </row>
    <row r="308" spans="1:3" x14ac:dyDescent="0.25">
      <c r="A308" t="s">
        <v>7223</v>
      </c>
      <c r="B308" t="str">
        <f>"-34,4391589"</f>
        <v>-34,4391589</v>
      </c>
      <c r="C308" t="str">
        <f>"-58,5593147"</f>
        <v>-58,5593147</v>
      </c>
    </row>
    <row r="309" spans="1:3" x14ac:dyDescent="0.25">
      <c r="A309" t="s">
        <v>7224</v>
      </c>
      <c r="B309" t="str">
        <f>"-34,6008359"</f>
        <v>-34,6008359</v>
      </c>
      <c r="C309" t="str">
        <f>"-58,4955579"</f>
        <v>-58,4955579</v>
      </c>
    </row>
    <row r="310" spans="1:3" x14ac:dyDescent="0.25">
      <c r="A310" t="s">
        <v>7225</v>
      </c>
      <c r="B310" t="str">
        <f>"-34,6383227"</f>
        <v>-34,6383227</v>
      </c>
      <c r="C310" t="str">
        <f>"-58,374522"</f>
        <v>-58,374522</v>
      </c>
    </row>
    <row r="311" spans="1:3" x14ac:dyDescent="0.25">
      <c r="A311" t="s">
        <v>7226</v>
      </c>
      <c r="B311" t="str">
        <f>"-34,4358132"</f>
        <v>-34,4358132</v>
      </c>
      <c r="C311" t="str">
        <f>"-58,5631128"</f>
        <v>-58,5631128</v>
      </c>
    </row>
    <row r="312" spans="1:3" x14ac:dyDescent="0.25">
      <c r="A312" t="s">
        <v>7227</v>
      </c>
      <c r="B312" t="str">
        <f>"-34,7492137"</f>
        <v>-34,7492137</v>
      </c>
      <c r="C312" t="str">
        <f>"-58,5860726"</f>
        <v>-58,5860726</v>
      </c>
    </row>
    <row r="313" spans="1:3" x14ac:dyDescent="0.25">
      <c r="A313" t="s">
        <v>7228</v>
      </c>
      <c r="B313" t="str">
        <f>"-34,6502982"</f>
        <v>-34,6502982</v>
      </c>
      <c r="C313" t="str">
        <f>"-58,6200984"</f>
        <v>-58,6200984</v>
      </c>
    </row>
    <row r="314" spans="1:3" x14ac:dyDescent="0.25">
      <c r="A314" t="s">
        <v>7229</v>
      </c>
      <c r="B314" t="str">
        <f>"-34,667616"</f>
        <v>-34,667616</v>
      </c>
      <c r="C314" t="str">
        <f>"-58,7258365"</f>
        <v>-58,7258365</v>
      </c>
    </row>
    <row r="315" spans="1:3" x14ac:dyDescent="0.25">
      <c r="A315" t="s">
        <v>7230</v>
      </c>
      <c r="B315" t="str">
        <f>"-34,6673234"</f>
        <v>-34,6673234</v>
      </c>
      <c r="C315" t="str">
        <f>"-58,7262862"</f>
        <v>-58,7262862</v>
      </c>
    </row>
    <row r="316" spans="1:3" x14ac:dyDescent="0.25">
      <c r="A316" t="s">
        <v>7231</v>
      </c>
      <c r="B316" t="str">
        <f>"-34,6455037"</f>
        <v>-34,6455037</v>
      </c>
      <c r="C316" t="str">
        <f>"-58,54049"</f>
        <v>-58,54049</v>
      </c>
    </row>
    <row r="317" spans="1:3" x14ac:dyDescent="0.25">
      <c r="A317" t="s">
        <v>7232</v>
      </c>
      <c r="B317" t="str">
        <f>"-34,679715"</f>
        <v>-34,679715</v>
      </c>
      <c r="C317" t="str">
        <f>"-58,5591899"</f>
        <v>-58,5591899</v>
      </c>
    </row>
    <row r="318" spans="1:3" x14ac:dyDescent="0.25">
      <c r="A318" t="s">
        <v>7233</v>
      </c>
      <c r="B318" t="str">
        <f>"-34,8011535"</f>
        <v>-34,8011535</v>
      </c>
      <c r="C318" t="str">
        <f>"-58,2749113"</f>
        <v>-58,2749113</v>
      </c>
    </row>
    <row r="319" spans="1:3" x14ac:dyDescent="0.25">
      <c r="A319" t="s">
        <v>7234</v>
      </c>
      <c r="B319" t="str">
        <f>"-34,425087"</f>
        <v>-34,425087</v>
      </c>
      <c r="C319" t="str">
        <f>"-58,5796585"</f>
        <v>-58,5796585</v>
      </c>
    </row>
    <row r="320" spans="1:3" x14ac:dyDescent="0.25">
      <c r="A320" t="s">
        <v>7235</v>
      </c>
      <c r="B320" t="str">
        <f>"-33,0447423"</f>
        <v>-33,0447423</v>
      </c>
      <c r="C320" t="str">
        <f>"-61,1674254"</f>
        <v>-61,1674254</v>
      </c>
    </row>
    <row r="321" spans="1:3" x14ac:dyDescent="0.25">
      <c r="A321" t="s">
        <v>7236</v>
      </c>
      <c r="B321" t="str">
        <f>"-34,5875269"</f>
        <v>-34,5875269</v>
      </c>
      <c r="C321" t="str">
        <f>"-58,4865079"</f>
        <v>-58,4865079</v>
      </c>
    </row>
    <row r="322" spans="1:3" x14ac:dyDescent="0.25">
      <c r="A322" t="s">
        <v>7237</v>
      </c>
      <c r="B322" t="str">
        <f>"-34,6570747"</f>
        <v>-34,6570747</v>
      </c>
      <c r="C322" t="str">
        <f>"-58,6976619"</f>
        <v>-58,6976619</v>
      </c>
    </row>
    <row r="323" spans="1:3" x14ac:dyDescent="0.25">
      <c r="A323" t="s">
        <v>7238</v>
      </c>
      <c r="B323" t="str">
        <f>"-34,7099445"</f>
        <v>-34,7099445</v>
      </c>
      <c r="C323" t="str">
        <f>"-58,3869665"</f>
        <v>-58,3869665</v>
      </c>
    </row>
    <row r="324" spans="1:3" x14ac:dyDescent="0.25">
      <c r="A324" t="s">
        <v>7239</v>
      </c>
      <c r="B324" t="str">
        <f>"-32,9474605"</f>
        <v>-32,9474605</v>
      </c>
      <c r="C324" t="str">
        <f>"-60,6383823"</f>
        <v>-60,6383823</v>
      </c>
    </row>
    <row r="325" spans="1:3" x14ac:dyDescent="0.25">
      <c r="A325" t="s">
        <v>7240</v>
      </c>
      <c r="B325" t="str">
        <f>"-32,9474605"</f>
        <v>-32,9474605</v>
      </c>
      <c r="C325" t="str">
        <f>"-60,6383823"</f>
        <v>-60,6383823</v>
      </c>
    </row>
    <row r="326" spans="1:3" x14ac:dyDescent="0.25">
      <c r="A326" t="s">
        <v>7241</v>
      </c>
      <c r="B326" t="str">
        <f>"-51,6193444"</f>
        <v>-51,6193444</v>
      </c>
      <c r="C326" t="str">
        <f>"-69,2165297"</f>
        <v>-69,2165297</v>
      </c>
    </row>
    <row r="327" spans="1:3" x14ac:dyDescent="0.25">
      <c r="A327" t="s">
        <v>7242</v>
      </c>
      <c r="B327" t="str">
        <f>"-31,0931506"</f>
        <v>-31,0931506</v>
      </c>
      <c r="C327" t="str">
        <f>"-64,4827227"</f>
        <v>-64,4827227</v>
      </c>
    </row>
    <row r="328" spans="1:3" x14ac:dyDescent="0.25">
      <c r="A328" t="s">
        <v>7243</v>
      </c>
      <c r="B328" t="str">
        <f>"-31,4193484"</f>
        <v>-31,4193484</v>
      </c>
      <c r="C328" t="str">
        <f>"-64,1848181"</f>
        <v>-64,1848181</v>
      </c>
    </row>
    <row r="329" spans="1:3" x14ac:dyDescent="0.25">
      <c r="A329" t="s">
        <v>7244</v>
      </c>
      <c r="B329" t="str">
        <f>"-34,4888704"</f>
        <v>-34,4888704</v>
      </c>
      <c r="C329" t="str">
        <f>"-58,5058197"</f>
        <v>-58,5058197</v>
      </c>
    </row>
    <row r="330" spans="1:3" x14ac:dyDescent="0.25">
      <c r="A330" t="s">
        <v>7245</v>
      </c>
      <c r="B330" t="str">
        <f>"-34,7099445"</f>
        <v>-34,7099445</v>
      </c>
      <c r="C330" t="str">
        <f>"-58,3869665"</f>
        <v>-58,3869665</v>
      </c>
    </row>
    <row r="331" spans="1:3" x14ac:dyDescent="0.25">
      <c r="A331" t="s">
        <v>7246</v>
      </c>
      <c r="B331" t="str">
        <f>"-34,4425751"</f>
        <v>-34,4425751</v>
      </c>
      <c r="C331" t="str">
        <f>"-58,8680139"</f>
        <v>-58,8680139</v>
      </c>
    </row>
    <row r="332" spans="1:3" x14ac:dyDescent="0.25">
      <c r="A332" t="s">
        <v>7247</v>
      </c>
      <c r="B332" t="str">
        <f>"-34,4891628"</f>
        <v>-34,4891628</v>
      </c>
      <c r="C332" t="str">
        <f>"-58,4996834"</f>
        <v>-58,4996834</v>
      </c>
    </row>
    <row r="333" spans="1:3" x14ac:dyDescent="0.25">
      <c r="A333" t="s">
        <v>7248</v>
      </c>
      <c r="B333" t="str">
        <f>"-34,6031784"</f>
        <v>-34,6031784</v>
      </c>
      <c r="C333" t="str">
        <f>"-58,3808572"</f>
        <v>-58,3808572</v>
      </c>
    </row>
    <row r="334" spans="1:3" x14ac:dyDescent="0.25">
      <c r="A334" t="s">
        <v>7249</v>
      </c>
      <c r="B334" t="str">
        <f>"-37,8956594"</f>
        <v>-37,8956594</v>
      </c>
      <c r="C334" t="str">
        <f>"-65,0957792"</f>
        <v>-65,0957792</v>
      </c>
    </row>
    <row r="335" spans="1:3" x14ac:dyDescent="0.25">
      <c r="A335" t="s">
        <v>7250</v>
      </c>
      <c r="B335" t="str">
        <f>"-34,5775837"</f>
        <v>-34,5775837</v>
      </c>
      <c r="C335" t="str">
        <f>"-58,4808644"</f>
        <v>-58,4808644</v>
      </c>
    </row>
    <row r="336" spans="1:3" x14ac:dyDescent="0.25">
      <c r="A336" t="s">
        <v>7251</v>
      </c>
      <c r="B336" t="str">
        <f>"-34,5651226"</f>
        <v>-34,5651226</v>
      </c>
      <c r="C336" t="str">
        <f>"-58,4532321"</f>
        <v>-58,4532321</v>
      </c>
    </row>
    <row r="337" spans="1:3" x14ac:dyDescent="0.25">
      <c r="A337" t="s">
        <v>7252</v>
      </c>
      <c r="B337" t="str">
        <f>"-34,5277634"</f>
        <v>-34,5277634</v>
      </c>
      <c r="C337" t="str">
        <f>"-58,4997182"</f>
        <v>-58,4997182</v>
      </c>
    </row>
    <row r="338" spans="1:3" x14ac:dyDescent="0.25">
      <c r="A338" t="s">
        <v>7253</v>
      </c>
      <c r="B338" t="str">
        <f>"-34,4360289"</f>
        <v>-34,4360289</v>
      </c>
      <c r="C338" t="str">
        <f>"-58,8079993"</f>
        <v>-58,8079993</v>
      </c>
    </row>
    <row r="339" spans="1:3" x14ac:dyDescent="0.25">
      <c r="A339" t="s">
        <v>7254</v>
      </c>
      <c r="B339" t="str">
        <f>"-34,5883465"</f>
        <v>-34,5883465</v>
      </c>
      <c r="C339" t="str">
        <f>"-58,4106883"</f>
        <v>-58,4106883</v>
      </c>
    </row>
    <row r="340" spans="1:3" x14ac:dyDescent="0.25">
      <c r="A340" t="s">
        <v>7255</v>
      </c>
      <c r="B340" t="str">
        <f>"-34,5556408"</f>
        <v>-34,5556408</v>
      </c>
      <c r="C340" t="str">
        <f>"-58,4620876"</f>
        <v>-58,4620876</v>
      </c>
    </row>
    <row r="341" spans="1:3" x14ac:dyDescent="0.25">
      <c r="A341" t="s">
        <v>7256</v>
      </c>
      <c r="B341" t="str">
        <f>"-34,6094579"</f>
        <v>-34,6094579</v>
      </c>
      <c r="C341" t="str">
        <f>"-58,397767"</f>
        <v>-58,397767</v>
      </c>
    </row>
    <row r="342" spans="1:3" x14ac:dyDescent="0.25">
      <c r="A342" t="s">
        <v>7257</v>
      </c>
      <c r="B342" t="str">
        <f>"-34,612553"</f>
        <v>-34,612553</v>
      </c>
      <c r="C342" t="str">
        <f>"-58,42318"</f>
        <v>-58,42318</v>
      </c>
    </row>
    <row r="343" spans="1:3" x14ac:dyDescent="0.25">
      <c r="A343" t="s">
        <v>7258</v>
      </c>
      <c r="B343" t="str">
        <f>"-34,6091057"</f>
        <v>-34,6091057</v>
      </c>
      <c r="C343" t="str">
        <f>"-58,3825211"</f>
        <v>-58,3825211</v>
      </c>
    </row>
    <row r="344" spans="1:3" x14ac:dyDescent="0.25">
      <c r="A344" t="s">
        <v>7259</v>
      </c>
      <c r="B344" t="str">
        <f>"-34,5892978"</f>
        <v>-34,5892978</v>
      </c>
      <c r="C344" t="str">
        <f>"-58,4220396"</f>
        <v>-58,4220396</v>
      </c>
    </row>
    <row r="345" spans="1:3" x14ac:dyDescent="0.25">
      <c r="A345" t="s">
        <v>7260</v>
      </c>
      <c r="B345" t="str">
        <f>"-34,6257399"</f>
        <v>-34,6257399</v>
      </c>
      <c r="C345" t="str">
        <f>"-58,4535802"</f>
        <v>-58,4535802</v>
      </c>
    </row>
    <row r="346" spans="1:3" x14ac:dyDescent="0.25">
      <c r="A346" t="s">
        <v>7261</v>
      </c>
      <c r="B346" t="str">
        <f>"-34,5850801"</f>
        <v>-34,5850801</v>
      </c>
      <c r="C346" t="str">
        <f>"-58,4536112"</f>
        <v>-58,4536112</v>
      </c>
    </row>
    <row r="347" spans="1:3" x14ac:dyDescent="0.25">
      <c r="A347" t="s">
        <v>7262</v>
      </c>
      <c r="B347" t="str">
        <f>"-34,5532462"</f>
        <v>-34,5532462</v>
      </c>
      <c r="C347" t="str">
        <f>"-58,4586386"</f>
        <v>-58,4586386</v>
      </c>
    </row>
    <row r="348" spans="1:3" x14ac:dyDescent="0.25">
      <c r="A348" t="s">
        <v>7263</v>
      </c>
      <c r="B348" t="str">
        <f>"-34,595233"</f>
        <v>-34,595233</v>
      </c>
      <c r="C348" t="str">
        <f>"-58,400325"</f>
        <v>-58,400325</v>
      </c>
    </row>
    <row r="349" spans="1:3" x14ac:dyDescent="0.25">
      <c r="A349" t="s">
        <v>7264</v>
      </c>
      <c r="B349" t="str">
        <f>"-34,4736006"</f>
        <v>-34,4736006</v>
      </c>
      <c r="C349" t="str">
        <f>"-58,5030397"</f>
        <v>-58,5030397</v>
      </c>
    </row>
    <row r="350" spans="1:3" x14ac:dyDescent="0.25">
      <c r="A350" t="s">
        <v>7265</v>
      </c>
      <c r="B350" t="str">
        <f>"-34,6056961"</f>
        <v>-34,6056961</v>
      </c>
      <c r="C350" t="str">
        <f>"-58,4008592"</f>
        <v>-58,4008592</v>
      </c>
    </row>
    <row r="351" spans="1:3" x14ac:dyDescent="0.25">
      <c r="A351" t="s">
        <v>7266</v>
      </c>
      <c r="B351" t="str">
        <f>"-32,5175643"</f>
        <v>-32,5175643</v>
      </c>
      <c r="C351" t="str">
        <f>"-59,1041758"</f>
        <v>-59,1041758</v>
      </c>
    </row>
    <row r="352" spans="1:3" x14ac:dyDescent="0.25">
      <c r="A352" t="s">
        <v>7267</v>
      </c>
      <c r="B352" t="str">
        <f>"35,6869752"</f>
        <v>35,6869752</v>
      </c>
      <c r="C352" t="str">
        <f>"-105,937799"</f>
        <v>-105,937799</v>
      </c>
    </row>
    <row r="353" spans="1:3" x14ac:dyDescent="0.25">
      <c r="A353" t="s">
        <v>7268</v>
      </c>
      <c r="B353" t="str">
        <f>"-34,628202"</f>
        <v>-34,628202</v>
      </c>
      <c r="C353" t="str">
        <f>"-58,481578"</f>
        <v>-58,481578</v>
      </c>
    </row>
    <row r="354" spans="1:3" x14ac:dyDescent="0.25">
      <c r="A354" t="s">
        <v>7269</v>
      </c>
      <c r="B354" t="str">
        <f>"-31,4484965"</f>
        <v>-31,4484965</v>
      </c>
      <c r="C354" t="str">
        <f>"-64,1681341"</f>
        <v>-64,1681341</v>
      </c>
    </row>
    <row r="355" spans="1:3" x14ac:dyDescent="0.25">
      <c r="A355" t="s">
        <v>7270</v>
      </c>
      <c r="B355" t="str">
        <f>"-31,7764916"</f>
        <v>-31,7764916</v>
      </c>
      <c r="C355" t="str">
        <f>"-60,4622881"</f>
        <v>-60,4622881</v>
      </c>
    </row>
    <row r="356" spans="1:3" x14ac:dyDescent="0.25">
      <c r="A356" t="s">
        <v>6967</v>
      </c>
      <c r="B356" t="str">
        <f>"-32,1738657"</f>
        <v>-32,1738657</v>
      </c>
      <c r="C356" t="str">
        <f>"-64,112158"</f>
        <v>-64,112158</v>
      </c>
    </row>
    <row r="357" spans="1:3" x14ac:dyDescent="0.25">
      <c r="A357" t="s">
        <v>7271</v>
      </c>
      <c r="B357" t="str">
        <f>"-30,5323093"</f>
        <v>-30,5323093</v>
      </c>
      <c r="C357" t="str">
        <f>"-61,9622528"</f>
        <v>-61,9622528</v>
      </c>
    </row>
    <row r="358" spans="1:3" x14ac:dyDescent="0.25">
      <c r="A358" t="s">
        <v>7272</v>
      </c>
      <c r="B358" t="str">
        <f>"-37,9742981"</f>
        <v>-37,9742981</v>
      </c>
      <c r="C358" t="str">
        <f>"-57,5515233"</f>
        <v>-57,5515233</v>
      </c>
    </row>
    <row r="359" spans="1:3" x14ac:dyDescent="0.25">
      <c r="A359" t="s">
        <v>7273</v>
      </c>
      <c r="B359" t="str">
        <f>"-31,4200833"</f>
        <v>-31,4200833</v>
      </c>
      <c r="C359" t="str">
        <f>"-64,1887761"</f>
        <v>-64,1887761</v>
      </c>
    </row>
    <row r="360" spans="1:3" x14ac:dyDescent="0.25">
      <c r="A360" t="s">
        <v>7274</v>
      </c>
      <c r="B360" t="str">
        <f>"-34,619274"</f>
        <v>-34,619274</v>
      </c>
      <c r="C360" t="str">
        <f>"-58,438243"</f>
        <v>-58,438243</v>
      </c>
    </row>
    <row r="361" spans="1:3" x14ac:dyDescent="0.25">
      <c r="A361" t="s">
        <v>7275</v>
      </c>
      <c r="B361" t="str">
        <f>"-33,1947961"</f>
        <v>-33,1947961</v>
      </c>
      <c r="C361" t="str">
        <f>"-68,4647952"</f>
        <v>-68,4647952</v>
      </c>
    </row>
    <row r="362" spans="1:3" x14ac:dyDescent="0.25">
      <c r="A362" t="s">
        <v>7276</v>
      </c>
      <c r="B362" t="str">
        <f>"-51,6190609"</f>
        <v>-51,6190609</v>
      </c>
      <c r="C362" t="str">
        <f>"-69,2180196"</f>
        <v>-69,2180196</v>
      </c>
    </row>
    <row r="363" spans="1:3" x14ac:dyDescent="0.25">
      <c r="A363" t="s">
        <v>7277</v>
      </c>
      <c r="B363" t="str">
        <f>""</f>
        <v/>
      </c>
      <c r="C363" t="str">
        <f>""</f>
        <v/>
      </c>
    </row>
    <row r="364" spans="1:3" x14ac:dyDescent="0.25">
      <c r="A364" t="s">
        <v>7278</v>
      </c>
      <c r="B364" t="str">
        <f>"-34,604506"</f>
        <v>-34,604506</v>
      </c>
      <c r="C364" t="str">
        <f>"-58,400097"</f>
        <v>-58,400097</v>
      </c>
    </row>
    <row r="365" spans="1:3" x14ac:dyDescent="0.25">
      <c r="A365" t="s">
        <v>7279</v>
      </c>
      <c r="B365" t="str">
        <f>"-34,6052862"</f>
        <v>-34,6052862</v>
      </c>
      <c r="C365" t="str">
        <f>"-58,4098446"</f>
        <v>-58,4098446</v>
      </c>
    </row>
    <row r="366" spans="1:3" x14ac:dyDescent="0.25">
      <c r="A366" t="s">
        <v>7280</v>
      </c>
      <c r="B366" t="str">
        <f>"-34,5853428"</f>
        <v>-34,5853428</v>
      </c>
      <c r="C366" t="str">
        <f>"-58,5249375"</f>
        <v>-58,5249375</v>
      </c>
    </row>
    <row r="367" spans="1:3" x14ac:dyDescent="0.25">
      <c r="A367" t="s">
        <v>7281</v>
      </c>
      <c r="B367" t="str">
        <f>"-32,893854"</f>
        <v>-32,893854</v>
      </c>
      <c r="C367" t="str">
        <f>"-68,8319923"</f>
        <v>-68,8319923</v>
      </c>
    </row>
    <row r="368" spans="1:3" x14ac:dyDescent="0.25">
      <c r="A368" t="s">
        <v>7282</v>
      </c>
      <c r="B368" t="str">
        <f>"-34,6036844"</f>
        <v>-34,6036844</v>
      </c>
      <c r="C368" t="str">
        <f>"-58,3815591"</f>
        <v>-58,3815591</v>
      </c>
    </row>
    <row r="369" spans="1:3" x14ac:dyDescent="0.25">
      <c r="A369" t="s">
        <v>7283</v>
      </c>
      <c r="B369" t="str">
        <f>"-32,8814272"</f>
        <v>-32,8814272</v>
      </c>
      <c r="C369" t="str">
        <f>"-68,8356395"</f>
        <v>-68,8356395</v>
      </c>
    </row>
    <row r="370" spans="1:3" x14ac:dyDescent="0.25">
      <c r="A370" t="s">
        <v>7284</v>
      </c>
      <c r="B370" t="str">
        <f>"-34,5694934"</f>
        <v>-34,5694934</v>
      </c>
      <c r="C370" t="str">
        <f>"-58,5783931"</f>
        <v>-58,5783931</v>
      </c>
    </row>
    <row r="371" spans="1:3" x14ac:dyDescent="0.25">
      <c r="A371" t="s">
        <v>7285</v>
      </c>
      <c r="B371" t="str">
        <f>"-26,8082848"</f>
        <v>-26,8082848</v>
      </c>
      <c r="C371" t="str">
        <f>"-65,2175903"</f>
        <v>-65,2175903</v>
      </c>
    </row>
    <row r="372" spans="1:3" x14ac:dyDescent="0.25">
      <c r="A372" t="s">
        <v>7286</v>
      </c>
      <c r="B372" t="str">
        <f>"-34,6036844"</f>
        <v>-34,6036844</v>
      </c>
      <c r="C372" t="str">
        <f>"-58,3815591"</f>
        <v>-58,3815591</v>
      </c>
    </row>
    <row r="373" spans="1:3" x14ac:dyDescent="0.25">
      <c r="A373" t="s">
        <v>7287</v>
      </c>
      <c r="B373" t="str">
        <f>"-34,6154686"</f>
        <v>-34,6154686</v>
      </c>
      <c r="C373" t="str">
        <f>"-68,3308852"</f>
        <v>-68,3308852</v>
      </c>
    </row>
    <row r="374" spans="1:3" x14ac:dyDescent="0.25">
      <c r="A374" t="s">
        <v>7288</v>
      </c>
      <c r="B374" t="str">
        <f>"-34,5744842"</f>
        <v>-34,5744842</v>
      </c>
      <c r="C374" t="str">
        <f>"-58,5071141"</f>
        <v>-58,5071141</v>
      </c>
    </row>
    <row r="375" spans="1:3" x14ac:dyDescent="0.25">
      <c r="A375" t="s">
        <v>7289</v>
      </c>
      <c r="B375" t="str">
        <f>"-34,5293125"</f>
        <v>-34,5293125</v>
      </c>
      <c r="C375" t="str">
        <f>"-58,5929375"</f>
        <v>-58,5929375</v>
      </c>
    </row>
    <row r="376" spans="1:3" x14ac:dyDescent="0.25">
      <c r="A376" t="s">
        <v>7290</v>
      </c>
      <c r="B376" t="str">
        <f>"-34,6022862"</f>
        <v>-34,6022862</v>
      </c>
      <c r="C376" t="str">
        <f>"-58,3923947"</f>
        <v>-58,3923947</v>
      </c>
    </row>
    <row r="377" spans="1:3" x14ac:dyDescent="0.25">
      <c r="A377" t="s">
        <v>7291</v>
      </c>
      <c r="B377" t="str">
        <f>"-34,6017786"</f>
        <v>-34,6017786</v>
      </c>
      <c r="C377" t="str">
        <f>"-58,3767847"</f>
        <v>-58,3767847</v>
      </c>
    </row>
    <row r="378" spans="1:3" x14ac:dyDescent="0.25">
      <c r="A378" t="s">
        <v>7292</v>
      </c>
      <c r="B378" t="str">
        <f>"-34,676931"</f>
        <v>-34,676931</v>
      </c>
      <c r="C378" t="str">
        <f>"-58,36656"</f>
        <v>-58,36656</v>
      </c>
    </row>
    <row r="379" spans="1:3" x14ac:dyDescent="0.25">
      <c r="A379" t="s">
        <v>7293</v>
      </c>
      <c r="B379" t="str">
        <f>"-34,5925557"</f>
        <v>-34,5925557</v>
      </c>
      <c r="C379" t="str">
        <f>"-58,3945985"</f>
        <v>-58,3945985</v>
      </c>
    </row>
    <row r="380" spans="1:3" x14ac:dyDescent="0.25">
      <c r="A380" t="s">
        <v>7294</v>
      </c>
      <c r="B380" t="str">
        <f>"-27,4684849"</f>
        <v>-27,4684849</v>
      </c>
      <c r="C380" t="str">
        <f>"-58,8395686"</f>
        <v>-58,8395686</v>
      </c>
    </row>
    <row r="381" spans="1:3" x14ac:dyDescent="0.25">
      <c r="A381" t="s">
        <v>7295</v>
      </c>
      <c r="B381" t="str">
        <f>"-34,6017305"</f>
        <v>-34,6017305</v>
      </c>
      <c r="C381" t="str">
        <f>"-58,4700933"</f>
        <v>-58,4700933</v>
      </c>
    </row>
    <row r="382" spans="1:3" x14ac:dyDescent="0.25">
      <c r="A382" t="s">
        <v>7296</v>
      </c>
      <c r="B382" t="str">
        <f>"-34,6089441"</f>
        <v>-34,6089441</v>
      </c>
      <c r="C382" t="str">
        <f>"-58,4349567"</f>
        <v>-58,4349567</v>
      </c>
    </row>
    <row r="383" spans="1:3" x14ac:dyDescent="0.25">
      <c r="A383" t="s">
        <v>7297</v>
      </c>
      <c r="B383" t="str">
        <f>"-42,911181"</f>
        <v>-42,911181</v>
      </c>
      <c r="C383" t="str">
        <f>"-71,2927084"</f>
        <v>-71,2927084</v>
      </c>
    </row>
    <row r="384" spans="1:3" x14ac:dyDescent="0.25">
      <c r="A384" t="s">
        <v>7298</v>
      </c>
      <c r="B384" t="str">
        <f>"-34,630115"</f>
        <v>-34,630115</v>
      </c>
      <c r="C384" t="str">
        <f>"-58,4658766"</f>
        <v>-58,4658766</v>
      </c>
    </row>
    <row r="385" spans="1:3" x14ac:dyDescent="0.25">
      <c r="A385" t="s">
        <v>7299</v>
      </c>
      <c r="B385" t="str">
        <f>"-34,3930825"</f>
        <v>-34,3930825</v>
      </c>
      <c r="C385" t="str">
        <f>"-58,6635081"</f>
        <v>-58,6635081</v>
      </c>
    </row>
    <row r="386" spans="1:3" x14ac:dyDescent="0.25">
      <c r="A386" t="s">
        <v>7300</v>
      </c>
      <c r="B386" t="str">
        <f>"-43,2572724"</f>
        <v>-43,2572724</v>
      </c>
      <c r="C386" t="str">
        <f>"-65,3003175"</f>
        <v>-65,3003175</v>
      </c>
    </row>
    <row r="387" spans="1:3" x14ac:dyDescent="0.25">
      <c r="A387" t="s">
        <v>7301</v>
      </c>
      <c r="B387" t="str">
        <f>"-34,6500468"</f>
        <v>-34,6500468</v>
      </c>
      <c r="C387" t="str">
        <f>"-58,4160367"</f>
        <v>-58,4160367</v>
      </c>
    </row>
    <row r="388" spans="1:3" x14ac:dyDescent="0.25">
      <c r="A388" t="s">
        <v>7302</v>
      </c>
      <c r="B388" t="str">
        <f>"-34,6081265"</f>
        <v>-34,6081265</v>
      </c>
      <c r="C388" t="str">
        <f>"-58,5149958"</f>
        <v>-58,5149958</v>
      </c>
    </row>
    <row r="389" spans="1:3" x14ac:dyDescent="0.25">
      <c r="A389" t="s">
        <v>7303</v>
      </c>
      <c r="B389" t="str">
        <f>"-34,6087085"</f>
        <v>-34,6087085</v>
      </c>
      <c r="C389" t="str">
        <f>"-58,3799844"</f>
        <v>-58,3799844</v>
      </c>
    </row>
    <row r="390" spans="1:3" x14ac:dyDescent="0.25">
      <c r="A390" t="s">
        <v>7304</v>
      </c>
      <c r="B390" t="str">
        <f>"-34,4693258"</f>
        <v>-34,4693258</v>
      </c>
      <c r="C390" t="str">
        <f>"-58,5176576"</f>
        <v>-58,5176576</v>
      </c>
    </row>
    <row r="391" spans="1:3" x14ac:dyDescent="0.25">
      <c r="A391" t="s">
        <v>7305</v>
      </c>
      <c r="B391" t="str">
        <f>"-34,5720269"</f>
        <v>-34,5720269</v>
      </c>
      <c r="C391" t="str">
        <f>"-58,4413889"</f>
        <v>-58,4413889</v>
      </c>
    </row>
    <row r="392" spans="1:3" x14ac:dyDescent="0.25">
      <c r="A392" t="s">
        <v>7306</v>
      </c>
      <c r="B392" t="str">
        <f>"-34,524381"</f>
        <v>-34,524381</v>
      </c>
      <c r="C392" t="str">
        <f>"-58,48382"</f>
        <v>-58,48382</v>
      </c>
    </row>
    <row r="393" spans="1:3" x14ac:dyDescent="0.25">
      <c r="A393" t="s">
        <v>7307</v>
      </c>
      <c r="B393" t="str">
        <f>"-34,6038802"</f>
        <v>-34,6038802</v>
      </c>
      <c r="C393" t="str">
        <f>"-58,4109897"</f>
        <v>-58,4109897</v>
      </c>
    </row>
    <row r="394" spans="1:3" x14ac:dyDescent="0.25">
      <c r="A394" t="s">
        <v>7308</v>
      </c>
      <c r="B394" t="str">
        <f>"-38,0113287"</f>
        <v>-38,0113287</v>
      </c>
      <c r="C394" t="str">
        <f>"-57,5431266"</f>
        <v>-57,5431266</v>
      </c>
    </row>
    <row r="395" spans="1:3" x14ac:dyDescent="0.25">
      <c r="A395" t="s">
        <v>7309</v>
      </c>
      <c r="B395" t="str">
        <f>"-34,9151069"</f>
        <v>-34,9151069</v>
      </c>
      <c r="C395" t="str">
        <f>"-57,9422319"</f>
        <v>-57,9422319</v>
      </c>
    </row>
    <row r="396" spans="1:3" x14ac:dyDescent="0.25">
      <c r="A396" t="s">
        <v>7310</v>
      </c>
      <c r="B396" t="str">
        <f>"-35,8107166"</f>
        <v>-35,8107166</v>
      </c>
      <c r="C396" t="str">
        <f>"-61,8987832"</f>
        <v>-61,8987832</v>
      </c>
    </row>
    <row r="397" spans="1:3" x14ac:dyDescent="0.25">
      <c r="A397" t="s">
        <v>7311</v>
      </c>
      <c r="B397" t="str">
        <f>"-37,9511058"</f>
        <v>-37,9511058</v>
      </c>
      <c r="C397" t="str">
        <f>"-57,5522011"</f>
        <v>-57,5522011</v>
      </c>
    </row>
    <row r="398" spans="1:3" x14ac:dyDescent="0.25">
      <c r="A398" t="s">
        <v>7312</v>
      </c>
      <c r="B398" t="str">
        <f>"-34,5976096"</f>
        <v>-34,5976096</v>
      </c>
      <c r="C398" t="str">
        <f>"-58,4174918"</f>
        <v>-58,4174918</v>
      </c>
    </row>
    <row r="399" spans="1:3" x14ac:dyDescent="0.25">
      <c r="A399" t="s">
        <v>7313</v>
      </c>
      <c r="B399" t="str">
        <f>"-38,0025771"</f>
        <v>-38,0025771</v>
      </c>
      <c r="C399" t="str">
        <f>"-57,5583986"</f>
        <v>-57,5583986</v>
      </c>
    </row>
    <row r="400" spans="1:3" x14ac:dyDescent="0.25">
      <c r="A400" t="s">
        <v>7314</v>
      </c>
      <c r="B400" t="str">
        <f>"-34,894462"</f>
        <v>-34,894462</v>
      </c>
      <c r="C400" t="str">
        <f>"-60,016605"</f>
        <v>-60,016605</v>
      </c>
    </row>
    <row r="401" spans="1:3" x14ac:dyDescent="0.25">
      <c r="A401" t="s">
        <v>7315</v>
      </c>
      <c r="B401" t="str">
        <f>"-38,0054771"</f>
        <v>-38,0054771</v>
      </c>
      <c r="C401" t="str">
        <f>"-57,5426106"</f>
        <v>-57,5426106</v>
      </c>
    </row>
    <row r="402" spans="1:3" x14ac:dyDescent="0.25">
      <c r="A402" t="s">
        <v>7316</v>
      </c>
      <c r="B402" t="str">
        <f>"-32,9328754"</f>
        <v>-32,9328754</v>
      </c>
      <c r="C402" t="str">
        <f>"-68,7802458"</f>
        <v>-68,7802458</v>
      </c>
    </row>
    <row r="403" spans="1:3" x14ac:dyDescent="0.25">
      <c r="A403" t="s">
        <v>7317</v>
      </c>
      <c r="B403" t="str">
        <f>"-32,8786402"</f>
        <v>-32,8786402</v>
      </c>
      <c r="C403" t="str">
        <f>"-68,8347392"</f>
        <v>-68,8347392</v>
      </c>
    </row>
    <row r="404" spans="1:3" x14ac:dyDescent="0.25">
      <c r="A404" t="s">
        <v>7318</v>
      </c>
      <c r="B404" t="str">
        <f>"-32,8964399"</f>
        <v>-32,8964399</v>
      </c>
      <c r="C404" t="str">
        <f>"-68,828765"</f>
        <v>-68,828765</v>
      </c>
    </row>
    <row r="405" spans="1:3" x14ac:dyDescent="0.25">
      <c r="A405" t="s">
        <v>7319</v>
      </c>
      <c r="B405" t="str">
        <f>"-34,7594347"</f>
        <v>-34,7594347</v>
      </c>
      <c r="C405" t="str">
        <f>"-58,399707"</f>
        <v>-58,399707</v>
      </c>
    </row>
    <row r="406" spans="1:3" x14ac:dyDescent="0.25">
      <c r="A406" t="s">
        <v>7320</v>
      </c>
      <c r="B406" t="str">
        <f>"-34,563442"</f>
        <v>-34,563442</v>
      </c>
      <c r="C406" t="str">
        <f>"-58,4588904"</f>
        <v>-58,4588904</v>
      </c>
    </row>
    <row r="407" spans="1:3" x14ac:dyDescent="0.25">
      <c r="A407" t="s">
        <v>7321</v>
      </c>
      <c r="B407" t="str">
        <f>"-34,588324"</f>
        <v>-34,588324</v>
      </c>
      <c r="C407" t="str">
        <f>"-58,5005716"</f>
        <v>-58,5005716</v>
      </c>
    </row>
    <row r="408" spans="1:3" x14ac:dyDescent="0.25">
      <c r="A408" t="s">
        <v>7322</v>
      </c>
      <c r="B408" t="str">
        <f>"-32,4144284"</f>
        <v>-32,4144284</v>
      </c>
      <c r="C408" t="str">
        <f>"-63,2507003"</f>
        <v>-63,2507003</v>
      </c>
    </row>
    <row r="409" spans="1:3" x14ac:dyDescent="0.25">
      <c r="A409" t="s">
        <v>7323</v>
      </c>
      <c r="B409" t="str">
        <f>"-34,6036844"</f>
        <v>-34,6036844</v>
      </c>
      <c r="C409" t="str">
        <f>"-58,3815591"</f>
        <v>-58,3815591</v>
      </c>
    </row>
    <row r="410" spans="1:3" x14ac:dyDescent="0.25">
      <c r="A410" t="s">
        <v>7324</v>
      </c>
      <c r="B410" t="str">
        <f>"-34,5907885"</f>
        <v>-34,5907885</v>
      </c>
      <c r="C410" t="str">
        <f>"-58,404427"</f>
        <v>-58,404427</v>
      </c>
    </row>
    <row r="411" spans="1:3" x14ac:dyDescent="0.25">
      <c r="A411" t="s">
        <v>7325</v>
      </c>
      <c r="B411" t="str">
        <f>"-34,7494171"</f>
        <v>-34,7494171</v>
      </c>
      <c r="C411" t="str">
        <f>"-58,5854201"</f>
        <v>-58,5854201</v>
      </c>
    </row>
    <row r="412" spans="1:3" x14ac:dyDescent="0.25">
      <c r="A412" t="s">
        <v>7326</v>
      </c>
      <c r="B412" t="str">
        <f>"-32,900294"</f>
        <v>-32,900294</v>
      </c>
      <c r="C412" t="str">
        <f>"-68,8379682"</f>
        <v>-68,8379682</v>
      </c>
    </row>
    <row r="413" spans="1:3" x14ac:dyDescent="0.25">
      <c r="A413" t="s">
        <v>7327</v>
      </c>
      <c r="B413" t="str">
        <f>"-34,7365753"</f>
        <v>-34,7365753</v>
      </c>
      <c r="C413" t="str">
        <f>"-58,3930024"</f>
        <v>-58,3930024</v>
      </c>
    </row>
    <row r="414" spans="1:3" x14ac:dyDescent="0.25">
      <c r="A414" t="s">
        <v>7328</v>
      </c>
      <c r="B414" t="str">
        <f>"-31,4129682"</f>
        <v>-31,4129682</v>
      </c>
      <c r="C414" t="str">
        <f>"-64,1814792"</f>
        <v>-64,1814792</v>
      </c>
    </row>
    <row r="415" spans="1:3" x14ac:dyDescent="0.25">
      <c r="A415" t="s">
        <v>7329</v>
      </c>
      <c r="B415" t="str">
        <f>"-34,6036844"</f>
        <v>-34,6036844</v>
      </c>
      <c r="C415" t="str">
        <f>"-58,3815591"</f>
        <v>-58,3815591</v>
      </c>
    </row>
    <row r="416" spans="1:3" x14ac:dyDescent="0.25">
      <c r="A416" t="s">
        <v>7330</v>
      </c>
      <c r="B416" t="str">
        <f>"-34,5790846"</f>
        <v>-34,5790846</v>
      </c>
      <c r="C416" t="str">
        <f>"-58,5391764"</f>
        <v>-58,5391764</v>
      </c>
    </row>
    <row r="417" spans="1:3" x14ac:dyDescent="0.25">
      <c r="A417" t="s">
        <v>7331</v>
      </c>
      <c r="B417" t="str">
        <f>"-34,781371"</f>
        <v>-34,781371</v>
      </c>
      <c r="C417" t="str">
        <f>"-58,3135147"</f>
        <v>-58,3135147</v>
      </c>
    </row>
    <row r="418" spans="1:3" x14ac:dyDescent="0.25">
      <c r="A418" t="s">
        <v>7332</v>
      </c>
      <c r="B418" t="str">
        <f>"-32,6305078"</f>
        <v>-32,6305078</v>
      </c>
      <c r="C418" t="str">
        <f>"-62,6888569"</f>
        <v>-62,6888569</v>
      </c>
    </row>
    <row r="419" spans="1:3" x14ac:dyDescent="0.25">
      <c r="A419" t="s">
        <v>7333</v>
      </c>
      <c r="B419" t="str">
        <f>"-53,7860374"</f>
        <v>-53,7860374</v>
      </c>
      <c r="C419" t="str">
        <f>"-67,7002243"</f>
        <v>-67,7002243</v>
      </c>
    </row>
    <row r="420" spans="1:3" x14ac:dyDescent="0.25">
      <c r="A420" t="s">
        <v>7334</v>
      </c>
      <c r="B420" t="str">
        <f>"-34,6528347"</f>
        <v>-34,6528347</v>
      </c>
      <c r="C420" t="str">
        <f>"-58,6809669"</f>
        <v>-58,6809669</v>
      </c>
    </row>
    <row r="421" spans="1:3" x14ac:dyDescent="0.25">
      <c r="A421" t="s">
        <v>5141</v>
      </c>
      <c r="B421" t="str">
        <f>"-34,5896061"</f>
        <v>-34,5896061</v>
      </c>
      <c r="C421" t="str">
        <f>"-58,3802473"</f>
        <v>-58,3802473</v>
      </c>
    </row>
    <row r="422" spans="1:3" x14ac:dyDescent="0.25">
      <c r="A422" t="s">
        <v>7335</v>
      </c>
      <c r="B422" t="str">
        <f>"-34,5933709"</f>
        <v>-34,5933709</v>
      </c>
      <c r="C422" t="str">
        <f>"-58,3830319"</f>
        <v>-58,3830319</v>
      </c>
    </row>
    <row r="423" spans="1:3" x14ac:dyDescent="0.25">
      <c r="A423" t="s">
        <v>7336</v>
      </c>
      <c r="B423" t="str">
        <f>"-34,5933709"</f>
        <v>-34,5933709</v>
      </c>
      <c r="C423" t="str">
        <f>"-58,3830319"</f>
        <v>-58,3830319</v>
      </c>
    </row>
    <row r="424" spans="1:3" x14ac:dyDescent="0.25">
      <c r="A424" t="s">
        <v>7337</v>
      </c>
      <c r="B424" t="str">
        <f>"-34,5933709"</f>
        <v>-34,5933709</v>
      </c>
      <c r="C424" t="str">
        <f>"-58,3830319"</f>
        <v>-58,3830319</v>
      </c>
    </row>
    <row r="425" spans="1:3" x14ac:dyDescent="0.25">
      <c r="A425" t="s">
        <v>7338</v>
      </c>
      <c r="B425" t="str">
        <f>"-34,5933709"</f>
        <v>-34,5933709</v>
      </c>
      <c r="C425" t="str">
        <f>"-58,3830319"</f>
        <v>-58,3830319</v>
      </c>
    </row>
    <row r="426" spans="1:3" x14ac:dyDescent="0.25">
      <c r="A426" t="s">
        <v>7339</v>
      </c>
      <c r="B426" t="str">
        <f>"-37,9850158"</f>
        <v>-37,9850158</v>
      </c>
      <c r="C426" t="str">
        <f>"-57,5820665"</f>
        <v>-57,5820665</v>
      </c>
    </row>
    <row r="427" spans="1:3" x14ac:dyDescent="0.25">
      <c r="A427" t="s">
        <v>7340</v>
      </c>
      <c r="B427" t="str">
        <f>"-32,9459614"</f>
        <v>-32,9459614</v>
      </c>
      <c r="C427" t="str">
        <f>"-60,6470601"</f>
        <v>-60,6470601</v>
      </c>
    </row>
    <row r="428" spans="1:3" x14ac:dyDescent="0.25">
      <c r="A428" t="s">
        <v>7341</v>
      </c>
      <c r="B428" t="str">
        <f>"-31,379676"</f>
        <v>-31,379676</v>
      </c>
      <c r="C428" t="str">
        <f>"-64,1804043"</f>
        <v>-64,1804043</v>
      </c>
    </row>
    <row r="429" spans="1:3" x14ac:dyDescent="0.25">
      <c r="A429" t="s">
        <v>7342</v>
      </c>
      <c r="B429" t="str">
        <f>"-31,379676"</f>
        <v>-31,379676</v>
      </c>
      <c r="C429" t="str">
        <f>"-64,1804043"</f>
        <v>-64,1804043</v>
      </c>
    </row>
    <row r="430" spans="1:3" x14ac:dyDescent="0.25">
      <c r="A430" t="s">
        <v>7343</v>
      </c>
      <c r="B430" t="str">
        <f>"-37,994194"</f>
        <v>-37,994194</v>
      </c>
      <c r="C430" t="str">
        <f>"-57,5545386"</f>
        <v>-57,5545386</v>
      </c>
    </row>
    <row r="431" spans="1:3" x14ac:dyDescent="0.25">
      <c r="A431" t="s">
        <v>7344</v>
      </c>
      <c r="B431" t="str">
        <f>"-34,6036844"</f>
        <v>-34,6036844</v>
      </c>
      <c r="C431" t="str">
        <f>"-58,3815591"</f>
        <v>-58,3815591</v>
      </c>
    </row>
    <row r="432" spans="1:3" x14ac:dyDescent="0.25">
      <c r="A432" t="s">
        <v>3966</v>
      </c>
      <c r="B432" t="str">
        <f>"-26,8299318"</f>
        <v>-26,8299318</v>
      </c>
      <c r="C432" t="str">
        <f>"-65,2059204"</f>
        <v>-65,2059204</v>
      </c>
    </row>
    <row r="433" spans="1:3" x14ac:dyDescent="0.25">
      <c r="A433" t="s">
        <v>7345</v>
      </c>
      <c r="B433" t="str">
        <f>"-34,6080059"</f>
        <v>-34,6080059</v>
      </c>
      <c r="C433" t="str">
        <f>"-58,4625299"</f>
        <v>-58,4625299</v>
      </c>
    </row>
    <row r="434" spans="1:3" x14ac:dyDescent="0.25">
      <c r="A434" t="s">
        <v>7346</v>
      </c>
      <c r="B434" t="str">
        <f>"-34,3999357"</f>
        <v>-34,3999357</v>
      </c>
      <c r="C434" t="str">
        <f>"-58,6547626"</f>
        <v>-58,6547626</v>
      </c>
    </row>
    <row r="435" spans="1:3" x14ac:dyDescent="0.25">
      <c r="A435" t="s">
        <v>7347</v>
      </c>
      <c r="B435" t="str">
        <f>"-34,5954325"</f>
        <v>-34,5954325</v>
      </c>
      <c r="C435" t="str">
        <f>"-58,3835896"</f>
        <v>-58,3835896</v>
      </c>
    </row>
    <row r="436" spans="1:3" x14ac:dyDescent="0.25">
      <c r="A436" t="s">
        <v>7348</v>
      </c>
      <c r="B436" t="str">
        <f>"-37,3263563"</f>
        <v>-37,3263563</v>
      </c>
      <c r="C436" t="str">
        <f>"-59,1362217"</f>
        <v>-59,1362217</v>
      </c>
    </row>
    <row r="437" spans="1:3" x14ac:dyDescent="0.25">
      <c r="A437" t="s">
        <v>7349</v>
      </c>
      <c r="B437" t="str">
        <f>"-38,0282607"</f>
        <v>-38,0282607</v>
      </c>
      <c r="C437" t="str">
        <f>"-57,5591692"</f>
        <v>-57,5591692</v>
      </c>
    </row>
    <row r="438" spans="1:3" x14ac:dyDescent="0.25">
      <c r="A438" t="s">
        <v>7350</v>
      </c>
      <c r="B438" t="str">
        <f>"-32,9538229"</f>
        <v>-32,9538229</v>
      </c>
      <c r="C438" t="str">
        <f>"-60,6716576"</f>
        <v>-60,6716576</v>
      </c>
    </row>
    <row r="439" spans="1:3" x14ac:dyDescent="0.25">
      <c r="A439" t="s">
        <v>7351</v>
      </c>
      <c r="B439" t="str">
        <f>"-34,6153515"</f>
        <v>-34,6153515</v>
      </c>
      <c r="C439" t="str">
        <f>"-58,3708216"</f>
        <v>-58,3708216</v>
      </c>
    </row>
    <row r="440" spans="1:3" x14ac:dyDescent="0.25">
      <c r="A440" t="s">
        <v>7352</v>
      </c>
      <c r="B440" t="str">
        <f>"-36,8937167"</f>
        <v>-36,8937167</v>
      </c>
      <c r="C440" t="str">
        <f>"-60,3233499"</f>
        <v>-60,3233499</v>
      </c>
    </row>
    <row r="441" spans="1:3" x14ac:dyDescent="0.25">
      <c r="A441" t="s">
        <v>7353</v>
      </c>
      <c r="B441" t="str">
        <f>"-31,254707"</f>
        <v>-31,254707</v>
      </c>
      <c r="C441" t="str">
        <f>"-61,485429"</f>
        <v>-61,485429</v>
      </c>
    </row>
    <row r="442" spans="1:3" x14ac:dyDescent="0.25">
      <c r="A442" t="s">
        <v>7354</v>
      </c>
      <c r="B442" t="str">
        <f>"-36,620922"</f>
        <v>-36,620922</v>
      </c>
      <c r="C442" t="str">
        <f>"-64,2912369"</f>
        <v>-64,2912369</v>
      </c>
    </row>
    <row r="443" spans="1:3" x14ac:dyDescent="0.25">
      <c r="A443" t="s">
        <v>7355</v>
      </c>
      <c r="B443" t="str">
        <f>"-46,4441167"</f>
        <v>-46,4441167</v>
      </c>
      <c r="C443" t="str">
        <f>"-67,521813"</f>
        <v>-67,521813</v>
      </c>
    </row>
    <row r="444" spans="1:3" x14ac:dyDescent="0.25">
      <c r="A444" t="s">
        <v>7356</v>
      </c>
      <c r="B444" t="str">
        <f>"-51,6229382"</f>
        <v>-51,6229382</v>
      </c>
      <c r="C444" t="str">
        <f>"-69,2117899"</f>
        <v>-69,2117899</v>
      </c>
    </row>
    <row r="445" spans="1:3" x14ac:dyDescent="0.25">
      <c r="A445" t="s">
        <v>7357</v>
      </c>
      <c r="B445" t="str">
        <f>"-32,175236"</f>
        <v>-32,175236</v>
      </c>
      <c r="C445" t="str">
        <f>"-64,11154"</f>
        <v>-64,11154</v>
      </c>
    </row>
    <row r="446" spans="1:3" x14ac:dyDescent="0.25">
      <c r="A446" t="s">
        <v>7358</v>
      </c>
      <c r="B446" t="str">
        <f>"-34,7482483"</f>
        <v>-34,7482483</v>
      </c>
      <c r="C446" t="str">
        <f>"-58,5872719"</f>
        <v>-58,5872719</v>
      </c>
    </row>
    <row r="447" spans="1:3" x14ac:dyDescent="0.25">
      <c r="A447" t="s">
        <v>7359</v>
      </c>
      <c r="B447" t="str">
        <f>"-34,6489424"</f>
        <v>-34,6489424</v>
      </c>
      <c r="C447" t="str">
        <f>"-58,5190565"</f>
        <v>-58,5190565</v>
      </c>
    </row>
    <row r="448" spans="1:3" x14ac:dyDescent="0.25">
      <c r="A448" t="s">
        <v>7360</v>
      </c>
      <c r="B448" t="str">
        <f>"-34,1665515"</f>
        <v>-34,1665515</v>
      </c>
      <c r="C448" t="str">
        <f>"-58,9592913"</f>
        <v>-58,9592913</v>
      </c>
    </row>
    <row r="449" spans="1:3" x14ac:dyDescent="0.25">
      <c r="A449" t="s">
        <v>7361</v>
      </c>
      <c r="B449" t="str">
        <f>"-31,4170753"</f>
        <v>-31,4170753</v>
      </c>
      <c r="C449" t="str">
        <f>"-64,4892347"</f>
        <v>-64,4892347</v>
      </c>
    </row>
    <row r="450" spans="1:3" x14ac:dyDescent="0.25">
      <c r="A450" t="s">
        <v>7362</v>
      </c>
      <c r="B450" t="str">
        <f>"-31,4115909"</f>
        <v>-31,4115909</v>
      </c>
      <c r="C450" t="str">
        <f>"-64,1813226"</f>
        <v>-64,1813226</v>
      </c>
    </row>
    <row r="451" spans="1:3" x14ac:dyDescent="0.25">
      <c r="A451" t="s">
        <v>7363</v>
      </c>
      <c r="B451" t="str">
        <f>"-31,4154971"</f>
        <v>-31,4154971</v>
      </c>
      <c r="C451" t="str">
        <f>"-64,1864116"</f>
        <v>-64,1864116</v>
      </c>
    </row>
    <row r="452" spans="1:3" x14ac:dyDescent="0.25">
      <c r="A452" t="s">
        <v>7364</v>
      </c>
      <c r="B452" t="str">
        <f>"-26,1857768"</f>
        <v>-26,1857768</v>
      </c>
      <c r="C452" t="str">
        <f>"-58,1755669"</f>
        <v>-58,1755669</v>
      </c>
    </row>
    <row r="453" spans="1:3" x14ac:dyDescent="0.25">
      <c r="A453" t="s">
        <v>7365</v>
      </c>
      <c r="B453" t="str">
        <f>"-34,5620788"</f>
        <v>-34,5620788</v>
      </c>
      <c r="C453" t="str">
        <f>"-58,4572238"</f>
        <v>-58,4572238</v>
      </c>
    </row>
    <row r="454" spans="1:3" x14ac:dyDescent="0.25">
      <c r="A454" t="s">
        <v>7366</v>
      </c>
      <c r="B454" t="str">
        <f>"-34,6150297"</f>
        <v>-34,6150297</v>
      </c>
      <c r="C454" t="str">
        <f>"-68,3297921"</f>
        <v>-68,3297921</v>
      </c>
    </row>
    <row r="455" spans="1:3" x14ac:dyDescent="0.25">
      <c r="A455" t="s">
        <v>7367</v>
      </c>
      <c r="B455" t="str">
        <f>"-34,5847044"</f>
        <v>-34,5847044</v>
      </c>
      <c r="C455" t="str">
        <f>"-58,7487373"</f>
        <v>-58,7487373</v>
      </c>
    </row>
    <row r="456" spans="1:3" x14ac:dyDescent="0.25">
      <c r="A456" t="s">
        <v>7368</v>
      </c>
      <c r="B456" t="str">
        <f>"-36,5986212"</f>
        <v>-36,5986212</v>
      </c>
      <c r="C456" t="str">
        <f>"-61,7385913"</f>
        <v>-61,7385913</v>
      </c>
    </row>
    <row r="457" spans="1:3" x14ac:dyDescent="0.25">
      <c r="A457" t="s">
        <v>7369</v>
      </c>
      <c r="B457" t="str">
        <f>"-32,9354833"</f>
        <v>-32,9354833</v>
      </c>
      <c r="C457" t="str">
        <f>"-60,7131076"</f>
        <v>-60,7131076</v>
      </c>
    </row>
    <row r="458" spans="1:3" x14ac:dyDescent="0.25">
      <c r="A458" t="s">
        <v>7370</v>
      </c>
      <c r="B458" t="str">
        <f>"-38,9516784"</f>
        <v>-38,9516784</v>
      </c>
      <c r="C458" t="str">
        <f>"-68,0591888"</f>
        <v>-68,0591888</v>
      </c>
    </row>
    <row r="459" spans="1:3" x14ac:dyDescent="0.25">
      <c r="A459" t="s">
        <v>7371</v>
      </c>
      <c r="B459" t="str">
        <f>"-26,830731"</f>
        <v>-26,830731</v>
      </c>
      <c r="C459" t="str">
        <f>"-65,2067543"</f>
        <v>-65,2067543</v>
      </c>
    </row>
    <row r="460" spans="1:3" x14ac:dyDescent="0.25">
      <c r="A460" t="s">
        <v>7372</v>
      </c>
      <c r="B460" t="str">
        <f>"-34,9204948"</f>
        <v>-34,9204948</v>
      </c>
      <c r="C460" t="str">
        <f>"-57,9535657"</f>
        <v>-57,9535657</v>
      </c>
    </row>
    <row r="461" spans="1:3" x14ac:dyDescent="0.25">
      <c r="A461" t="s">
        <v>7373</v>
      </c>
      <c r="B461" t="str">
        <f>"-34,6036081"</f>
        <v>-34,6036081</v>
      </c>
      <c r="C461" t="str">
        <f>"-58,462727"</f>
        <v>-58,462727</v>
      </c>
    </row>
    <row r="462" spans="1:3" x14ac:dyDescent="0.25">
      <c r="A462" t="s">
        <v>7374</v>
      </c>
      <c r="B462" t="str">
        <f>"-34,7783797"</f>
        <v>-34,7783797</v>
      </c>
      <c r="C462" t="str">
        <f>"-58,4299326"</f>
        <v>-58,4299326</v>
      </c>
    </row>
    <row r="463" spans="1:3" x14ac:dyDescent="0.25">
      <c r="A463" t="s">
        <v>7375</v>
      </c>
      <c r="B463" t="str">
        <f>"0"</f>
        <v>0</v>
      </c>
      <c r="C463" t="str">
        <f>"0"</f>
        <v>0</v>
      </c>
    </row>
    <row r="464" spans="1:3" x14ac:dyDescent="0.25">
      <c r="A464" t="s">
        <v>7376</v>
      </c>
      <c r="B464" t="str">
        <f>"-34,4939975"</f>
        <v>-34,4939975</v>
      </c>
      <c r="C464" t="str">
        <f>"-58,5103835"</f>
        <v>-58,5103835</v>
      </c>
    </row>
    <row r="465" spans="1:3" x14ac:dyDescent="0.25">
      <c r="A465" t="s">
        <v>7377</v>
      </c>
      <c r="B465" t="str">
        <f>"34,2819461"</f>
        <v>34,2819461</v>
      </c>
      <c r="C465" t="str">
        <f>"-118,4389719"</f>
        <v>-118,4389719</v>
      </c>
    </row>
    <row r="466" spans="1:3" x14ac:dyDescent="0.25">
      <c r="A466" t="s">
        <v>7378</v>
      </c>
      <c r="B466" t="str">
        <f>"-31,4212337"</f>
        <v>-31,4212337</v>
      </c>
      <c r="C466" t="str">
        <f>"-64,1835013"</f>
        <v>-64,1835013</v>
      </c>
    </row>
    <row r="467" spans="1:3" x14ac:dyDescent="0.25">
      <c r="A467" t="s">
        <v>7379</v>
      </c>
      <c r="B467" t="str">
        <f>"-34,6262837"</f>
        <v>-34,6262837</v>
      </c>
      <c r="C467" t="str">
        <f>"-58,4746632"</f>
        <v>-58,4746632</v>
      </c>
    </row>
    <row r="468" spans="1:3" x14ac:dyDescent="0.25">
      <c r="A468" t="s">
        <v>7380</v>
      </c>
      <c r="B468" t="str">
        <f>"-34,6000558"</f>
        <v>-34,6000558</v>
      </c>
      <c r="C468" t="str">
        <f>"-58,4052762"</f>
        <v>-58,4052762</v>
      </c>
    </row>
    <row r="469" spans="1:3" x14ac:dyDescent="0.25">
      <c r="A469" t="s">
        <v>7381</v>
      </c>
      <c r="B469" t="str">
        <f>"-34,700057"</f>
        <v>-34,700057</v>
      </c>
      <c r="C469" t="str">
        <f>"-58,2892413"</f>
        <v>-58,2892413</v>
      </c>
    </row>
    <row r="470" spans="1:3" x14ac:dyDescent="0.25">
      <c r="A470" t="s">
        <v>7382</v>
      </c>
      <c r="B470" t="str">
        <f>"-38,0054771"</f>
        <v>-38,0054771</v>
      </c>
      <c r="C470" t="str">
        <f>"-57,5426106"</f>
        <v>-57,5426106</v>
      </c>
    </row>
    <row r="471" spans="1:3" x14ac:dyDescent="0.25">
      <c r="A471" t="s">
        <v>7383</v>
      </c>
      <c r="B471" t="str">
        <f>"-34,6044063"</f>
        <v>-34,6044063</v>
      </c>
      <c r="C471" t="str">
        <f>"-58,4044292"</f>
        <v>-58,4044292</v>
      </c>
    </row>
    <row r="472" spans="1:3" x14ac:dyDescent="0.25">
      <c r="A472" t="s">
        <v>7384</v>
      </c>
      <c r="B472" t="str">
        <f>"-34,565114"</f>
        <v>-34,565114</v>
      </c>
      <c r="C472" t="str">
        <f>"-59,117538"</f>
        <v>-59,117538</v>
      </c>
    </row>
    <row r="473" spans="1:3" x14ac:dyDescent="0.25">
      <c r="A473" t="s">
        <v>7385</v>
      </c>
      <c r="B473" t="str">
        <f>"-34,5806693"</f>
        <v>-34,5806693</v>
      </c>
      <c r="C473" t="str">
        <f>"-58,4136227"</f>
        <v>-58,4136227</v>
      </c>
    </row>
    <row r="474" spans="1:3" x14ac:dyDescent="0.25">
      <c r="A474" t="s">
        <v>7386</v>
      </c>
      <c r="B474" t="str">
        <f>"-34,5806693"</f>
        <v>-34,5806693</v>
      </c>
      <c r="C474" t="str">
        <f>"-58,4136227"</f>
        <v>-58,4136227</v>
      </c>
    </row>
    <row r="475" spans="1:3" x14ac:dyDescent="0.25">
      <c r="A475" t="s">
        <v>7387</v>
      </c>
      <c r="B475" t="str">
        <f>"-34,4444201"</f>
        <v>-34,4444201</v>
      </c>
      <c r="C475" t="str">
        <f>"-58,7599149"</f>
        <v>-58,7599149</v>
      </c>
    </row>
    <row r="476" spans="1:3" x14ac:dyDescent="0.25">
      <c r="A476" t="s">
        <v>7388</v>
      </c>
      <c r="B476" t="str">
        <f>"-31,4196385"</f>
        <v>-31,4196385</v>
      </c>
      <c r="C476" t="str">
        <f>"-64,1880995"</f>
        <v>-64,1880995</v>
      </c>
    </row>
    <row r="477" spans="1:3" x14ac:dyDescent="0.25">
      <c r="A477" t="s">
        <v>7389</v>
      </c>
      <c r="B477" t="str">
        <f>"-31,4170753"</f>
        <v>-31,4170753</v>
      </c>
      <c r="C477" t="str">
        <f>"-64,4892347"</f>
        <v>-64,4892347</v>
      </c>
    </row>
    <row r="478" spans="1:3" x14ac:dyDescent="0.25">
      <c r="A478" t="s">
        <v>7390</v>
      </c>
      <c r="B478" t="str">
        <f>"-34,6141994"</f>
        <v>-34,6141994</v>
      </c>
      <c r="C478" t="str">
        <f>"-58,5019223"</f>
        <v>-58,5019223</v>
      </c>
    </row>
    <row r="479" spans="1:3" x14ac:dyDescent="0.25">
      <c r="A479" t="s">
        <v>6906</v>
      </c>
      <c r="B479" t="str">
        <f>""</f>
        <v/>
      </c>
      <c r="C479" t="str">
        <f>""</f>
        <v/>
      </c>
    </row>
    <row r="480" spans="1:3" x14ac:dyDescent="0.25">
      <c r="A480" t="s">
        <v>7391</v>
      </c>
      <c r="B480" t="str">
        <f>""</f>
        <v/>
      </c>
      <c r="C480" t="str">
        <f>""</f>
        <v/>
      </c>
    </row>
    <row r="481" spans="1:3" x14ac:dyDescent="0.25">
      <c r="A481" t="s">
        <v>3982</v>
      </c>
      <c r="B481" t="str">
        <f>""</f>
        <v/>
      </c>
      <c r="C481" t="str">
        <f>""</f>
        <v/>
      </c>
    </row>
    <row r="482" spans="1:3" x14ac:dyDescent="0.25">
      <c r="A482" t="s">
        <v>7392</v>
      </c>
      <c r="B482" t="str">
        <f>"0"</f>
        <v>0</v>
      </c>
      <c r="C482" t="str">
        <f>"0"</f>
        <v>0</v>
      </c>
    </row>
    <row r="483" spans="1:3" x14ac:dyDescent="0.25">
      <c r="A483" t="s">
        <v>7393</v>
      </c>
      <c r="B483" t="str">
        <f>"-34,6264462"</f>
        <v>-34,6264462</v>
      </c>
      <c r="C483" t="str">
        <f>"-58,4014069"</f>
        <v>-58,4014069</v>
      </c>
    </row>
    <row r="484" spans="1:3" x14ac:dyDescent="0.25">
      <c r="A484" t="s">
        <v>7394</v>
      </c>
      <c r="B484" t="str">
        <f>"-34,7593416"</f>
        <v>-34,7593416</v>
      </c>
      <c r="C484" t="str">
        <f>"-58,3985009"</f>
        <v>-58,3985009</v>
      </c>
    </row>
    <row r="485" spans="1:3" x14ac:dyDescent="0.25">
      <c r="A485" t="s">
        <v>7395</v>
      </c>
      <c r="B485" t="str">
        <f>"-34,6036844"</f>
        <v>-34,6036844</v>
      </c>
      <c r="C485" t="str">
        <f>"-58,3815591"</f>
        <v>-58,3815591</v>
      </c>
    </row>
    <row r="486" spans="1:3" x14ac:dyDescent="0.25">
      <c r="A486" t="s">
        <v>7396</v>
      </c>
      <c r="B486" t="str">
        <f>"-38,9581199"</f>
        <v>-38,9581199</v>
      </c>
      <c r="C486" t="str">
        <f>"-68,0585457"</f>
        <v>-68,0585457</v>
      </c>
    </row>
    <row r="487" spans="1:3" x14ac:dyDescent="0.25">
      <c r="A487" t="s">
        <v>7397</v>
      </c>
      <c r="B487" t="str">
        <f>"-34,5811051"</f>
        <v>-34,5811051</v>
      </c>
      <c r="C487" t="str">
        <f>"-58,4284202"</f>
        <v>-58,4284202</v>
      </c>
    </row>
    <row r="488" spans="1:3" x14ac:dyDescent="0.25">
      <c r="A488" t="s">
        <v>7318</v>
      </c>
      <c r="B488" t="str">
        <f>""</f>
        <v/>
      </c>
      <c r="C488" t="str">
        <f>""</f>
        <v/>
      </c>
    </row>
    <row r="489" spans="1:3" x14ac:dyDescent="0.25">
      <c r="A489" t="s">
        <v>7398</v>
      </c>
      <c r="B489" t="str">
        <f>"-34,8048508"</f>
        <v>-34,8048508</v>
      </c>
      <c r="C489" t="str">
        <f>"-58,4615134"</f>
        <v>-58,4615134</v>
      </c>
    </row>
    <row r="490" spans="1:3" x14ac:dyDescent="0.25">
      <c r="A490" t="s">
        <v>7399</v>
      </c>
      <c r="B490" t="str">
        <f>"-34,6044063"</f>
        <v>-34,6044063</v>
      </c>
      <c r="C490" t="str">
        <f>"-58,4044292"</f>
        <v>-58,4044292</v>
      </c>
    </row>
    <row r="491" spans="1:3" x14ac:dyDescent="0.25">
      <c r="A491" t="s">
        <v>7400</v>
      </c>
      <c r="B491" t="str">
        <f>"-33,3017267"</f>
        <v>-33,3017267</v>
      </c>
      <c r="C491" t="str">
        <f>"-66,3377522"</f>
        <v>-66,3377522</v>
      </c>
    </row>
    <row r="492" spans="1:3" x14ac:dyDescent="0.25">
      <c r="A492" t="s">
        <v>6888</v>
      </c>
      <c r="B492" t="str">
        <f>"-34,6036844"</f>
        <v>-34,6036844</v>
      </c>
      <c r="C492" t="str">
        <f>"-58,3815591"</f>
        <v>-58,3815591</v>
      </c>
    </row>
    <row r="493" spans="1:3" x14ac:dyDescent="0.25">
      <c r="A493" t="s">
        <v>7401</v>
      </c>
      <c r="B493" t="str">
        <f>"-34,6036844"</f>
        <v>-34,6036844</v>
      </c>
      <c r="C493" t="str">
        <f>"-58,3815591"</f>
        <v>-58,3815591</v>
      </c>
    </row>
    <row r="494" spans="1:3" x14ac:dyDescent="0.25">
      <c r="A494" t="s">
        <v>7402</v>
      </c>
      <c r="B494" t="str">
        <f>"-34,641896"</f>
        <v>-34,641896</v>
      </c>
      <c r="C494" t="str">
        <f>"-58,5313793"</f>
        <v>-58,5313793</v>
      </c>
    </row>
    <row r="495" spans="1:3" x14ac:dyDescent="0.25">
      <c r="A495" t="s">
        <v>7403</v>
      </c>
      <c r="B495" t="str">
        <f>"-51,6195114"</f>
        <v>-51,6195114</v>
      </c>
      <c r="C495" t="str">
        <f>"-69,2189588"</f>
        <v>-69,2189588</v>
      </c>
    </row>
    <row r="496" spans="1:3" x14ac:dyDescent="0.25">
      <c r="A496" t="s">
        <v>7404</v>
      </c>
      <c r="B496" t="str">
        <f>"-31,6560948"</f>
        <v>-31,6560948</v>
      </c>
      <c r="C496" t="str">
        <f>"-64,4312209"</f>
        <v>-64,4312209</v>
      </c>
    </row>
    <row r="497" spans="1:3" x14ac:dyDescent="0.25">
      <c r="A497" t="s">
        <v>7405</v>
      </c>
      <c r="B497" t="str">
        <f>"-34,6428196"</f>
        <v>-34,6428196</v>
      </c>
      <c r="C497" t="str">
        <f>"-58,4554078"</f>
        <v>-58,4554078</v>
      </c>
    </row>
    <row r="498" spans="1:3" x14ac:dyDescent="0.25">
      <c r="A498" t="s">
        <v>7406</v>
      </c>
      <c r="B498" t="str">
        <f>"-34,6036844"</f>
        <v>-34,6036844</v>
      </c>
      <c r="C498" t="str">
        <f>"-58,3815591"</f>
        <v>-58,3815591</v>
      </c>
    </row>
    <row r="499" spans="1:3" x14ac:dyDescent="0.25">
      <c r="A499" t="s">
        <v>7407</v>
      </c>
      <c r="B499" t="str">
        <f>"-32,9587022"</f>
        <v>-32,9587022</v>
      </c>
      <c r="C499" t="str">
        <f>"-60,6930416"</f>
        <v>-60,6930416</v>
      </c>
    </row>
    <row r="500" spans="1:3" x14ac:dyDescent="0.25">
      <c r="A500" t="s">
        <v>7408</v>
      </c>
      <c r="B500" t="str">
        <f>"-34,5658248"</f>
        <v>-34,5658248</v>
      </c>
      <c r="C500" t="str">
        <f>"-58,4533052"</f>
        <v>-58,4533052</v>
      </c>
    </row>
    <row r="501" spans="1:3" x14ac:dyDescent="0.25">
      <c r="A501" t="s">
        <v>7409</v>
      </c>
      <c r="B501" t="str">
        <f>"-34,4501436"</f>
        <v>-34,4501436</v>
      </c>
      <c r="C501" t="str">
        <f>"-58,7251348"</f>
        <v>-58,7251348</v>
      </c>
    </row>
    <row r="502" spans="1:3" x14ac:dyDescent="0.25">
      <c r="A502" t="s">
        <v>7410</v>
      </c>
      <c r="B502" t="str">
        <f>"-34,5591931"</f>
        <v>-34,5591931</v>
      </c>
      <c r="C502" t="str">
        <f>"-58,457759"</f>
        <v>-58,457759</v>
      </c>
    </row>
    <row r="503" spans="1:3" x14ac:dyDescent="0.25">
      <c r="A503" t="s">
        <v>7411</v>
      </c>
      <c r="B503" t="str">
        <f>"-33,0422258"</f>
        <v>-33,0422258</v>
      </c>
      <c r="C503" t="str">
        <f>"-68,8929348"</f>
        <v>-68,8929348</v>
      </c>
    </row>
    <row r="504" spans="1:3" x14ac:dyDescent="0.25">
      <c r="A504" t="s">
        <v>7412</v>
      </c>
      <c r="B504" t="str">
        <f>"-38,9395844"</f>
        <v>-38,9395844</v>
      </c>
      <c r="C504" t="str">
        <f>"-67,9977024"</f>
        <v>-67,9977024</v>
      </c>
    </row>
    <row r="505" spans="1:3" x14ac:dyDescent="0.25">
      <c r="A505" t="s">
        <v>7413</v>
      </c>
      <c r="B505" t="str">
        <f>"-34,0996869"</f>
        <v>-34,0996869</v>
      </c>
      <c r="C505" t="str">
        <f>"-59,0220504"</f>
        <v>-59,0220504</v>
      </c>
    </row>
    <row r="506" spans="1:3" x14ac:dyDescent="0.25">
      <c r="A506" t="s">
        <v>7414</v>
      </c>
      <c r="B506" t="str">
        <f>"-38,9508025"</f>
        <v>-38,9508025</v>
      </c>
      <c r="C506" t="str">
        <f>"-68,0785383"</f>
        <v>-68,0785383</v>
      </c>
    </row>
    <row r="507" spans="1:3" x14ac:dyDescent="0.25">
      <c r="A507" t="s">
        <v>7415</v>
      </c>
      <c r="B507" t="str">
        <f>"-34,604748"</f>
        <v>-34,604748</v>
      </c>
      <c r="C507" t="str">
        <f>"-58,3999929"</f>
        <v>-58,3999929</v>
      </c>
    </row>
    <row r="508" spans="1:3" x14ac:dyDescent="0.25">
      <c r="A508" t="s">
        <v>7416</v>
      </c>
      <c r="B508" t="str">
        <f>"-31,611016"</f>
        <v>-31,611016</v>
      </c>
      <c r="C508" t="str">
        <f>"-60,6943821"</f>
        <v>-60,6943821</v>
      </c>
    </row>
    <row r="509" spans="1:3" x14ac:dyDescent="0.25">
      <c r="A509" t="s">
        <v>7417</v>
      </c>
      <c r="B509" t="str">
        <f>"-34,6249118"</f>
        <v>-34,6249118</v>
      </c>
      <c r="C509" t="str">
        <f>"-58,4017476"</f>
        <v>-58,4017476</v>
      </c>
    </row>
    <row r="510" spans="1:3" x14ac:dyDescent="0.25">
      <c r="A510" t="s">
        <v>7418</v>
      </c>
      <c r="B510" t="str">
        <f>"-34,5575537"</f>
        <v>-34,5575537</v>
      </c>
      <c r="C510" t="str">
        <f>"-58,4600583"</f>
        <v>-58,4600583</v>
      </c>
    </row>
    <row r="511" spans="1:3" x14ac:dyDescent="0.25">
      <c r="A511" t="s">
        <v>7419</v>
      </c>
      <c r="B511" t="str">
        <f>"-34,7093805"</f>
        <v>-34,7093805</v>
      </c>
      <c r="C511" t="str">
        <f>"-58,6236754"</f>
        <v>-58,6236754</v>
      </c>
    </row>
    <row r="512" spans="1:3" x14ac:dyDescent="0.25">
      <c r="A512" t="s">
        <v>7420</v>
      </c>
      <c r="B512" t="str">
        <f>""</f>
        <v/>
      </c>
      <c r="C512" t="str">
        <f>""</f>
        <v/>
      </c>
    </row>
    <row r="513" spans="1:3" x14ac:dyDescent="0.25">
      <c r="A513" t="s">
        <v>7149</v>
      </c>
      <c r="B513" t="str">
        <f>""</f>
        <v/>
      </c>
      <c r="C513" t="str">
        <f>""</f>
        <v/>
      </c>
    </row>
    <row r="514" spans="1:3" x14ac:dyDescent="0.25">
      <c r="A514" t="s">
        <v>7421</v>
      </c>
      <c r="B514" t="str">
        <f>""</f>
        <v/>
      </c>
      <c r="C514" t="str">
        <f>""</f>
        <v/>
      </c>
    </row>
    <row r="515" spans="1:3" x14ac:dyDescent="0.25">
      <c r="A515" t="s">
        <v>6930</v>
      </c>
      <c r="B515" t="str">
        <f>""</f>
        <v/>
      </c>
      <c r="C515" t="str">
        <f>""</f>
        <v/>
      </c>
    </row>
    <row r="516" spans="1:3" x14ac:dyDescent="0.25">
      <c r="A516" t="s">
        <v>7422</v>
      </c>
      <c r="B516" t="str">
        <f>""</f>
        <v/>
      </c>
      <c r="C516" t="str">
        <f>""</f>
        <v/>
      </c>
    </row>
    <row r="517" spans="1:3" x14ac:dyDescent="0.25">
      <c r="A517" t="s">
        <v>2856</v>
      </c>
      <c r="B517" t="str">
        <f>""</f>
        <v/>
      </c>
      <c r="C517" t="str">
        <f>""</f>
        <v/>
      </c>
    </row>
    <row r="518" spans="1:3" x14ac:dyDescent="0.25">
      <c r="A518" t="s">
        <v>3176</v>
      </c>
      <c r="B518" t="str">
        <f>""</f>
        <v/>
      </c>
      <c r="C518" t="str">
        <f>""</f>
        <v/>
      </c>
    </row>
    <row r="519" spans="1:3" x14ac:dyDescent="0.25">
      <c r="A519" t="s">
        <v>7064</v>
      </c>
      <c r="B519" t="str">
        <f>""</f>
        <v/>
      </c>
      <c r="C519" t="str">
        <f>""</f>
        <v/>
      </c>
    </row>
    <row r="520" spans="1:3" x14ac:dyDescent="0.25">
      <c r="A520" t="s">
        <v>7423</v>
      </c>
      <c r="B520" t="str">
        <f>""</f>
        <v/>
      </c>
      <c r="C520" t="str">
        <f>""</f>
        <v/>
      </c>
    </row>
    <row r="521" spans="1:3" x14ac:dyDescent="0.25">
      <c r="A521" t="s">
        <v>7424</v>
      </c>
      <c r="B521" t="str">
        <f>"-34,5629215"</f>
        <v>-34,5629215</v>
      </c>
      <c r="C521" t="str">
        <f>"-58,4382453"</f>
        <v>-58,4382453</v>
      </c>
    </row>
    <row r="522" spans="1:3" x14ac:dyDescent="0.25">
      <c r="A522" t="s">
        <v>7425</v>
      </c>
      <c r="B522" t="str">
        <f>""</f>
        <v/>
      </c>
      <c r="C522" t="str">
        <f>""</f>
        <v/>
      </c>
    </row>
    <row r="523" spans="1:3" x14ac:dyDescent="0.25">
      <c r="A523" t="s">
        <v>7426</v>
      </c>
      <c r="B523" t="str">
        <f>"-35,8107166"</f>
        <v>-35,8107166</v>
      </c>
      <c r="C523" t="str">
        <f>"-61,8987832"</f>
        <v>-61,8987832</v>
      </c>
    </row>
    <row r="524" spans="1:3" x14ac:dyDescent="0.25">
      <c r="A524" t="s">
        <v>7427</v>
      </c>
      <c r="B524" t="str">
        <f>""</f>
        <v/>
      </c>
      <c r="C524" t="str">
        <f>""</f>
        <v/>
      </c>
    </row>
    <row r="525" spans="1:3" x14ac:dyDescent="0.25">
      <c r="A525" t="s">
        <v>7427</v>
      </c>
      <c r="B525" t="str">
        <f>""</f>
        <v/>
      </c>
      <c r="C525" t="str">
        <f>""</f>
        <v/>
      </c>
    </row>
    <row r="526" spans="1:3" x14ac:dyDescent="0.25">
      <c r="A526" t="s">
        <v>7428</v>
      </c>
      <c r="B526" t="str">
        <f>""</f>
        <v/>
      </c>
      <c r="C526" t="str">
        <f>""</f>
        <v/>
      </c>
    </row>
    <row r="527" spans="1:3" x14ac:dyDescent="0.25">
      <c r="A527" t="s">
        <v>7429</v>
      </c>
      <c r="B527" t="str">
        <f>"-32,9324135"</f>
        <v>-32,9324135</v>
      </c>
      <c r="C527" t="str">
        <f>"-68,7835811"</f>
        <v>-68,7835811</v>
      </c>
    </row>
    <row r="528" spans="1:3" x14ac:dyDescent="0.25">
      <c r="A528" t="s">
        <v>7430</v>
      </c>
      <c r="B528" t="str">
        <f>"-38,8775342"</f>
        <v>-38,8775342</v>
      </c>
      <c r="C528" t="str">
        <f>"-62,0751872"</f>
        <v>-62,0751872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EDCF-9A8F-44CA-85E4-8569059B6995}">
  <dimension ref="A1:T508"/>
  <sheetViews>
    <sheetView workbookViewId="0">
      <selection activeCell="T26" sqref="T26"/>
    </sheetView>
  </sheetViews>
  <sheetFormatPr baseColWidth="10" defaultRowHeight="15" x14ac:dyDescent="0.25"/>
  <cols>
    <col min="1" max="1" width="12" bestFit="1" customWidth="1"/>
    <col min="2" max="2" width="35" bestFit="1" customWidth="1"/>
    <col min="3" max="3" width="35.42578125" bestFit="1" customWidth="1"/>
    <col min="4" max="4" width="39.5703125" bestFit="1" customWidth="1"/>
    <col min="5" max="5" width="8.7109375" bestFit="1" customWidth="1"/>
    <col min="6" max="6" width="7" bestFit="1" customWidth="1"/>
    <col min="7" max="7" width="13.42578125" bestFit="1" customWidth="1"/>
    <col min="8" max="8" width="73.85546875" bestFit="1" customWidth="1"/>
    <col min="9" max="9" width="27.85546875" bestFit="1" customWidth="1"/>
    <col min="10" max="10" width="56.5703125" bestFit="1" customWidth="1"/>
    <col min="11" max="11" width="8.42578125" bestFit="1" customWidth="1"/>
    <col min="12" max="12" width="9.7109375" bestFit="1" customWidth="1"/>
    <col min="13" max="13" width="12.42578125" bestFit="1" customWidth="1"/>
    <col min="14" max="14" width="45.5703125" bestFit="1" customWidth="1"/>
    <col min="15" max="15" width="11.7109375" bestFit="1" customWidth="1"/>
    <col min="16" max="16" width="12.7109375" bestFit="1" customWidth="1"/>
    <col min="17" max="17" width="18.5703125" bestFit="1" customWidth="1"/>
    <col min="18" max="18" width="12.7109375" bestFit="1" customWidth="1"/>
  </cols>
  <sheetData>
    <row r="1" spans="1:20" x14ac:dyDescent="0.25">
      <c r="A1" t="s">
        <v>7746</v>
      </c>
      <c r="B1" t="s">
        <v>7450</v>
      </c>
      <c r="C1" t="s">
        <v>7747</v>
      </c>
      <c r="D1" t="s">
        <v>7748</v>
      </c>
      <c r="E1" t="s">
        <v>7749</v>
      </c>
      <c r="F1" t="s">
        <v>7750</v>
      </c>
      <c r="G1" t="s">
        <v>7447</v>
      </c>
      <c r="H1" t="s">
        <v>7751</v>
      </c>
      <c r="I1" t="s">
        <v>6917</v>
      </c>
      <c r="J1" t="s">
        <v>7752</v>
      </c>
      <c r="K1" t="s">
        <v>7753</v>
      </c>
      <c r="L1" t="s">
        <v>0</v>
      </c>
      <c r="M1" t="s">
        <v>7457</v>
      </c>
      <c r="N1" t="s">
        <v>7754</v>
      </c>
      <c r="O1" t="s">
        <v>7755</v>
      </c>
      <c r="P1" t="s">
        <v>7756</v>
      </c>
      <c r="Q1" t="s">
        <v>7757</v>
      </c>
      <c r="R1" t="s">
        <v>7758</v>
      </c>
      <c r="S1" t="s">
        <v>8274</v>
      </c>
      <c r="T1" t="s">
        <v>8275</v>
      </c>
    </row>
    <row r="2" spans="1:20" x14ac:dyDescent="0.25">
      <c r="A2">
        <v>900014051</v>
      </c>
      <c r="B2" t="s">
        <v>7759</v>
      </c>
      <c r="C2" t="s">
        <v>7760</v>
      </c>
      <c r="D2" t="s">
        <v>7761</v>
      </c>
      <c r="E2">
        <v>58</v>
      </c>
      <c r="F2">
        <v>9.1200000000000003E-2</v>
      </c>
      <c r="G2" t="s">
        <v>7509</v>
      </c>
      <c r="H2">
        <v>0</v>
      </c>
      <c r="I2" t="s">
        <v>7762</v>
      </c>
      <c r="J2" t="s">
        <v>7763</v>
      </c>
      <c r="K2">
        <v>1</v>
      </c>
      <c r="L2" s="189">
        <v>45293</v>
      </c>
      <c r="M2" t="s">
        <v>7764</v>
      </c>
      <c r="N2" t="s">
        <v>7765</v>
      </c>
      <c r="O2">
        <v>-24.781306799999999</v>
      </c>
      <c r="P2">
        <v>-65.402777400000005</v>
      </c>
      <c r="Q2">
        <v>45288.568668981483</v>
      </c>
      <c r="R2">
        <v>106.35194444441004</v>
      </c>
      <c r="S2">
        <f>VLOOKUP(F2,'VALORES DIST'!$A$3:$B$27,2,TRUE)</f>
        <v>11816.268749999999</v>
      </c>
    </row>
    <row r="3" spans="1:20" x14ac:dyDescent="0.25">
      <c r="A3">
        <v>900014053</v>
      </c>
      <c r="B3" t="s">
        <v>7766</v>
      </c>
      <c r="C3" t="s">
        <v>7767</v>
      </c>
      <c r="D3" t="s">
        <v>7768</v>
      </c>
      <c r="E3">
        <v>60</v>
      </c>
      <c r="F3">
        <v>0.376</v>
      </c>
      <c r="G3" t="s">
        <v>7509</v>
      </c>
      <c r="H3">
        <v>0</v>
      </c>
      <c r="I3" t="s">
        <v>7769</v>
      </c>
      <c r="J3" t="s">
        <v>7770</v>
      </c>
      <c r="K3">
        <v>3</v>
      </c>
      <c r="L3" s="189">
        <v>45293</v>
      </c>
      <c r="M3" t="s">
        <v>7764</v>
      </c>
      <c r="N3" t="s">
        <v>7765</v>
      </c>
      <c r="O3">
        <v>-36.618456199999997</v>
      </c>
      <c r="P3">
        <v>-64.288480199999995</v>
      </c>
      <c r="Q3">
        <v>45288.568668981483</v>
      </c>
      <c r="R3">
        <v>106.35194444441004</v>
      </c>
      <c r="S3">
        <f>VLOOKUP(F3,'VALORES DIST'!$A$3:$B$27,2,TRUE)</f>
        <v>11816.268749999999</v>
      </c>
    </row>
    <row r="4" spans="1:20" x14ac:dyDescent="0.25">
      <c r="A4">
        <v>900014056</v>
      </c>
      <c r="B4" t="s">
        <v>7204</v>
      </c>
      <c r="C4" t="s">
        <v>7771</v>
      </c>
      <c r="D4" t="s">
        <v>7772</v>
      </c>
      <c r="E4">
        <v>28</v>
      </c>
      <c r="F4">
        <v>0.24399999999999999</v>
      </c>
      <c r="G4" t="s">
        <v>7509</v>
      </c>
      <c r="H4">
        <v>0</v>
      </c>
      <c r="I4" t="s">
        <v>7773</v>
      </c>
      <c r="J4" t="s">
        <v>7774</v>
      </c>
      <c r="K4">
        <v>1</v>
      </c>
      <c r="L4" s="189">
        <v>45293</v>
      </c>
      <c r="M4" t="s">
        <v>7764</v>
      </c>
      <c r="N4" t="s">
        <v>7765</v>
      </c>
      <c r="O4">
        <v>-34.6525356</v>
      </c>
      <c r="P4">
        <v>-59.423332199999997</v>
      </c>
      <c r="Q4">
        <v>45288.568680555552</v>
      </c>
      <c r="R4">
        <v>106.35166666674196</v>
      </c>
      <c r="S4">
        <f>VLOOKUP(F4,'VALORES DIST'!$A$3:$B$27,2,TRUE)</f>
        <v>11816.268749999999</v>
      </c>
    </row>
    <row r="5" spans="1:20" x14ac:dyDescent="0.25">
      <c r="A5">
        <v>900014057</v>
      </c>
      <c r="B5" t="s">
        <v>7775</v>
      </c>
      <c r="C5" t="s">
        <v>7776</v>
      </c>
      <c r="D5" t="s">
        <v>7777</v>
      </c>
      <c r="E5">
        <v>452</v>
      </c>
      <c r="F5">
        <v>0.9244</v>
      </c>
      <c r="G5" t="s">
        <v>7509</v>
      </c>
      <c r="H5">
        <v>0</v>
      </c>
      <c r="I5" t="s">
        <v>7778</v>
      </c>
      <c r="J5" t="s">
        <v>7779</v>
      </c>
      <c r="K5">
        <v>1</v>
      </c>
      <c r="L5" s="189">
        <v>45293</v>
      </c>
      <c r="M5" t="s">
        <v>7764</v>
      </c>
      <c r="N5" t="s">
        <v>7765</v>
      </c>
      <c r="O5">
        <v>-31.537851400000001</v>
      </c>
      <c r="P5">
        <v>-68.538845100000003</v>
      </c>
      <c r="Q5">
        <v>45288.568680555552</v>
      </c>
      <c r="R5">
        <v>106.35166666674196</v>
      </c>
      <c r="S5">
        <f>VLOOKUP(F5,'VALORES DIST'!$A$3:$B$27,2,TRUE)</f>
        <v>11816.268749999999</v>
      </c>
    </row>
    <row r="6" spans="1:20" x14ac:dyDescent="0.25">
      <c r="A6">
        <v>900014058</v>
      </c>
      <c r="B6" t="s">
        <v>7775</v>
      </c>
      <c r="C6" t="s">
        <v>7776</v>
      </c>
      <c r="D6" t="s">
        <v>7777</v>
      </c>
      <c r="E6">
        <v>170</v>
      </c>
      <c r="F6">
        <v>1.0580000000000001</v>
      </c>
      <c r="G6" t="s">
        <v>7509</v>
      </c>
      <c r="H6">
        <v>0</v>
      </c>
      <c r="I6" t="s">
        <v>7778</v>
      </c>
      <c r="J6" t="s">
        <v>7779</v>
      </c>
      <c r="K6">
        <v>1</v>
      </c>
      <c r="L6" s="189">
        <v>45293</v>
      </c>
      <c r="M6" t="s">
        <v>7764</v>
      </c>
      <c r="N6" t="s">
        <v>7765</v>
      </c>
      <c r="O6">
        <v>-31.537851400000001</v>
      </c>
      <c r="P6">
        <v>-68.538845100000003</v>
      </c>
      <c r="Q6">
        <v>45288.568680555552</v>
      </c>
      <c r="R6">
        <v>106.35166666674196</v>
      </c>
      <c r="S6">
        <f>VLOOKUP(F6,'VALORES DIST'!$A$3:$B$27,2,TRUE)</f>
        <v>11816.268749999999</v>
      </c>
    </row>
    <row r="7" spans="1:20" x14ac:dyDescent="0.25">
      <c r="A7">
        <v>900014059</v>
      </c>
      <c r="B7" t="s">
        <v>7780</v>
      </c>
      <c r="C7" t="s">
        <v>7781</v>
      </c>
      <c r="D7" t="s">
        <v>7782</v>
      </c>
      <c r="E7">
        <v>60</v>
      </c>
      <c r="F7">
        <v>1.8</v>
      </c>
      <c r="G7" t="s">
        <v>7509</v>
      </c>
      <c r="H7">
        <v>0</v>
      </c>
      <c r="I7" t="s">
        <v>7783</v>
      </c>
      <c r="J7" t="s">
        <v>7784</v>
      </c>
      <c r="K7">
        <v>2</v>
      </c>
      <c r="L7" s="189">
        <v>45293</v>
      </c>
      <c r="M7" t="s">
        <v>7764</v>
      </c>
      <c r="N7" t="s">
        <v>7765</v>
      </c>
      <c r="O7">
        <v>-31.412323799999999</v>
      </c>
      <c r="P7">
        <v>-64.182606100000001</v>
      </c>
      <c r="Q7">
        <v>45288.568680555552</v>
      </c>
      <c r="R7">
        <v>106.35166666674196</v>
      </c>
      <c r="S7">
        <f>VLOOKUP(F7,'VALORES DIST'!$A$3:$B$27,2,TRUE)</f>
        <v>11816.268749999999</v>
      </c>
    </row>
    <row r="8" spans="1:20" x14ac:dyDescent="0.25">
      <c r="A8">
        <v>900014060</v>
      </c>
      <c r="B8" t="s">
        <v>7208</v>
      </c>
      <c r="C8" t="s">
        <v>7785</v>
      </c>
      <c r="D8" t="s">
        <v>7786</v>
      </c>
      <c r="E8">
        <v>166</v>
      </c>
      <c r="F8">
        <v>0.84840000000000004</v>
      </c>
      <c r="G8" t="s">
        <v>7509</v>
      </c>
      <c r="H8">
        <v>0</v>
      </c>
      <c r="I8" t="s">
        <v>7787</v>
      </c>
      <c r="J8" t="s">
        <v>7788</v>
      </c>
      <c r="K8">
        <v>2</v>
      </c>
      <c r="L8" s="189">
        <v>45293</v>
      </c>
      <c r="M8" t="s">
        <v>7764</v>
      </c>
      <c r="N8" t="s">
        <v>7765</v>
      </c>
      <c r="O8">
        <v>-42.765902799999999</v>
      </c>
      <c r="P8">
        <v>-65.034841700000001</v>
      </c>
      <c r="Q8">
        <v>45288.568680555552</v>
      </c>
      <c r="R8">
        <v>106.35166666674196</v>
      </c>
      <c r="S8">
        <f>VLOOKUP(F8,'VALORES DIST'!$A$3:$B$27,2,TRUE)</f>
        <v>11816.268749999999</v>
      </c>
    </row>
    <row r="9" spans="1:20" x14ac:dyDescent="0.25">
      <c r="A9">
        <v>900014070</v>
      </c>
      <c r="B9" t="s">
        <v>7045</v>
      </c>
      <c r="C9" t="s">
        <v>7789</v>
      </c>
      <c r="D9" t="s">
        <v>7790</v>
      </c>
      <c r="E9">
        <v>94</v>
      </c>
      <c r="F9">
        <v>0.1152</v>
      </c>
      <c r="G9" t="s">
        <v>7509</v>
      </c>
      <c r="H9">
        <v>0</v>
      </c>
      <c r="I9" t="s">
        <v>7791</v>
      </c>
      <c r="J9" t="s">
        <v>7792</v>
      </c>
      <c r="K9">
        <v>1</v>
      </c>
      <c r="L9" s="189">
        <v>45293</v>
      </c>
      <c r="M9" t="s">
        <v>7764</v>
      </c>
      <c r="N9" t="s">
        <v>7765</v>
      </c>
      <c r="O9">
        <v>-34.895836299999999</v>
      </c>
      <c r="P9">
        <v>-60.019781399999999</v>
      </c>
      <c r="Q9">
        <v>45288.568692129629</v>
      </c>
      <c r="R9">
        <v>106.35138888889924</v>
      </c>
      <c r="S9">
        <f>VLOOKUP(F9,'VALORES DIST'!$A$3:$B$27,2,TRUE)</f>
        <v>11816.268749999999</v>
      </c>
    </row>
    <row r="10" spans="1:20" x14ac:dyDescent="0.25">
      <c r="A10">
        <v>50500000730</v>
      </c>
      <c r="B10" t="s">
        <v>7157</v>
      </c>
      <c r="C10" t="s">
        <v>7793</v>
      </c>
      <c r="D10" t="s">
        <v>7794</v>
      </c>
      <c r="E10">
        <v>167</v>
      </c>
      <c r="F10">
        <v>1.27</v>
      </c>
      <c r="G10" t="s">
        <v>7509</v>
      </c>
      <c r="H10">
        <v>0</v>
      </c>
      <c r="I10" t="s">
        <v>7795</v>
      </c>
      <c r="J10" t="s">
        <v>7796</v>
      </c>
      <c r="K10">
        <v>1</v>
      </c>
      <c r="L10" s="189">
        <v>45293</v>
      </c>
      <c r="M10" t="s">
        <v>7764</v>
      </c>
      <c r="N10" t="s">
        <v>7765</v>
      </c>
      <c r="O10">
        <v>-34.606275099999998</v>
      </c>
      <c r="P10">
        <v>-58.485909499999998</v>
      </c>
      <c r="Q10">
        <v>45288.568703703706</v>
      </c>
      <c r="R10">
        <v>106.35111111105653</v>
      </c>
      <c r="S10">
        <f>VLOOKUP(F10,'VALORES DIST'!$A$3:$B$27,2,TRUE)</f>
        <v>11816.268749999999</v>
      </c>
    </row>
    <row r="11" spans="1:20" x14ac:dyDescent="0.25">
      <c r="A11">
        <v>900014062</v>
      </c>
      <c r="B11" t="s">
        <v>7053</v>
      </c>
      <c r="C11" t="s">
        <v>7797</v>
      </c>
      <c r="D11" t="s">
        <v>7761</v>
      </c>
      <c r="E11">
        <v>10</v>
      </c>
      <c r="F11">
        <v>0.21</v>
      </c>
      <c r="G11" t="s">
        <v>7509</v>
      </c>
      <c r="H11">
        <v>0</v>
      </c>
      <c r="I11" t="s">
        <v>7798</v>
      </c>
      <c r="J11" t="s">
        <v>7799</v>
      </c>
      <c r="K11">
        <v>1</v>
      </c>
      <c r="L11" s="189">
        <v>45293</v>
      </c>
      <c r="M11" t="s">
        <v>7764</v>
      </c>
      <c r="N11" t="s">
        <v>7765</v>
      </c>
      <c r="O11">
        <v>-24.793081099999998</v>
      </c>
      <c r="P11">
        <v>-65.4112492</v>
      </c>
      <c r="Q11">
        <v>45288.568692129629</v>
      </c>
      <c r="R11">
        <v>106.35138888889924</v>
      </c>
      <c r="S11">
        <f>VLOOKUP(F11,'VALORES DIST'!$A$3:$B$27,2,TRUE)</f>
        <v>11816.268749999999</v>
      </c>
    </row>
    <row r="12" spans="1:20" x14ac:dyDescent="0.25">
      <c r="A12">
        <v>21</v>
      </c>
      <c r="B12" t="s">
        <v>6930</v>
      </c>
      <c r="C12" t="s">
        <v>7800</v>
      </c>
      <c r="D12" t="s">
        <v>7801</v>
      </c>
      <c r="E12">
        <v>4</v>
      </c>
      <c r="F12">
        <v>0.79100000000000004</v>
      </c>
      <c r="G12" t="s">
        <v>6900</v>
      </c>
      <c r="H12">
        <v>0</v>
      </c>
      <c r="I12" t="s">
        <v>7802</v>
      </c>
      <c r="J12" t="s">
        <v>7803</v>
      </c>
      <c r="K12">
        <v>1</v>
      </c>
      <c r="L12" s="189">
        <v>45293</v>
      </c>
      <c r="M12" t="s">
        <v>7764</v>
      </c>
      <c r="N12" t="s">
        <v>7765</v>
      </c>
      <c r="O12">
        <v>-32.945973500000001</v>
      </c>
      <c r="P12">
        <v>-60.647028599999999</v>
      </c>
      <c r="Q12">
        <v>45286.547731481478</v>
      </c>
      <c r="R12">
        <v>154.85444444452878</v>
      </c>
      <c r="S12">
        <f>VLOOKUP(F12,'VALORES DIST'!$A$3:$B$27,2,TRUE)</f>
        <v>11816.268749999999</v>
      </c>
    </row>
    <row r="13" spans="1:20" x14ac:dyDescent="0.25">
      <c r="A13">
        <v>900014068</v>
      </c>
      <c r="B13" t="s">
        <v>3450</v>
      </c>
      <c r="C13" t="s">
        <v>7804</v>
      </c>
      <c r="D13" t="s">
        <v>7794</v>
      </c>
      <c r="E13">
        <v>186</v>
      </c>
      <c r="F13">
        <v>5.66</v>
      </c>
      <c r="G13" t="s">
        <v>7509</v>
      </c>
      <c r="H13">
        <v>0</v>
      </c>
      <c r="I13" t="s">
        <v>7805</v>
      </c>
      <c r="J13">
        <v>0</v>
      </c>
      <c r="K13">
        <v>1</v>
      </c>
      <c r="L13" s="189">
        <v>45294</v>
      </c>
      <c r="M13" t="s">
        <v>7806</v>
      </c>
      <c r="N13" t="s">
        <v>7765</v>
      </c>
      <c r="O13">
        <v>-34.608005900000002</v>
      </c>
      <c r="P13">
        <v>-58.4625299</v>
      </c>
      <c r="Q13">
        <v>45288.568692129629</v>
      </c>
      <c r="R13">
        <v>130.35138888889924</v>
      </c>
      <c r="S13">
        <f>VLOOKUP(F13,'VALORES DIST'!$A$3:$B$27,2,TRUE)</f>
        <v>45297.28125</v>
      </c>
    </row>
    <row r="14" spans="1:20" x14ac:dyDescent="0.25">
      <c r="A14">
        <v>800008377</v>
      </c>
      <c r="B14" t="s">
        <v>7184</v>
      </c>
      <c r="C14" t="s">
        <v>7807</v>
      </c>
      <c r="D14" t="s">
        <v>7794</v>
      </c>
      <c r="E14">
        <v>182</v>
      </c>
      <c r="F14">
        <v>9.0739999999999998</v>
      </c>
      <c r="G14" t="s">
        <v>7509</v>
      </c>
      <c r="H14">
        <v>0</v>
      </c>
      <c r="I14" t="s">
        <v>7805</v>
      </c>
      <c r="J14">
        <v>0</v>
      </c>
      <c r="K14">
        <v>1</v>
      </c>
      <c r="L14" s="189">
        <v>45294</v>
      </c>
      <c r="M14" t="s">
        <v>7806</v>
      </c>
      <c r="N14" t="s">
        <v>7765</v>
      </c>
      <c r="O14">
        <v>-34.608005900000002</v>
      </c>
      <c r="P14">
        <v>-58.4625299</v>
      </c>
      <c r="Q14">
        <v>45293.339097222219</v>
      </c>
      <c r="R14">
        <v>15.861666666751262</v>
      </c>
      <c r="S14">
        <f>VLOOKUP(F14,'VALORES DIST'!$A$3:$B$27,2,TRUE)</f>
        <v>76807.331250000003</v>
      </c>
    </row>
    <row r="15" spans="1:20" x14ac:dyDescent="0.25">
      <c r="A15">
        <v>800008378</v>
      </c>
      <c r="B15" t="s">
        <v>7184</v>
      </c>
      <c r="C15" t="s">
        <v>7807</v>
      </c>
      <c r="D15" t="s">
        <v>7794</v>
      </c>
      <c r="E15">
        <v>168</v>
      </c>
      <c r="F15">
        <v>7.056</v>
      </c>
      <c r="G15" t="s">
        <v>7509</v>
      </c>
      <c r="H15">
        <v>0</v>
      </c>
      <c r="I15" t="s">
        <v>7805</v>
      </c>
      <c r="J15">
        <v>0</v>
      </c>
      <c r="K15">
        <v>1</v>
      </c>
      <c r="L15" s="189">
        <v>45294</v>
      </c>
      <c r="M15" t="s">
        <v>7806</v>
      </c>
      <c r="N15" t="s">
        <v>7765</v>
      </c>
      <c r="O15">
        <v>-34.608005900000002</v>
      </c>
      <c r="P15">
        <v>-58.4625299</v>
      </c>
      <c r="Q15">
        <v>45293.339097222219</v>
      </c>
      <c r="R15">
        <v>15.861666666751262</v>
      </c>
      <c r="S15">
        <f>VLOOKUP(F15,'VALORES DIST'!$A$3:$B$27,2,TRUE)</f>
        <v>61052.306250000001</v>
      </c>
    </row>
    <row r="16" spans="1:20" x14ac:dyDescent="0.25">
      <c r="A16">
        <v>900014052</v>
      </c>
      <c r="B16" t="s">
        <v>7109</v>
      </c>
      <c r="C16" t="s">
        <v>7808</v>
      </c>
      <c r="D16" t="s">
        <v>7809</v>
      </c>
      <c r="E16">
        <v>78</v>
      </c>
      <c r="F16">
        <v>6.9599999999999995E-2</v>
      </c>
      <c r="G16" t="s">
        <v>7509</v>
      </c>
      <c r="H16">
        <v>0</v>
      </c>
      <c r="I16" t="s">
        <v>7805</v>
      </c>
      <c r="J16">
        <v>0</v>
      </c>
      <c r="K16">
        <v>1</v>
      </c>
      <c r="L16" s="189">
        <v>45295</v>
      </c>
      <c r="M16" t="s">
        <v>7764</v>
      </c>
      <c r="N16" t="s">
        <v>7765</v>
      </c>
      <c r="O16">
        <v>-34.586684200000001</v>
      </c>
      <c r="P16">
        <v>-58.5769935</v>
      </c>
      <c r="Q16">
        <v>45288.568668981483</v>
      </c>
      <c r="R16">
        <v>154.35194444441004</v>
      </c>
      <c r="S16">
        <f>VLOOKUP(F16,'VALORES DIST'!$A$3:$B$27,2,TRUE)</f>
        <v>11816.268749999999</v>
      </c>
    </row>
    <row r="17" spans="1:19" x14ac:dyDescent="0.25">
      <c r="A17">
        <v>900014054</v>
      </c>
      <c r="B17" t="s">
        <v>7056</v>
      </c>
      <c r="C17" t="s">
        <v>7810</v>
      </c>
      <c r="D17" t="s">
        <v>7794</v>
      </c>
      <c r="E17">
        <v>144</v>
      </c>
      <c r="F17">
        <v>4.0060000000000002</v>
      </c>
      <c r="G17" t="s">
        <v>7509</v>
      </c>
      <c r="H17">
        <v>0</v>
      </c>
      <c r="I17" t="s">
        <v>7805</v>
      </c>
      <c r="J17">
        <v>0</v>
      </c>
      <c r="K17">
        <v>1</v>
      </c>
      <c r="L17" s="189">
        <v>45295</v>
      </c>
      <c r="M17" t="s">
        <v>7764</v>
      </c>
      <c r="N17" t="s">
        <v>7765</v>
      </c>
      <c r="O17">
        <v>-34.604430800000003</v>
      </c>
      <c r="P17">
        <v>-58.401197199999999</v>
      </c>
      <c r="Q17">
        <v>45288.568668981483</v>
      </c>
      <c r="R17">
        <v>154.35194444441004</v>
      </c>
      <c r="S17">
        <f>VLOOKUP(F17,'VALORES DIST'!$A$3:$B$27,2,TRUE)</f>
        <v>13787.231250000001</v>
      </c>
    </row>
    <row r="18" spans="1:19" x14ac:dyDescent="0.25">
      <c r="A18">
        <v>50500000731</v>
      </c>
      <c r="B18" t="s">
        <v>7157</v>
      </c>
      <c r="C18" t="s">
        <v>7793</v>
      </c>
      <c r="D18" t="s">
        <v>7794</v>
      </c>
      <c r="E18">
        <v>89</v>
      </c>
      <c r="F18">
        <v>0.48899999999999999</v>
      </c>
      <c r="G18" t="s">
        <v>7509</v>
      </c>
      <c r="H18">
        <v>0</v>
      </c>
      <c r="I18" t="s">
        <v>7795</v>
      </c>
      <c r="J18" t="s">
        <v>7796</v>
      </c>
      <c r="K18">
        <v>1</v>
      </c>
      <c r="L18" s="189">
        <v>45295</v>
      </c>
      <c r="M18" t="s">
        <v>7764</v>
      </c>
      <c r="N18" t="s">
        <v>7765</v>
      </c>
      <c r="O18">
        <v>-34.606275099999998</v>
      </c>
      <c r="P18">
        <v>-58.485909499999998</v>
      </c>
      <c r="Q18">
        <v>45294.440509259257</v>
      </c>
      <c r="R18">
        <v>13.427777777833398</v>
      </c>
      <c r="S18">
        <f>VLOOKUP(F18,'VALORES DIST'!$A$3:$B$27,2,TRUE)</f>
        <v>11816.268749999999</v>
      </c>
    </row>
    <row r="19" spans="1:19" x14ac:dyDescent="0.25">
      <c r="A19">
        <v>900014055</v>
      </c>
      <c r="B19" t="s">
        <v>7390</v>
      </c>
      <c r="C19" t="s">
        <v>7811</v>
      </c>
      <c r="D19" t="s">
        <v>7794</v>
      </c>
      <c r="E19">
        <v>48</v>
      </c>
      <c r="F19">
        <v>1.37</v>
      </c>
      <c r="G19" t="s">
        <v>7509</v>
      </c>
      <c r="H19">
        <v>0</v>
      </c>
      <c r="I19" t="s">
        <v>7805</v>
      </c>
      <c r="J19">
        <v>0</v>
      </c>
      <c r="K19">
        <v>1</v>
      </c>
      <c r="L19" s="189">
        <v>45295</v>
      </c>
      <c r="M19" t="s">
        <v>7764</v>
      </c>
      <c r="N19" t="s">
        <v>7765</v>
      </c>
      <c r="O19">
        <v>-34.614199399999997</v>
      </c>
      <c r="P19">
        <v>-58.501922299999997</v>
      </c>
      <c r="Q19">
        <v>45288.568668981483</v>
      </c>
      <c r="R19">
        <v>154.35194444441004</v>
      </c>
      <c r="S19">
        <f>VLOOKUP(F19,'VALORES DIST'!$A$3:$B$27,2,TRUE)</f>
        <v>11816.268749999999</v>
      </c>
    </row>
    <row r="20" spans="1:19" x14ac:dyDescent="0.25">
      <c r="A20">
        <v>900014063</v>
      </c>
      <c r="B20" t="s">
        <v>7347</v>
      </c>
      <c r="C20" t="s">
        <v>7812</v>
      </c>
      <c r="D20" t="s">
        <v>7794</v>
      </c>
      <c r="E20">
        <v>84</v>
      </c>
      <c r="F20">
        <v>1.1879999999999999</v>
      </c>
      <c r="G20" t="s">
        <v>7509</v>
      </c>
      <c r="H20">
        <v>0</v>
      </c>
      <c r="I20" t="s">
        <v>7805</v>
      </c>
      <c r="J20">
        <v>0</v>
      </c>
      <c r="K20">
        <v>1</v>
      </c>
      <c r="L20" s="189">
        <v>45295</v>
      </c>
      <c r="M20" t="s">
        <v>7764</v>
      </c>
      <c r="N20" t="s">
        <v>7765</v>
      </c>
      <c r="O20">
        <v>-34.595432500000001</v>
      </c>
      <c r="P20">
        <v>-58.383589600000001</v>
      </c>
      <c r="Q20">
        <v>45288.568692129629</v>
      </c>
      <c r="R20">
        <v>154.35138888889924</v>
      </c>
      <c r="S20">
        <f>VLOOKUP(F20,'VALORES DIST'!$A$3:$B$27,2,TRUE)</f>
        <v>11816.268749999999</v>
      </c>
    </row>
    <row r="21" spans="1:19" x14ac:dyDescent="0.25">
      <c r="A21">
        <v>900014064</v>
      </c>
      <c r="B21" t="s">
        <v>7056</v>
      </c>
      <c r="C21" t="s">
        <v>7810</v>
      </c>
      <c r="D21" t="s">
        <v>7794</v>
      </c>
      <c r="E21">
        <v>36</v>
      </c>
      <c r="F21">
        <v>1.1160000000000001</v>
      </c>
      <c r="G21" t="s">
        <v>7509</v>
      </c>
      <c r="H21">
        <v>0</v>
      </c>
      <c r="I21" t="s">
        <v>7805</v>
      </c>
      <c r="J21">
        <v>0</v>
      </c>
      <c r="K21">
        <v>1</v>
      </c>
      <c r="L21" s="189">
        <v>45295</v>
      </c>
      <c r="M21" t="s">
        <v>7764</v>
      </c>
      <c r="N21" t="s">
        <v>7765</v>
      </c>
      <c r="O21">
        <v>-34.604430800000003</v>
      </c>
      <c r="P21">
        <v>-58.401197199999999</v>
      </c>
      <c r="Q21">
        <v>45288.568692129629</v>
      </c>
      <c r="R21">
        <v>154.35138888889924</v>
      </c>
      <c r="S21">
        <f>VLOOKUP(F21,'VALORES DIST'!$A$3:$B$27,2,TRUE)</f>
        <v>11816.268749999999</v>
      </c>
    </row>
    <row r="22" spans="1:19" x14ac:dyDescent="0.25">
      <c r="A22">
        <v>900014065</v>
      </c>
      <c r="B22" t="s">
        <v>7390</v>
      </c>
      <c r="C22" t="s">
        <v>7811</v>
      </c>
      <c r="D22" t="s">
        <v>7794</v>
      </c>
      <c r="E22">
        <v>8</v>
      </c>
      <c r="F22">
        <v>0.2</v>
      </c>
      <c r="G22" t="s">
        <v>7509</v>
      </c>
      <c r="H22">
        <v>0</v>
      </c>
      <c r="I22" t="s">
        <v>7805</v>
      </c>
      <c r="J22">
        <v>0</v>
      </c>
      <c r="K22">
        <v>1</v>
      </c>
      <c r="L22" s="189">
        <v>45295</v>
      </c>
      <c r="M22" t="s">
        <v>7764</v>
      </c>
      <c r="N22" t="s">
        <v>7765</v>
      </c>
      <c r="O22">
        <v>-34.614199399999997</v>
      </c>
      <c r="P22">
        <v>-58.501922299999997</v>
      </c>
      <c r="Q22">
        <v>45288.568692129629</v>
      </c>
      <c r="R22">
        <v>154.35138888889924</v>
      </c>
      <c r="S22">
        <f>VLOOKUP(F22,'VALORES DIST'!$A$3:$B$27,2,TRUE)</f>
        <v>11816.268749999999</v>
      </c>
    </row>
    <row r="23" spans="1:19" x14ac:dyDescent="0.25">
      <c r="A23">
        <v>900014067</v>
      </c>
      <c r="B23" t="s">
        <v>7813</v>
      </c>
      <c r="C23" t="s">
        <v>7814</v>
      </c>
      <c r="D23" t="s">
        <v>7794</v>
      </c>
      <c r="E23">
        <v>40</v>
      </c>
      <c r="F23">
        <v>0.05</v>
      </c>
      <c r="G23" t="s">
        <v>7509</v>
      </c>
      <c r="H23" t="s">
        <v>7815</v>
      </c>
      <c r="I23" t="s">
        <v>7805</v>
      </c>
      <c r="J23">
        <v>0</v>
      </c>
      <c r="K23">
        <v>1</v>
      </c>
      <c r="L23" s="189">
        <v>45295</v>
      </c>
      <c r="M23" t="s">
        <v>7764</v>
      </c>
      <c r="N23" t="s">
        <v>7765</v>
      </c>
      <c r="O23">
        <v>-34.603105200000002</v>
      </c>
      <c r="P23">
        <v>-58.374937600000003</v>
      </c>
      <c r="Q23">
        <v>45288.568692129629</v>
      </c>
      <c r="R23">
        <v>154.35138888889924</v>
      </c>
      <c r="S23">
        <f>VLOOKUP(F23,'VALORES DIST'!$A$3:$B$27,2,TRUE)</f>
        <v>11816.268749999999</v>
      </c>
    </row>
    <row r="24" spans="1:19" x14ac:dyDescent="0.25">
      <c r="A24">
        <v>900014066</v>
      </c>
      <c r="B24" t="s">
        <v>7192</v>
      </c>
      <c r="C24" t="s">
        <v>7816</v>
      </c>
      <c r="D24" t="s">
        <v>7817</v>
      </c>
      <c r="E24">
        <v>46</v>
      </c>
      <c r="F24">
        <v>1.206</v>
      </c>
      <c r="G24" t="s">
        <v>7509</v>
      </c>
      <c r="H24">
        <v>0</v>
      </c>
      <c r="I24" t="s">
        <v>7805</v>
      </c>
      <c r="J24">
        <v>0</v>
      </c>
      <c r="K24">
        <v>3</v>
      </c>
      <c r="L24" s="189">
        <v>45296</v>
      </c>
      <c r="M24" t="s">
        <v>7764</v>
      </c>
      <c r="N24" t="s">
        <v>7765</v>
      </c>
      <c r="O24">
        <v>-34.787372400000002</v>
      </c>
      <c r="P24">
        <v>-58.253369599999999</v>
      </c>
      <c r="Q24">
        <v>45288.568692129629</v>
      </c>
      <c r="R24">
        <v>178.35138888889924</v>
      </c>
      <c r="S24">
        <f>VLOOKUP(F24,'VALORES DIST'!$A$3:$B$27,2,TRUE)</f>
        <v>11816.268749999999</v>
      </c>
    </row>
    <row r="25" spans="1:19" x14ac:dyDescent="0.25">
      <c r="A25">
        <v>900014071</v>
      </c>
      <c r="B25" t="s">
        <v>7377</v>
      </c>
      <c r="C25" t="s">
        <v>7818</v>
      </c>
      <c r="D25" t="s">
        <v>7819</v>
      </c>
      <c r="E25">
        <v>42</v>
      </c>
      <c r="F25">
        <v>0.75600000000000001</v>
      </c>
      <c r="G25" t="s">
        <v>7509</v>
      </c>
      <c r="H25">
        <v>0</v>
      </c>
      <c r="I25" t="s">
        <v>7805</v>
      </c>
      <c r="J25">
        <v>0</v>
      </c>
      <c r="K25">
        <v>1</v>
      </c>
      <c r="L25" s="189">
        <v>45296</v>
      </c>
      <c r="M25" t="s">
        <v>7764</v>
      </c>
      <c r="N25" t="s">
        <v>7765</v>
      </c>
      <c r="O25">
        <v>-34.435536800000001</v>
      </c>
      <c r="P25">
        <v>-58.567664700000002</v>
      </c>
      <c r="Q25">
        <v>45288.568692129629</v>
      </c>
      <c r="R25">
        <v>178.35138888889924</v>
      </c>
      <c r="S25">
        <f>VLOOKUP(F25,'VALORES DIST'!$A$3:$B$27,2,TRUE)</f>
        <v>11816.268749999999</v>
      </c>
    </row>
    <row r="26" spans="1:19" x14ac:dyDescent="0.25">
      <c r="A26">
        <v>900014061</v>
      </c>
      <c r="B26" t="s">
        <v>7230</v>
      </c>
      <c r="C26" t="s">
        <v>7820</v>
      </c>
      <c r="D26" t="s">
        <v>7821</v>
      </c>
      <c r="E26">
        <v>186</v>
      </c>
      <c r="F26">
        <v>0.94799999999999995</v>
      </c>
      <c r="G26" t="s">
        <v>7509</v>
      </c>
      <c r="H26">
        <v>0</v>
      </c>
      <c r="I26" t="s">
        <v>7805</v>
      </c>
      <c r="J26">
        <v>0</v>
      </c>
      <c r="K26">
        <v>1</v>
      </c>
      <c r="L26" s="189">
        <v>45296</v>
      </c>
      <c r="M26" t="s">
        <v>7764</v>
      </c>
      <c r="N26" t="s">
        <v>7765</v>
      </c>
      <c r="O26">
        <v>-34.667323400000001</v>
      </c>
      <c r="P26">
        <v>-58.726286199999997</v>
      </c>
      <c r="Q26">
        <v>45288.568680555552</v>
      </c>
      <c r="R26">
        <v>178.35166666674195</v>
      </c>
      <c r="S26">
        <f>VLOOKUP(F26,'VALORES DIST'!$A$3:$B$27,2,TRUE)</f>
        <v>11816.268749999999</v>
      </c>
    </row>
    <row r="27" spans="1:19" x14ac:dyDescent="0.25">
      <c r="A27">
        <v>800008385</v>
      </c>
      <c r="B27" t="s">
        <v>7187</v>
      </c>
      <c r="C27" t="s">
        <v>7822</v>
      </c>
      <c r="D27" t="s">
        <v>7823</v>
      </c>
      <c r="E27">
        <v>178</v>
      </c>
      <c r="F27">
        <v>1.6259999999999999</v>
      </c>
      <c r="G27" t="s">
        <v>7509</v>
      </c>
      <c r="H27">
        <v>0</v>
      </c>
      <c r="I27" t="s">
        <v>7805</v>
      </c>
      <c r="J27">
        <v>0</v>
      </c>
      <c r="K27">
        <v>3</v>
      </c>
      <c r="L27" s="189">
        <v>45296</v>
      </c>
      <c r="M27" t="s">
        <v>7764</v>
      </c>
      <c r="N27" t="s">
        <v>7765</v>
      </c>
      <c r="O27">
        <v>-34.7108688</v>
      </c>
      <c r="P27">
        <v>-58.280082700000001</v>
      </c>
      <c r="Q27">
        <v>45294.614189814813</v>
      </c>
      <c r="R27">
        <v>33.259444444498513</v>
      </c>
      <c r="S27">
        <f>VLOOKUP(F27,'VALORES DIST'!$A$3:$B$27,2,TRUE)</f>
        <v>11816.268749999999</v>
      </c>
    </row>
    <row r="28" spans="1:19" x14ac:dyDescent="0.25">
      <c r="A28">
        <v>337</v>
      </c>
      <c r="B28" t="s">
        <v>6888</v>
      </c>
      <c r="C28" t="s">
        <v>7824</v>
      </c>
      <c r="D28" t="s">
        <v>7794</v>
      </c>
      <c r="E28">
        <v>96</v>
      </c>
      <c r="F28">
        <v>2.88</v>
      </c>
      <c r="G28" t="s">
        <v>6888</v>
      </c>
      <c r="H28">
        <v>0</v>
      </c>
      <c r="I28" t="s">
        <v>7825</v>
      </c>
      <c r="J28">
        <v>0</v>
      </c>
      <c r="K28">
        <v>1</v>
      </c>
      <c r="L28" s="189">
        <v>45296</v>
      </c>
      <c r="M28" t="s">
        <v>7806</v>
      </c>
      <c r="N28" t="s">
        <v>7765</v>
      </c>
      <c r="O28">
        <v>-34.603684399999999</v>
      </c>
      <c r="P28">
        <v>-58.381559099999997</v>
      </c>
      <c r="S28">
        <f>VLOOKUP(F28,'VALORES DIST'!$A$3:$B$27,2,TRUE)</f>
        <v>11816.268749999999</v>
      </c>
    </row>
    <row r="29" spans="1:19" x14ac:dyDescent="0.25">
      <c r="A29">
        <v>900014088</v>
      </c>
      <c r="B29" t="s">
        <v>7203</v>
      </c>
      <c r="C29" t="s">
        <v>7826</v>
      </c>
      <c r="D29" t="s">
        <v>7827</v>
      </c>
      <c r="E29">
        <v>209</v>
      </c>
      <c r="F29">
        <v>0.43440000000000001</v>
      </c>
      <c r="G29" t="s">
        <v>7509</v>
      </c>
      <c r="H29">
        <v>0</v>
      </c>
      <c r="I29" t="s">
        <v>7828</v>
      </c>
      <c r="J29" t="s">
        <v>7799</v>
      </c>
      <c r="K29">
        <v>1</v>
      </c>
      <c r="L29" s="189">
        <v>45300</v>
      </c>
      <c r="M29" t="s">
        <v>7764</v>
      </c>
      <c r="N29" t="s">
        <v>7765</v>
      </c>
      <c r="O29">
        <v>-32.172202900000002</v>
      </c>
      <c r="P29">
        <v>-64.114576799999995</v>
      </c>
      <c r="Q29">
        <v>45296.395810185182</v>
      </c>
      <c r="R29">
        <v>86.500555555627216</v>
      </c>
      <c r="S29">
        <f>VLOOKUP(F29,'VALORES DIST'!$A$3:$B$27,2,TRUE)</f>
        <v>11816.268749999999</v>
      </c>
    </row>
    <row r="30" spans="1:19" x14ac:dyDescent="0.25">
      <c r="A30">
        <v>900014095</v>
      </c>
      <c r="B30" t="s">
        <v>7080</v>
      </c>
      <c r="C30" t="s">
        <v>7829</v>
      </c>
      <c r="D30" t="s">
        <v>7830</v>
      </c>
      <c r="E30">
        <v>72</v>
      </c>
      <c r="F30">
        <v>2.1720000000000002</v>
      </c>
      <c r="G30" t="s">
        <v>7509</v>
      </c>
      <c r="H30">
        <v>0</v>
      </c>
      <c r="I30" t="s">
        <v>7831</v>
      </c>
      <c r="J30" t="s">
        <v>7832</v>
      </c>
      <c r="K30">
        <v>1</v>
      </c>
      <c r="L30" s="189">
        <v>45300</v>
      </c>
      <c r="M30" t="s">
        <v>7764</v>
      </c>
      <c r="N30" t="s">
        <v>7765</v>
      </c>
      <c r="O30">
        <v>-32.884159699999998</v>
      </c>
      <c r="P30">
        <v>-68.838725199999999</v>
      </c>
      <c r="Q30">
        <v>45296.395821759259</v>
      </c>
      <c r="R30">
        <v>86.500277777784518</v>
      </c>
      <c r="S30">
        <f>VLOOKUP(F30,'VALORES DIST'!$A$3:$B$27,2,TRUE)</f>
        <v>11816.268749999999</v>
      </c>
    </row>
    <row r="31" spans="1:19" x14ac:dyDescent="0.25">
      <c r="A31">
        <v>800008414</v>
      </c>
      <c r="B31" t="s">
        <v>7188</v>
      </c>
      <c r="C31" t="s">
        <v>7833</v>
      </c>
      <c r="D31" t="s">
        <v>7794</v>
      </c>
      <c r="E31">
        <v>400</v>
      </c>
      <c r="F31">
        <v>1.1639999999999999</v>
      </c>
      <c r="G31" t="s">
        <v>7509</v>
      </c>
      <c r="H31">
        <v>0</v>
      </c>
      <c r="I31" t="s">
        <v>7805</v>
      </c>
      <c r="J31">
        <v>0</v>
      </c>
      <c r="K31">
        <v>1</v>
      </c>
      <c r="L31" s="189">
        <v>45300</v>
      </c>
      <c r="M31" t="s">
        <v>7764</v>
      </c>
      <c r="N31" t="s">
        <v>7765</v>
      </c>
      <c r="O31">
        <v>-34.608302799999997</v>
      </c>
      <c r="P31">
        <v>-58.5134373</v>
      </c>
      <c r="Q31">
        <v>45299.320891203701</v>
      </c>
      <c r="R31">
        <v>16.298611111182254</v>
      </c>
      <c r="S31">
        <f>VLOOKUP(F31,'VALORES DIST'!$A$3:$B$27,2,TRUE)</f>
        <v>11816.268749999999</v>
      </c>
    </row>
    <row r="32" spans="1:19" x14ac:dyDescent="0.25">
      <c r="A32">
        <v>900014099</v>
      </c>
      <c r="B32" t="s">
        <v>6931</v>
      </c>
      <c r="C32" t="s">
        <v>7834</v>
      </c>
      <c r="D32" t="s">
        <v>7786</v>
      </c>
      <c r="E32">
        <v>112</v>
      </c>
      <c r="F32">
        <v>2.028</v>
      </c>
      <c r="G32" t="s">
        <v>7509</v>
      </c>
      <c r="H32">
        <v>0</v>
      </c>
      <c r="I32" t="s">
        <v>7835</v>
      </c>
      <c r="J32" t="s">
        <v>7836</v>
      </c>
      <c r="K32">
        <v>1</v>
      </c>
      <c r="L32" s="189">
        <v>45300</v>
      </c>
      <c r="M32" t="s">
        <v>7764</v>
      </c>
      <c r="N32" t="s">
        <v>7765</v>
      </c>
      <c r="O32">
        <v>-42.765600599999999</v>
      </c>
      <c r="P32">
        <v>-65.035136800000004</v>
      </c>
      <c r="Q32">
        <v>45296.395821759259</v>
      </c>
      <c r="R32">
        <v>86.500277777784518</v>
      </c>
      <c r="S32">
        <f>VLOOKUP(F32,'VALORES DIST'!$A$3:$B$27,2,TRUE)</f>
        <v>11816.268749999999</v>
      </c>
    </row>
    <row r="33" spans="1:19" x14ac:dyDescent="0.25">
      <c r="A33">
        <v>900014100</v>
      </c>
      <c r="B33" t="s">
        <v>7045</v>
      </c>
      <c r="C33" t="s">
        <v>7789</v>
      </c>
      <c r="D33" t="s">
        <v>7790</v>
      </c>
      <c r="E33">
        <v>24</v>
      </c>
      <c r="F33">
        <v>7.1999999999999995E-2</v>
      </c>
      <c r="G33" t="s">
        <v>7509</v>
      </c>
      <c r="H33">
        <v>0</v>
      </c>
      <c r="I33" t="s">
        <v>7791</v>
      </c>
      <c r="J33" t="s">
        <v>7792</v>
      </c>
      <c r="K33">
        <v>1</v>
      </c>
      <c r="L33" s="189">
        <v>45300</v>
      </c>
      <c r="M33" t="s">
        <v>7764</v>
      </c>
      <c r="N33" t="s">
        <v>7765</v>
      </c>
      <c r="O33">
        <v>-34.895836299999999</v>
      </c>
      <c r="P33">
        <v>-60.019781399999999</v>
      </c>
      <c r="Q33">
        <v>45296.395821759259</v>
      </c>
      <c r="R33">
        <v>86.500277777784518</v>
      </c>
      <c r="S33">
        <f>VLOOKUP(F33,'VALORES DIST'!$A$3:$B$27,2,TRUE)</f>
        <v>11816.268749999999</v>
      </c>
    </row>
    <row r="34" spans="1:19" x14ac:dyDescent="0.25">
      <c r="A34">
        <v>900014101</v>
      </c>
      <c r="B34" t="s">
        <v>7211</v>
      </c>
      <c r="C34" t="s">
        <v>7837</v>
      </c>
      <c r="D34" t="s">
        <v>7838</v>
      </c>
      <c r="E34">
        <v>240</v>
      </c>
      <c r="F34">
        <v>0.21840000000000001</v>
      </c>
      <c r="G34" t="s">
        <v>7509</v>
      </c>
      <c r="H34">
        <v>0</v>
      </c>
      <c r="I34" t="s">
        <v>7839</v>
      </c>
      <c r="J34" t="s">
        <v>7840</v>
      </c>
      <c r="K34">
        <v>1</v>
      </c>
      <c r="L34" s="189">
        <v>45300</v>
      </c>
      <c r="M34" t="s">
        <v>7764</v>
      </c>
      <c r="N34" t="s">
        <v>7765</v>
      </c>
      <c r="O34">
        <v>-27.7833574</v>
      </c>
      <c r="P34">
        <v>-64.264167</v>
      </c>
      <c r="Q34">
        <v>45296.395821759259</v>
      </c>
      <c r="R34">
        <v>86.500277777784518</v>
      </c>
      <c r="S34">
        <f>VLOOKUP(F34,'VALORES DIST'!$A$3:$B$27,2,TRUE)</f>
        <v>11816.268749999999</v>
      </c>
    </row>
    <row r="35" spans="1:19" x14ac:dyDescent="0.25">
      <c r="A35">
        <v>900014090</v>
      </c>
      <c r="B35" t="s">
        <v>7345</v>
      </c>
      <c r="C35" t="s">
        <v>7841</v>
      </c>
      <c r="D35" t="s">
        <v>7794</v>
      </c>
      <c r="E35">
        <v>32</v>
      </c>
      <c r="F35">
        <v>0.24</v>
      </c>
      <c r="G35" t="s">
        <v>7509</v>
      </c>
      <c r="H35">
        <v>0</v>
      </c>
      <c r="I35" t="s">
        <v>7805</v>
      </c>
      <c r="J35" t="s">
        <v>7711</v>
      </c>
      <c r="K35">
        <v>1</v>
      </c>
      <c r="L35" s="189">
        <v>45300</v>
      </c>
      <c r="M35" t="s">
        <v>7764</v>
      </c>
      <c r="N35" t="s">
        <v>7765</v>
      </c>
      <c r="O35">
        <v>-34.608005900000002</v>
      </c>
      <c r="P35">
        <v>-58.4625299</v>
      </c>
      <c r="Q35">
        <v>45296.395821759259</v>
      </c>
      <c r="R35">
        <v>86.500277777784518</v>
      </c>
      <c r="S35">
        <f>VLOOKUP(F35,'VALORES DIST'!$A$3:$B$27,2,TRUE)</f>
        <v>11816.268749999999</v>
      </c>
    </row>
    <row r="36" spans="1:19" x14ac:dyDescent="0.25">
      <c r="A36">
        <v>900014091</v>
      </c>
      <c r="B36" t="s">
        <v>7274</v>
      </c>
      <c r="C36" t="s">
        <v>7842</v>
      </c>
      <c r="D36" t="s">
        <v>7794</v>
      </c>
      <c r="E36">
        <v>32</v>
      </c>
      <c r="F36">
        <v>0.24</v>
      </c>
      <c r="G36" t="s">
        <v>7509</v>
      </c>
      <c r="H36">
        <v>0</v>
      </c>
      <c r="I36" t="s">
        <v>7805</v>
      </c>
      <c r="J36">
        <v>0</v>
      </c>
      <c r="K36">
        <v>1</v>
      </c>
      <c r="L36" s="189">
        <v>45300</v>
      </c>
      <c r="M36" t="s">
        <v>7764</v>
      </c>
      <c r="N36" t="s">
        <v>7765</v>
      </c>
      <c r="O36">
        <v>-34.608005900000002</v>
      </c>
      <c r="P36">
        <v>-58.4625299</v>
      </c>
      <c r="Q36">
        <v>45296.395821759259</v>
      </c>
      <c r="R36">
        <v>86.500277777784518</v>
      </c>
      <c r="S36">
        <f>VLOOKUP(F36,'VALORES DIST'!$A$3:$B$27,2,TRUE)</f>
        <v>11816.268749999999</v>
      </c>
    </row>
    <row r="37" spans="1:19" x14ac:dyDescent="0.25">
      <c r="A37">
        <v>900014098</v>
      </c>
      <c r="B37" t="s">
        <v>7347</v>
      </c>
      <c r="C37" t="s">
        <v>7812</v>
      </c>
      <c r="D37" t="s">
        <v>7794</v>
      </c>
      <c r="E37">
        <v>32</v>
      </c>
      <c r="F37">
        <v>0.24</v>
      </c>
      <c r="G37" t="s">
        <v>7509</v>
      </c>
      <c r="H37">
        <v>0</v>
      </c>
      <c r="I37" t="s">
        <v>7805</v>
      </c>
      <c r="J37">
        <v>0</v>
      </c>
      <c r="K37">
        <v>1</v>
      </c>
      <c r="L37" s="189">
        <v>45300</v>
      </c>
      <c r="M37" t="s">
        <v>7764</v>
      </c>
      <c r="N37" t="s">
        <v>7765</v>
      </c>
      <c r="O37">
        <v>-34.595432500000001</v>
      </c>
      <c r="P37">
        <v>-58.383589600000001</v>
      </c>
      <c r="Q37">
        <v>45296.395821759259</v>
      </c>
      <c r="R37">
        <v>86.500277777784518</v>
      </c>
      <c r="S37">
        <f>VLOOKUP(F37,'VALORES DIST'!$A$3:$B$27,2,TRUE)</f>
        <v>11816.268749999999</v>
      </c>
    </row>
    <row r="38" spans="1:19" x14ac:dyDescent="0.25">
      <c r="A38">
        <v>50500000733</v>
      </c>
      <c r="B38" t="s">
        <v>7158</v>
      </c>
      <c r="C38" t="s">
        <v>7843</v>
      </c>
      <c r="D38" t="s">
        <v>7794</v>
      </c>
      <c r="E38">
        <v>20</v>
      </c>
      <c r="F38">
        <v>0.59599999999999997</v>
      </c>
      <c r="G38" t="s">
        <v>7509</v>
      </c>
      <c r="H38">
        <v>0</v>
      </c>
      <c r="I38" t="s">
        <v>7805</v>
      </c>
      <c r="J38">
        <v>0</v>
      </c>
      <c r="K38">
        <v>1</v>
      </c>
      <c r="L38" s="189">
        <v>45300</v>
      </c>
      <c r="M38" t="s">
        <v>7764</v>
      </c>
      <c r="N38" t="s">
        <v>7765</v>
      </c>
      <c r="O38">
        <v>-34.569232599999999</v>
      </c>
      <c r="P38">
        <v>-58.445762100000003</v>
      </c>
      <c r="Q38">
        <v>45296.395833333336</v>
      </c>
      <c r="R38">
        <v>86.499999999941792</v>
      </c>
      <c r="S38">
        <f>VLOOKUP(F38,'VALORES DIST'!$A$3:$B$27,2,TRUE)</f>
        <v>11816.268749999999</v>
      </c>
    </row>
    <row r="39" spans="1:19" x14ac:dyDescent="0.25">
      <c r="A39">
        <v>800008415</v>
      </c>
      <c r="B39" t="s">
        <v>7183</v>
      </c>
      <c r="C39" t="s">
        <v>7844</v>
      </c>
      <c r="D39" t="s">
        <v>7794</v>
      </c>
      <c r="E39">
        <v>352</v>
      </c>
      <c r="F39">
        <v>1.008</v>
      </c>
      <c r="G39" t="s">
        <v>7509</v>
      </c>
      <c r="H39">
        <v>0</v>
      </c>
      <c r="I39" t="s">
        <v>7805</v>
      </c>
      <c r="J39">
        <v>0</v>
      </c>
      <c r="K39">
        <v>1</v>
      </c>
      <c r="L39" s="189">
        <v>45300</v>
      </c>
      <c r="M39" t="s">
        <v>7764</v>
      </c>
      <c r="N39" t="s">
        <v>7765</v>
      </c>
      <c r="O39">
        <v>-34.598365299999998</v>
      </c>
      <c r="P39">
        <v>-58.440120899999997</v>
      </c>
      <c r="Q39">
        <v>45299.320891203701</v>
      </c>
      <c r="R39">
        <v>16.298611111182254</v>
      </c>
      <c r="S39">
        <f>VLOOKUP(F39,'VALORES DIST'!$A$3:$B$27,2,TRUE)</f>
        <v>11816.268749999999</v>
      </c>
    </row>
    <row r="40" spans="1:19" x14ac:dyDescent="0.25">
      <c r="A40">
        <v>800008417</v>
      </c>
      <c r="B40" t="s">
        <v>7184</v>
      </c>
      <c r="C40" t="s">
        <v>7807</v>
      </c>
      <c r="D40" t="s">
        <v>7794</v>
      </c>
      <c r="E40">
        <v>960</v>
      </c>
      <c r="F40">
        <v>2.952</v>
      </c>
      <c r="G40" t="s">
        <v>7509</v>
      </c>
      <c r="H40">
        <v>0</v>
      </c>
      <c r="I40" t="s">
        <v>7805</v>
      </c>
      <c r="J40">
        <v>0</v>
      </c>
      <c r="K40">
        <v>1</v>
      </c>
      <c r="L40" s="189">
        <v>45300</v>
      </c>
      <c r="M40" t="s">
        <v>7764</v>
      </c>
      <c r="N40" t="s">
        <v>7765</v>
      </c>
      <c r="O40">
        <v>-34.608005900000002</v>
      </c>
      <c r="P40">
        <v>-58.4625299</v>
      </c>
      <c r="Q40">
        <v>45299.320902777778</v>
      </c>
      <c r="R40">
        <v>16.298333333339542</v>
      </c>
      <c r="S40">
        <f>VLOOKUP(F40,'VALORES DIST'!$A$3:$B$27,2,TRUE)</f>
        <v>11816.268749999999</v>
      </c>
    </row>
    <row r="41" spans="1:19" x14ac:dyDescent="0.25">
      <c r="A41">
        <v>50500000732</v>
      </c>
      <c r="B41" t="s">
        <v>7157</v>
      </c>
      <c r="C41" t="s">
        <v>7793</v>
      </c>
      <c r="D41" t="s">
        <v>7794</v>
      </c>
      <c r="E41">
        <v>101</v>
      </c>
      <c r="F41">
        <v>0.88100000000000001</v>
      </c>
      <c r="G41" t="s">
        <v>7509</v>
      </c>
      <c r="H41">
        <v>0</v>
      </c>
      <c r="I41" t="s">
        <v>7795</v>
      </c>
      <c r="J41" t="s">
        <v>7796</v>
      </c>
      <c r="K41">
        <v>1</v>
      </c>
      <c r="L41" s="189">
        <v>45301</v>
      </c>
      <c r="M41" t="s">
        <v>7764</v>
      </c>
      <c r="N41" t="s">
        <v>7765</v>
      </c>
      <c r="O41">
        <v>-34.606275099999998</v>
      </c>
      <c r="P41">
        <v>-58.485909499999998</v>
      </c>
      <c r="Q41">
        <v>45296.395833333336</v>
      </c>
      <c r="R41">
        <v>110.49999999994181</v>
      </c>
      <c r="S41">
        <f>VLOOKUP(F41,'VALORES DIST'!$A$3:$B$27,2,TRUE)</f>
        <v>11816.268749999999</v>
      </c>
    </row>
    <row r="42" spans="1:19" x14ac:dyDescent="0.25">
      <c r="A42">
        <v>900014087</v>
      </c>
      <c r="B42" t="s">
        <v>7759</v>
      </c>
      <c r="C42" t="s">
        <v>7760</v>
      </c>
      <c r="D42" t="s">
        <v>7761</v>
      </c>
      <c r="E42">
        <v>24</v>
      </c>
      <c r="F42">
        <v>8.4000000000000005E-2</v>
      </c>
      <c r="G42" t="s">
        <v>7509</v>
      </c>
      <c r="H42">
        <v>0</v>
      </c>
      <c r="I42" t="s">
        <v>7762</v>
      </c>
      <c r="J42" t="s">
        <v>7763</v>
      </c>
      <c r="K42">
        <v>1</v>
      </c>
      <c r="L42" s="189">
        <v>45301</v>
      </c>
      <c r="M42" t="s">
        <v>7764</v>
      </c>
      <c r="N42" t="s">
        <v>7765</v>
      </c>
      <c r="O42">
        <v>-24.781306799999999</v>
      </c>
      <c r="P42">
        <v>-65.402777400000005</v>
      </c>
      <c r="Q42">
        <v>45296.395810185182</v>
      </c>
      <c r="R42">
        <v>110.50055555562722</v>
      </c>
      <c r="S42">
        <f>VLOOKUP(F42,'VALORES DIST'!$A$3:$B$27,2,TRUE)</f>
        <v>11816.268749999999</v>
      </c>
    </row>
    <row r="43" spans="1:19" x14ac:dyDescent="0.25">
      <c r="A43">
        <v>900014089</v>
      </c>
      <c r="B43" t="s">
        <v>7245</v>
      </c>
      <c r="C43" t="s">
        <v>7845</v>
      </c>
      <c r="D43" t="s">
        <v>7846</v>
      </c>
      <c r="E43">
        <v>26</v>
      </c>
      <c r="F43">
        <v>0.21</v>
      </c>
      <c r="G43" t="s">
        <v>7509</v>
      </c>
      <c r="H43">
        <v>0</v>
      </c>
      <c r="I43" t="s">
        <v>7805</v>
      </c>
      <c r="J43">
        <v>0</v>
      </c>
      <c r="K43">
        <v>1</v>
      </c>
      <c r="L43" s="189">
        <v>45301</v>
      </c>
      <c r="M43" t="s">
        <v>7764</v>
      </c>
      <c r="N43" t="s">
        <v>7765</v>
      </c>
      <c r="O43">
        <v>-34.709944499999999</v>
      </c>
      <c r="P43">
        <v>-58.3869665</v>
      </c>
      <c r="Q43">
        <v>45296.395821759259</v>
      </c>
      <c r="R43">
        <v>110.5002777777845</v>
      </c>
      <c r="S43">
        <f>VLOOKUP(F43,'VALORES DIST'!$A$3:$B$27,2,TRUE)</f>
        <v>11816.268749999999</v>
      </c>
    </row>
    <row r="44" spans="1:19" x14ac:dyDescent="0.25">
      <c r="A44">
        <v>800008413</v>
      </c>
      <c r="B44" t="s">
        <v>7186</v>
      </c>
      <c r="C44" t="s">
        <v>7847</v>
      </c>
      <c r="D44" t="s">
        <v>7848</v>
      </c>
      <c r="E44">
        <v>424</v>
      </c>
      <c r="F44">
        <v>1.212</v>
      </c>
      <c r="G44" t="s">
        <v>7509</v>
      </c>
      <c r="H44">
        <v>0</v>
      </c>
      <c r="I44" t="s">
        <v>7805</v>
      </c>
      <c r="J44">
        <v>0</v>
      </c>
      <c r="K44">
        <v>3</v>
      </c>
      <c r="L44" s="189">
        <v>45301</v>
      </c>
      <c r="M44" t="s">
        <v>7764</v>
      </c>
      <c r="N44" t="s">
        <v>7765</v>
      </c>
      <c r="O44">
        <v>-34.722945199999998</v>
      </c>
      <c r="P44">
        <v>-58.258703699999998</v>
      </c>
      <c r="Q44">
        <v>45299.320891203701</v>
      </c>
      <c r="R44">
        <v>40.298611111182254</v>
      </c>
      <c r="S44">
        <f>VLOOKUP(F44,'VALORES DIST'!$A$3:$B$27,2,TRUE)</f>
        <v>11816.268749999999</v>
      </c>
    </row>
    <row r="45" spans="1:19" x14ac:dyDescent="0.25">
      <c r="A45">
        <v>900014097</v>
      </c>
      <c r="B45" t="s">
        <v>7022</v>
      </c>
      <c r="C45" t="s">
        <v>7849</v>
      </c>
      <c r="D45" t="s">
        <v>7801</v>
      </c>
      <c r="E45">
        <v>24</v>
      </c>
      <c r="F45">
        <v>0.52800000000000002</v>
      </c>
      <c r="G45" t="s">
        <v>7509</v>
      </c>
      <c r="H45">
        <v>0</v>
      </c>
      <c r="I45" t="s">
        <v>7850</v>
      </c>
      <c r="J45" t="s">
        <v>7851</v>
      </c>
      <c r="K45">
        <v>1</v>
      </c>
      <c r="L45" s="189">
        <v>45301</v>
      </c>
      <c r="M45" t="s">
        <v>7764</v>
      </c>
      <c r="N45" t="s">
        <v>7765</v>
      </c>
      <c r="O45">
        <v>-32.947460499999998</v>
      </c>
      <c r="P45">
        <v>-60.638382300000004</v>
      </c>
      <c r="Q45">
        <v>45296.395821759259</v>
      </c>
      <c r="R45">
        <v>110.5002777777845</v>
      </c>
      <c r="S45">
        <f>VLOOKUP(F45,'VALORES DIST'!$A$3:$B$27,2,TRUE)</f>
        <v>11816.268749999999</v>
      </c>
    </row>
    <row r="46" spans="1:19" x14ac:dyDescent="0.25">
      <c r="A46">
        <v>700022259</v>
      </c>
      <c r="B46" t="s">
        <v>7852</v>
      </c>
      <c r="C46" t="s">
        <v>7853</v>
      </c>
      <c r="D46" t="s">
        <v>7794</v>
      </c>
      <c r="E46">
        <v>50</v>
      </c>
      <c r="F46">
        <v>2.2000000000000002</v>
      </c>
      <c r="G46" t="s">
        <v>7509</v>
      </c>
      <c r="H46">
        <v>0</v>
      </c>
      <c r="I46" t="s">
        <v>7805</v>
      </c>
      <c r="J46">
        <v>0</v>
      </c>
      <c r="K46">
        <v>1</v>
      </c>
      <c r="L46" s="189">
        <v>45301</v>
      </c>
      <c r="M46" t="s">
        <v>7764</v>
      </c>
      <c r="N46" t="s">
        <v>7765</v>
      </c>
      <c r="O46">
        <v>-34.608005900000002</v>
      </c>
      <c r="P46">
        <v>-58.4625299</v>
      </c>
      <c r="Q46">
        <v>45300.669444444444</v>
      </c>
      <c r="R46">
        <v>7.9333333333488563</v>
      </c>
      <c r="S46">
        <f>VLOOKUP(F46,'VALORES DIST'!$A$3:$B$27,2,TRUE)</f>
        <v>11816.268749999999</v>
      </c>
    </row>
    <row r="47" spans="1:19" x14ac:dyDescent="0.25">
      <c r="A47">
        <v>700022261</v>
      </c>
      <c r="B47" t="s">
        <v>7852</v>
      </c>
      <c r="C47" t="s">
        <v>7853</v>
      </c>
      <c r="D47" t="s">
        <v>7794</v>
      </c>
      <c r="E47">
        <v>96</v>
      </c>
      <c r="F47">
        <v>5.2560000000000002</v>
      </c>
      <c r="G47" t="s">
        <v>7509</v>
      </c>
      <c r="H47">
        <v>0</v>
      </c>
      <c r="I47" t="s">
        <v>7805</v>
      </c>
      <c r="J47">
        <v>0</v>
      </c>
      <c r="K47">
        <v>1</v>
      </c>
      <c r="L47" s="189">
        <v>45301</v>
      </c>
      <c r="M47" t="s">
        <v>7764</v>
      </c>
      <c r="N47" t="s">
        <v>7765</v>
      </c>
      <c r="O47">
        <v>-34.608005900000002</v>
      </c>
      <c r="P47">
        <v>-58.4625299</v>
      </c>
      <c r="Q47">
        <v>45300.67050925926</v>
      </c>
      <c r="R47">
        <v>7.9077777777565652</v>
      </c>
      <c r="S47">
        <f>VLOOKUP(F47,'VALORES DIST'!$A$3:$B$27,2,TRUE)</f>
        <v>45297.28125</v>
      </c>
    </row>
    <row r="48" spans="1:19" x14ac:dyDescent="0.25">
      <c r="A48">
        <v>900014092</v>
      </c>
      <c r="B48" t="s">
        <v>7252</v>
      </c>
      <c r="C48" t="s">
        <v>7854</v>
      </c>
      <c r="D48" t="s">
        <v>7855</v>
      </c>
      <c r="E48">
        <v>32</v>
      </c>
      <c r="F48">
        <v>0.24</v>
      </c>
      <c r="G48" t="s">
        <v>7509</v>
      </c>
      <c r="H48">
        <v>0</v>
      </c>
      <c r="I48" t="s">
        <v>7805</v>
      </c>
      <c r="J48">
        <v>0</v>
      </c>
      <c r="K48">
        <v>1</v>
      </c>
      <c r="L48" s="189">
        <v>45302</v>
      </c>
      <c r="M48" t="s">
        <v>7764</v>
      </c>
      <c r="N48" t="s">
        <v>7765</v>
      </c>
      <c r="O48">
        <v>-34.527763399999998</v>
      </c>
      <c r="P48">
        <v>-58.499718199999997</v>
      </c>
      <c r="Q48">
        <v>45296.395821759259</v>
      </c>
      <c r="R48">
        <v>134.5002777777845</v>
      </c>
      <c r="S48">
        <f>VLOOKUP(F48,'VALORES DIST'!$A$3:$B$27,2,TRUE)</f>
        <v>11816.268749999999</v>
      </c>
    </row>
    <row r="49" spans="1:19" x14ac:dyDescent="0.25">
      <c r="A49">
        <v>900014093</v>
      </c>
      <c r="B49" t="s">
        <v>7253</v>
      </c>
      <c r="C49" t="s">
        <v>7856</v>
      </c>
      <c r="D49" t="s">
        <v>7857</v>
      </c>
      <c r="E49">
        <v>32</v>
      </c>
      <c r="F49">
        <v>0.24</v>
      </c>
      <c r="G49" t="s">
        <v>7509</v>
      </c>
      <c r="H49">
        <v>0</v>
      </c>
      <c r="I49" t="s">
        <v>7805</v>
      </c>
      <c r="J49">
        <v>0</v>
      </c>
      <c r="K49">
        <v>1</v>
      </c>
      <c r="L49" s="189">
        <v>45302</v>
      </c>
      <c r="M49" t="s">
        <v>7764</v>
      </c>
      <c r="N49" t="s">
        <v>7765</v>
      </c>
      <c r="O49">
        <v>-34.436028899999997</v>
      </c>
      <c r="P49">
        <v>-58.807999299999999</v>
      </c>
      <c r="Q49">
        <v>45296.395821759259</v>
      </c>
      <c r="R49">
        <v>134.5002777777845</v>
      </c>
      <c r="S49">
        <f>VLOOKUP(F49,'VALORES DIST'!$A$3:$B$27,2,TRUE)</f>
        <v>11816.268749999999</v>
      </c>
    </row>
    <row r="50" spans="1:19" x14ac:dyDescent="0.25">
      <c r="A50">
        <v>900014094</v>
      </c>
      <c r="B50" t="s">
        <v>7346</v>
      </c>
      <c r="C50" t="s">
        <v>7858</v>
      </c>
      <c r="D50" t="s">
        <v>7859</v>
      </c>
      <c r="E50">
        <v>32</v>
      </c>
      <c r="F50">
        <v>0.24</v>
      </c>
      <c r="G50" t="s">
        <v>7509</v>
      </c>
      <c r="H50">
        <v>0</v>
      </c>
      <c r="I50" t="s">
        <v>7805</v>
      </c>
      <c r="J50">
        <v>0</v>
      </c>
      <c r="K50">
        <v>2</v>
      </c>
      <c r="L50" s="189">
        <v>45302</v>
      </c>
      <c r="M50" t="s">
        <v>7764</v>
      </c>
      <c r="N50" t="s">
        <v>7765</v>
      </c>
      <c r="O50">
        <v>-34.3999357</v>
      </c>
      <c r="P50">
        <v>-58.654762599999998</v>
      </c>
      <c r="Q50">
        <v>45296.395821759259</v>
      </c>
      <c r="R50">
        <v>134.5002777777845</v>
      </c>
      <c r="S50">
        <f>VLOOKUP(F50,'VALORES DIST'!$A$3:$B$27,2,TRUE)</f>
        <v>11816.268749999999</v>
      </c>
    </row>
    <row r="51" spans="1:19" x14ac:dyDescent="0.25">
      <c r="A51">
        <v>900014096</v>
      </c>
      <c r="B51" t="s">
        <v>7062</v>
      </c>
      <c r="C51" t="s">
        <v>7860</v>
      </c>
      <c r="D51" t="s">
        <v>7861</v>
      </c>
      <c r="E51">
        <v>690</v>
      </c>
      <c r="F51">
        <v>7.2779999999999996</v>
      </c>
      <c r="G51" t="s">
        <v>7509</v>
      </c>
      <c r="H51">
        <v>0</v>
      </c>
      <c r="I51" t="s">
        <v>7805</v>
      </c>
      <c r="J51">
        <v>0</v>
      </c>
      <c r="K51">
        <v>1</v>
      </c>
      <c r="L51" s="189">
        <v>45302</v>
      </c>
      <c r="M51" t="s">
        <v>7764</v>
      </c>
      <c r="N51" t="s">
        <v>7765</v>
      </c>
      <c r="O51">
        <v>-34.580266899999998</v>
      </c>
      <c r="P51">
        <v>-58.567333300000001</v>
      </c>
      <c r="Q51">
        <v>45296.395821759259</v>
      </c>
      <c r="R51">
        <v>134.5002777777845</v>
      </c>
      <c r="S51">
        <f>VLOOKUP(F51,'VALORES DIST'!$A$3:$B$27,2,TRUE)</f>
        <v>61052.306250000001</v>
      </c>
    </row>
    <row r="52" spans="1:19" x14ac:dyDescent="0.25">
      <c r="A52">
        <v>800008416</v>
      </c>
      <c r="B52" t="s">
        <v>7185</v>
      </c>
      <c r="C52" t="s">
        <v>7862</v>
      </c>
      <c r="D52" t="s">
        <v>7863</v>
      </c>
      <c r="E52">
        <v>424</v>
      </c>
      <c r="F52">
        <v>1.212</v>
      </c>
      <c r="G52" t="s">
        <v>7509</v>
      </c>
      <c r="H52">
        <v>0</v>
      </c>
      <c r="I52" t="s">
        <v>7805</v>
      </c>
      <c r="J52">
        <v>0</v>
      </c>
      <c r="K52">
        <v>1</v>
      </c>
      <c r="L52" s="189">
        <v>45302</v>
      </c>
      <c r="M52" t="s">
        <v>7764</v>
      </c>
      <c r="N52" t="s">
        <v>7765</v>
      </c>
      <c r="O52">
        <v>-34.533126799999998</v>
      </c>
      <c r="P52">
        <v>-58.70158</v>
      </c>
      <c r="Q52">
        <v>45299.320902777778</v>
      </c>
      <c r="R52">
        <v>64.298333333339542</v>
      </c>
      <c r="S52">
        <f>VLOOKUP(F52,'VALORES DIST'!$A$3:$B$27,2,TRUE)</f>
        <v>11816.268749999999</v>
      </c>
    </row>
    <row r="53" spans="1:19" x14ac:dyDescent="0.25">
      <c r="A53">
        <v>800008444</v>
      </c>
      <c r="B53" t="s">
        <v>7185</v>
      </c>
      <c r="C53" t="s">
        <v>7862</v>
      </c>
      <c r="D53" t="s">
        <v>7863</v>
      </c>
      <c r="E53">
        <v>68</v>
      </c>
      <c r="F53">
        <v>0.22</v>
      </c>
      <c r="G53" t="s">
        <v>7509</v>
      </c>
      <c r="H53">
        <v>0</v>
      </c>
      <c r="I53" t="s">
        <v>7805</v>
      </c>
      <c r="J53">
        <v>0</v>
      </c>
      <c r="K53">
        <v>1</v>
      </c>
      <c r="L53" s="189">
        <v>45303</v>
      </c>
      <c r="M53" t="s">
        <v>7764</v>
      </c>
      <c r="N53" t="s">
        <v>7765</v>
      </c>
      <c r="O53">
        <v>-34.533126799999998</v>
      </c>
      <c r="P53">
        <v>-58.70158</v>
      </c>
      <c r="Q53">
        <v>45302.524143518516</v>
      </c>
      <c r="R53">
        <v>11.420555555610918</v>
      </c>
      <c r="S53">
        <f>VLOOKUP(F53,'VALORES DIST'!$A$3:$B$27,2,TRUE)</f>
        <v>11816.268749999999</v>
      </c>
    </row>
    <row r="54" spans="1:19" x14ac:dyDescent="0.25">
      <c r="A54">
        <v>800008441</v>
      </c>
      <c r="B54" t="s">
        <v>7185</v>
      </c>
      <c r="C54" t="s">
        <v>7862</v>
      </c>
      <c r="D54" t="s">
        <v>7863</v>
      </c>
      <c r="E54">
        <v>182</v>
      </c>
      <c r="F54">
        <v>4.7380000000000004</v>
      </c>
      <c r="G54" t="s">
        <v>7509</v>
      </c>
      <c r="H54">
        <v>0</v>
      </c>
      <c r="I54" t="s">
        <v>7805</v>
      </c>
      <c r="J54">
        <v>0</v>
      </c>
      <c r="K54">
        <v>1</v>
      </c>
      <c r="L54" s="189">
        <v>45303</v>
      </c>
      <c r="M54" t="s">
        <v>7764</v>
      </c>
      <c r="N54" t="s">
        <v>7765</v>
      </c>
      <c r="O54">
        <v>-34.533126799999998</v>
      </c>
      <c r="P54">
        <v>-58.70158</v>
      </c>
      <c r="Q54">
        <v>45302.524085648147</v>
      </c>
      <c r="R54">
        <v>11.42194444447523</v>
      </c>
      <c r="S54">
        <f>VLOOKUP(F54,'VALORES DIST'!$A$3:$B$27,2,TRUE)</f>
        <v>13787.231250000001</v>
      </c>
    </row>
    <row r="55" spans="1:19" x14ac:dyDescent="0.25">
      <c r="A55">
        <v>800008442</v>
      </c>
      <c r="B55" t="s">
        <v>7185</v>
      </c>
      <c r="C55" t="s">
        <v>7862</v>
      </c>
      <c r="D55" t="s">
        <v>7863</v>
      </c>
      <c r="E55">
        <v>301</v>
      </c>
      <c r="F55">
        <v>0.81200000000000006</v>
      </c>
      <c r="G55" t="s">
        <v>7509</v>
      </c>
      <c r="H55">
        <v>0</v>
      </c>
      <c r="I55" t="s">
        <v>7805</v>
      </c>
      <c r="J55">
        <v>0</v>
      </c>
      <c r="K55">
        <v>1</v>
      </c>
      <c r="L55" s="189">
        <v>45303</v>
      </c>
      <c r="M55" t="s">
        <v>7764</v>
      </c>
      <c r="N55" t="s">
        <v>7765</v>
      </c>
      <c r="O55">
        <v>-34.533126799999998</v>
      </c>
      <c r="P55">
        <v>-58.70158</v>
      </c>
      <c r="Q55">
        <v>45302.524108796293</v>
      </c>
      <c r="R55">
        <v>11.421388888964428</v>
      </c>
      <c r="S55">
        <f>VLOOKUP(F55,'VALORES DIST'!$A$3:$B$27,2,TRUE)</f>
        <v>11816.268749999999</v>
      </c>
    </row>
    <row r="56" spans="1:19" x14ac:dyDescent="0.25">
      <c r="A56">
        <v>800008443</v>
      </c>
      <c r="B56" t="s">
        <v>7185</v>
      </c>
      <c r="C56" t="s">
        <v>7862</v>
      </c>
      <c r="D56" t="s">
        <v>7863</v>
      </c>
      <c r="E56">
        <v>423</v>
      </c>
      <c r="F56">
        <v>3.5750000000000002</v>
      </c>
      <c r="G56" t="s">
        <v>7509</v>
      </c>
      <c r="H56">
        <v>0</v>
      </c>
      <c r="I56" t="s">
        <v>7805</v>
      </c>
      <c r="J56">
        <v>0</v>
      </c>
      <c r="K56">
        <v>1</v>
      </c>
      <c r="L56" s="189">
        <v>45303</v>
      </c>
      <c r="M56" t="s">
        <v>7764</v>
      </c>
      <c r="N56" t="s">
        <v>7765</v>
      </c>
      <c r="O56">
        <v>-34.533126799999998</v>
      </c>
      <c r="P56">
        <v>-58.70158</v>
      </c>
      <c r="Q56">
        <v>45302.52412037037</v>
      </c>
      <c r="R56">
        <v>11.421111111121718</v>
      </c>
      <c r="S56">
        <f>VLOOKUP(F56,'VALORES DIST'!$A$3:$B$27,2,TRUE)</f>
        <v>13787.231250000001</v>
      </c>
    </row>
    <row r="57" spans="1:19" x14ac:dyDescent="0.25">
      <c r="A57">
        <v>30030</v>
      </c>
      <c r="B57" t="s">
        <v>7864</v>
      </c>
      <c r="C57" t="s">
        <v>7865</v>
      </c>
      <c r="D57" t="s">
        <v>7794</v>
      </c>
      <c r="E57">
        <v>642</v>
      </c>
      <c r="F57">
        <v>50</v>
      </c>
      <c r="G57" t="s">
        <v>7864</v>
      </c>
      <c r="H57" t="s">
        <v>7866</v>
      </c>
      <c r="I57" t="s">
        <v>7867</v>
      </c>
      <c r="J57">
        <v>0</v>
      </c>
      <c r="K57">
        <v>1</v>
      </c>
      <c r="L57" s="189">
        <v>45307</v>
      </c>
      <c r="M57" t="s">
        <v>7868</v>
      </c>
      <c r="N57" t="s">
        <v>7765</v>
      </c>
      <c r="O57">
        <v>-345921856</v>
      </c>
      <c r="P57">
        <v>-584757115</v>
      </c>
      <c r="S57">
        <f>VLOOKUP(F57,'VALORES DIST'!$A$3:$B$27,2,TRUE)</f>
        <v>205810.3125</v>
      </c>
    </row>
    <row r="58" spans="1:19" x14ac:dyDescent="0.25">
      <c r="A58">
        <v>30031</v>
      </c>
      <c r="B58" t="s">
        <v>7864</v>
      </c>
      <c r="C58" t="s">
        <v>7865</v>
      </c>
      <c r="D58" t="s">
        <v>7794</v>
      </c>
      <c r="E58">
        <v>2350</v>
      </c>
      <c r="F58">
        <v>66.266999999999996</v>
      </c>
      <c r="G58" t="s">
        <v>7864</v>
      </c>
      <c r="H58" t="s">
        <v>7869</v>
      </c>
      <c r="I58" t="s">
        <v>7867</v>
      </c>
      <c r="J58">
        <v>0</v>
      </c>
      <c r="K58">
        <v>1</v>
      </c>
      <c r="L58" s="189">
        <v>45307</v>
      </c>
      <c r="M58" t="s">
        <v>7870</v>
      </c>
      <c r="N58" t="s">
        <v>7765</v>
      </c>
      <c r="O58">
        <v>-345921856</v>
      </c>
      <c r="P58">
        <v>-584757115</v>
      </c>
      <c r="S58">
        <f>VLOOKUP(F58,'VALORES DIST'!$A$3:$B$27,2,TRUE)</f>
        <v>246183.35625000001</v>
      </c>
    </row>
    <row r="59" spans="1:19" x14ac:dyDescent="0.25">
      <c r="A59">
        <v>30032</v>
      </c>
      <c r="B59" t="s">
        <v>7864</v>
      </c>
      <c r="C59" t="s">
        <v>7865</v>
      </c>
      <c r="D59" t="s">
        <v>7794</v>
      </c>
      <c r="E59">
        <v>525</v>
      </c>
      <c r="F59">
        <v>50</v>
      </c>
      <c r="G59" t="s">
        <v>7864</v>
      </c>
      <c r="H59" t="s">
        <v>7871</v>
      </c>
      <c r="I59" t="s">
        <v>7867</v>
      </c>
      <c r="J59">
        <v>0</v>
      </c>
      <c r="K59">
        <v>1</v>
      </c>
      <c r="L59" s="189">
        <v>45308</v>
      </c>
      <c r="M59" t="s">
        <v>7868</v>
      </c>
      <c r="N59" t="s">
        <v>7765</v>
      </c>
      <c r="O59">
        <v>-345921856</v>
      </c>
      <c r="P59">
        <v>-584757115</v>
      </c>
      <c r="S59">
        <f>VLOOKUP(F59,'VALORES DIST'!$A$3:$B$27,2,TRUE)</f>
        <v>205810.3125</v>
      </c>
    </row>
    <row r="60" spans="1:19" x14ac:dyDescent="0.25">
      <c r="A60">
        <v>800008490</v>
      </c>
      <c r="B60" t="s">
        <v>7184</v>
      </c>
      <c r="C60" t="s">
        <v>7807</v>
      </c>
      <c r="D60" t="s">
        <v>7794</v>
      </c>
      <c r="E60">
        <v>872</v>
      </c>
      <c r="F60">
        <v>11.141999999999999</v>
      </c>
      <c r="G60" t="s">
        <v>7509</v>
      </c>
      <c r="H60">
        <v>0</v>
      </c>
      <c r="I60" t="s">
        <v>7805</v>
      </c>
      <c r="J60">
        <v>0</v>
      </c>
      <c r="K60">
        <v>1</v>
      </c>
      <c r="L60" s="189">
        <v>45308</v>
      </c>
      <c r="M60" t="s">
        <v>7764</v>
      </c>
      <c r="N60" t="s">
        <v>7765</v>
      </c>
      <c r="O60">
        <v>-34.608005900000002</v>
      </c>
      <c r="P60">
        <v>-58.4625299</v>
      </c>
      <c r="Q60">
        <v>45307.392326388886</v>
      </c>
      <c r="R60">
        <v>14.58416666672565</v>
      </c>
      <c r="S60">
        <f>VLOOKUP(F60,'VALORES DIST'!$A$3:$B$27,2,TRUE)</f>
        <v>96504.28125</v>
      </c>
    </row>
    <row r="61" spans="1:19" x14ac:dyDescent="0.25">
      <c r="A61">
        <v>900014129</v>
      </c>
      <c r="B61" t="s">
        <v>6982</v>
      </c>
      <c r="C61" t="s">
        <v>7872</v>
      </c>
      <c r="D61" t="s">
        <v>7794</v>
      </c>
      <c r="E61">
        <v>21</v>
      </c>
      <c r="F61">
        <v>0.86399999999999999</v>
      </c>
      <c r="G61" t="s">
        <v>7509</v>
      </c>
      <c r="H61">
        <v>0</v>
      </c>
      <c r="I61" t="s">
        <v>7805</v>
      </c>
      <c r="J61">
        <v>0</v>
      </c>
      <c r="K61">
        <v>1</v>
      </c>
      <c r="L61" s="189">
        <v>45308</v>
      </c>
      <c r="M61" t="s">
        <v>7764</v>
      </c>
      <c r="N61" t="s">
        <v>7765</v>
      </c>
      <c r="O61">
        <v>-34.604486600000001</v>
      </c>
      <c r="P61">
        <v>-58.403760499999997</v>
      </c>
      <c r="Q61">
        <v>45307.381203703706</v>
      </c>
      <c r="R61">
        <v>14.851111111056523</v>
      </c>
      <c r="S61">
        <f>VLOOKUP(F61,'VALORES DIST'!$A$3:$B$27,2,TRUE)</f>
        <v>11816.268749999999</v>
      </c>
    </row>
    <row r="62" spans="1:19" x14ac:dyDescent="0.25">
      <c r="A62">
        <v>800008482</v>
      </c>
      <c r="B62" t="s">
        <v>7183</v>
      </c>
      <c r="C62" t="s">
        <v>7844</v>
      </c>
      <c r="D62" t="s">
        <v>7794</v>
      </c>
      <c r="E62">
        <v>72</v>
      </c>
      <c r="F62">
        <v>9.6000000000000002E-2</v>
      </c>
      <c r="G62" t="s">
        <v>7509</v>
      </c>
      <c r="H62">
        <v>0</v>
      </c>
      <c r="I62" t="s">
        <v>7805</v>
      </c>
      <c r="J62">
        <v>0</v>
      </c>
      <c r="K62">
        <v>1</v>
      </c>
      <c r="L62" s="189">
        <v>45308</v>
      </c>
      <c r="M62" t="s">
        <v>7764</v>
      </c>
      <c r="N62" t="s">
        <v>7765</v>
      </c>
      <c r="O62">
        <v>-34.598365299999998</v>
      </c>
      <c r="P62">
        <v>-58.440120899999997</v>
      </c>
      <c r="Q62">
        <v>45307.392314814817</v>
      </c>
      <c r="R62">
        <v>14.584444444393741</v>
      </c>
      <c r="S62">
        <f>VLOOKUP(F62,'VALORES DIST'!$A$3:$B$27,2,TRUE)</f>
        <v>11816.268749999999</v>
      </c>
    </row>
    <row r="63" spans="1:19" x14ac:dyDescent="0.25">
      <c r="A63">
        <v>900014132</v>
      </c>
      <c r="B63" t="s">
        <v>6985</v>
      </c>
      <c r="C63" t="s">
        <v>7873</v>
      </c>
      <c r="D63" t="s">
        <v>7794</v>
      </c>
      <c r="E63">
        <v>34</v>
      </c>
      <c r="F63">
        <v>0.371</v>
      </c>
      <c r="G63" t="s">
        <v>7509</v>
      </c>
      <c r="H63">
        <v>0</v>
      </c>
      <c r="I63" t="s">
        <v>7805</v>
      </c>
      <c r="J63">
        <v>0</v>
      </c>
      <c r="K63">
        <v>1</v>
      </c>
      <c r="L63" s="189">
        <v>45309</v>
      </c>
      <c r="M63" t="s">
        <v>7764</v>
      </c>
      <c r="N63" t="s">
        <v>7765</v>
      </c>
      <c r="O63">
        <v>-34.574657100000003</v>
      </c>
      <c r="P63">
        <v>-58.487377600000002</v>
      </c>
      <c r="Q63">
        <v>45307.381203703706</v>
      </c>
      <c r="R63">
        <v>38.851111111056525</v>
      </c>
      <c r="S63">
        <f>VLOOKUP(F63,'VALORES DIST'!$A$3:$B$27,2,TRUE)</f>
        <v>11816.268749999999</v>
      </c>
    </row>
    <row r="64" spans="1:19" x14ac:dyDescent="0.25">
      <c r="A64">
        <v>900014110</v>
      </c>
      <c r="B64" t="s">
        <v>6968</v>
      </c>
      <c r="C64" t="s">
        <v>7874</v>
      </c>
      <c r="D64" t="s">
        <v>7794</v>
      </c>
      <c r="E64">
        <v>114</v>
      </c>
      <c r="F64">
        <v>3.42</v>
      </c>
      <c r="G64" t="s">
        <v>7509</v>
      </c>
      <c r="H64">
        <v>0</v>
      </c>
      <c r="I64" t="s">
        <v>7805</v>
      </c>
      <c r="J64">
        <v>0</v>
      </c>
      <c r="K64">
        <v>1</v>
      </c>
      <c r="L64" s="189">
        <v>45309</v>
      </c>
      <c r="M64" t="s">
        <v>7764</v>
      </c>
      <c r="N64" t="s">
        <v>7765</v>
      </c>
      <c r="O64">
        <v>-34.594501899999997</v>
      </c>
      <c r="P64">
        <v>-58.429039899999999</v>
      </c>
      <c r="Q64">
        <v>45307.381157407406</v>
      </c>
      <c r="R64">
        <v>38.852222222252749</v>
      </c>
      <c r="S64">
        <f>VLOOKUP(F64,'VALORES DIST'!$A$3:$B$27,2,TRUE)</f>
        <v>13787.231250000001</v>
      </c>
    </row>
    <row r="65" spans="1:19" x14ac:dyDescent="0.25">
      <c r="A65">
        <v>800008485</v>
      </c>
      <c r="B65" t="s">
        <v>7188</v>
      </c>
      <c r="C65" t="s">
        <v>7833</v>
      </c>
      <c r="D65" t="s">
        <v>7794</v>
      </c>
      <c r="E65">
        <v>330</v>
      </c>
      <c r="F65">
        <v>1.4119999999999999</v>
      </c>
      <c r="G65" t="s">
        <v>7509</v>
      </c>
      <c r="H65">
        <v>0</v>
      </c>
      <c r="I65" t="s">
        <v>7805</v>
      </c>
      <c r="J65">
        <v>0</v>
      </c>
      <c r="K65">
        <v>1</v>
      </c>
      <c r="L65" s="189">
        <v>45309</v>
      </c>
      <c r="M65" t="s">
        <v>7764</v>
      </c>
      <c r="N65" t="s">
        <v>7765</v>
      </c>
      <c r="O65">
        <v>-34.608302799999997</v>
      </c>
      <c r="P65">
        <v>-58.5134373</v>
      </c>
      <c r="Q65">
        <v>45307.392314814817</v>
      </c>
      <c r="R65">
        <v>38.584444444393739</v>
      </c>
      <c r="S65">
        <f>VLOOKUP(F65,'VALORES DIST'!$A$3:$B$27,2,TRUE)</f>
        <v>11816.268749999999</v>
      </c>
    </row>
    <row r="66" spans="1:19" x14ac:dyDescent="0.25">
      <c r="A66">
        <v>800008486</v>
      </c>
      <c r="B66" t="s">
        <v>7188</v>
      </c>
      <c r="C66" t="s">
        <v>7833</v>
      </c>
      <c r="D66" t="s">
        <v>7794</v>
      </c>
      <c r="E66">
        <v>302</v>
      </c>
      <c r="F66">
        <v>1.347</v>
      </c>
      <c r="G66" t="s">
        <v>7509</v>
      </c>
      <c r="H66">
        <v>0</v>
      </c>
      <c r="I66" t="s">
        <v>7805</v>
      </c>
      <c r="J66">
        <v>0</v>
      </c>
      <c r="K66">
        <v>1</v>
      </c>
      <c r="L66" s="189">
        <v>45309</v>
      </c>
      <c r="M66" t="s">
        <v>7764</v>
      </c>
      <c r="N66" t="s">
        <v>7765</v>
      </c>
      <c r="O66">
        <v>-34.608302799999997</v>
      </c>
      <c r="P66">
        <v>-58.5134373</v>
      </c>
      <c r="Q66">
        <v>45307.392314814817</v>
      </c>
      <c r="R66">
        <v>38.584444444393739</v>
      </c>
      <c r="S66">
        <f>VLOOKUP(F66,'VALORES DIST'!$A$3:$B$27,2,TRUE)</f>
        <v>11816.268749999999</v>
      </c>
    </row>
    <row r="67" spans="1:19" x14ac:dyDescent="0.25">
      <c r="A67">
        <v>800008487</v>
      </c>
      <c r="B67" t="s">
        <v>7188</v>
      </c>
      <c r="C67" t="s">
        <v>7833</v>
      </c>
      <c r="D67" t="s">
        <v>7794</v>
      </c>
      <c r="E67">
        <v>10</v>
      </c>
      <c r="F67">
        <v>0.06</v>
      </c>
      <c r="G67" t="s">
        <v>7509</v>
      </c>
      <c r="H67">
        <v>0</v>
      </c>
      <c r="I67" t="s">
        <v>7805</v>
      </c>
      <c r="J67">
        <v>0</v>
      </c>
      <c r="K67">
        <v>1</v>
      </c>
      <c r="L67" s="189">
        <v>45309</v>
      </c>
      <c r="M67" t="s">
        <v>7764</v>
      </c>
      <c r="N67" t="s">
        <v>7765</v>
      </c>
      <c r="O67">
        <v>-34.608302799999997</v>
      </c>
      <c r="P67">
        <v>-58.5134373</v>
      </c>
      <c r="Q67">
        <v>45307.392326388886</v>
      </c>
      <c r="R67">
        <v>38.58416666672565</v>
      </c>
      <c r="S67">
        <f>VLOOKUP(F67,'VALORES DIST'!$A$3:$B$27,2,TRUE)</f>
        <v>11816.268749999999</v>
      </c>
    </row>
    <row r="68" spans="1:19" x14ac:dyDescent="0.25">
      <c r="A68">
        <v>900014114</v>
      </c>
      <c r="B68" t="s">
        <v>7097</v>
      </c>
      <c r="C68" t="s">
        <v>7875</v>
      </c>
      <c r="D68" t="s">
        <v>7794</v>
      </c>
      <c r="E68">
        <v>148</v>
      </c>
      <c r="F68">
        <v>1.8140000000000001</v>
      </c>
      <c r="G68" t="s">
        <v>7509</v>
      </c>
      <c r="H68">
        <v>0</v>
      </c>
      <c r="I68" t="s">
        <v>7805</v>
      </c>
      <c r="J68">
        <v>0</v>
      </c>
      <c r="K68">
        <v>1</v>
      </c>
      <c r="L68" s="189">
        <v>45309</v>
      </c>
      <c r="M68" t="s">
        <v>7764</v>
      </c>
      <c r="N68" t="s">
        <v>7765</v>
      </c>
      <c r="O68">
        <v>-34.639650600000003</v>
      </c>
      <c r="P68">
        <v>-58.527576400000001</v>
      </c>
      <c r="Q68">
        <v>45307.381168981483</v>
      </c>
      <c r="R68">
        <v>38.851944444410037</v>
      </c>
      <c r="S68">
        <f>VLOOKUP(F68,'VALORES DIST'!$A$3:$B$27,2,TRUE)</f>
        <v>11816.268749999999</v>
      </c>
    </row>
    <row r="69" spans="1:19" x14ac:dyDescent="0.25">
      <c r="A69">
        <v>900014126</v>
      </c>
      <c r="B69" t="s">
        <v>7099</v>
      </c>
      <c r="C69" t="s">
        <v>7876</v>
      </c>
      <c r="D69" t="s">
        <v>7794</v>
      </c>
      <c r="E69">
        <v>190</v>
      </c>
      <c r="F69">
        <v>0.20599999999999999</v>
      </c>
      <c r="G69" t="s">
        <v>7509</v>
      </c>
      <c r="H69">
        <v>0</v>
      </c>
      <c r="I69" t="s">
        <v>7805</v>
      </c>
      <c r="J69">
        <v>0</v>
      </c>
      <c r="K69">
        <v>1</v>
      </c>
      <c r="L69" s="189">
        <v>45309</v>
      </c>
      <c r="M69" t="s">
        <v>7764</v>
      </c>
      <c r="N69" t="s">
        <v>7765</v>
      </c>
      <c r="O69">
        <v>-34.630330999999998</v>
      </c>
      <c r="P69">
        <v>-58.462640999999998</v>
      </c>
      <c r="Q69">
        <v>45307.381203703706</v>
      </c>
      <c r="R69">
        <v>38.851111111056525</v>
      </c>
      <c r="S69">
        <f>VLOOKUP(F69,'VALORES DIST'!$A$3:$B$27,2,TRUE)</f>
        <v>11816.268749999999</v>
      </c>
    </row>
    <row r="70" spans="1:19" x14ac:dyDescent="0.25">
      <c r="A70">
        <v>900014116</v>
      </c>
      <c r="B70" t="s">
        <v>7274</v>
      </c>
      <c r="C70" t="s">
        <v>7842</v>
      </c>
      <c r="D70" t="s">
        <v>7794</v>
      </c>
      <c r="E70">
        <v>316</v>
      </c>
      <c r="F70">
        <v>1.5144</v>
      </c>
      <c r="G70" t="s">
        <v>7509</v>
      </c>
      <c r="H70">
        <v>0</v>
      </c>
      <c r="I70" t="s">
        <v>7805</v>
      </c>
      <c r="J70">
        <v>0</v>
      </c>
      <c r="K70">
        <v>1</v>
      </c>
      <c r="L70" s="189">
        <v>45309</v>
      </c>
      <c r="M70" t="s">
        <v>7764</v>
      </c>
      <c r="N70" t="s">
        <v>7765</v>
      </c>
      <c r="O70">
        <v>-34.608005900000002</v>
      </c>
      <c r="P70">
        <v>-58.4625299</v>
      </c>
      <c r="Q70">
        <v>45307.381168981483</v>
      </c>
      <c r="R70">
        <v>38.851944444410037</v>
      </c>
      <c r="S70">
        <f>VLOOKUP(F70,'VALORES DIST'!$A$3:$B$27,2,TRUE)</f>
        <v>11816.268749999999</v>
      </c>
    </row>
    <row r="71" spans="1:19" x14ac:dyDescent="0.25">
      <c r="A71">
        <v>900014115</v>
      </c>
      <c r="B71" t="s">
        <v>7274</v>
      </c>
      <c r="C71" t="s">
        <v>7842</v>
      </c>
      <c r="D71" t="s">
        <v>7794</v>
      </c>
      <c r="E71">
        <v>236</v>
      </c>
      <c r="F71">
        <v>1.488</v>
      </c>
      <c r="G71" t="s">
        <v>7509</v>
      </c>
      <c r="H71">
        <v>0</v>
      </c>
      <c r="I71" t="s">
        <v>7805</v>
      </c>
      <c r="J71">
        <v>0</v>
      </c>
      <c r="K71">
        <v>1</v>
      </c>
      <c r="L71" s="189">
        <v>45309</v>
      </c>
      <c r="M71" t="s">
        <v>7764</v>
      </c>
      <c r="N71" t="s">
        <v>7765</v>
      </c>
      <c r="O71">
        <v>-34.608005900000002</v>
      </c>
      <c r="P71">
        <v>-58.4625299</v>
      </c>
      <c r="Q71">
        <v>45307.381168981483</v>
      </c>
      <c r="R71">
        <v>38.851944444410037</v>
      </c>
      <c r="S71">
        <f>VLOOKUP(F71,'VALORES DIST'!$A$3:$B$27,2,TRUE)</f>
        <v>11816.268749999999</v>
      </c>
    </row>
    <row r="72" spans="1:19" x14ac:dyDescent="0.25">
      <c r="A72">
        <v>900014127</v>
      </c>
      <c r="B72" t="s">
        <v>7330</v>
      </c>
      <c r="C72" t="s">
        <v>7877</v>
      </c>
      <c r="D72" t="s">
        <v>7861</v>
      </c>
      <c r="E72">
        <v>60</v>
      </c>
      <c r="F72">
        <v>7.1999999999999995E-2</v>
      </c>
      <c r="G72" t="s">
        <v>7509</v>
      </c>
      <c r="H72">
        <v>0</v>
      </c>
      <c r="I72" t="s">
        <v>7805</v>
      </c>
      <c r="J72">
        <v>0</v>
      </c>
      <c r="K72">
        <v>1</v>
      </c>
      <c r="L72" s="189">
        <v>45309</v>
      </c>
      <c r="M72" t="s">
        <v>7764</v>
      </c>
      <c r="N72" t="s">
        <v>7878</v>
      </c>
      <c r="O72">
        <v>-34.579084600000002</v>
      </c>
      <c r="P72">
        <v>-58.539176400000002</v>
      </c>
      <c r="Q72">
        <v>45307.381203703706</v>
      </c>
      <c r="R72">
        <v>38.851111111056525</v>
      </c>
      <c r="S72">
        <f>VLOOKUP(F72,'VALORES DIST'!$A$3:$B$27,2,TRUE)</f>
        <v>11816.268749999999</v>
      </c>
    </row>
    <row r="73" spans="1:19" x14ac:dyDescent="0.25">
      <c r="A73">
        <v>900014166</v>
      </c>
      <c r="B73" t="s">
        <v>6974</v>
      </c>
      <c r="C73" t="s">
        <v>7879</v>
      </c>
      <c r="D73" t="s">
        <v>7880</v>
      </c>
      <c r="E73">
        <v>120</v>
      </c>
      <c r="F73">
        <v>3.6720000000000002</v>
      </c>
      <c r="G73" t="s">
        <v>7509</v>
      </c>
      <c r="I73" t="s">
        <v>7881</v>
      </c>
      <c r="J73">
        <v>0</v>
      </c>
      <c r="K73">
        <v>2</v>
      </c>
      <c r="L73" s="189">
        <v>45310</v>
      </c>
      <c r="M73" t="s">
        <v>7764</v>
      </c>
      <c r="N73" t="s">
        <v>7765</v>
      </c>
      <c r="O73">
        <v>-34.594871400000002</v>
      </c>
      <c r="P73">
        <v>-58.373517399999997</v>
      </c>
      <c r="Q73">
        <v>45309.400405092594</v>
      </c>
      <c r="R73">
        <v>14.390277777740266</v>
      </c>
      <c r="S73">
        <f>VLOOKUP(F73,'VALORES DIST'!$A$3:$B$27,2,TRUE)</f>
        <v>13787.231250000001</v>
      </c>
    </row>
    <row r="74" spans="1:19" x14ac:dyDescent="0.25">
      <c r="A74">
        <v>1665</v>
      </c>
      <c r="B74" t="s">
        <v>6888</v>
      </c>
      <c r="C74" t="s">
        <v>7824</v>
      </c>
      <c r="D74" t="s">
        <v>7794</v>
      </c>
      <c r="E74">
        <v>264</v>
      </c>
      <c r="F74">
        <v>7.92</v>
      </c>
      <c r="G74" t="s">
        <v>6888</v>
      </c>
      <c r="I74" t="s">
        <v>7825</v>
      </c>
      <c r="J74">
        <v>0</v>
      </c>
      <c r="K74">
        <v>1</v>
      </c>
      <c r="L74" s="189">
        <v>45310</v>
      </c>
      <c r="M74" t="s">
        <v>7806</v>
      </c>
      <c r="N74" t="s">
        <v>7765</v>
      </c>
      <c r="O74">
        <v>-34.603684399999999</v>
      </c>
      <c r="P74">
        <v>-58.381559099999997</v>
      </c>
      <c r="S74">
        <f>VLOOKUP(F74,'VALORES DIST'!$A$3:$B$27,2,TRUE)</f>
        <v>61052.306250000001</v>
      </c>
    </row>
    <row r="75" spans="1:19" x14ac:dyDescent="0.25">
      <c r="A75">
        <v>900014128</v>
      </c>
      <c r="B75" t="s">
        <v>7233</v>
      </c>
      <c r="C75" t="s">
        <v>7882</v>
      </c>
      <c r="D75" t="s">
        <v>7883</v>
      </c>
      <c r="E75">
        <v>84</v>
      </c>
      <c r="F75">
        <v>8.4000000000000005E-2</v>
      </c>
      <c r="G75" t="s">
        <v>7509</v>
      </c>
      <c r="H75">
        <v>0</v>
      </c>
      <c r="I75" t="s">
        <v>7805</v>
      </c>
      <c r="J75">
        <v>0</v>
      </c>
      <c r="K75">
        <v>3</v>
      </c>
      <c r="L75" s="189">
        <v>45313</v>
      </c>
      <c r="M75" t="s">
        <v>7764</v>
      </c>
      <c r="N75" t="s">
        <v>7765</v>
      </c>
      <c r="O75">
        <v>-34.801153499999998</v>
      </c>
      <c r="P75">
        <v>-58.274911299999999</v>
      </c>
      <c r="Q75">
        <v>45307.381203703706</v>
      </c>
      <c r="R75">
        <v>134.85111111105653</v>
      </c>
      <c r="S75">
        <f>VLOOKUP(F75,'VALORES DIST'!$A$3:$B$27,2,TRUE)</f>
        <v>11816.268749999999</v>
      </c>
    </row>
    <row r="76" spans="1:19" x14ac:dyDescent="0.25">
      <c r="A76">
        <v>50500000734</v>
      </c>
      <c r="B76" t="s">
        <v>7199</v>
      </c>
      <c r="C76" t="s">
        <v>7884</v>
      </c>
      <c r="D76" t="s">
        <v>7846</v>
      </c>
      <c r="E76">
        <v>72</v>
      </c>
      <c r="F76">
        <v>2.16</v>
      </c>
      <c r="G76" t="s">
        <v>7509</v>
      </c>
      <c r="H76">
        <v>0</v>
      </c>
      <c r="I76" t="s">
        <v>7805</v>
      </c>
      <c r="J76">
        <v>0</v>
      </c>
      <c r="K76">
        <v>1</v>
      </c>
      <c r="L76" s="189">
        <v>45313</v>
      </c>
      <c r="M76" t="s">
        <v>7764</v>
      </c>
      <c r="N76" t="s">
        <v>7765</v>
      </c>
      <c r="O76">
        <v>-34.688305</v>
      </c>
      <c r="P76">
        <v>-58.400648500000003</v>
      </c>
      <c r="Q76">
        <v>45307.381215277775</v>
      </c>
      <c r="R76">
        <v>134.85083333338844</v>
      </c>
      <c r="S76">
        <f>VLOOKUP(F76,'VALORES DIST'!$A$3:$B$27,2,TRUE)</f>
        <v>11816.268749999999</v>
      </c>
    </row>
    <row r="77" spans="1:19" x14ac:dyDescent="0.25">
      <c r="A77">
        <v>900014124</v>
      </c>
      <c r="B77" t="s">
        <v>7160</v>
      </c>
      <c r="C77" t="s">
        <v>7885</v>
      </c>
      <c r="D77" t="s">
        <v>7886</v>
      </c>
      <c r="E77">
        <v>21</v>
      </c>
      <c r="F77">
        <v>0.63</v>
      </c>
      <c r="G77" t="s">
        <v>7509</v>
      </c>
      <c r="H77">
        <v>0</v>
      </c>
      <c r="I77" t="s">
        <v>7887</v>
      </c>
      <c r="J77" t="s">
        <v>7888</v>
      </c>
      <c r="K77">
        <v>1</v>
      </c>
      <c r="L77" s="189">
        <v>45313</v>
      </c>
      <c r="M77" t="s">
        <v>7764</v>
      </c>
      <c r="N77" t="s">
        <v>7765</v>
      </c>
      <c r="O77">
        <v>-38.938856000000001</v>
      </c>
      <c r="P77">
        <v>-67.990520000000004</v>
      </c>
      <c r="Q77">
        <v>45307.381203703706</v>
      </c>
      <c r="R77">
        <v>134.85111111105653</v>
      </c>
      <c r="S77">
        <f>VLOOKUP(F77,'VALORES DIST'!$A$3:$B$27,2,TRUE)</f>
        <v>11816.268749999999</v>
      </c>
    </row>
    <row r="78" spans="1:19" x14ac:dyDescent="0.25">
      <c r="A78">
        <v>900014113</v>
      </c>
      <c r="B78" t="s">
        <v>7425</v>
      </c>
      <c r="E78">
        <v>66</v>
      </c>
      <c r="F78">
        <v>6.6000000000000003E-2</v>
      </c>
      <c r="G78" t="s">
        <v>7509</v>
      </c>
      <c r="L78" s="189">
        <v>45313</v>
      </c>
      <c r="M78" t="s">
        <v>7764</v>
      </c>
      <c r="N78" t="s">
        <v>7765</v>
      </c>
      <c r="Q78">
        <v>45307.381157407406</v>
      </c>
      <c r="R78">
        <v>134.85222222225275</v>
      </c>
      <c r="S78">
        <f>VLOOKUP(F78,'VALORES DIST'!$A$3:$B$27,2,TRUE)</f>
        <v>11816.268749999999</v>
      </c>
    </row>
    <row r="79" spans="1:19" x14ac:dyDescent="0.25">
      <c r="A79">
        <v>900014112</v>
      </c>
      <c r="B79" t="s">
        <v>7294</v>
      </c>
      <c r="C79" t="s">
        <v>7889</v>
      </c>
      <c r="D79" t="s">
        <v>7890</v>
      </c>
      <c r="E79">
        <v>32</v>
      </c>
      <c r="F79">
        <v>0.04</v>
      </c>
      <c r="G79" t="s">
        <v>7509</v>
      </c>
      <c r="H79">
        <v>0</v>
      </c>
      <c r="I79" t="s">
        <v>7891</v>
      </c>
      <c r="J79" t="s">
        <v>7892</v>
      </c>
      <c r="K79">
        <v>3</v>
      </c>
      <c r="L79" s="189">
        <v>45313</v>
      </c>
      <c r="M79" t="s">
        <v>7764</v>
      </c>
      <c r="N79" t="s">
        <v>7765</v>
      </c>
      <c r="O79">
        <v>-27.4684849</v>
      </c>
      <c r="P79">
        <v>-58.8395686</v>
      </c>
      <c r="Q79">
        <v>45307.381157407406</v>
      </c>
      <c r="R79">
        <v>134.85222222225275</v>
      </c>
      <c r="S79">
        <f>VLOOKUP(F79,'VALORES DIST'!$A$3:$B$27,2,TRUE)</f>
        <v>11816.268749999999</v>
      </c>
    </row>
    <row r="80" spans="1:19" x14ac:dyDescent="0.25">
      <c r="A80">
        <v>900014107</v>
      </c>
      <c r="B80" t="s">
        <v>7127</v>
      </c>
      <c r="C80" t="s">
        <v>7893</v>
      </c>
      <c r="D80" t="s">
        <v>7894</v>
      </c>
      <c r="E80">
        <v>48</v>
      </c>
      <c r="F80">
        <v>1.4119999999999999</v>
      </c>
      <c r="G80" t="s">
        <v>7509</v>
      </c>
      <c r="H80">
        <v>0</v>
      </c>
      <c r="I80" t="s">
        <v>7895</v>
      </c>
      <c r="J80" t="s">
        <v>7896</v>
      </c>
      <c r="K80">
        <v>1</v>
      </c>
      <c r="L80" s="189">
        <v>45313</v>
      </c>
      <c r="M80" t="s">
        <v>7764</v>
      </c>
      <c r="N80" t="s">
        <v>7765</v>
      </c>
      <c r="O80">
        <v>-26.8284071</v>
      </c>
      <c r="P80">
        <v>-65.205819000000005</v>
      </c>
      <c r="Q80">
        <v>45307.381157407406</v>
      </c>
      <c r="R80">
        <v>134.85222222225275</v>
      </c>
      <c r="S80">
        <f>VLOOKUP(F80,'VALORES DIST'!$A$3:$B$27,2,TRUE)</f>
        <v>11816.268749999999</v>
      </c>
    </row>
    <row r="81" spans="1:19" x14ac:dyDescent="0.25">
      <c r="A81">
        <v>900014106</v>
      </c>
      <c r="B81" t="s">
        <v>7130</v>
      </c>
      <c r="C81" t="s">
        <v>7897</v>
      </c>
      <c r="D81" t="s">
        <v>7898</v>
      </c>
      <c r="E81">
        <v>16</v>
      </c>
      <c r="F81">
        <v>0.48</v>
      </c>
      <c r="G81" t="s">
        <v>7509</v>
      </c>
      <c r="H81">
        <v>0</v>
      </c>
      <c r="I81" t="s">
        <v>7895</v>
      </c>
      <c r="J81" t="s">
        <v>7896</v>
      </c>
      <c r="K81">
        <v>1</v>
      </c>
      <c r="L81" s="189">
        <v>45313</v>
      </c>
      <c r="M81" t="s">
        <v>7764</v>
      </c>
      <c r="N81" t="s">
        <v>7765</v>
      </c>
      <c r="O81">
        <v>-24.7975429</v>
      </c>
      <c r="P81">
        <v>-65.417430899999999</v>
      </c>
      <c r="Q81">
        <v>45307.381157407406</v>
      </c>
      <c r="R81">
        <v>134.85222222225275</v>
      </c>
      <c r="S81">
        <f>VLOOKUP(F81,'VALORES DIST'!$A$3:$B$27,2,TRUE)</f>
        <v>11816.268749999999</v>
      </c>
    </row>
    <row r="82" spans="1:19" x14ac:dyDescent="0.25">
      <c r="A82">
        <v>900014134</v>
      </c>
      <c r="B82" t="s">
        <v>7023</v>
      </c>
      <c r="C82" t="s">
        <v>7899</v>
      </c>
      <c r="D82" t="s">
        <v>7801</v>
      </c>
      <c r="E82">
        <v>230</v>
      </c>
      <c r="F82">
        <v>6.9640000000000004</v>
      </c>
      <c r="G82" t="s">
        <v>7509</v>
      </c>
      <c r="H82">
        <v>0</v>
      </c>
      <c r="I82" t="s">
        <v>7900</v>
      </c>
      <c r="J82" t="s">
        <v>7901</v>
      </c>
      <c r="K82">
        <v>1</v>
      </c>
      <c r="L82" s="189">
        <v>45313</v>
      </c>
      <c r="M82" t="s">
        <v>7764</v>
      </c>
      <c r="N82" t="s">
        <v>7765</v>
      </c>
      <c r="O82">
        <v>-32.947788199999998</v>
      </c>
      <c r="P82">
        <v>-60.646365299999999</v>
      </c>
      <c r="Q82">
        <v>45307.381203703706</v>
      </c>
      <c r="R82">
        <v>134.85111111105653</v>
      </c>
      <c r="S82">
        <f>VLOOKUP(F82,'VALORES DIST'!$A$3:$B$27,2,TRUE)</f>
        <v>53177.962500000001</v>
      </c>
    </row>
    <row r="83" spans="1:19" x14ac:dyDescent="0.25">
      <c r="A83">
        <v>900014123</v>
      </c>
      <c r="B83" t="s">
        <v>6976</v>
      </c>
      <c r="C83" t="s">
        <v>7902</v>
      </c>
      <c r="D83" t="s">
        <v>7794</v>
      </c>
      <c r="E83">
        <v>53</v>
      </c>
      <c r="F83">
        <v>0.38500000000000001</v>
      </c>
      <c r="G83" t="s">
        <v>7509</v>
      </c>
      <c r="H83">
        <v>0</v>
      </c>
      <c r="I83" t="s">
        <v>7805</v>
      </c>
      <c r="J83">
        <v>0</v>
      </c>
      <c r="K83">
        <v>1</v>
      </c>
      <c r="L83" s="189">
        <v>45314</v>
      </c>
      <c r="M83" t="s">
        <v>7764</v>
      </c>
      <c r="N83" t="s">
        <v>7765</v>
      </c>
      <c r="O83">
        <v>-34.567376500000002</v>
      </c>
      <c r="P83">
        <v>-58.4372148</v>
      </c>
      <c r="Q83">
        <v>45307.381203703706</v>
      </c>
      <c r="R83">
        <v>158.85111111105653</v>
      </c>
      <c r="S83">
        <f>VLOOKUP(F83,'VALORES DIST'!$A$3:$B$27,2,TRUE)</f>
        <v>11816.268749999999</v>
      </c>
    </row>
    <row r="84" spans="1:19" x14ac:dyDescent="0.25">
      <c r="A84">
        <v>900014130</v>
      </c>
      <c r="B84" t="s">
        <v>7903</v>
      </c>
      <c r="C84" t="s">
        <v>7904</v>
      </c>
      <c r="D84" t="s">
        <v>7794</v>
      </c>
      <c r="E84">
        <v>29</v>
      </c>
      <c r="F84">
        <v>8.7999999999999995E-2</v>
      </c>
      <c r="G84" t="s">
        <v>7509</v>
      </c>
      <c r="H84">
        <v>0</v>
      </c>
      <c r="I84" t="s">
        <v>7805</v>
      </c>
      <c r="J84">
        <v>0</v>
      </c>
      <c r="K84">
        <v>1</v>
      </c>
      <c r="L84" s="189">
        <v>45314</v>
      </c>
      <c r="M84" t="s">
        <v>7764</v>
      </c>
      <c r="N84" t="s">
        <v>7765</v>
      </c>
      <c r="O84">
        <v>-34.580744099999997</v>
      </c>
      <c r="P84">
        <v>-58.407094700000002</v>
      </c>
      <c r="Q84">
        <v>45307.381203703706</v>
      </c>
      <c r="R84">
        <v>158.85111111105653</v>
      </c>
      <c r="S84">
        <f>VLOOKUP(F84,'VALORES DIST'!$A$3:$B$27,2,TRUE)</f>
        <v>11816.268749999999</v>
      </c>
    </row>
    <row r="85" spans="1:19" x14ac:dyDescent="0.25">
      <c r="A85">
        <v>900014111</v>
      </c>
      <c r="B85" t="s">
        <v>7400</v>
      </c>
      <c r="C85" t="s">
        <v>7905</v>
      </c>
      <c r="D85" t="s">
        <v>7906</v>
      </c>
      <c r="E85">
        <v>29</v>
      </c>
      <c r="F85">
        <v>0.52100000000000002</v>
      </c>
      <c r="G85" t="s">
        <v>7509</v>
      </c>
      <c r="H85">
        <v>0</v>
      </c>
      <c r="I85" t="s">
        <v>7907</v>
      </c>
      <c r="J85" t="s">
        <v>7908</v>
      </c>
      <c r="K85">
        <v>1</v>
      </c>
      <c r="L85" s="189">
        <v>45314</v>
      </c>
      <c r="M85" t="s">
        <v>7764</v>
      </c>
      <c r="N85" t="s">
        <v>7765</v>
      </c>
      <c r="O85">
        <v>-33.301726700000003</v>
      </c>
      <c r="P85">
        <v>-66.337752199999997</v>
      </c>
      <c r="Q85">
        <v>45307.381157407406</v>
      </c>
      <c r="R85">
        <v>158.85222222225275</v>
      </c>
      <c r="S85">
        <f>VLOOKUP(F85,'VALORES DIST'!$A$3:$B$27,2,TRUE)</f>
        <v>11816.268749999999</v>
      </c>
    </row>
    <row r="86" spans="1:19" x14ac:dyDescent="0.25">
      <c r="A86">
        <v>900014131</v>
      </c>
      <c r="B86" t="s">
        <v>6984</v>
      </c>
      <c r="C86" t="s">
        <v>7909</v>
      </c>
      <c r="D86" t="s">
        <v>7794</v>
      </c>
      <c r="E86">
        <v>38</v>
      </c>
      <c r="F86">
        <v>0.11799999999999999</v>
      </c>
      <c r="G86" t="s">
        <v>7509</v>
      </c>
      <c r="H86">
        <v>0</v>
      </c>
      <c r="I86" t="s">
        <v>7805</v>
      </c>
      <c r="J86">
        <v>0</v>
      </c>
      <c r="K86">
        <v>1</v>
      </c>
      <c r="L86" s="189">
        <v>45314</v>
      </c>
      <c r="M86" t="s">
        <v>7764</v>
      </c>
      <c r="N86" t="s">
        <v>7765</v>
      </c>
      <c r="O86">
        <v>-34.589246899999999</v>
      </c>
      <c r="P86">
        <v>-58.393886600000002</v>
      </c>
      <c r="Q86">
        <v>45307.381203703706</v>
      </c>
      <c r="R86">
        <v>158.85111111105653</v>
      </c>
      <c r="S86">
        <f>VLOOKUP(F86,'VALORES DIST'!$A$3:$B$27,2,TRUE)</f>
        <v>11816.268749999999</v>
      </c>
    </row>
    <row r="87" spans="1:19" x14ac:dyDescent="0.25">
      <c r="A87">
        <v>900014125</v>
      </c>
      <c r="B87" t="s">
        <v>7395</v>
      </c>
      <c r="C87" t="s">
        <v>7910</v>
      </c>
      <c r="D87" t="s">
        <v>7794</v>
      </c>
      <c r="E87">
        <v>39</v>
      </c>
      <c r="F87">
        <v>8.1000000000000003E-2</v>
      </c>
      <c r="G87" t="s">
        <v>7509</v>
      </c>
      <c r="H87">
        <v>0</v>
      </c>
      <c r="I87" t="s">
        <v>7805</v>
      </c>
      <c r="J87" t="s">
        <v>7911</v>
      </c>
      <c r="K87">
        <v>1</v>
      </c>
      <c r="L87" s="189">
        <v>45314</v>
      </c>
      <c r="M87" t="s">
        <v>7764</v>
      </c>
      <c r="N87" t="s">
        <v>7765</v>
      </c>
      <c r="O87">
        <v>-34.603684399999999</v>
      </c>
      <c r="P87">
        <v>-58.381559099999997</v>
      </c>
      <c r="Q87">
        <v>45307.381203703706</v>
      </c>
      <c r="R87">
        <v>158.85111111105653</v>
      </c>
      <c r="S87">
        <f>VLOOKUP(F87,'VALORES DIST'!$A$3:$B$27,2,TRUE)</f>
        <v>11816.268749999999</v>
      </c>
    </row>
    <row r="88" spans="1:19" x14ac:dyDescent="0.25">
      <c r="A88">
        <v>900014133</v>
      </c>
      <c r="B88" t="s">
        <v>6986</v>
      </c>
      <c r="C88" t="s">
        <v>7912</v>
      </c>
      <c r="D88" t="s">
        <v>7794</v>
      </c>
      <c r="E88">
        <v>44</v>
      </c>
      <c r="F88">
        <v>0.124</v>
      </c>
      <c r="G88" t="s">
        <v>7509</v>
      </c>
      <c r="H88">
        <v>0</v>
      </c>
      <c r="I88" t="s">
        <v>7805</v>
      </c>
      <c r="J88">
        <v>0</v>
      </c>
      <c r="K88">
        <v>1</v>
      </c>
      <c r="L88" s="189">
        <v>45314</v>
      </c>
      <c r="M88" t="s">
        <v>7764</v>
      </c>
      <c r="N88" t="s">
        <v>7765</v>
      </c>
      <c r="O88">
        <v>-34.609935900000004</v>
      </c>
      <c r="P88">
        <v>-58.362954600000002</v>
      </c>
      <c r="Q88">
        <v>45307.381203703706</v>
      </c>
      <c r="R88">
        <v>158.85111111105653</v>
      </c>
      <c r="S88">
        <f>VLOOKUP(F88,'VALORES DIST'!$A$3:$B$27,2,TRUE)</f>
        <v>11816.268749999999</v>
      </c>
    </row>
    <row r="89" spans="1:19" x14ac:dyDescent="0.25">
      <c r="A89">
        <v>50500000735</v>
      </c>
      <c r="B89" t="s">
        <v>7157</v>
      </c>
      <c r="C89" t="s">
        <v>7793</v>
      </c>
      <c r="D89" t="s">
        <v>7794</v>
      </c>
      <c r="E89">
        <v>205</v>
      </c>
      <c r="F89">
        <v>5.2939999999999996</v>
      </c>
      <c r="G89" t="s">
        <v>7509</v>
      </c>
      <c r="H89">
        <v>0</v>
      </c>
      <c r="I89" t="s">
        <v>7795</v>
      </c>
      <c r="J89" t="s">
        <v>7796</v>
      </c>
      <c r="K89">
        <v>1</v>
      </c>
      <c r="L89" s="189">
        <v>45314</v>
      </c>
      <c r="M89" t="s">
        <v>7764</v>
      </c>
      <c r="N89" t="s">
        <v>7765</v>
      </c>
      <c r="O89">
        <v>-34.606275099999998</v>
      </c>
      <c r="P89">
        <v>-58.485909499999998</v>
      </c>
      <c r="Q89">
        <v>45307.381215277775</v>
      </c>
      <c r="R89">
        <v>158.85083333338844</v>
      </c>
      <c r="S89">
        <f>VLOOKUP(F89,'VALORES DIST'!$A$3:$B$27,2,TRUE)</f>
        <v>45297.28125</v>
      </c>
    </row>
    <row r="90" spans="1:19" x14ac:dyDescent="0.25">
      <c r="A90">
        <v>900014121</v>
      </c>
      <c r="B90" t="s">
        <v>7346</v>
      </c>
      <c r="C90" t="s">
        <v>7858</v>
      </c>
      <c r="D90" t="s">
        <v>7859</v>
      </c>
      <c r="E90">
        <v>218</v>
      </c>
      <c r="F90">
        <v>1.3260000000000001</v>
      </c>
      <c r="G90" t="s">
        <v>7509</v>
      </c>
      <c r="H90">
        <v>0</v>
      </c>
      <c r="I90" t="s">
        <v>7805</v>
      </c>
      <c r="J90">
        <v>0</v>
      </c>
      <c r="K90">
        <v>2</v>
      </c>
      <c r="L90" s="189">
        <v>45315</v>
      </c>
      <c r="M90" t="s">
        <v>7764</v>
      </c>
      <c r="N90" t="s">
        <v>7765</v>
      </c>
      <c r="O90">
        <v>-34.3999357</v>
      </c>
      <c r="P90">
        <v>-58.654762599999998</v>
      </c>
      <c r="Q90">
        <v>45307.381192129629</v>
      </c>
      <c r="R90">
        <v>182.85138888889924</v>
      </c>
      <c r="S90">
        <f>VLOOKUP(F90,'VALORES DIST'!$A$3:$B$27,2,TRUE)</f>
        <v>11816.268749999999</v>
      </c>
    </row>
    <row r="91" spans="1:19" x14ac:dyDescent="0.25">
      <c r="A91">
        <v>900014122</v>
      </c>
      <c r="B91" t="s">
        <v>7346</v>
      </c>
      <c r="C91" t="s">
        <v>7858</v>
      </c>
      <c r="D91" t="s">
        <v>7859</v>
      </c>
      <c r="E91">
        <v>316</v>
      </c>
      <c r="F91">
        <v>1.5144</v>
      </c>
      <c r="G91" t="s">
        <v>7509</v>
      </c>
      <c r="H91">
        <v>0</v>
      </c>
      <c r="I91" t="s">
        <v>7805</v>
      </c>
      <c r="J91">
        <v>0</v>
      </c>
      <c r="K91">
        <v>2</v>
      </c>
      <c r="L91" s="189">
        <v>45315</v>
      </c>
      <c r="M91" t="s">
        <v>7764</v>
      </c>
      <c r="N91" t="s">
        <v>7765</v>
      </c>
      <c r="O91">
        <v>-34.3999357</v>
      </c>
      <c r="P91">
        <v>-58.654762599999998</v>
      </c>
      <c r="Q91">
        <v>45307.381192129629</v>
      </c>
      <c r="R91">
        <v>182.85138888889924</v>
      </c>
      <c r="S91">
        <f>VLOOKUP(F91,'VALORES DIST'!$A$3:$B$27,2,TRUE)</f>
        <v>11816.268749999999</v>
      </c>
    </row>
    <row r="92" spans="1:19" x14ac:dyDescent="0.25">
      <c r="A92">
        <v>900014119</v>
      </c>
      <c r="B92" t="s">
        <v>7253</v>
      </c>
      <c r="C92" t="s">
        <v>7856</v>
      </c>
      <c r="D92" t="s">
        <v>7857</v>
      </c>
      <c r="E92">
        <v>212</v>
      </c>
      <c r="F92">
        <v>1.32</v>
      </c>
      <c r="G92" t="s">
        <v>7509</v>
      </c>
      <c r="H92">
        <v>0</v>
      </c>
      <c r="I92" t="s">
        <v>7805</v>
      </c>
      <c r="J92">
        <v>0</v>
      </c>
      <c r="K92">
        <v>1</v>
      </c>
      <c r="L92" s="189">
        <v>45315</v>
      </c>
      <c r="M92" t="s">
        <v>7764</v>
      </c>
      <c r="N92" t="s">
        <v>7765</v>
      </c>
      <c r="O92">
        <v>-34.436028899999997</v>
      </c>
      <c r="P92">
        <v>-58.807999299999999</v>
      </c>
      <c r="Q92">
        <v>45307.381180555552</v>
      </c>
      <c r="R92">
        <v>182.85166666674195</v>
      </c>
      <c r="S92">
        <f>VLOOKUP(F92,'VALORES DIST'!$A$3:$B$27,2,TRUE)</f>
        <v>11816.268749999999</v>
      </c>
    </row>
    <row r="93" spans="1:19" x14ac:dyDescent="0.25">
      <c r="A93">
        <v>900014120</v>
      </c>
      <c r="B93" t="s">
        <v>7253</v>
      </c>
      <c r="C93" t="s">
        <v>7856</v>
      </c>
      <c r="D93" t="s">
        <v>7857</v>
      </c>
      <c r="E93">
        <v>316</v>
      </c>
      <c r="F93">
        <v>1.5144</v>
      </c>
      <c r="G93" t="s">
        <v>7509</v>
      </c>
      <c r="H93">
        <v>0</v>
      </c>
      <c r="I93" t="s">
        <v>7805</v>
      </c>
      <c r="J93">
        <v>0</v>
      </c>
      <c r="K93">
        <v>1</v>
      </c>
      <c r="L93" s="189">
        <v>45315</v>
      </c>
      <c r="M93" t="s">
        <v>7764</v>
      </c>
      <c r="N93" t="s">
        <v>7765</v>
      </c>
      <c r="O93">
        <v>-34.436028899999997</v>
      </c>
      <c r="P93">
        <v>-58.807999299999999</v>
      </c>
      <c r="Q93">
        <v>45307.381192129629</v>
      </c>
      <c r="R93">
        <v>182.85138888889924</v>
      </c>
      <c r="S93">
        <f>VLOOKUP(F93,'VALORES DIST'!$A$3:$B$27,2,TRUE)</f>
        <v>11816.268749999999</v>
      </c>
    </row>
    <row r="94" spans="1:19" x14ac:dyDescent="0.25">
      <c r="A94">
        <v>900014117</v>
      </c>
      <c r="B94" t="s">
        <v>7252</v>
      </c>
      <c r="C94" t="s">
        <v>7854</v>
      </c>
      <c r="D94" t="s">
        <v>7855</v>
      </c>
      <c r="E94">
        <v>224</v>
      </c>
      <c r="F94">
        <v>1.4039999999999999</v>
      </c>
      <c r="G94" t="s">
        <v>7509</v>
      </c>
      <c r="H94">
        <v>0</v>
      </c>
      <c r="I94" t="s">
        <v>7805</v>
      </c>
      <c r="J94">
        <v>0</v>
      </c>
      <c r="K94">
        <v>1</v>
      </c>
      <c r="L94" s="189">
        <v>45315</v>
      </c>
      <c r="M94" t="s">
        <v>7764</v>
      </c>
      <c r="N94" t="s">
        <v>7765</v>
      </c>
      <c r="O94">
        <v>-34.527763399999998</v>
      </c>
      <c r="P94">
        <v>-58.499718199999997</v>
      </c>
      <c r="Q94">
        <v>45307.381180555552</v>
      </c>
      <c r="R94">
        <v>182.85166666674195</v>
      </c>
      <c r="S94">
        <f>VLOOKUP(F94,'VALORES DIST'!$A$3:$B$27,2,TRUE)</f>
        <v>11816.268749999999</v>
      </c>
    </row>
    <row r="95" spans="1:19" x14ac:dyDescent="0.25">
      <c r="A95">
        <v>900014118</v>
      </c>
      <c r="B95" t="s">
        <v>7252</v>
      </c>
      <c r="C95" t="s">
        <v>7854</v>
      </c>
      <c r="D95" t="s">
        <v>7855</v>
      </c>
      <c r="E95">
        <v>316</v>
      </c>
      <c r="F95">
        <v>1.5144</v>
      </c>
      <c r="G95" t="s">
        <v>7509</v>
      </c>
      <c r="H95">
        <v>0</v>
      </c>
      <c r="I95" t="s">
        <v>7805</v>
      </c>
      <c r="J95">
        <v>0</v>
      </c>
      <c r="K95">
        <v>1</v>
      </c>
      <c r="L95" s="189">
        <v>45315</v>
      </c>
      <c r="M95" t="s">
        <v>7764</v>
      </c>
      <c r="N95" t="s">
        <v>7765</v>
      </c>
      <c r="O95">
        <v>-34.527763399999998</v>
      </c>
      <c r="P95">
        <v>-58.499718199999997</v>
      </c>
      <c r="Q95">
        <v>45307.381180555552</v>
      </c>
      <c r="R95">
        <v>182.85166666674195</v>
      </c>
      <c r="S95">
        <f>VLOOKUP(F95,'VALORES DIST'!$A$3:$B$27,2,TRUE)</f>
        <v>11816.268749999999</v>
      </c>
    </row>
    <row r="96" spans="1:19" x14ac:dyDescent="0.25">
      <c r="A96">
        <v>900014108</v>
      </c>
      <c r="B96" t="s">
        <v>7247</v>
      </c>
      <c r="C96" t="s">
        <v>7913</v>
      </c>
      <c r="D96" t="s">
        <v>7914</v>
      </c>
      <c r="E96">
        <v>16</v>
      </c>
      <c r="F96">
        <v>0.34399999999999997</v>
      </c>
      <c r="G96" t="s">
        <v>7509</v>
      </c>
      <c r="H96">
        <v>0</v>
      </c>
      <c r="I96" t="s">
        <v>7805</v>
      </c>
      <c r="J96">
        <v>0</v>
      </c>
      <c r="K96">
        <v>1</v>
      </c>
      <c r="L96" s="189">
        <v>45315</v>
      </c>
      <c r="M96" t="s">
        <v>7764</v>
      </c>
      <c r="N96" t="s">
        <v>7765</v>
      </c>
      <c r="O96">
        <v>-34.489162800000003</v>
      </c>
      <c r="P96">
        <v>-58.499683400000002</v>
      </c>
      <c r="Q96">
        <v>45307.381157407406</v>
      </c>
      <c r="R96">
        <v>182.85222222225275</v>
      </c>
      <c r="S96">
        <f>VLOOKUP(F96,'VALORES DIST'!$A$3:$B$27,2,TRUE)</f>
        <v>11816.268749999999</v>
      </c>
    </row>
    <row r="97" spans="1:19" x14ac:dyDescent="0.25">
      <c r="A97">
        <v>900014109</v>
      </c>
      <c r="B97" t="s">
        <v>6975</v>
      </c>
      <c r="C97" t="s">
        <v>7915</v>
      </c>
      <c r="D97" t="s">
        <v>7863</v>
      </c>
      <c r="E97">
        <v>51</v>
      </c>
      <c r="F97">
        <v>0.73799999999999999</v>
      </c>
      <c r="G97" t="s">
        <v>7509</v>
      </c>
      <c r="H97">
        <v>0</v>
      </c>
      <c r="I97" t="s">
        <v>7805</v>
      </c>
      <c r="J97">
        <v>0</v>
      </c>
      <c r="K97">
        <v>1</v>
      </c>
      <c r="L97" s="189">
        <v>45315</v>
      </c>
      <c r="M97" t="s">
        <v>7764</v>
      </c>
      <c r="N97" t="s">
        <v>7765</v>
      </c>
      <c r="O97">
        <v>-34.515901999999997</v>
      </c>
      <c r="P97">
        <v>-58.723560499999998</v>
      </c>
      <c r="Q97">
        <v>45307.381157407406</v>
      </c>
      <c r="R97">
        <v>182.85222222225275</v>
      </c>
      <c r="S97">
        <f>VLOOKUP(F97,'VALORES DIST'!$A$3:$B$27,2,TRUE)</f>
        <v>11816.268749999999</v>
      </c>
    </row>
    <row r="98" spans="1:19" x14ac:dyDescent="0.25">
      <c r="A98">
        <v>900014172</v>
      </c>
      <c r="B98" t="s">
        <v>7003</v>
      </c>
      <c r="C98" t="s">
        <v>7916</v>
      </c>
      <c r="D98" t="s">
        <v>7917</v>
      </c>
      <c r="E98">
        <v>276</v>
      </c>
      <c r="F98">
        <v>1.2791999999999999</v>
      </c>
      <c r="G98" t="s">
        <v>7509</v>
      </c>
      <c r="H98">
        <v>0</v>
      </c>
      <c r="I98" t="s">
        <v>7918</v>
      </c>
      <c r="J98" t="s">
        <v>7919</v>
      </c>
      <c r="K98">
        <v>1</v>
      </c>
      <c r="L98" s="189">
        <v>45316</v>
      </c>
      <c r="M98" t="s">
        <v>7764</v>
      </c>
      <c r="N98" t="s">
        <v>7765</v>
      </c>
      <c r="O98">
        <v>-34.866941199999999</v>
      </c>
      <c r="P98">
        <v>-58.042709700000003</v>
      </c>
      <c r="Q98">
        <v>45315.320451388892</v>
      </c>
      <c r="R98">
        <v>16.309166666585952</v>
      </c>
      <c r="S98">
        <f>VLOOKUP(F98,'VALORES DIST'!$A$3:$B$27,2,TRUE)</f>
        <v>11816.268749999999</v>
      </c>
    </row>
    <row r="99" spans="1:19" x14ac:dyDescent="0.25">
      <c r="A99">
        <v>900014173</v>
      </c>
      <c r="B99" t="s">
        <v>7003</v>
      </c>
      <c r="C99" t="s">
        <v>7916</v>
      </c>
      <c r="D99" t="s">
        <v>7917</v>
      </c>
      <c r="E99">
        <v>16</v>
      </c>
      <c r="F99">
        <v>0.108</v>
      </c>
      <c r="G99" t="s">
        <v>7509</v>
      </c>
      <c r="H99">
        <v>0</v>
      </c>
      <c r="I99" t="s">
        <v>7918</v>
      </c>
      <c r="J99" t="s">
        <v>7919</v>
      </c>
      <c r="K99">
        <v>1</v>
      </c>
      <c r="L99" s="189">
        <v>45316</v>
      </c>
      <c r="M99" t="s">
        <v>7764</v>
      </c>
      <c r="N99" t="s">
        <v>7765</v>
      </c>
      <c r="O99">
        <v>-34.866941199999999</v>
      </c>
      <c r="P99">
        <v>-58.042709700000003</v>
      </c>
      <c r="Q99">
        <v>45315.320451388892</v>
      </c>
      <c r="R99">
        <v>16.309166666585952</v>
      </c>
      <c r="S99">
        <f>VLOOKUP(F99,'VALORES DIST'!$A$3:$B$27,2,TRUE)</f>
        <v>11816.268749999999</v>
      </c>
    </row>
    <row r="100" spans="1:19" x14ac:dyDescent="0.25">
      <c r="A100">
        <v>900014185</v>
      </c>
      <c r="B100" t="s">
        <v>7920</v>
      </c>
      <c r="C100" t="s">
        <v>7921</v>
      </c>
      <c r="D100" t="s">
        <v>7922</v>
      </c>
      <c r="E100">
        <v>258</v>
      </c>
      <c r="F100">
        <v>0.26400000000000001</v>
      </c>
      <c r="G100" t="s">
        <v>7509</v>
      </c>
      <c r="H100">
        <v>0</v>
      </c>
      <c r="I100" t="s">
        <v>7805</v>
      </c>
      <c r="J100">
        <v>0</v>
      </c>
      <c r="K100">
        <v>3</v>
      </c>
      <c r="L100" s="189">
        <v>45316</v>
      </c>
      <c r="M100" t="s">
        <v>7764</v>
      </c>
      <c r="N100" t="s">
        <v>7765</v>
      </c>
      <c r="O100">
        <v>-34.781371</v>
      </c>
      <c r="P100">
        <v>-58.313514699999999</v>
      </c>
      <c r="Q100">
        <v>45315.320462962962</v>
      </c>
      <c r="R100">
        <v>16.308888888917863</v>
      </c>
      <c r="S100">
        <f>VLOOKUP(F100,'VALORES DIST'!$A$3:$B$27,2,TRUE)</f>
        <v>11816.268749999999</v>
      </c>
    </row>
    <row r="101" spans="1:19" x14ac:dyDescent="0.25">
      <c r="A101">
        <v>900014167</v>
      </c>
      <c r="B101" t="s">
        <v>7200</v>
      </c>
      <c r="C101" t="s">
        <v>7923</v>
      </c>
      <c r="D101" t="s">
        <v>7848</v>
      </c>
      <c r="E101">
        <v>100</v>
      </c>
      <c r="F101">
        <v>0.34599999999999997</v>
      </c>
      <c r="G101" t="s">
        <v>7509</v>
      </c>
      <c r="H101">
        <v>0</v>
      </c>
      <c r="I101" t="s">
        <v>7805</v>
      </c>
      <c r="J101">
        <v>0</v>
      </c>
      <c r="K101">
        <v>3</v>
      </c>
      <c r="L101" s="189">
        <v>45316</v>
      </c>
      <c r="M101" t="s">
        <v>7764</v>
      </c>
      <c r="N101" t="s">
        <v>7765</v>
      </c>
      <c r="O101">
        <v>-34.758042199999998</v>
      </c>
      <c r="P101">
        <v>-58.279608000000003</v>
      </c>
      <c r="Q101">
        <v>45315.320439814815</v>
      </c>
      <c r="R101">
        <v>16.309444444428664</v>
      </c>
      <c r="S101">
        <f>VLOOKUP(F101,'VALORES DIST'!$A$3:$B$27,2,TRUE)</f>
        <v>11816.268749999999</v>
      </c>
    </row>
    <row r="102" spans="1:19" x14ac:dyDescent="0.25">
      <c r="A102">
        <v>800008437</v>
      </c>
      <c r="B102" t="s">
        <v>7186</v>
      </c>
      <c r="C102" t="s">
        <v>7847</v>
      </c>
      <c r="D102" t="s">
        <v>7848</v>
      </c>
      <c r="E102">
        <v>97</v>
      </c>
      <c r="F102">
        <v>4.3920000000000003</v>
      </c>
      <c r="G102" t="s">
        <v>7509</v>
      </c>
      <c r="H102">
        <v>0</v>
      </c>
      <c r="I102" t="s">
        <v>7805</v>
      </c>
      <c r="J102">
        <v>0</v>
      </c>
      <c r="K102">
        <v>3</v>
      </c>
      <c r="L102" s="189">
        <v>45316</v>
      </c>
      <c r="M102" t="s">
        <v>7764</v>
      </c>
      <c r="N102" t="s">
        <v>7765</v>
      </c>
      <c r="O102">
        <v>-34.722945199999998</v>
      </c>
      <c r="P102">
        <v>-58.258703699999998</v>
      </c>
      <c r="Q102">
        <v>45302.524062500001</v>
      </c>
      <c r="R102">
        <v>323.42249999998603</v>
      </c>
      <c r="S102">
        <f>VLOOKUP(F102,'VALORES DIST'!$A$3:$B$27,2,TRUE)</f>
        <v>13787.231250000001</v>
      </c>
    </row>
    <row r="103" spans="1:19" x14ac:dyDescent="0.25">
      <c r="A103">
        <v>900014181</v>
      </c>
      <c r="B103" t="s">
        <v>7394</v>
      </c>
      <c r="C103" t="s">
        <v>7924</v>
      </c>
      <c r="D103" t="s">
        <v>7925</v>
      </c>
      <c r="E103">
        <v>121</v>
      </c>
      <c r="F103">
        <v>1.304</v>
      </c>
      <c r="G103" t="s">
        <v>7509</v>
      </c>
      <c r="H103">
        <v>0</v>
      </c>
      <c r="I103" t="s">
        <v>7805</v>
      </c>
      <c r="J103">
        <v>0</v>
      </c>
      <c r="K103">
        <v>2</v>
      </c>
      <c r="L103" s="189">
        <v>45316</v>
      </c>
      <c r="M103" t="s">
        <v>7764</v>
      </c>
      <c r="N103" t="s">
        <v>7765</v>
      </c>
      <c r="O103">
        <v>-34.759341599999999</v>
      </c>
      <c r="P103">
        <v>-58.398500900000002</v>
      </c>
      <c r="Q103">
        <v>45315.320462962962</v>
      </c>
      <c r="R103">
        <v>16.308888888917863</v>
      </c>
      <c r="S103">
        <f>VLOOKUP(F103,'VALORES DIST'!$A$3:$B$27,2,TRUE)</f>
        <v>11816.268749999999</v>
      </c>
    </row>
    <row r="104" spans="1:19" x14ac:dyDescent="0.25">
      <c r="A104">
        <v>900014170</v>
      </c>
      <c r="B104" t="s">
        <v>7245</v>
      </c>
      <c r="C104" t="s">
        <v>7845</v>
      </c>
      <c r="D104" t="s">
        <v>7846</v>
      </c>
      <c r="E104">
        <v>305</v>
      </c>
      <c r="F104">
        <v>1.3520000000000001</v>
      </c>
      <c r="G104" t="s">
        <v>7509</v>
      </c>
      <c r="H104">
        <v>0</v>
      </c>
      <c r="I104" t="s">
        <v>7805</v>
      </c>
      <c r="J104">
        <v>0</v>
      </c>
      <c r="K104">
        <v>1</v>
      </c>
      <c r="L104" s="189">
        <v>45316</v>
      </c>
      <c r="M104" t="s">
        <v>7764</v>
      </c>
      <c r="N104" t="s">
        <v>7765</v>
      </c>
      <c r="O104">
        <v>-34.709944499999999</v>
      </c>
      <c r="P104">
        <v>-58.3869665</v>
      </c>
      <c r="Q104">
        <v>45315.320439814815</v>
      </c>
      <c r="R104">
        <v>16.309444444428664</v>
      </c>
      <c r="S104">
        <f>VLOOKUP(F104,'VALORES DIST'!$A$3:$B$27,2,TRUE)</f>
        <v>11816.268749999999</v>
      </c>
    </row>
    <row r="105" spans="1:19" x14ac:dyDescent="0.25">
      <c r="A105">
        <v>50500000737</v>
      </c>
      <c r="B105" t="s">
        <v>7199</v>
      </c>
      <c r="C105" t="s">
        <v>7884</v>
      </c>
      <c r="D105" t="s">
        <v>7846</v>
      </c>
      <c r="E105">
        <v>24</v>
      </c>
      <c r="F105">
        <v>0.40799999999999997</v>
      </c>
      <c r="G105" t="s">
        <v>7509</v>
      </c>
      <c r="H105">
        <v>0</v>
      </c>
      <c r="I105" t="s">
        <v>7805</v>
      </c>
      <c r="J105">
        <v>0</v>
      </c>
      <c r="K105">
        <v>1</v>
      </c>
      <c r="L105" s="189">
        <v>45316</v>
      </c>
      <c r="M105" t="s">
        <v>7764</v>
      </c>
      <c r="N105" t="s">
        <v>7926</v>
      </c>
      <c r="O105">
        <v>-34.688305</v>
      </c>
      <c r="P105">
        <v>-58.400648500000003</v>
      </c>
      <c r="Q105">
        <v>45315.320486111108</v>
      </c>
      <c r="R105">
        <v>16.308333333407063</v>
      </c>
      <c r="S105">
        <f>VLOOKUP(F105,'VALORES DIST'!$A$3:$B$27,2,TRUE)</f>
        <v>11816.268749999999</v>
      </c>
    </row>
    <row r="106" spans="1:19" x14ac:dyDescent="0.25">
      <c r="A106">
        <v>34543</v>
      </c>
      <c r="B106" t="s">
        <v>6939</v>
      </c>
      <c r="C106" t="s">
        <v>7927</v>
      </c>
      <c r="D106" t="s">
        <v>7928</v>
      </c>
      <c r="E106">
        <v>26</v>
      </c>
      <c r="F106">
        <v>39</v>
      </c>
      <c r="G106" t="s">
        <v>5141</v>
      </c>
      <c r="H106" t="s">
        <v>7929</v>
      </c>
      <c r="I106" t="s">
        <v>7867</v>
      </c>
      <c r="J106">
        <v>0</v>
      </c>
      <c r="K106">
        <v>2</v>
      </c>
      <c r="L106" s="189">
        <v>45316</v>
      </c>
      <c r="M106" t="s">
        <v>7868</v>
      </c>
      <c r="N106" t="s">
        <v>7765</v>
      </c>
      <c r="O106">
        <v>-34.479624299999998</v>
      </c>
      <c r="P106">
        <v>-58.661138399999999</v>
      </c>
      <c r="S106">
        <f>VLOOKUP(F106,'VALORES DIST'!$A$3:$B$27,2,TRUE)</f>
        <v>194979.52499999999</v>
      </c>
    </row>
    <row r="107" spans="1:19" x14ac:dyDescent="0.25">
      <c r="A107">
        <v>900014168</v>
      </c>
      <c r="B107" t="s">
        <v>7204</v>
      </c>
      <c r="C107" t="s">
        <v>7771</v>
      </c>
      <c r="D107" t="s">
        <v>7772</v>
      </c>
      <c r="E107">
        <v>198</v>
      </c>
      <c r="F107">
        <v>0.18720000000000001</v>
      </c>
      <c r="G107" t="s">
        <v>7509</v>
      </c>
      <c r="H107">
        <v>0</v>
      </c>
      <c r="I107" t="s">
        <v>7773</v>
      </c>
      <c r="J107" t="s">
        <v>7774</v>
      </c>
      <c r="K107">
        <v>1</v>
      </c>
      <c r="L107" s="189">
        <v>45317</v>
      </c>
      <c r="M107" t="s">
        <v>7764</v>
      </c>
      <c r="N107" t="s">
        <v>7765</v>
      </c>
      <c r="O107">
        <v>-34.6525356</v>
      </c>
      <c r="P107">
        <v>-59.423332199999997</v>
      </c>
      <c r="Q107">
        <v>45315.320439814815</v>
      </c>
      <c r="R107">
        <v>40.309444444428664</v>
      </c>
      <c r="S107">
        <f>VLOOKUP(F107,'VALORES DIST'!$A$3:$B$27,2,TRUE)</f>
        <v>11816.268749999999</v>
      </c>
    </row>
    <row r="108" spans="1:19" x14ac:dyDescent="0.25">
      <c r="A108">
        <v>900014182</v>
      </c>
      <c r="B108" t="s">
        <v>7019</v>
      </c>
      <c r="C108" t="s">
        <v>7930</v>
      </c>
      <c r="D108" t="s">
        <v>7931</v>
      </c>
      <c r="E108">
        <v>94</v>
      </c>
      <c r="F108">
        <v>0.24399999999999999</v>
      </c>
      <c r="G108" t="s">
        <v>7509</v>
      </c>
      <c r="H108">
        <v>0</v>
      </c>
      <c r="I108" t="s">
        <v>7932</v>
      </c>
      <c r="J108" t="s">
        <v>7933</v>
      </c>
      <c r="K108">
        <v>1</v>
      </c>
      <c r="L108" s="189">
        <v>45317</v>
      </c>
      <c r="M108" t="s">
        <v>7764</v>
      </c>
      <c r="N108" t="s">
        <v>7765</v>
      </c>
      <c r="O108">
        <v>-31.650077199999998</v>
      </c>
      <c r="P108">
        <v>-60.707554899999998</v>
      </c>
      <c r="Q108">
        <v>45315.320462962962</v>
      </c>
      <c r="R108">
        <v>40.308888888917863</v>
      </c>
      <c r="S108">
        <f>VLOOKUP(F108,'VALORES DIST'!$A$3:$B$27,2,TRUE)</f>
        <v>11816.268749999999</v>
      </c>
    </row>
    <row r="109" spans="1:19" x14ac:dyDescent="0.25">
      <c r="A109">
        <v>900014177</v>
      </c>
      <c r="B109" t="s">
        <v>7272</v>
      </c>
      <c r="C109" t="s">
        <v>7934</v>
      </c>
      <c r="D109" t="s">
        <v>7935</v>
      </c>
      <c r="E109">
        <v>50</v>
      </c>
      <c r="F109">
        <v>1.006</v>
      </c>
      <c r="G109" t="s">
        <v>7509</v>
      </c>
      <c r="H109">
        <v>0</v>
      </c>
      <c r="I109" t="s">
        <v>7936</v>
      </c>
      <c r="J109" t="s">
        <v>7937</v>
      </c>
      <c r="K109">
        <v>1</v>
      </c>
      <c r="L109" s="189">
        <v>45317</v>
      </c>
      <c r="M109" t="s">
        <v>7764</v>
      </c>
      <c r="N109" t="s">
        <v>7765</v>
      </c>
      <c r="O109">
        <v>-37.974298099999999</v>
      </c>
      <c r="P109">
        <v>-57.551523299999999</v>
      </c>
      <c r="Q109">
        <v>45315.320462962962</v>
      </c>
      <c r="R109">
        <v>40.308888888917863</v>
      </c>
      <c r="S109">
        <f>VLOOKUP(F109,'VALORES DIST'!$A$3:$B$27,2,TRUE)</f>
        <v>11816.268749999999</v>
      </c>
    </row>
    <row r="110" spans="1:19" x14ac:dyDescent="0.25">
      <c r="A110">
        <v>900014180</v>
      </c>
      <c r="B110" t="s">
        <v>7938</v>
      </c>
      <c r="C110" t="s">
        <v>7939</v>
      </c>
      <c r="D110" t="s">
        <v>7940</v>
      </c>
      <c r="E110">
        <v>85</v>
      </c>
      <c r="F110">
        <v>0.1512</v>
      </c>
      <c r="G110" t="s">
        <v>7509</v>
      </c>
      <c r="H110">
        <v>0</v>
      </c>
      <c r="I110" t="s">
        <v>7941</v>
      </c>
      <c r="J110" t="s">
        <v>7942</v>
      </c>
      <c r="K110">
        <v>1</v>
      </c>
      <c r="L110" s="189">
        <v>45317</v>
      </c>
      <c r="M110" t="s">
        <v>7764</v>
      </c>
      <c r="N110" t="s">
        <v>7765</v>
      </c>
      <c r="O110">
        <v>-24.782126900000002</v>
      </c>
      <c r="P110">
        <v>-65.423197599999995</v>
      </c>
      <c r="Q110">
        <v>45315.320462962962</v>
      </c>
      <c r="R110">
        <v>40.308888888917863</v>
      </c>
      <c r="S110">
        <f>VLOOKUP(F110,'VALORES DIST'!$A$3:$B$27,2,TRUE)</f>
        <v>11816.268749999999</v>
      </c>
    </row>
    <row r="111" spans="1:19" x14ac:dyDescent="0.25">
      <c r="A111">
        <v>900014188</v>
      </c>
      <c r="B111" t="s">
        <v>6931</v>
      </c>
      <c r="C111" t="s">
        <v>7834</v>
      </c>
      <c r="D111" t="s">
        <v>7786</v>
      </c>
      <c r="E111">
        <v>54</v>
      </c>
      <c r="F111">
        <v>0.06</v>
      </c>
      <c r="G111" t="s">
        <v>7509</v>
      </c>
      <c r="H111">
        <v>0</v>
      </c>
      <c r="I111" t="s">
        <v>7835</v>
      </c>
      <c r="J111" t="s">
        <v>7836</v>
      </c>
      <c r="K111">
        <v>1</v>
      </c>
      <c r="L111" s="189">
        <v>45317</v>
      </c>
      <c r="M111" t="s">
        <v>7764</v>
      </c>
      <c r="N111" t="s">
        <v>7765</v>
      </c>
      <c r="O111">
        <v>-42.765600599999999</v>
      </c>
      <c r="P111">
        <v>-65.035136800000004</v>
      </c>
      <c r="Q111">
        <v>45315.320474537039</v>
      </c>
      <c r="R111">
        <v>40.308611111075152</v>
      </c>
      <c r="S111">
        <f>VLOOKUP(F111,'VALORES DIST'!$A$3:$B$27,2,TRUE)</f>
        <v>11816.268749999999</v>
      </c>
    </row>
    <row r="112" spans="1:19" x14ac:dyDescent="0.25">
      <c r="A112">
        <v>900014189</v>
      </c>
      <c r="B112" t="s">
        <v>7166</v>
      </c>
      <c r="C112" t="s">
        <v>7943</v>
      </c>
      <c r="D112" t="s">
        <v>7777</v>
      </c>
      <c r="E112">
        <v>106</v>
      </c>
      <c r="F112">
        <v>0.38600000000000001</v>
      </c>
      <c r="G112" t="s">
        <v>7509</v>
      </c>
      <c r="H112">
        <v>0</v>
      </c>
      <c r="I112" t="s">
        <v>7944</v>
      </c>
      <c r="J112" t="s">
        <v>7945</v>
      </c>
      <c r="K112">
        <v>1</v>
      </c>
      <c r="L112" s="189">
        <v>45317</v>
      </c>
      <c r="M112" t="s">
        <v>7764</v>
      </c>
      <c r="N112" t="s">
        <v>7765</v>
      </c>
      <c r="O112">
        <v>-31.535107400000001</v>
      </c>
      <c r="P112">
        <v>-68.538594099999997</v>
      </c>
      <c r="Q112">
        <v>45315.320474537039</v>
      </c>
      <c r="R112">
        <v>40.308611111075152</v>
      </c>
      <c r="S112">
        <f>VLOOKUP(F112,'VALORES DIST'!$A$3:$B$27,2,TRUE)</f>
        <v>11816.268749999999</v>
      </c>
    </row>
    <row r="113" spans="1:19" x14ac:dyDescent="0.25">
      <c r="A113">
        <v>900014183</v>
      </c>
      <c r="B113" t="s">
        <v>3450</v>
      </c>
      <c r="C113" t="s">
        <v>7804</v>
      </c>
      <c r="D113" t="s">
        <v>7794</v>
      </c>
      <c r="E113">
        <v>58</v>
      </c>
      <c r="F113">
        <v>1.77</v>
      </c>
      <c r="G113" t="s">
        <v>7509</v>
      </c>
      <c r="H113">
        <v>0</v>
      </c>
      <c r="I113" t="s">
        <v>7805</v>
      </c>
      <c r="J113">
        <v>0</v>
      </c>
      <c r="K113">
        <v>1</v>
      </c>
      <c r="L113" s="189">
        <v>45317</v>
      </c>
      <c r="M113" t="s">
        <v>7764</v>
      </c>
      <c r="N113" t="s">
        <v>7765</v>
      </c>
      <c r="O113">
        <v>-34.608005900000002</v>
      </c>
      <c r="P113">
        <v>-58.4625299</v>
      </c>
      <c r="Q113">
        <v>45315.320462962962</v>
      </c>
      <c r="R113">
        <v>40.308888888917863</v>
      </c>
      <c r="S113">
        <f>VLOOKUP(F113,'VALORES DIST'!$A$3:$B$27,2,TRUE)</f>
        <v>11816.268749999999</v>
      </c>
    </row>
    <row r="114" spans="1:19" x14ac:dyDescent="0.25">
      <c r="A114">
        <v>900014176</v>
      </c>
      <c r="B114" t="s">
        <v>7345</v>
      </c>
      <c r="C114" t="s">
        <v>7841</v>
      </c>
      <c r="D114" t="s">
        <v>7794</v>
      </c>
      <c r="E114">
        <v>1584</v>
      </c>
      <c r="F114">
        <v>3.36</v>
      </c>
      <c r="G114" t="s">
        <v>7509</v>
      </c>
      <c r="H114">
        <v>0</v>
      </c>
      <c r="I114" t="s">
        <v>7805</v>
      </c>
      <c r="J114" t="s">
        <v>7711</v>
      </c>
      <c r="K114">
        <v>1</v>
      </c>
      <c r="L114" s="189">
        <v>45317</v>
      </c>
      <c r="M114" t="s">
        <v>7764</v>
      </c>
      <c r="N114" t="s">
        <v>7765</v>
      </c>
      <c r="O114">
        <v>-34.608005900000002</v>
      </c>
      <c r="P114">
        <v>-58.4625299</v>
      </c>
      <c r="Q114">
        <v>45315.320451388892</v>
      </c>
      <c r="R114">
        <v>40.309166666585952</v>
      </c>
      <c r="S114">
        <f>VLOOKUP(F114,'VALORES DIST'!$A$3:$B$27,2,TRUE)</f>
        <v>13787.231250000001</v>
      </c>
    </row>
    <row r="115" spans="1:19" x14ac:dyDescent="0.25">
      <c r="A115">
        <v>900014174</v>
      </c>
      <c r="B115" t="s">
        <v>6968</v>
      </c>
      <c r="C115" t="s">
        <v>7874</v>
      </c>
      <c r="D115" t="s">
        <v>7794</v>
      </c>
      <c r="E115">
        <v>120</v>
      </c>
      <c r="F115">
        <v>3.72</v>
      </c>
      <c r="G115" t="s">
        <v>7509</v>
      </c>
      <c r="H115">
        <v>0</v>
      </c>
      <c r="I115" t="s">
        <v>7805</v>
      </c>
      <c r="J115">
        <v>0</v>
      </c>
      <c r="K115">
        <v>1</v>
      </c>
      <c r="L115" s="189">
        <v>45317</v>
      </c>
      <c r="M115" t="s">
        <v>7764</v>
      </c>
      <c r="N115" t="s">
        <v>7765</v>
      </c>
      <c r="O115">
        <v>-34.594501899999997</v>
      </c>
      <c r="P115">
        <v>-58.429039899999999</v>
      </c>
      <c r="Q115">
        <v>45315.320451388892</v>
      </c>
      <c r="R115">
        <v>40.309166666585952</v>
      </c>
      <c r="S115">
        <f>VLOOKUP(F115,'VALORES DIST'!$A$3:$B$27,2,TRUE)</f>
        <v>13787.231250000001</v>
      </c>
    </row>
    <row r="116" spans="1:19" x14ac:dyDescent="0.25">
      <c r="A116">
        <v>4000029284</v>
      </c>
      <c r="B116" t="s">
        <v>7184</v>
      </c>
      <c r="C116" t="s">
        <v>7807</v>
      </c>
      <c r="D116" t="s">
        <v>7794</v>
      </c>
      <c r="E116">
        <v>20</v>
      </c>
      <c r="F116">
        <v>1.498</v>
      </c>
      <c r="G116" t="s">
        <v>7509</v>
      </c>
      <c r="H116">
        <v>0</v>
      </c>
      <c r="I116" t="s">
        <v>7805</v>
      </c>
      <c r="J116">
        <v>0</v>
      </c>
      <c r="K116">
        <v>1</v>
      </c>
      <c r="L116" s="189">
        <v>45317</v>
      </c>
      <c r="M116" t="s">
        <v>7764</v>
      </c>
      <c r="N116" t="s">
        <v>7765</v>
      </c>
      <c r="O116">
        <v>-34.608005900000002</v>
      </c>
      <c r="P116">
        <v>-58.4625299</v>
      </c>
      <c r="Q116">
        <v>45315.339594907404</v>
      </c>
      <c r="R116">
        <v>39.849722222308621</v>
      </c>
      <c r="S116">
        <f>VLOOKUP(F116,'VALORES DIST'!$A$3:$B$27,2,TRUE)</f>
        <v>11816.268749999999</v>
      </c>
    </row>
    <row r="117" spans="1:19" x14ac:dyDescent="0.25">
      <c r="A117">
        <v>900014187</v>
      </c>
      <c r="B117" t="s">
        <v>7232</v>
      </c>
      <c r="C117" t="s">
        <v>7946</v>
      </c>
      <c r="D117" t="s">
        <v>7947</v>
      </c>
      <c r="E117">
        <v>0</v>
      </c>
      <c r="F117">
        <v>0</v>
      </c>
      <c r="G117" t="s">
        <v>7509</v>
      </c>
      <c r="H117">
        <v>0</v>
      </c>
      <c r="I117" t="s">
        <v>7805</v>
      </c>
      <c r="J117">
        <v>0</v>
      </c>
      <c r="K117">
        <v>1</v>
      </c>
      <c r="L117" s="189">
        <v>45320</v>
      </c>
      <c r="M117" t="s">
        <v>7764</v>
      </c>
      <c r="N117" t="s">
        <v>7765</v>
      </c>
      <c r="O117">
        <v>-34.679715000000002</v>
      </c>
      <c r="P117">
        <v>-58.5591899</v>
      </c>
      <c r="Q117">
        <v>45315.320474537039</v>
      </c>
      <c r="R117">
        <v>112.30861111107517</v>
      </c>
      <c r="S117">
        <f>VLOOKUP(F117,'VALORES DIST'!$A$3:$B$27,2,TRUE)</f>
        <v>11816.268749999999</v>
      </c>
    </row>
    <row r="118" spans="1:19" x14ac:dyDescent="0.25">
      <c r="A118">
        <v>900014179</v>
      </c>
      <c r="B118" t="s">
        <v>7160</v>
      </c>
      <c r="C118" t="s">
        <v>7885</v>
      </c>
      <c r="D118" t="s">
        <v>7886</v>
      </c>
      <c r="E118">
        <v>24</v>
      </c>
      <c r="F118">
        <v>2.4E-2</v>
      </c>
      <c r="G118" t="s">
        <v>7509</v>
      </c>
      <c r="H118">
        <v>0</v>
      </c>
      <c r="I118" t="s">
        <v>7887</v>
      </c>
      <c r="J118" t="s">
        <v>7888</v>
      </c>
      <c r="K118">
        <v>1</v>
      </c>
      <c r="L118" s="189">
        <v>45320</v>
      </c>
      <c r="M118" t="s">
        <v>7764</v>
      </c>
      <c r="N118" t="s">
        <v>7765</v>
      </c>
      <c r="O118">
        <v>-38.938856000000001</v>
      </c>
      <c r="P118">
        <v>-67.990520000000004</v>
      </c>
      <c r="Q118">
        <v>45315.320462962962</v>
      </c>
      <c r="R118">
        <v>112.30888888891786</v>
      </c>
      <c r="S118">
        <f>VLOOKUP(F118,'VALORES DIST'!$A$3:$B$27,2,TRUE)</f>
        <v>11816.268749999999</v>
      </c>
    </row>
    <row r="119" spans="1:19" x14ac:dyDescent="0.25">
      <c r="A119">
        <v>900014175</v>
      </c>
      <c r="B119" t="s">
        <v>7194</v>
      </c>
      <c r="C119" t="s">
        <v>7948</v>
      </c>
      <c r="D119" t="s">
        <v>7947</v>
      </c>
      <c r="E119">
        <v>34</v>
      </c>
      <c r="F119">
        <v>1.01</v>
      </c>
      <c r="G119" t="s">
        <v>7509</v>
      </c>
      <c r="H119">
        <v>0</v>
      </c>
      <c r="I119" t="s">
        <v>7805</v>
      </c>
      <c r="J119">
        <v>0</v>
      </c>
      <c r="K119">
        <v>1</v>
      </c>
      <c r="L119" s="189">
        <v>45320</v>
      </c>
      <c r="M119" t="s">
        <v>7764</v>
      </c>
      <c r="N119" t="s">
        <v>7765</v>
      </c>
      <c r="O119">
        <v>-34.679913200000001</v>
      </c>
      <c r="P119">
        <v>-58.556100700000002</v>
      </c>
      <c r="Q119">
        <v>45315.320451388892</v>
      </c>
      <c r="R119">
        <v>112.30916666658597</v>
      </c>
      <c r="S119">
        <f>VLOOKUP(F119,'VALORES DIST'!$A$3:$B$27,2,TRUE)</f>
        <v>11816.268749999999</v>
      </c>
    </row>
    <row r="120" spans="1:19" x14ac:dyDescent="0.25">
      <c r="A120">
        <v>900014184</v>
      </c>
      <c r="B120" t="s">
        <v>7231</v>
      </c>
      <c r="C120" t="s">
        <v>7949</v>
      </c>
      <c r="D120" t="s">
        <v>7950</v>
      </c>
      <c r="E120">
        <v>72</v>
      </c>
      <c r="F120">
        <v>7.1999999999999995E-2</v>
      </c>
      <c r="G120" t="s">
        <v>7509</v>
      </c>
      <c r="H120">
        <v>0</v>
      </c>
      <c r="I120" t="s">
        <v>7805</v>
      </c>
      <c r="J120">
        <v>0</v>
      </c>
      <c r="K120">
        <v>1</v>
      </c>
      <c r="L120" s="189">
        <v>45320</v>
      </c>
      <c r="M120" t="s">
        <v>7764</v>
      </c>
      <c r="N120" t="s">
        <v>7765</v>
      </c>
      <c r="O120">
        <v>-34.645503699999999</v>
      </c>
      <c r="P120">
        <v>-58.540489999999998</v>
      </c>
      <c r="Q120">
        <v>45315.320462962962</v>
      </c>
      <c r="R120">
        <v>112.30888888891786</v>
      </c>
      <c r="S120">
        <f>VLOOKUP(F120,'VALORES DIST'!$A$3:$B$27,2,TRUE)</f>
        <v>11816.268749999999</v>
      </c>
    </row>
    <row r="121" spans="1:19" x14ac:dyDescent="0.25">
      <c r="A121">
        <v>900014127</v>
      </c>
      <c r="B121" t="s">
        <v>7330</v>
      </c>
      <c r="C121" t="s">
        <v>7877</v>
      </c>
      <c r="D121" t="s">
        <v>7861</v>
      </c>
      <c r="E121">
        <v>60</v>
      </c>
      <c r="F121">
        <v>7.1999999999999995E-2</v>
      </c>
      <c r="G121" t="s">
        <v>7509</v>
      </c>
      <c r="H121">
        <v>0</v>
      </c>
      <c r="I121" t="s">
        <v>7805</v>
      </c>
      <c r="J121">
        <v>0</v>
      </c>
      <c r="K121">
        <v>1</v>
      </c>
      <c r="L121" s="189">
        <v>45320</v>
      </c>
      <c r="M121" t="s">
        <v>7764</v>
      </c>
      <c r="N121" t="s">
        <v>7765</v>
      </c>
      <c r="O121">
        <v>-34.579084600000002</v>
      </c>
      <c r="P121">
        <v>-58.539176400000002</v>
      </c>
      <c r="Q121">
        <v>45307.381203703706</v>
      </c>
      <c r="R121">
        <v>302.85111111105653</v>
      </c>
      <c r="S121">
        <f>VLOOKUP(F121,'VALORES DIST'!$A$3:$B$27,2,TRUE)</f>
        <v>11816.268749999999</v>
      </c>
    </row>
    <row r="122" spans="1:19" x14ac:dyDescent="0.25">
      <c r="A122">
        <v>900014191</v>
      </c>
      <c r="B122" t="s">
        <v>7050</v>
      </c>
      <c r="C122" t="s">
        <v>7951</v>
      </c>
      <c r="D122" t="s">
        <v>7952</v>
      </c>
      <c r="E122">
        <v>186</v>
      </c>
      <c r="F122">
        <v>0.19800000000000001</v>
      </c>
      <c r="G122" t="s">
        <v>7509</v>
      </c>
      <c r="H122">
        <v>0</v>
      </c>
      <c r="I122" t="s">
        <v>7953</v>
      </c>
      <c r="J122" t="s">
        <v>7954</v>
      </c>
      <c r="K122">
        <v>1</v>
      </c>
      <c r="L122" s="189">
        <v>45320</v>
      </c>
      <c r="M122" t="s">
        <v>7764</v>
      </c>
      <c r="N122" t="s">
        <v>7765</v>
      </c>
      <c r="O122">
        <v>-34.590153000000001</v>
      </c>
      <c r="P122">
        <v>-60.9453022</v>
      </c>
      <c r="Q122">
        <v>45315.320486111108</v>
      </c>
      <c r="R122">
        <v>112.30833333340706</v>
      </c>
      <c r="S122">
        <f>VLOOKUP(F122,'VALORES DIST'!$A$3:$B$27,2,TRUE)</f>
        <v>11816.268749999999</v>
      </c>
    </row>
    <row r="123" spans="1:19" x14ac:dyDescent="0.25">
      <c r="A123">
        <v>50500000738</v>
      </c>
      <c r="B123" t="s">
        <v>7157</v>
      </c>
      <c r="C123" t="s">
        <v>7793</v>
      </c>
      <c r="D123" t="s">
        <v>7794</v>
      </c>
      <c r="E123">
        <v>37</v>
      </c>
      <c r="F123">
        <v>0.23699999999999999</v>
      </c>
      <c r="G123" t="s">
        <v>7509</v>
      </c>
      <c r="H123">
        <v>0</v>
      </c>
      <c r="I123" t="s">
        <v>7795</v>
      </c>
      <c r="J123" t="s">
        <v>7796</v>
      </c>
      <c r="K123">
        <v>1</v>
      </c>
      <c r="L123" s="189">
        <v>45320</v>
      </c>
      <c r="M123" t="s">
        <v>7764</v>
      </c>
      <c r="N123" t="s">
        <v>7765</v>
      </c>
      <c r="O123">
        <v>-34.606275099999998</v>
      </c>
      <c r="P123">
        <v>-58.485909499999998</v>
      </c>
      <c r="Q123">
        <v>45315.320486111108</v>
      </c>
      <c r="R123">
        <v>112.30833333340706</v>
      </c>
      <c r="S123">
        <f>VLOOKUP(F123,'VALORES DIST'!$A$3:$B$27,2,TRUE)</f>
        <v>11816.268749999999</v>
      </c>
    </row>
    <row r="124" spans="1:19" x14ac:dyDescent="0.25">
      <c r="A124">
        <v>900014186</v>
      </c>
      <c r="B124" t="s">
        <v>7347</v>
      </c>
      <c r="C124" t="s">
        <v>7812</v>
      </c>
      <c r="D124" t="s">
        <v>7794</v>
      </c>
      <c r="E124">
        <v>305</v>
      </c>
      <c r="F124">
        <v>1.3520000000000001</v>
      </c>
      <c r="G124" t="s">
        <v>7509</v>
      </c>
      <c r="H124">
        <v>0</v>
      </c>
      <c r="I124" t="s">
        <v>7805</v>
      </c>
      <c r="J124">
        <v>0</v>
      </c>
      <c r="K124">
        <v>1</v>
      </c>
      <c r="L124" s="189">
        <v>45320</v>
      </c>
      <c r="M124" t="s">
        <v>7764</v>
      </c>
      <c r="N124" t="s">
        <v>7765</v>
      </c>
      <c r="O124">
        <v>-34.595432500000001</v>
      </c>
      <c r="P124">
        <v>-58.383589600000001</v>
      </c>
      <c r="Q124">
        <v>45315.320474537039</v>
      </c>
      <c r="R124">
        <v>112.30861111107517</v>
      </c>
      <c r="S124">
        <f>VLOOKUP(F124,'VALORES DIST'!$A$3:$B$27,2,TRUE)</f>
        <v>11816.268749999999</v>
      </c>
    </row>
    <row r="125" spans="1:19" x14ac:dyDescent="0.25">
      <c r="A125">
        <v>900014169</v>
      </c>
      <c r="B125" t="s">
        <v>7175</v>
      </c>
      <c r="C125" t="s">
        <v>7955</v>
      </c>
      <c r="D125" t="s">
        <v>7956</v>
      </c>
      <c r="E125">
        <v>84</v>
      </c>
      <c r="F125">
        <v>0.28000000000000003</v>
      </c>
      <c r="G125" t="s">
        <v>7509</v>
      </c>
      <c r="H125">
        <v>0</v>
      </c>
      <c r="I125" t="s">
        <v>7957</v>
      </c>
      <c r="J125" t="s">
        <v>7958</v>
      </c>
      <c r="K125">
        <v>1</v>
      </c>
      <c r="L125" s="189">
        <v>45320</v>
      </c>
      <c r="M125" t="s">
        <v>7764</v>
      </c>
      <c r="N125" t="s">
        <v>7765</v>
      </c>
      <c r="O125">
        <v>-34.604051300000002</v>
      </c>
      <c r="P125">
        <v>-58.381106899999999</v>
      </c>
      <c r="Q125">
        <v>45315.320439814815</v>
      </c>
      <c r="R125">
        <v>112.30944444442866</v>
      </c>
      <c r="S125">
        <f>VLOOKUP(F125,'VALORES DIST'!$A$3:$B$27,2,TRUE)</f>
        <v>11816.268749999999</v>
      </c>
    </row>
    <row r="126" spans="1:19" x14ac:dyDescent="0.25">
      <c r="A126">
        <v>900014178</v>
      </c>
      <c r="B126" t="s">
        <v>7011</v>
      </c>
      <c r="C126" t="s">
        <v>7959</v>
      </c>
      <c r="D126" t="s">
        <v>7855</v>
      </c>
      <c r="E126">
        <v>38</v>
      </c>
      <c r="F126">
        <v>0.29599999999999999</v>
      </c>
      <c r="G126" t="s">
        <v>7509</v>
      </c>
      <c r="H126">
        <v>0</v>
      </c>
      <c r="I126" t="s">
        <v>7805</v>
      </c>
      <c r="J126">
        <v>0</v>
      </c>
      <c r="K126">
        <v>1</v>
      </c>
      <c r="L126" s="189">
        <v>45321</v>
      </c>
      <c r="M126" t="s">
        <v>7764</v>
      </c>
      <c r="N126" t="s">
        <v>7765</v>
      </c>
      <c r="O126">
        <v>-34.404365200000001</v>
      </c>
      <c r="P126">
        <v>-58.620124699999998</v>
      </c>
      <c r="Q126">
        <v>45315.320462962962</v>
      </c>
      <c r="R126">
        <v>136.30888888891786</v>
      </c>
      <c r="S126">
        <f>VLOOKUP(F126,'VALORES DIST'!$A$3:$B$27,2,TRUE)</f>
        <v>11816.268749999999</v>
      </c>
    </row>
    <row r="127" spans="1:19" x14ac:dyDescent="0.25">
      <c r="A127">
        <v>900014190</v>
      </c>
      <c r="B127" t="s">
        <v>2972</v>
      </c>
      <c r="C127" t="s">
        <v>7960</v>
      </c>
      <c r="D127" t="s">
        <v>7914</v>
      </c>
      <c r="E127">
        <v>372</v>
      </c>
      <c r="F127">
        <v>9.5039999999999996</v>
      </c>
      <c r="G127" t="s">
        <v>7509</v>
      </c>
      <c r="H127">
        <v>0</v>
      </c>
      <c r="I127" t="s">
        <v>7805</v>
      </c>
      <c r="J127">
        <v>0</v>
      </c>
      <c r="K127">
        <v>2</v>
      </c>
      <c r="L127" s="189">
        <v>45321</v>
      </c>
      <c r="M127" t="s">
        <v>7764</v>
      </c>
      <c r="N127" t="s">
        <v>7765</v>
      </c>
      <c r="O127">
        <v>-34.5091988</v>
      </c>
      <c r="P127">
        <v>-58.540886299999997</v>
      </c>
      <c r="Q127">
        <v>45315.320474537039</v>
      </c>
      <c r="R127">
        <v>136.30861111107515</v>
      </c>
      <c r="S127">
        <f>VLOOKUP(F127,'VALORES DIST'!$A$3:$B$27,2,TRUE)</f>
        <v>76807.331250000003</v>
      </c>
    </row>
    <row r="128" spans="1:19" x14ac:dyDescent="0.25">
      <c r="A128">
        <v>800008546</v>
      </c>
      <c r="B128" t="s">
        <v>7185</v>
      </c>
      <c r="C128" t="s">
        <v>7862</v>
      </c>
      <c r="D128" t="s">
        <v>7863</v>
      </c>
      <c r="E128">
        <v>1092</v>
      </c>
      <c r="F128">
        <v>2.0880000000000001</v>
      </c>
      <c r="G128" t="s">
        <v>7509</v>
      </c>
      <c r="H128">
        <v>0</v>
      </c>
      <c r="I128" t="s">
        <v>7805</v>
      </c>
      <c r="J128">
        <v>0</v>
      </c>
      <c r="K128">
        <v>1</v>
      </c>
      <c r="L128" s="189">
        <v>45321</v>
      </c>
      <c r="M128" t="s">
        <v>7764</v>
      </c>
      <c r="N128" t="s">
        <v>7765</v>
      </c>
      <c r="O128">
        <v>-34.533126799999998</v>
      </c>
      <c r="P128">
        <v>-58.70158</v>
      </c>
      <c r="Q128">
        <v>45317.48878472222</v>
      </c>
      <c r="R128">
        <v>84.269166666723322</v>
      </c>
      <c r="S128">
        <f>VLOOKUP(F128,'VALORES DIST'!$A$3:$B$27,2,TRUE)</f>
        <v>11816.268749999999</v>
      </c>
    </row>
    <row r="129" spans="1:19" x14ac:dyDescent="0.25">
      <c r="A129">
        <v>800008520</v>
      </c>
      <c r="B129" t="s">
        <v>7184</v>
      </c>
      <c r="C129" t="s">
        <v>7807</v>
      </c>
      <c r="D129" t="s">
        <v>7794</v>
      </c>
      <c r="E129">
        <v>399</v>
      </c>
      <c r="F129">
        <v>6.0579999999999998</v>
      </c>
      <c r="G129" t="s">
        <v>7509</v>
      </c>
      <c r="H129">
        <v>0</v>
      </c>
      <c r="I129" t="s">
        <v>7805</v>
      </c>
      <c r="J129">
        <v>0</v>
      </c>
      <c r="K129">
        <v>1</v>
      </c>
      <c r="L129" s="189">
        <v>45322</v>
      </c>
      <c r="M129" t="s">
        <v>7764</v>
      </c>
      <c r="N129" t="s">
        <v>7765</v>
      </c>
      <c r="O129">
        <v>-34.608005900000002</v>
      </c>
      <c r="P129">
        <v>-58.4625299</v>
      </c>
      <c r="Q129">
        <v>45317.488796296297</v>
      </c>
      <c r="R129">
        <v>108.2688888888806</v>
      </c>
      <c r="S129">
        <f>VLOOKUP(F129,'VALORES DIST'!$A$3:$B$27,2,TRUE)</f>
        <v>53177.962500000001</v>
      </c>
    </row>
    <row r="130" spans="1:19" x14ac:dyDescent="0.25">
      <c r="A130">
        <v>800008522</v>
      </c>
      <c r="B130" t="s">
        <v>7183</v>
      </c>
      <c r="C130" t="s">
        <v>7844</v>
      </c>
      <c r="D130" t="s">
        <v>7794</v>
      </c>
      <c r="E130">
        <v>242</v>
      </c>
      <c r="F130">
        <v>1.8939999999999999</v>
      </c>
      <c r="G130" t="s">
        <v>7509</v>
      </c>
      <c r="H130">
        <v>0</v>
      </c>
      <c r="I130" t="s">
        <v>7805</v>
      </c>
      <c r="J130">
        <v>0</v>
      </c>
      <c r="K130">
        <v>1</v>
      </c>
      <c r="L130" s="189">
        <v>45322</v>
      </c>
      <c r="M130" t="s">
        <v>7764</v>
      </c>
      <c r="N130" t="s">
        <v>7765</v>
      </c>
      <c r="O130">
        <v>-34.598365299999998</v>
      </c>
      <c r="P130">
        <v>-58.440120899999997</v>
      </c>
      <c r="Q130">
        <v>45317.488796296297</v>
      </c>
      <c r="R130">
        <v>108.2688888888806</v>
      </c>
      <c r="S130">
        <f>VLOOKUP(F130,'VALORES DIST'!$A$3:$B$27,2,TRUE)</f>
        <v>11816.268749999999</v>
      </c>
    </row>
    <row r="131" spans="1:19" x14ac:dyDescent="0.25">
      <c r="A131">
        <v>800008528</v>
      </c>
      <c r="B131" t="s">
        <v>7184</v>
      </c>
      <c r="C131" t="s">
        <v>7807</v>
      </c>
      <c r="D131" t="s">
        <v>7794</v>
      </c>
      <c r="E131">
        <v>48</v>
      </c>
      <c r="F131">
        <v>0.14399999999999999</v>
      </c>
      <c r="G131" t="s">
        <v>7509</v>
      </c>
      <c r="H131">
        <v>0</v>
      </c>
      <c r="I131" t="s">
        <v>7805</v>
      </c>
      <c r="J131">
        <v>0</v>
      </c>
      <c r="K131">
        <v>1</v>
      </c>
      <c r="L131" s="189">
        <v>45322</v>
      </c>
      <c r="M131" t="s">
        <v>7764</v>
      </c>
      <c r="N131" t="s">
        <v>7765</v>
      </c>
      <c r="O131">
        <v>-34.608005900000002</v>
      </c>
      <c r="P131">
        <v>-58.4625299</v>
      </c>
      <c r="Q131">
        <v>45315.320486111108</v>
      </c>
      <c r="R131">
        <v>160.30833333340706</v>
      </c>
      <c r="S131">
        <f>VLOOKUP(F131,'VALORES DIST'!$A$3:$B$27,2,TRUE)</f>
        <v>11816.268749999999</v>
      </c>
    </row>
    <row r="132" spans="1:19" x14ac:dyDescent="0.25">
      <c r="A132">
        <v>800008542</v>
      </c>
      <c r="B132" t="s">
        <v>7186</v>
      </c>
      <c r="C132" t="s">
        <v>7847</v>
      </c>
      <c r="D132" t="s">
        <v>7848</v>
      </c>
      <c r="E132">
        <v>1092</v>
      </c>
      <c r="F132">
        <v>2.0880000000000001</v>
      </c>
      <c r="G132" t="s">
        <v>7509</v>
      </c>
      <c r="H132">
        <v>0</v>
      </c>
      <c r="I132" t="s">
        <v>7805</v>
      </c>
      <c r="J132">
        <v>0</v>
      </c>
      <c r="K132">
        <v>3</v>
      </c>
      <c r="L132" s="189">
        <v>45322</v>
      </c>
      <c r="M132" t="s">
        <v>7764</v>
      </c>
      <c r="N132" t="s">
        <v>7765</v>
      </c>
      <c r="O132">
        <v>-34.722945199999998</v>
      </c>
      <c r="P132">
        <v>-58.258703699999998</v>
      </c>
      <c r="Q132">
        <v>45317.488761574074</v>
      </c>
      <c r="R132">
        <v>108.26972222223412</v>
      </c>
      <c r="S132">
        <f>VLOOKUP(F132,'VALORES DIST'!$A$3:$B$27,2,TRUE)</f>
        <v>11816.268749999999</v>
      </c>
    </row>
    <row r="133" spans="1:19" x14ac:dyDescent="0.25">
      <c r="A133">
        <v>800008544</v>
      </c>
      <c r="B133" t="s">
        <v>7188</v>
      </c>
      <c r="C133" t="s">
        <v>7833</v>
      </c>
      <c r="D133" t="s">
        <v>7794</v>
      </c>
      <c r="E133">
        <v>516</v>
      </c>
      <c r="F133">
        <v>0.96599999999999997</v>
      </c>
      <c r="G133" t="s">
        <v>7509</v>
      </c>
      <c r="H133">
        <v>0</v>
      </c>
      <c r="I133" t="s">
        <v>7805</v>
      </c>
      <c r="J133">
        <v>0</v>
      </c>
      <c r="K133">
        <v>1</v>
      </c>
      <c r="L133" s="189">
        <v>45322</v>
      </c>
      <c r="M133" t="s">
        <v>7764</v>
      </c>
      <c r="N133" t="s">
        <v>7765</v>
      </c>
      <c r="O133">
        <v>-34.608302799999997</v>
      </c>
      <c r="P133">
        <v>-58.5134373</v>
      </c>
      <c r="Q133">
        <v>45317.488761574074</v>
      </c>
      <c r="R133">
        <v>108.26972222223412</v>
      </c>
      <c r="S133">
        <f>VLOOKUP(F133,'VALORES DIST'!$A$3:$B$27,2,TRUE)</f>
        <v>11816.268749999999</v>
      </c>
    </row>
    <row r="134" spans="1:19" x14ac:dyDescent="0.25">
      <c r="A134">
        <v>800008545</v>
      </c>
      <c r="B134" t="s">
        <v>7183</v>
      </c>
      <c r="C134" t="s">
        <v>7844</v>
      </c>
      <c r="D134" t="s">
        <v>7794</v>
      </c>
      <c r="E134">
        <v>708</v>
      </c>
      <c r="F134">
        <v>1.56</v>
      </c>
      <c r="G134" t="s">
        <v>7509</v>
      </c>
      <c r="H134">
        <v>0</v>
      </c>
      <c r="I134" t="s">
        <v>7805</v>
      </c>
      <c r="J134">
        <v>0</v>
      </c>
      <c r="K134">
        <v>1</v>
      </c>
      <c r="L134" s="189">
        <v>45322</v>
      </c>
      <c r="M134" t="s">
        <v>7764</v>
      </c>
      <c r="N134" t="s">
        <v>7765</v>
      </c>
      <c r="O134">
        <v>-34.598365299999998</v>
      </c>
      <c r="P134">
        <v>-58.440120899999997</v>
      </c>
      <c r="Q134">
        <v>45317.48877314815</v>
      </c>
      <c r="R134">
        <v>108.2694444443914</v>
      </c>
      <c r="S134">
        <f>VLOOKUP(F134,'VALORES DIST'!$A$3:$B$27,2,TRUE)</f>
        <v>11816.268749999999</v>
      </c>
    </row>
    <row r="135" spans="1:19" x14ac:dyDescent="0.25">
      <c r="A135">
        <v>800008547</v>
      </c>
      <c r="B135" t="s">
        <v>7184</v>
      </c>
      <c r="C135" t="s">
        <v>7807</v>
      </c>
      <c r="D135" t="s">
        <v>7794</v>
      </c>
      <c r="E135">
        <v>2064</v>
      </c>
      <c r="F135">
        <v>4.6559999999999997</v>
      </c>
      <c r="G135" t="s">
        <v>7509</v>
      </c>
      <c r="H135">
        <v>0</v>
      </c>
      <c r="I135" t="s">
        <v>7805</v>
      </c>
      <c r="J135">
        <v>0</v>
      </c>
      <c r="K135">
        <v>1</v>
      </c>
      <c r="L135" s="189">
        <v>45322</v>
      </c>
      <c r="M135" t="s">
        <v>7764</v>
      </c>
      <c r="N135" t="s">
        <v>7765</v>
      </c>
      <c r="O135">
        <v>-34.608005900000002</v>
      </c>
      <c r="P135">
        <v>-58.4625299</v>
      </c>
      <c r="Q135">
        <v>45317.488796296297</v>
      </c>
      <c r="R135">
        <v>108.2688888888806</v>
      </c>
      <c r="S135">
        <f>VLOOKUP(F135,'VALORES DIST'!$A$3:$B$27,2,TRUE)</f>
        <v>13787.231250000001</v>
      </c>
    </row>
    <row r="136" spans="1:19" x14ac:dyDescent="0.25">
      <c r="A136">
        <v>800008556</v>
      </c>
      <c r="B136" t="s">
        <v>7183</v>
      </c>
      <c r="C136" t="s">
        <v>7844</v>
      </c>
      <c r="D136" t="s">
        <v>7794</v>
      </c>
      <c r="E136">
        <v>46</v>
      </c>
      <c r="F136">
        <v>0.68</v>
      </c>
      <c r="G136" t="s">
        <v>7509</v>
      </c>
      <c r="H136">
        <v>0</v>
      </c>
      <c r="I136" t="s">
        <v>7805</v>
      </c>
      <c r="J136">
        <v>0</v>
      </c>
      <c r="K136">
        <v>1</v>
      </c>
      <c r="L136" s="189">
        <v>45324</v>
      </c>
      <c r="M136" t="s">
        <v>7764</v>
      </c>
      <c r="N136" t="s">
        <v>7765</v>
      </c>
      <c r="O136">
        <v>-34.598365299999998</v>
      </c>
      <c r="P136">
        <v>-58.440120899999997</v>
      </c>
      <c r="Q136">
        <v>45321.580555555556</v>
      </c>
      <c r="R136">
        <v>58.066666666651145</v>
      </c>
      <c r="S136">
        <f>VLOOKUP(F136,'VALORES DIST'!$A$3:$B$27,2,TRUE)</f>
        <v>11816.268749999999</v>
      </c>
    </row>
    <row r="137" spans="1:19" x14ac:dyDescent="0.25">
      <c r="A137">
        <v>700022270</v>
      </c>
      <c r="B137" t="s">
        <v>7961</v>
      </c>
      <c r="C137" t="s">
        <v>7853</v>
      </c>
      <c r="D137" t="s">
        <v>7794</v>
      </c>
      <c r="E137">
        <v>240</v>
      </c>
      <c r="F137">
        <v>11.04</v>
      </c>
      <c r="G137" t="s">
        <v>7509</v>
      </c>
      <c r="H137">
        <v>0</v>
      </c>
      <c r="I137" t="s">
        <v>7805</v>
      </c>
      <c r="J137">
        <v>0</v>
      </c>
      <c r="K137">
        <v>1</v>
      </c>
      <c r="L137" s="189">
        <v>45324</v>
      </c>
      <c r="M137" t="s">
        <v>7764</v>
      </c>
      <c r="N137" t="s">
        <v>7765</v>
      </c>
      <c r="O137">
        <v>-34.608005900000002</v>
      </c>
      <c r="P137">
        <v>-58.4625299</v>
      </c>
      <c r="Q137">
        <v>45336.69902777778</v>
      </c>
      <c r="R137">
        <v>-304.77666666673031</v>
      </c>
      <c r="S137">
        <f>VLOOKUP(F137,'VALORES DIST'!$A$3:$B$27,2,TRUE)</f>
        <v>96504.28125</v>
      </c>
    </row>
    <row r="138" spans="1:19" x14ac:dyDescent="0.25">
      <c r="A138">
        <v>342</v>
      </c>
      <c r="B138" t="s">
        <v>6888</v>
      </c>
      <c r="C138" t="s">
        <v>7824</v>
      </c>
      <c r="D138" t="s">
        <v>7794</v>
      </c>
      <c r="E138">
        <v>292</v>
      </c>
      <c r="F138">
        <v>8.76</v>
      </c>
      <c r="G138" t="s">
        <v>6888</v>
      </c>
      <c r="H138">
        <v>0</v>
      </c>
      <c r="I138" t="s">
        <v>7825</v>
      </c>
      <c r="J138">
        <v>0</v>
      </c>
      <c r="K138">
        <v>1</v>
      </c>
      <c r="L138" s="189">
        <v>45324</v>
      </c>
      <c r="M138" t="s">
        <v>7806</v>
      </c>
      <c r="N138" t="s">
        <v>7765</v>
      </c>
      <c r="O138">
        <v>-34.603684399999999</v>
      </c>
      <c r="P138">
        <v>-58.381559099999997</v>
      </c>
      <c r="S138">
        <f>VLOOKUP(F138,'VALORES DIST'!$A$3:$B$27,2,TRUE)</f>
        <v>68932.987500000003</v>
      </c>
    </row>
    <row r="139" spans="1:19" x14ac:dyDescent="0.25">
      <c r="A139">
        <v>900014267</v>
      </c>
      <c r="B139" t="s">
        <v>6968</v>
      </c>
      <c r="C139" t="s">
        <v>7874</v>
      </c>
      <c r="D139" t="s">
        <v>7794</v>
      </c>
      <c r="E139">
        <v>60</v>
      </c>
      <c r="F139">
        <v>1.86</v>
      </c>
      <c r="G139" t="s">
        <v>7509</v>
      </c>
      <c r="H139">
        <v>0</v>
      </c>
      <c r="I139" t="s">
        <v>7805</v>
      </c>
      <c r="J139">
        <v>0</v>
      </c>
      <c r="K139">
        <v>1</v>
      </c>
      <c r="L139" s="189">
        <v>45327</v>
      </c>
      <c r="M139" t="s">
        <v>7764</v>
      </c>
      <c r="N139" t="s">
        <v>7765</v>
      </c>
      <c r="O139">
        <v>-34.594501899999997</v>
      </c>
      <c r="P139">
        <v>-58.429039899999999</v>
      </c>
      <c r="Q139">
        <v>45321.580601851849</v>
      </c>
      <c r="R139">
        <v>130.06555555562954</v>
      </c>
      <c r="S139">
        <f>VLOOKUP(F139,'VALORES DIST'!$A$3:$B$27,2,TRUE)</f>
        <v>11816.268749999999</v>
      </c>
    </row>
    <row r="140" spans="1:19" x14ac:dyDescent="0.25">
      <c r="A140">
        <v>800008555</v>
      </c>
      <c r="B140" t="s">
        <v>7186</v>
      </c>
      <c r="C140" t="s">
        <v>7847</v>
      </c>
      <c r="D140" t="s">
        <v>7848</v>
      </c>
      <c r="E140">
        <v>280</v>
      </c>
      <c r="F140">
        <v>0.46400000000000002</v>
      </c>
      <c r="G140" t="s">
        <v>7509</v>
      </c>
      <c r="H140">
        <v>0</v>
      </c>
      <c r="I140" t="s">
        <v>7805</v>
      </c>
      <c r="J140">
        <v>0</v>
      </c>
      <c r="K140">
        <v>3</v>
      </c>
      <c r="L140" s="189">
        <v>45327</v>
      </c>
      <c r="M140" t="s">
        <v>7764</v>
      </c>
      <c r="N140" t="s">
        <v>7765</v>
      </c>
      <c r="O140">
        <v>-34.722945199999998</v>
      </c>
      <c r="P140">
        <v>-58.258703699999998</v>
      </c>
      <c r="Q140">
        <v>45321.580543981479</v>
      </c>
      <c r="R140">
        <v>130.06694444449386</v>
      </c>
      <c r="S140">
        <f>VLOOKUP(F140,'VALORES DIST'!$A$3:$B$27,2,TRUE)</f>
        <v>11816.268749999999</v>
      </c>
    </row>
    <row r="141" spans="1:19" x14ac:dyDescent="0.25">
      <c r="A141">
        <v>900014269</v>
      </c>
      <c r="B141" t="s">
        <v>7081</v>
      </c>
      <c r="C141" t="s">
        <v>7962</v>
      </c>
      <c r="D141" t="s">
        <v>7963</v>
      </c>
      <c r="E141">
        <v>24</v>
      </c>
      <c r="F141">
        <v>0.216</v>
      </c>
      <c r="G141" t="s">
        <v>7509</v>
      </c>
      <c r="H141">
        <v>0</v>
      </c>
      <c r="I141" t="s">
        <v>7787</v>
      </c>
      <c r="J141" t="s">
        <v>7788</v>
      </c>
      <c r="K141">
        <v>1</v>
      </c>
      <c r="L141" s="189">
        <v>45327</v>
      </c>
      <c r="M141" t="s">
        <v>7764</v>
      </c>
      <c r="N141" t="s">
        <v>7765</v>
      </c>
      <c r="O141">
        <v>-34.614748800000001</v>
      </c>
      <c r="P141">
        <v>-68.332763</v>
      </c>
      <c r="Q141">
        <v>45321.580601851849</v>
      </c>
      <c r="R141">
        <v>130.06555555562954</v>
      </c>
      <c r="S141">
        <f>VLOOKUP(F141,'VALORES DIST'!$A$3:$B$27,2,TRUE)</f>
        <v>11816.268749999999</v>
      </c>
    </row>
    <row r="142" spans="1:19" x14ac:dyDescent="0.25">
      <c r="A142">
        <v>900014268</v>
      </c>
      <c r="B142" t="s">
        <v>7150</v>
      </c>
      <c r="C142" t="s">
        <v>7964</v>
      </c>
      <c r="D142" t="s">
        <v>7935</v>
      </c>
      <c r="E142">
        <v>18</v>
      </c>
      <c r="F142">
        <v>0.54</v>
      </c>
      <c r="G142" t="s">
        <v>7509</v>
      </c>
      <c r="H142">
        <v>0</v>
      </c>
      <c r="I142" t="s">
        <v>7936</v>
      </c>
      <c r="J142" t="s">
        <v>7937</v>
      </c>
      <c r="K142">
        <v>1</v>
      </c>
      <c r="L142" s="189">
        <v>45327</v>
      </c>
      <c r="M142" t="s">
        <v>7764</v>
      </c>
      <c r="N142" t="s">
        <v>7765</v>
      </c>
      <c r="O142">
        <v>-38.0020892</v>
      </c>
      <c r="P142">
        <v>-57.548521200000003</v>
      </c>
      <c r="Q142">
        <v>45321.580601851849</v>
      </c>
      <c r="R142">
        <v>130.06555555562954</v>
      </c>
      <c r="S142">
        <f>VLOOKUP(F142,'VALORES DIST'!$A$3:$B$27,2,TRUE)</f>
        <v>11816.268749999999</v>
      </c>
    </row>
    <row r="143" spans="1:19" x14ac:dyDescent="0.25">
      <c r="A143">
        <v>50500000741</v>
      </c>
      <c r="B143" t="s">
        <v>7157</v>
      </c>
      <c r="C143" t="s">
        <v>7793</v>
      </c>
      <c r="D143" t="s">
        <v>7794</v>
      </c>
      <c r="E143">
        <v>18</v>
      </c>
      <c r="F143">
        <v>0.55800000000000005</v>
      </c>
      <c r="G143" t="s">
        <v>7509</v>
      </c>
      <c r="H143">
        <v>0</v>
      </c>
      <c r="I143" t="s">
        <v>7795</v>
      </c>
      <c r="J143" t="s">
        <v>7796</v>
      </c>
      <c r="K143">
        <v>1</v>
      </c>
      <c r="L143" s="189">
        <v>45327</v>
      </c>
      <c r="M143" t="s">
        <v>7764</v>
      </c>
      <c r="N143" t="s">
        <v>7765</v>
      </c>
      <c r="O143">
        <v>-34.606275099999998</v>
      </c>
      <c r="P143">
        <v>-58.485909499999998</v>
      </c>
      <c r="Q143">
        <v>45321.580613425926</v>
      </c>
      <c r="R143">
        <v>130.06527777778683</v>
      </c>
      <c r="S143">
        <f>VLOOKUP(F143,'VALORES DIST'!$A$3:$B$27,2,TRUE)</f>
        <v>11816.268749999999</v>
      </c>
    </row>
    <row r="144" spans="1:19" x14ac:dyDescent="0.25">
      <c r="A144">
        <v>800008542</v>
      </c>
      <c r="B144" t="s">
        <v>7186</v>
      </c>
      <c r="C144" t="s">
        <v>7847</v>
      </c>
      <c r="D144" t="s">
        <v>7848</v>
      </c>
      <c r="E144">
        <v>1092</v>
      </c>
      <c r="F144">
        <v>2.0880000000000001</v>
      </c>
      <c r="G144" t="s">
        <v>7509</v>
      </c>
      <c r="H144">
        <v>0</v>
      </c>
      <c r="I144" t="s">
        <v>7805</v>
      </c>
      <c r="J144">
        <v>0</v>
      </c>
      <c r="K144">
        <v>3</v>
      </c>
      <c r="L144" s="189">
        <v>45327</v>
      </c>
      <c r="M144" t="s">
        <v>7764</v>
      </c>
      <c r="N144" t="s">
        <v>7765</v>
      </c>
      <c r="O144">
        <v>-34.722945199999998</v>
      </c>
      <c r="P144">
        <v>-58.258703699999998</v>
      </c>
      <c r="Q144">
        <v>45317.488761574074</v>
      </c>
      <c r="R144">
        <v>228.26972222223412</v>
      </c>
      <c r="S144">
        <f>VLOOKUP(F144,'VALORES DIST'!$A$3:$B$27,2,TRUE)</f>
        <v>11816.268749999999</v>
      </c>
    </row>
    <row r="145" spans="1:19" x14ac:dyDescent="0.25">
      <c r="A145">
        <v>900014270</v>
      </c>
      <c r="B145" t="s">
        <v>7064</v>
      </c>
      <c r="C145" t="s">
        <v>7965</v>
      </c>
      <c r="D145" t="s">
        <v>7894</v>
      </c>
      <c r="E145">
        <v>118</v>
      </c>
      <c r="F145">
        <v>3.214</v>
      </c>
      <c r="G145" t="s">
        <v>7509</v>
      </c>
      <c r="H145">
        <v>0</v>
      </c>
      <c r="I145" t="s">
        <v>7966</v>
      </c>
      <c r="J145" t="s">
        <v>7967</v>
      </c>
      <c r="K145">
        <v>1</v>
      </c>
      <c r="L145" s="189">
        <v>45327</v>
      </c>
      <c r="M145" t="s">
        <v>7764</v>
      </c>
      <c r="N145" t="s">
        <v>7765</v>
      </c>
      <c r="O145">
        <v>-26.829931800000001</v>
      </c>
      <c r="P145">
        <v>-65.205920399999997</v>
      </c>
      <c r="Q145">
        <v>45321.580601851849</v>
      </c>
      <c r="R145">
        <v>130.06555555562954</v>
      </c>
      <c r="S145">
        <f>VLOOKUP(F145,'VALORES DIST'!$A$3:$B$27,2,TRUE)</f>
        <v>13787.231250000001</v>
      </c>
    </row>
    <row r="146" spans="1:19" x14ac:dyDescent="0.25">
      <c r="A146">
        <v>800008554</v>
      </c>
      <c r="B146" t="s">
        <v>7186</v>
      </c>
      <c r="C146" t="s">
        <v>7847</v>
      </c>
      <c r="D146" t="s">
        <v>7848</v>
      </c>
      <c r="E146">
        <v>185</v>
      </c>
      <c r="F146">
        <v>1.8912</v>
      </c>
      <c r="G146" t="s">
        <v>7509</v>
      </c>
      <c r="H146">
        <v>0</v>
      </c>
      <c r="I146" t="s">
        <v>7805</v>
      </c>
      <c r="J146">
        <v>0</v>
      </c>
      <c r="K146">
        <v>3</v>
      </c>
      <c r="L146" s="189">
        <v>45327</v>
      </c>
      <c r="M146" t="s">
        <v>7764</v>
      </c>
      <c r="N146" t="s">
        <v>7765</v>
      </c>
      <c r="O146">
        <v>-34.722945199999998</v>
      </c>
      <c r="P146">
        <v>-58.258703699999998</v>
      </c>
      <c r="Q146">
        <v>45321.580520833333</v>
      </c>
      <c r="R146">
        <v>130.06750000000466</v>
      </c>
      <c r="S146">
        <f>VLOOKUP(F146,'VALORES DIST'!$A$3:$B$27,2,TRUE)</f>
        <v>11816.268749999999</v>
      </c>
    </row>
    <row r="147" spans="1:19" x14ac:dyDescent="0.25">
      <c r="A147">
        <v>30052</v>
      </c>
      <c r="B147" t="s">
        <v>7556</v>
      </c>
      <c r="C147" t="s">
        <v>7968</v>
      </c>
      <c r="D147" t="s">
        <v>7861</v>
      </c>
      <c r="E147">
        <v>2</v>
      </c>
      <c r="F147">
        <v>3.2</v>
      </c>
      <c r="G147" t="s">
        <v>7556</v>
      </c>
      <c r="H147">
        <v>0</v>
      </c>
      <c r="I147" t="s">
        <v>7825</v>
      </c>
      <c r="J147">
        <v>0</v>
      </c>
      <c r="K147">
        <v>1</v>
      </c>
      <c r="L147" s="189">
        <v>45327</v>
      </c>
      <c r="M147" t="s">
        <v>7806</v>
      </c>
      <c r="N147" t="s">
        <v>7765</v>
      </c>
      <c r="O147">
        <v>-345757521</v>
      </c>
      <c r="P147">
        <v>-585370965</v>
      </c>
      <c r="S147">
        <f>VLOOKUP(F147,'VALORES DIST'!$A$3:$B$27,2,TRUE)</f>
        <v>13787.231250000001</v>
      </c>
    </row>
    <row r="148" spans="1:19" x14ac:dyDescent="0.25">
      <c r="A148">
        <v>30051</v>
      </c>
      <c r="B148" t="s">
        <v>7556</v>
      </c>
      <c r="C148" t="s">
        <v>7968</v>
      </c>
      <c r="D148" t="s">
        <v>7861</v>
      </c>
      <c r="E148">
        <v>9</v>
      </c>
      <c r="F148">
        <v>14.4</v>
      </c>
      <c r="G148" t="s">
        <v>7556</v>
      </c>
      <c r="H148">
        <v>0</v>
      </c>
      <c r="I148">
        <v>0</v>
      </c>
      <c r="J148">
        <v>0</v>
      </c>
      <c r="K148">
        <v>1</v>
      </c>
      <c r="L148" s="189">
        <v>45327</v>
      </c>
      <c r="M148" t="s">
        <v>7806</v>
      </c>
      <c r="N148" t="s">
        <v>7765</v>
      </c>
      <c r="O148">
        <v>-345757521</v>
      </c>
      <c r="P148">
        <v>-585370965</v>
      </c>
      <c r="S148">
        <f>VLOOKUP(F148,'VALORES DIST'!$A$3:$B$27,2,TRUE)</f>
        <v>115215.75</v>
      </c>
    </row>
    <row r="149" spans="1:19" x14ac:dyDescent="0.25">
      <c r="A149">
        <v>900014266</v>
      </c>
      <c r="B149" t="s">
        <v>7108</v>
      </c>
      <c r="C149" t="s">
        <v>7969</v>
      </c>
      <c r="D149" t="s">
        <v>7970</v>
      </c>
      <c r="E149">
        <v>110</v>
      </c>
      <c r="F149">
        <v>1.552</v>
      </c>
      <c r="G149" t="s">
        <v>7509</v>
      </c>
      <c r="H149">
        <v>0</v>
      </c>
      <c r="I149" t="s">
        <v>7805</v>
      </c>
      <c r="J149">
        <v>0</v>
      </c>
      <c r="K149">
        <v>1</v>
      </c>
      <c r="L149" s="189">
        <v>45328</v>
      </c>
      <c r="M149" t="s">
        <v>7764</v>
      </c>
      <c r="N149" t="s">
        <v>7765</v>
      </c>
      <c r="O149">
        <v>-34.513758099999997</v>
      </c>
      <c r="P149">
        <v>-58.565118099999999</v>
      </c>
      <c r="Q149">
        <v>45321.580590277779</v>
      </c>
      <c r="R149">
        <v>154.06583333329763</v>
      </c>
      <c r="S149">
        <f>VLOOKUP(F149,'VALORES DIST'!$A$3:$B$27,2,TRUE)</f>
        <v>11816.268749999999</v>
      </c>
    </row>
    <row r="150" spans="1:19" x14ac:dyDescent="0.25">
      <c r="A150">
        <v>900014265</v>
      </c>
      <c r="B150" t="s">
        <v>7108</v>
      </c>
      <c r="C150" t="s">
        <v>7969</v>
      </c>
      <c r="D150" t="s">
        <v>7970</v>
      </c>
      <c r="E150">
        <v>756</v>
      </c>
      <c r="F150">
        <v>4.45</v>
      </c>
      <c r="G150" t="s">
        <v>7509</v>
      </c>
      <c r="H150">
        <v>0</v>
      </c>
      <c r="I150" t="s">
        <v>7805</v>
      </c>
      <c r="J150">
        <v>0</v>
      </c>
      <c r="K150">
        <v>1</v>
      </c>
      <c r="L150" s="189">
        <v>45328</v>
      </c>
      <c r="M150" t="s">
        <v>7764</v>
      </c>
      <c r="N150" t="s">
        <v>7765</v>
      </c>
      <c r="O150">
        <v>-34.513758099999997</v>
      </c>
      <c r="P150">
        <v>-58.565118099999999</v>
      </c>
      <c r="Q150">
        <v>45321.580567129633</v>
      </c>
      <c r="R150">
        <v>154.06638888880843</v>
      </c>
      <c r="S150">
        <f>VLOOKUP(F150,'VALORES DIST'!$A$3:$B$27,2,TRUE)</f>
        <v>13787.231250000001</v>
      </c>
    </row>
    <row r="151" spans="1:19" x14ac:dyDescent="0.25">
      <c r="A151">
        <v>900014271</v>
      </c>
      <c r="B151" t="s">
        <v>2972</v>
      </c>
      <c r="C151" t="s">
        <v>7960</v>
      </c>
      <c r="D151" t="s">
        <v>7914</v>
      </c>
      <c r="E151">
        <v>60</v>
      </c>
      <c r="F151">
        <v>0.06</v>
      </c>
      <c r="G151" t="s">
        <v>7509</v>
      </c>
      <c r="H151">
        <v>0</v>
      </c>
      <c r="I151" t="s">
        <v>7805</v>
      </c>
      <c r="J151">
        <v>0</v>
      </c>
      <c r="K151">
        <v>2</v>
      </c>
      <c r="L151" s="189">
        <v>45328</v>
      </c>
      <c r="M151" t="s">
        <v>7764</v>
      </c>
      <c r="N151" t="s">
        <v>7765</v>
      </c>
      <c r="O151">
        <v>-34.5091988</v>
      </c>
      <c r="P151">
        <v>-58.540886299999997</v>
      </c>
      <c r="Q151">
        <v>45321.580601851849</v>
      </c>
      <c r="R151">
        <v>154.06555555562954</v>
      </c>
      <c r="S151">
        <f>VLOOKUP(F151,'VALORES DIST'!$A$3:$B$27,2,TRUE)</f>
        <v>11816.268749999999</v>
      </c>
    </row>
    <row r="152" spans="1:19" x14ac:dyDescent="0.25">
      <c r="A152">
        <v>800008558</v>
      </c>
      <c r="B152" t="s">
        <v>7188</v>
      </c>
      <c r="C152" t="s">
        <v>7833</v>
      </c>
      <c r="D152" t="s">
        <v>7794</v>
      </c>
      <c r="E152">
        <v>76</v>
      </c>
      <c r="F152">
        <v>0.92200000000000004</v>
      </c>
      <c r="G152" t="s">
        <v>7509</v>
      </c>
      <c r="H152">
        <v>0</v>
      </c>
      <c r="I152" t="s">
        <v>7805</v>
      </c>
      <c r="J152">
        <v>0</v>
      </c>
      <c r="K152">
        <v>1</v>
      </c>
      <c r="L152" s="189">
        <v>45328</v>
      </c>
      <c r="M152" t="s">
        <v>7764</v>
      </c>
      <c r="N152" t="s">
        <v>7765</v>
      </c>
      <c r="O152">
        <v>-34.608302799999997</v>
      </c>
      <c r="P152">
        <v>-58.5134373</v>
      </c>
      <c r="Q152">
        <v>45321.580567129633</v>
      </c>
      <c r="R152">
        <v>154.06638888880843</v>
      </c>
      <c r="S152">
        <f>VLOOKUP(F152,'VALORES DIST'!$A$3:$B$27,2,TRUE)</f>
        <v>11816.268749999999</v>
      </c>
    </row>
    <row r="153" spans="1:19" x14ac:dyDescent="0.25">
      <c r="A153">
        <v>90</v>
      </c>
      <c r="B153" t="s">
        <v>7971</v>
      </c>
      <c r="C153" t="s">
        <v>7972</v>
      </c>
      <c r="D153" t="s">
        <v>7794</v>
      </c>
      <c r="E153">
        <v>155</v>
      </c>
      <c r="F153">
        <v>17.824999999999999</v>
      </c>
      <c r="G153" t="s">
        <v>7971</v>
      </c>
      <c r="H153" t="s">
        <v>7973</v>
      </c>
      <c r="I153" t="s">
        <v>7867</v>
      </c>
      <c r="J153">
        <v>0</v>
      </c>
      <c r="K153">
        <v>3</v>
      </c>
      <c r="L153" s="189">
        <v>45329</v>
      </c>
      <c r="M153" t="s">
        <v>7806</v>
      </c>
      <c r="N153" t="s">
        <v>7765</v>
      </c>
      <c r="O153">
        <v>-34.603684399999999</v>
      </c>
      <c r="P153">
        <v>-58.381559099999997</v>
      </c>
      <c r="S153">
        <f>VLOOKUP(F153,'VALORES DIST'!$A$3:$B$27,2,TRUE)</f>
        <v>135891.84375</v>
      </c>
    </row>
    <row r="154" spans="1:19" x14ac:dyDescent="0.25">
      <c r="A154">
        <v>949</v>
      </c>
      <c r="B154" t="s">
        <v>3982</v>
      </c>
      <c r="C154" t="s">
        <v>7974</v>
      </c>
      <c r="D154" t="s">
        <v>7975</v>
      </c>
      <c r="E154">
        <v>41</v>
      </c>
      <c r="F154">
        <v>3.24</v>
      </c>
      <c r="G154" t="s">
        <v>3982</v>
      </c>
      <c r="H154">
        <v>0</v>
      </c>
      <c r="I154" t="s">
        <v>7825</v>
      </c>
      <c r="J154">
        <v>0</v>
      </c>
      <c r="K154">
        <v>1</v>
      </c>
      <c r="L154" s="189">
        <v>45331</v>
      </c>
      <c r="M154" t="s">
        <v>7806</v>
      </c>
      <c r="N154" t="s">
        <v>7765</v>
      </c>
      <c r="O154">
        <v>-34.653543200000001</v>
      </c>
      <c r="P154">
        <v>-58.5321322</v>
      </c>
      <c r="S154">
        <f>VLOOKUP(F154,'VALORES DIST'!$A$3:$B$27,2,TRUE)</f>
        <v>13787.231250000001</v>
      </c>
    </row>
    <row r="155" spans="1:19" x14ac:dyDescent="0.25">
      <c r="A155" t="s">
        <v>7976</v>
      </c>
      <c r="B155" t="s">
        <v>7428</v>
      </c>
      <c r="C155" t="s">
        <v>7977</v>
      </c>
      <c r="D155" t="s">
        <v>7794</v>
      </c>
      <c r="E155">
        <v>3</v>
      </c>
      <c r="F155">
        <v>3.15</v>
      </c>
      <c r="G155" t="s">
        <v>7428</v>
      </c>
      <c r="K155">
        <v>1</v>
      </c>
      <c r="L155" s="189">
        <v>45331</v>
      </c>
      <c r="M155" t="s">
        <v>7806</v>
      </c>
      <c r="N155" t="s">
        <v>7765</v>
      </c>
      <c r="O155">
        <v>-34.578397199999998</v>
      </c>
      <c r="P155">
        <v>-58.495547600000002</v>
      </c>
      <c r="S155">
        <f>VLOOKUP(F155,'VALORES DIST'!$A$3:$B$27,2,TRUE)</f>
        <v>13787.231250000001</v>
      </c>
    </row>
    <row r="156" spans="1:19" x14ac:dyDescent="0.25">
      <c r="A156">
        <v>345</v>
      </c>
      <c r="B156" t="s">
        <v>6888</v>
      </c>
      <c r="C156" t="s">
        <v>7824</v>
      </c>
      <c r="D156" t="s">
        <v>7794</v>
      </c>
      <c r="E156">
        <v>144</v>
      </c>
      <c r="F156">
        <v>4.32</v>
      </c>
      <c r="G156" t="s">
        <v>6888</v>
      </c>
      <c r="H156">
        <v>0</v>
      </c>
      <c r="I156" t="s">
        <v>7805</v>
      </c>
      <c r="J156">
        <v>0</v>
      </c>
      <c r="K156">
        <v>1</v>
      </c>
      <c r="L156" s="189">
        <v>45337</v>
      </c>
      <c r="M156" t="s">
        <v>7870</v>
      </c>
      <c r="N156" t="s">
        <v>7765</v>
      </c>
      <c r="O156">
        <v>-34.603684399999999</v>
      </c>
      <c r="P156">
        <v>-58.381559099999997</v>
      </c>
      <c r="S156">
        <f>VLOOKUP(F156,'VALORES DIST'!$A$3:$B$27,2,TRUE)</f>
        <v>13787.231250000001</v>
      </c>
    </row>
    <row r="157" spans="1:19" x14ac:dyDescent="0.25">
      <c r="A157" t="s">
        <v>7978</v>
      </c>
      <c r="B157" t="s">
        <v>7852</v>
      </c>
      <c r="C157" t="s">
        <v>7853</v>
      </c>
      <c r="D157" t="s">
        <v>7794</v>
      </c>
      <c r="E157">
        <v>45</v>
      </c>
      <c r="F157">
        <v>3.18</v>
      </c>
      <c r="G157" t="s">
        <v>7509</v>
      </c>
      <c r="H157">
        <v>0</v>
      </c>
      <c r="I157" t="s">
        <v>7805</v>
      </c>
      <c r="J157">
        <v>0</v>
      </c>
      <c r="K157">
        <v>1</v>
      </c>
      <c r="L157" s="189">
        <v>45337</v>
      </c>
      <c r="M157" t="s">
        <v>7870</v>
      </c>
      <c r="N157" t="s">
        <v>7765</v>
      </c>
      <c r="O157">
        <v>-34.608005900000002</v>
      </c>
      <c r="P157">
        <v>-58.4625299</v>
      </c>
      <c r="Q157">
        <v>45337.367662037039</v>
      </c>
      <c r="R157">
        <v>-8.8238888889318332</v>
      </c>
      <c r="S157">
        <f>VLOOKUP(F157,'VALORES DIST'!$A$3:$B$27,2,TRUE)</f>
        <v>13787.231250000001</v>
      </c>
    </row>
    <row r="158" spans="1:19" x14ac:dyDescent="0.25">
      <c r="A158" t="s">
        <v>7979</v>
      </c>
      <c r="B158" t="s">
        <v>7852</v>
      </c>
      <c r="C158" t="s">
        <v>7853</v>
      </c>
      <c r="D158" t="s">
        <v>7794</v>
      </c>
      <c r="E158">
        <v>30</v>
      </c>
      <c r="F158">
        <v>2.16</v>
      </c>
      <c r="G158" t="s">
        <v>7509</v>
      </c>
      <c r="H158">
        <v>0</v>
      </c>
      <c r="I158" t="s">
        <v>7805</v>
      </c>
      <c r="J158">
        <v>0</v>
      </c>
      <c r="K158">
        <v>1</v>
      </c>
      <c r="L158" s="189">
        <v>45337</v>
      </c>
      <c r="M158" t="s">
        <v>7870</v>
      </c>
      <c r="N158" t="s">
        <v>7765</v>
      </c>
      <c r="O158">
        <v>-34.608005900000002</v>
      </c>
      <c r="P158">
        <v>-58.4625299</v>
      </c>
      <c r="Q158">
        <v>45328.429085648146</v>
      </c>
      <c r="R158">
        <v>205.70194444450317</v>
      </c>
      <c r="S158">
        <f>VLOOKUP(F158,'VALORES DIST'!$A$3:$B$27,2,TRUE)</f>
        <v>11816.268749999999</v>
      </c>
    </row>
    <row r="159" spans="1:19" x14ac:dyDescent="0.25">
      <c r="A159">
        <v>900014216</v>
      </c>
      <c r="B159" t="s">
        <v>7001</v>
      </c>
      <c r="C159" t="s">
        <v>7980</v>
      </c>
      <c r="D159" t="s">
        <v>7981</v>
      </c>
      <c r="E159">
        <v>36</v>
      </c>
      <c r="F159">
        <v>4.2000000000000003E-2</v>
      </c>
      <c r="G159" t="s">
        <v>7509</v>
      </c>
      <c r="H159">
        <v>0</v>
      </c>
      <c r="I159" t="s">
        <v>7805</v>
      </c>
      <c r="J159">
        <v>0</v>
      </c>
      <c r="K159">
        <v>1</v>
      </c>
      <c r="L159" s="189">
        <v>45337</v>
      </c>
      <c r="M159" t="s">
        <v>7764</v>
      </c>
      <c r="N159" t="s">
        <v>7765</v>
      </c>
      <c r="O159">
        <v>-34.447528599999998</v>
      </c>
      <c r="P159">
        <v>-58.867781800000003</v>
      </c>
      <c r="Q159">
        <v>45336.370057870372</v>
      </c>
      <c r="R159">
        <v>15.118611111072823</v>
      </c>
      <c r="S159">
        <f>VLOOKUP(F159,'VALORES DIST'!$A$3:$B$27,2,TRUE)</f>
        <v>11816.268749999999</v>
      </c>
    </row>
    <row r="160" spans="1:19" x14ac:dyDescent="0.25">
      <c r="A160">
        <v>900014211</v>
      </c>
      <c r="B160" t="s">
        <v>7108</v>
      </c>
      <c r="C160" t="s">
        <v>7969</v>
      </c>
      <c r="D160" t="s">
        <v>7970</v>
      </c>
      <c r="E160">
        <v>180</v>
      </c>
      <c r="F160">
        <v>0.624</v>
      </c>
      <c r="G160" t="s">
        <v>7509</v>
      </c>
      <c r="H160">
        <v>0</v>
      </c>
      <c r="I160" t="s">
        <v>7805</v>
      </c>
      <c r="J160">
        <v>0</v>
      </c>
      <c r="K160">
        <v>1</v>
      </c>
      <c r="L160" s="189">
        <v>45337</v>
      </c>
      <c r="M160" t="s">
        <v>7764</v>
      </c>
      <c r="N160" t="s">
        <v>7765</v>
      </c>
      <c r="O160">
        <v>-34.513758099999997</v>
      </c>
      <c r="P160">
        <v>-58.565118099999999</v>
      </c>
      <c r="Q160">
        <v>45336.370046296295</v>
      </c>
      <c r="R160">
        <v>15.118888888915537</v>
      </c>
      <c r="S160">
        <f>VLOOKUP(F160,'VALORES DIST'!$A$3:$B$27,2,TRUE)</f>
        <v>11816.268749999999</v>
      </c>
    </row>
    <row r="161" spans="1:19" x14ac:dyDescent="0.25">
      <c r="A161">
        <v>900014245</v>
      </c>
      <c r="B161" t="s">
        <v>7377</v>
      </c>
      <c r="C161" t="s">
        <v>7818</v>
      </c>
      <c r="D161" t="s">
        <v>7819</v>
      </c>
      <c r="E161">
        <v>24</v>
      </c>
      <c r="F161">
        <v>2.4E-2</v>
      </c>
      <c r="G161" t="s">
        <v>7509</v>
      </c>
      <c r="H161">
        <v>0</v>
      </c>
      <c r="I161" t="s">
        <v>7805</v>
      </c>
      <c r="J161">
        <v>0</v>
      </c>
      <c r="K161">
        <v>1</v>
      </c>
      <c r="L161" s="189">
        <v>45337</v>
      </c>
      <c r="M161" t="s">
        <v>7764</v>
      </c>
      <c r="N161" t="s">
        <v>7765</v>
      </c>
      <c r="O161">
        <v>-34.435536800000001</v>
      </c>
      <c r="P161">
        <v>-58.567664700000002</v>
      </c>
      <c r="Q161">
        <v>45336.370081018518</v>
      </c>
      <c r="R161">
        <v>15.118055555562025</v>
      </c>
      <c r="S161">
        <f>VLOOKUP(F161,'VALORES DIST'!$A$3:$B$27,2,TRUE)</f>
        <v>11816.268749999999</v>
      </c>
    </row>
    <row r="162" spans="1:19" x14ac:dyDescent="0.25">
      <c r="A162">
        <v>900014247</v>
      </c>
      <c r="B162" t="s">
        <v>7223</v>
      </c>
      <c r="C162" t="s">
        <v>7982</v>
      </c>
      <c r="D162" t="s">
        <v>7819</v>
      </c>
      <c r="E162">
        <v>12</v>
      </c>
      <c r="F162">
        <v>1.2E-2</v>
      </c>
      <c r="G162" t="s">
        <v>7509</v>
      </c>
      <c r="H162">
        <v>0</v>
      </c>
      <c r="I162" t="s">
        <v>7805</v>
      </c>
      <c r="J162">
        <v>0</v>
      </c>
      <c r="K162">
        <v>1</v>
      </c>
      <c r="L162" s="189">
        <v>45337</v>
      </c>
      <c r="M162" t="s">
        <v>7764</v>
      </c>
      <c r="N162" t="s">
        <v>7765</v>
      </c>
      <c r="O162">
        <v>-34.439158900000002</v>
      </c>
      <c r="P162">
        <v>-58.559314700000002</v>
      </c>
      <c r="Q162">
        <v>45336.370081018518</v>
      </c>
      <c r="R162">
        <v>15.118055555562025</v>
      </c>
      <c r="S162">
        <f>VLOOKUP(F162,'VALORES DIST'!$A$3:$B$27,2,TRUE)</f>
        <v>11816.268749999999</v>
      </c>
    </row>
    <row r="163" spans="1:19" x14ac:dyDescent="0.25">
      <c r="A163">
        <v>900014238</v>
      </c>
      <c r="B163" t="s">
        <v>7126</v>
      </c>
      <c r="C163" t="s">
        <v>7969</v>
      </c>
      <c r="D163" t="s">
        <v>7970</v>
      </c>
      <c r="E163">
        <v>336</v>
      </c>
      <c r="F163">
        <v>1.224</v>
      </c>
      <c r="G163" t="s">
        <v>7509</v>
      </c>
      <c r="H163">
        <v>0</v>
      </c>
      <c r="I163" t="s">
        <v>7805</v>
      </c>
      <c r="J163">
        <v>0</v>
      </c>
      <c r="K163">
        <v>1</v>
      </c>
      <c r="L163" s="189">
        <v>45337</v>
      </c>
      <c r="M163" t="s">
        <v>7764</v>
      </c>
      <c r="N163" t="s">
        <v>7765</v>
      </c>
      <c r="O163">
        <v>-34.513758099999997</v>
      </c>
      <c r="P163">
        <v>-58.565118099999999</v>
      </c>
      <c r="Q163">
        <v>45336.408912037034</v>
      </c>
      <c r="R163">
        <v>14.186111111193895</v>
      </c>
      <c r="S163">
        <f>VLOOKUP(F163,'VALORES DIST'!$A$3:$B$27,2,TRUE)</f>
        <v>11816.268749999999</v>
      </c>
    </row>
    <row r="164" spans="1:19" x14ac:dyDescent="0.25">
      <c r="A164">
        <v>900014237</v>
      </c>
      <c r="B164" t="s">
        <v>7099</v>
      </c>
      <c r="C164" t="s">
        <v>7876</v>
      </c>
      <c r="D164" t="s">
        <v>7794</v>
      </c>
      <c r="E164">
        <v>10</v>
      </c>
      <c r="F164">
        <v>6.6000000000000003E-2</v>
      </c>
      <c r="G164" t="s">
        <v>7509</v>
      </c>
      <c r="H164">
        <v>0</v>
      </c>
      <c r="I164" t="s">
        <v>7805</v>
      </c>
      <c r="J164">
        <v>0</v>
      </c>
      <c r="K164">
        <v>1</v>
      </c>
      <c r="L164" s="189">
        <v>45338</v>
      </c>
      <c r="M164" t="s">
        <v>7764</v>
      </c>
      <c r="N164" t="s">
        <v>7765</v>
      </c>
      <c r="O164">
        <v>-34.630330999999998</v>
      </c>
      <c r="P164">
        <v>-58.462640999999998</v>
      </c>
      <c r="Q164">
        <v>45336.370081018518</v>
      </c>
      <c r="R164">
        <v>39.118055555562023</v>
      </c>
      <c r="S164">
        <f>VLOOKUP(F164,'VALORES DIST'!$A$3:$B$27,2,TRUE)</f>
        <v>11816.268749999999</v>
      </c>
    </row>
    <row r="165" spans="1:19" x14ac:dyDescent="0.25">
      <c r="A165">
        <v>900014230</v>
      </c>
      <c r="B165" t="s">
        <v>7119</v>
      </c>
      <c r="C165" t="s">
        <v>7983</v>
      </c>
      <c r="D165" t="s">
        <v>7794</v>
      </c>
      <c r="E165">
        <v>52</v>
      </c>
      <c r="F165">
        <v>0.36799999999999999</v>
      </c>
      <c r="G165" t="s">
        <v>7509</v>
      </c>
      <c r="H165">
        <v>0</v>
      </c>
      <c r="I165" t="s">
        <v>7805</v>
      </c>
      <c r="J165">
        <v>0</v>
      </c>
      <c r="K165">
        <v>1</v>
      </c>
      <c r="L165" s="189">
        <v>45338</v>
      </c>
      <c r="M165" t="s">
        <v>7764</v>
      </c>
      <c r="N165" t="s">
        <v>7765</v>
      </c>
      <c r="O165">
        <v>-34.606155399999999</v>
      </c>
      <c r="P165">
        <v>-58.402174000000002</v>
      </c>
      <c r="Q165">
        <v>45336.370069444441</v>
      </c>
      <c r="R165">
        <v>39.118333333404735</v>
      </c>
      <c r="S165">
        <f>VLOOKUP(F165,'VALORES DIST'!$A$3:$B$27,2,TRUE)</f>
        <v>11816.268749999999</v>
      </c>
    </row>
    <row r="166" spans="1:19" x14ac:dyDescent="0.25">
      <c r="A166">
        <v>900014227</v>
      </c>
      <c r="B166" t="s">
        <v>7393</v>
      </c>
      <c r="C166" t="s">
        <v>7984</v>
      </c>
      <c r="D166" t="s">
        <v>7794</v>
      </c>
      <c r="E166">
        <v>72</v>
      </c>
      <c r="F166">
        <v>7.1999999999999995E-2</v>
      </c>
      <c r="G166" t="s">
        <v>7509</v>
      </c>
      <c r="H166">
        <v>0</v>
      </c>
      <c r="I166" t="s">
        <v>7805</v>
      </c>
      <c r="J166">
        <v>0</v>
      </c>
      <c r="K166">
        <v>1</v>
      </c>
      <c r="L166" s="189">
        <v>45338</v>
      </c>
      <c r="M166" t="s">
        <v>7764</v>
      </c>
      <c r="N166" t="s">
        <v>7765</v>
      </c>
      <c r="O166">
        <v>-34.626446199999997</v>
      </c>
      <c r="P166">
        <v>-58.401406899999998</v>
      </c>
      <c r="Q166">
        <v>45336.370069444441</v>
      </c>
      <c r="R166">
        <v>39.118333333404735</v>
      </c>
      <c r="S166">
        <f>VLOOKUP(F166,'VALORES DIST'!$A$3:$B$27,2,TRUE)</f>
        <v>11816.268749999999</v>
      </c>
    </row>
    <row r="167" spans="1:19" x14ac:dyDescent="0.25">
      <c r="A167">
        <v>900014224</v>
      </c>
      <c r="B167" t="s">
        <v>7008</v>
      </c>
      <c r="C167" t="s">
        <v>7842</v>
      </c>
      <c r="D167" t="s">
        <v>7794</v>
      </c>
      <c r="E167">
        <v>60</v>
      </c>
      <c r="F167">
        <v>7.1999999999999995E-2</v>
      </c>
      <c r="G167" t="s">
        <v>7509</v>
      </c>
      <c r="H167">
        <v>0</v>
      </c>
      <c r="I167" t="s">
        <v>7805</v>
      </c>
      <c r="J167">
        <v>0</v>
      </c>
      <c r="K167">
        <v>1</v>
      </c>
      <c r="L167" s="189">
        <v>45338</v>
      </c>
      <c r="M167" t="s">
        <v>7764</v>
      </c>
      <c r="N167" t="s">
        <v>7765</v>
      </c>
      <c r="O167">
        <v>-34.595244000000001</v>
      </c>
      <c r="P167">
        <v>-58.393552300000003</v>
      </c>
      <c r="Q167">
        <v>45336.370069444441</v>
      </c>
      <c r="R167">
        <v>39.118333333404735</v>
      </c>
      <c r="S167">
        <f>VLOOKUP(F167,'VALORES DIST'!$A$3:$B$27,2,TRUE)</f>
        <v>11816.268749999999</v>
      </c>
    </row>
    <row r="168" spans="1:19" x14ac:dyDescent="0.25">
      <c r="A168">
        <v>900014221</v>
      </c>
      <c r="B168" t="s">
        <v>7813</v>
      </c>
      <c r="C168" t="s">
        <v>7814</v>
      </c>
      <c r="D168" t="s">
        <v>7794</v>
      </c>
      <c r="E168">
        <v>180</v>
      </c>
      <c r="F168">
        <v>0.27600000000000002</v>
      </c>
      <c r="G168" t="s">
        <v>7509</v>
      </c>
      <c r="H168" t="s">
        <v>7815</v>
      </c>
      <c r="I168" t="s">
        <v>7805</v>
      </c>
      <c r="J168">
        <v>0</v>
      </c>
      <c r="K168">
        <v>1</v>
      </c>
      <c r="L168" s="189">
        <v>45338</v>
      </c>
      <c r="M168" t="s">
        <v>7764</v>
      </c>
      <c r="N168" t="s">
        <v>7765</v>
      </c>
      <c r="O168">
        <v>-34.603105200000002</v>
      </c>
      <c r="P168">
        <v>-58.374937600000003</v>
      </c>
      <c r="Q168">
        <v>45336.370069444441</v>
      </c>
      <c r="R168">
        <v>39.118333333404735</v>
      </c>
      <c r="S168">
        <f>VLOOKUP(F168,'VALORES DIST'!$A$3:$B$27,2,TRUE)</f>
        <v>11816.268749999999</v>
      </c>
    </row>
    <row r="169" spans="1:19" x14ac:dyDescent="0.25">
      <c r="A169">
        <v>900014218</v>
      </c>
      <c r="B169" t="s">
        <v>7112</v>
      </c>
      <c r="C169" t="s">
        <v>7985</v>
      </c>
      <c r="D169" t="s">
        <v>7794</v>
      </c>
      <c r="E169">
        <v>159</v>
      </c>
      <c r="F169">
        <v>0.29099999999999998</v>
      </c>
      <c r="G169" t="s">
        <v>7509</v>
      </c>
      <c r="H169">
        <v>0</v>
      </c>
      <c r="I169" t="s">
        <v>7805</v>
      </c>
      <c r="J169">
        <v>0</v>
      </c>
      <c r="K169">
        <v>1</v>
      </c>
      <c r="L169" s="189">
        <v>45338</v>
      </c>
      <c r="M169" t="s">
        <v>7764</v>
      </c>
      <c r="N169" t="s">
        <v>7765</v>
      </c>
      <c r="O169">
        <v>-34.649025399999999</v>
      </c>
      <c r="P169">
        <v>-58.5003162</v>
      </c>
      <c r="Q169">
        <v>45336.370057870372</v>
      </c>
      <c r="R169">
        <v>39.118611111072823</v>
      </c>
      <c r="S169">
        <f>VLOOKUP(F169,'VALORES DIST'!$A$3:$B$27,2,TRUE)</f>
        <v>11816.268749999999</v>
      </c>
    </row>
    <row r="170" spans="1:19" x14ac:dyDescent="0.25">
      <c r="A170">
        <v>900014248</v>
      </c>
      <c r="B170" t="s">
        <v>6966</v>
      </c>
      <c r="C170" t="s">
        <v>7986</v>
      </c>
      <c r="D170" t="s">
        <v>7794</v>
      </c>
      <c r="E170">
        <v>120</v>
      </c>
      <c r="F170">
        <v>3.48</v>
      </c>
      <c r="G170" t="s">
        <v>7509</v>
      </c>
      <c r="H170">
        <v>0</v>
      </c>
      <c r="I170" t="s">
        <v>7805</v>
      </c>
      <c r="J170">
        <v>0</v>
      </c>
      <c r="K170">
        <v>1</v>
      </c>
      <c r="L170" s="189">
        <v>45338</v>
      </c>
      <c r="M170" t="s">
        <v>7764</v>
      </c>
      <c r="N170" t="s">
        <v>7765</v>
      </c>
      <c r="O170">
        <v>-34.576191700000003</v>
      </c>
      <c r="P170">
        <v>-58.448747900000001</v>
      </c>
      <c r="Q170">
        <v>45336.370081018518</v>
      </c>
      <c r="R170">
        <v>39.118055555562023</v>
      </c>
      <c r="S170">
        <f>VLOOKUP(F170,'VALORES DIST'!$A$3:$B$27,2,TRUE)</f>
        <v>13787.231250000001</v>
      </c>
    </row>
    <row r="171" spans="1:19" x14ac:dyDescent="0.25">
      <c r="A171">
        <v>900014233</v>
      </c>
      <c r="B171" t="s">
        <v>7107</v>
      </c>
      <c r="C171" t="s">
        <v>7987</v>
      </c>
      <c r="D171" t="s">
        <v>7988</v>
      </c>
      <c r="E171">
        <v>72</v>
      </c>
      <c r="F171">
        <v>0.16800000000000001</v>
      </c>
      <c r="G171" t="s">
        <v>7509</v>
      </c>
      <c r="H171">
        <v>0</v>
      </c>
      <c r="I171" t="s">
        <v>7989</v>
      </c>
      <c r="J171" t="s">
        <v>7990</v>
      </c>
      <c r="K171">
        <v>1</v>
      </c>
      <c r="L171" s="189">
        <v>45338</v>
      </c>
      <c r="M171" t="s">
        <v>7764</v>
      </c>
      <c r="N171" t="s">
        <v>7765</v>
      </c>
      <c r="O171">
        <v>-38.715818900000002</v>
      </c>
      <c r="P171">
        <v>-62.2616029</v>
      </c>
      <c r="Q171">
        <v>45336.370081018518</v>
      </c>
      <c r="R171">
        <v>39.118055555562023</v>
      </c>
      <c r="S171">
        <f>VLOOKUP(F171,'VALORES DIST'!$A$3:$B$27,2,TRUE)</f>
        <v>11816.268749999999</v>
      </c>
    </row>
    <row r="172" spans="1:19" x14ac:dyDescent="0.25">
      <c r="A172">
        <v>160224</v>
      </c>
      <c r="B172" t="s">
        <v>6939</v>
      </c>
      <c r="C172" t="s">
        <v>7927</v>
      </c>
      <c r="D172" t="s">
        <v>7928</v>
      </c>
      <c r="E172">
        <v>142</v>
      </c>
      <c r="F172">
        <v>32.520000000000003</v>
      </c>
      <c r="G172" t="s">
        <v>5141</v>
      </c>
      <c r="I172" t="s">
        <v>7867</v>
      </c>
      <c r="J172">
        <v>0</v>
      </c>
      <c r="K172">
        <v>2</v>
      </c>
      <c r="L172" s="189">
        <v>45338</v>
      </c>
      <c r="M172" t="s">
        <v>7914</v>
      </c>
      <c r="N172" t="s">
        <v>7765</v>
      </c>
      <c r="O172">
        <v>-34.479624299999998</v>
      </c>
      <c r="P172">
        <v>-58.661138399999999</v>
      </c>
      <c r="S172">
        <f>VLOOKUP(F172,'VALORES DIST'!$A$3:$B$27,2,TRUE)</f>
        <v>184145.56875000001</v>
      </c>
    </row>
    <row r="173" spans="1:19" x14ac:dyDescent="0.25">
      <c r="A173">
        <v>16022024</v>
      </c>
      <c r="B173" t="s">
        <v>6939</v>
      </c>
      <c r="C173" t="s">
        <v>7927</v>
      </c>
      <c r="D173" t="s">
        <v>7928</v>
      </c>
      <c r="E173">
        <v>24</v>
      </c>
      <c r="F173">
        <v>36</v>
      </c>
      <c r="G173" t="s">
        <v>5141</v>
      </c>
      <c r="H173">
        <v>0</v>
      </c>
      <c r="I173" t="s">
        <v>7867</v>
      </c>
      <c r="J173">
        <v>0</v>
      </c>
      <c r="K173">
        <v>2</v>
      </c>
      <c r="L173" s="189">
        <v>45338</v>
      </c>
      <c r="M173" t="s">
        <v>7991</v>
      </c>
      <c r="N173" t="s">
        <v>7765</v>
      </c>
      <c r="O173">
        <v>-34.479624299999998</v>
      </c>
      <c r="P173">
        <v>-58.661138399999999</v>
      </c>
      <c r="S173">
        <f>VLOOKUP(F173,'VALORES DIST'!$A$3:$B$27,2,TRUE)</f>
        <v>194979.52499999999</v>
      </c>
    </row>
    <row r="174" spans="1:19" x14ac:dyDescent="0.25">
      <c r="A174">
        <v>900014296</v>
      </c>
      <c r="B174" t="s">
        <v>6972</v>
      </c>
      <c r="C174" t="s">
        <v>7992</v>
      </c>
      <c r="D174" t="s">
        <v>7993</v>
      </c>
      <c r="E174">
        <v>114</v>
      </c>
      <c r="F174">
        <v>0.55800000000000005</v>
      </c>
      <c r="G174" t="s">
        <v>7509</v>
      </c>
      <c r="H174">
        <v>0</v>
      </c>
      <c r="I174" t="s">
        <v>7835</v>
      </c>
      <c r="J174" t="s">
        <v>7836</v>
      </c>
      <c r="K174">
        <v>1</v>
      </c>
      <c r="L174" s="189">
        <v>45341</v>
      </c>
      <c r="M174" t="s">
        <v>7764</v>
      </c>
      <c r="N174" t="s">
        <v>7765</v>
      </c>
      <c r="O174">
        <v>-40.811908699999996</v>
      </c>
      <c r="P174">
        <v>-62.996204400000003</v>
      </c>
      <c r="Q174">
        <v>45328.425763888888</v>
      </c>
      <c r="R174">
        <v>301.78166666667676</v>
      </c>
      <c r="S174">
        <f>VLOOKUP(F174,'VALORES DIST'!$A$3:$B$27,2,TRUE)</f>
        <v>11816.268749999999</v>
      </c>
    </row>
    <row r="175" spans="1:19" x14ac:dyDescent="0.25">
      <c r="A175">
        <v>900014290</v>
      </c>
      <c r="B175" t="s">
        <v>7081</v>
      </c>
      <c r="C175" t="s">
        <v>7962</v>
      </c>
      <c r="D175" t="s">
        <v>7963</v>
      </c>
      <c r="E175">
        <v>33</v>
      </c>
      <c r="F175">
        <v>1.004</v>
      </c>
      <c r="G175" t="s">
        <v>7509</v>
      </c>
      <c r="H175">
        <v>0</v>
      </c>
      <c r="I175" t="s">
        <v>7787</v>
      </c>
      <c r="J175" t="s">
        <v>7788</v>
      </c>
      <c r="K175">
        <v>1</v>
      </c>
      <c r="L175" s="189">
        <v>45341</v>
      </c>
      <c r="M175" t="s">
        <v>7764</v>
      </c>
      <c r="N175" t="s">
        <v>7765</v>
      </c>
      <c r="O175">
        <v>-34.614748800000001</v>
      </c>
      <c r="P175">
        <v>-68.332763</v>
      </c>
      <c r="Q175">
        <v>45336.41609953704</v>
      </c>
      <c r="R175">
        <v>110.01361111103324</v>
      </c>
      <c r="S175">
        <f>VLOOKUP(F175,'VALORES DIST'!$A$3:$B$27,2,TRUE)</f>
        <v>11816.268749999999</v>
      </c>
    </row>
    <row r="176" spans="1:19" x14ac:dyDescent="0.25">
      <c r="A176">
        <v>900014219</v>
      </c>
      <c r="B176" t="s">
        <v>7249</v>
      </c>
      <c r="C176" t="s">
        <v>7994</v>
      </c>
      <c r="D176" t="s">
        <v>7886</v>
      </c>
      <c r="E176">
        <v>87</v>
      </c>
      <c r="F176">
        <v>9.9000000000000005E-2</v>
      </c>
      <c r="G176" t="s">
        <v>7509</v>
      </c>
      <c r="H176">
        <v>0</v>
      </c>
      <c r="I176" t="s">
        <v>7995</v>
      </c>
      <c r="J176" t="s">
        <v>7996</v>
      </c>
      <c r="K176">
        <v>2</v>
      </c>
      <c r="L176" s="189">
        <v>45341</v>
      </c>
      <c r="M176" t="s">
        <v>7764</v>
      </c>
      <c r="N176" t="s">
        <v>7765</v>
      </c>
      <c r="O176">
        <v>-37.8956594</v>
      </c>
      <c r="P176">
        <v>-65.095779199999996</v>
      </c>
      <c r="Q176">
        <v>45336.370057870372</v>
      </c>
      <c r="R176">
        <v>111.11861111107282</v>
      </c>
      <c r="S176">
        <f>VLOOKUP(F176,'VALORES DIST'!$A$3:$B$27,2,TRUE)</f>
        <v>11816.268749999999</v>
      </c>
    </row>
    <row r="177" spans="1:19" x14ac:dyDescent="0.25">
      <c r="A177">
        <v>900014241</v>
      </c>
      <c r="B177" t="s">
        <v>7022</v>
      </c>
      <c r="C177" t="s">
        <v>7849</v>
      </c>
      <c r="D177" t="s">
        <v>7801</v>
      </c>
      <c r="E177">
        <v>42</v>
      </c>
      <c r="F177">
        <v>0.20399999999999999</v>
      </c>
      <c r="G177" t="s">
        <v>7509</v>
      </c>
      <c r="H177">
        <v>0</v>
      </c>
      <c r="I177" t="s">
        <v>7850</v>
      </c>
      <c r="J177" t="s">
        <v>7851</v>
      </c>
      <c r="K177">
        <v>1</v>
      </c>
      <c r="L177" s="189">
        <v>45341</v>
      </c>
      <c r="M177" t="s">
        <v>7764</v>
      </c>
      <c r="N177" t="s">
        <v>7765</v>
      </c>
      <c r="O177">
        <v>-32.947460499999998</v>
      </c>
      <c r="P177">
        <v>-60.638382300000004</v>
      </c>
      <c r="Q177">
        <v>45336.370081018518</v>
      </c>
      <c r="R177">
        <v>111.11805555556202</v>
      </c>
      <c r="S177">
        <f>VLOOKUP(F177,'VALORES DIST'!$A$3:$B$27,2,TRUE)</f>
        <v>11816.268749999999</v>
      </c>
    </row>
    <row r="178" spans="1:19" x14ac:dyDescent="0.25">
      <c r="A178">
        <v>900014240</v>
      </c>
      <c r="B178" t="s">
        <v>7372</v>
      </c>
      <c r="C178" t="s">
        <v>7997</v>
      </c>
      <c r="D178" t="s">
        <v>7998</v>
      </c>
      <c r="E178">
        <v>30</v>
      </c>
      <c r="F178">
        <v>0.03</v>
      </c>
      <c r="G178" t="s">
        <v>7509</v>
      </c>
      <c r="H178">
        <v>0</v>
      </c>
      <c r="I178" t="s">
        <v>7999</v>
      </c>
      <c r="J178" t="s">
        <v>8000</v>
      </c>
      <c r="K178">
        <v>1</v>
      </c>
      <c r="L178" s="189">
        <v>45341</v>
      </c>
      <c r="M178" t="s">
        <v>7764</v>
      </c>
      <c r="N178" t="s">
        <v>7765</v>
      </c>
      <c r="O178">
        <v>-34.9204948</v>
      </c>
      <c r="P178">
        <v>-57.953565699999999</v>
      </c>
      <c r="Q178">
        <v>45336.370081018518</v>
      </c>
      <c r="R178">
        <v>111.11805555556202</v>
      </c>
      <c r="S178">
        <f>VLOOKUP(F178,'VALORES DIST'!$A$3:$B$27,2,TRUE)</f>
        <v>11816.268749999999</v>
      </c>
    </row>
    <row r="179" spans="1:19" x14ac:dyDescent="0.25">
      <c r="A179">
        <v>900014212</v>
      </c>
      <c r="B179" t="s">
        <v>7766</v>
      </c>
      <c r="C179" t="s">
        <v>7767</v>
      </c>
      <c r="D179" t="s">
        <v>7768</v>
      </c>
      <c r="E179">
        <v>139</v>
      </c>
      <c r="F179">
        <v>0.219</v>
      </c>
      <c r="G179" t="s">
        <v>7509</v>
      </c>
      <c r="H179">
        <v>0</v>
      </c>
      <c r="I179" t="s">
        <v>7769</v>
      </c>
      <c r="J179" t="s">
        <v>7770</v>
      </c>
      <c r="K179">
        <v>3</v>
      </c>
      <c r="L179" s="189">
        <v>45341</v>
      </c>
      <c r="M179" t="s">
        <v>7764</v>
      </c>
      <c r="N179" t="s">
        <v>7765</v>
      </c>
      <c r="O179">
        <v>-36.618456199999997</v>
      </c>
      <c r="P179">
        <v>-64.288480199999995</v>
      </c>
      <c r="Q179">
        <v>45336.370046296295</v>
      </c>
      <c r="R179">
        <v>111.11888888891554</v>
      </c>
      <c r="S179">
        <f>VLOOKUP(F179,'VALORES DIST'!$A$3:$B$27,2,TRUE)</f>
        <v>11816.268749999999</v>
      </c>
    </row>
    <row r="180" spans="1:19" x14ac:dyDescent="0.25">
      <c r="A180">
        <v>900014215</v>
      </c>
      <c r="B180" t="s">
        <v>8001</v>
      </c>
      <c r="C180" t="s">
        <v>8002</v>
      </c>
      <c r="D180" t="s">
        <v>8003</v>
      </c>
      <c r="E180">
        <v>24</v>
      </c>
      <c r="F180">
        <v>7.6999999999999999E-2</v>
      </c>
      <c r="G180" t="s">
        <v>7509</v>
      </c>
      <c r="H180">
        <v>0</v>
      </c>
      <c r="I180" t="s">
        <v>7895</v>
      </c>
      <c r="J180" t="s">
        <v>7896</v>
      </c>
      <c r="K180">
        <v>1</v>
      </c>
      <c r="L180" s="189">
        <v>45341</v>
      </c>
      <c r="M180" t="s">
        <v>7764</v>
      </c>
      <c r="N180" t="s">
        <v>7765</v>
      </c>
      <c r="O180">
        <v>-28.464721699999998</v>
      </c>
      <c r="P180">
        <v>-65.800546299999993</v>
      </c>
      <c r="Q180">
        <v>45336.370057870372</v>
      </c>
      <c r="R180">
        <v>111.11861111107282</v>
      </c>
      <c r="S180">
        <f>VLOOKUP(F180,'VALORES DIST'!$A$3:$B$27,2,TRUE)</f>
        <v>11816.268749999999</v>
      </c>
    </row>
    <row r="181" spans="1:19" x14ac:dyDescent="0.25">
      <c r="A181">
        <v>900014222</v>
      </c>
      <c r="B181" t="s">
        <v>7034</v>
      </c>
      <c r="C181" t="s">
        <v>8004</v>
      </c>
      <c r="D181" t="s">
        <v>7935</v>
      </c>
      <c r="E181">
        <v>20</v>
      </c>
      <c r="F181">
        <v>0.12</v>
      </c>
      <c r="G181" t="s">
        <v>7509</v>
      </c>
      <c r="H181">
        <v>0</v>
      </c>
      <c r="I181" t="s">
        <v>8005</v>
      </c>
      <c r="J181" t="s">
        <v>8006</v>
      </c>
      <c r="K181">
        <v>1</v>
      </c>
      <c r="L181" s="189">
        <v>45341</v>
      </c>
      <c r="M181" t="s">
        <v>7764</v>
      </c>
      <c r="N181" t="s">
        <v>7765</v>
      </c>
      <c r="O181">
        <v>-38.004376499999999</v>
      </c>
      <c r="P181">
        <v>-57.559128899999997</v>
      </c>
      <c r="Q181">
        <v>45336.370069444441</v>
      </c>
      <c r="R181">
        <v>111.11833333340472</v>
      </c>
      <c r="S181">
        <f>VLOOKUP(F181,'VALORES DIST'!$A$3:$B$27,2,TRUE)</f>
        <v>11816.268749999999</v>
      </c>
    </row>
    <row r="182" spans="1:19" x14ac:dyDescent="0.25">
      <c r="A182">
        <v>900014234</v>
      </c>
      <c r="B182" t="s">
        <v>7235</v>
      </c>
      <c r="C182" t="s">
        <v>8007</v>
      </c>
      <c r="D182" t="s">
        <v>8008</v>
      </c>
      <c r="E182">
        <v>14</v>
      </c>
      <c r="F182">
        <v>0.114</v>
      </c>
      <c r="G182" t="s">
        <v>7509</v>
      </c>
      <c r="H182">
        <v>0</v>
      </c>
      <c r="I182" t="s">
        <v>8009</v>
      </c>
      <c r="J182" t="s">
        <v>8010</v>
      </c>
      <c r="K182">
        <v>2</v>
      </c>
      <c r="L182" s="189">
        <v>45341</v>
      </c>
      <c r="M182" t="s">
        <v>7764</v>
      </c>
      <c r="N182" t="s">
        <v>7765</v>
      </c>
      <c r="O182">
        <v>-33.044742300000003</v>
      </c>
      <c r="P182">
        <v>-61.167425399999999</v>
      </c>
      <c r="Q182">
        <v>45336.370081018518</v>
      </c>
      <c r="R182">
        <v>111.11805555556202</v>
      </c>
      <c r="S182">
        <f>VLOOKUP(F182,'VALORES DIST'!$A$3:$B$27,2,TRUE)</f>
        <v>11816.268749999999</v>
      </c>
    </row>
    <row r="183" spans="1:19" x14ac:dyDescent="0.25">
      <c r="A183">
        <v>900014291</v>
      </c>
      <c r="B183" t="s">
        <v>7053</v>
      </c>
      <c r="C183" t="s">
        <v>7797</v>
      </c>
      <c r="D183" t="s">
        <v>7761</v>
      </c>
      <c r="E183">
        <v>22</v>
      </c>
      <c r="F183">
        <v>0.23</v>
      </c>
      <c r="G183" t="s">
        <v>7509</v>
      </c>
      <c r="H183">
        <v>0</v>
      </c>
      <c r="I183" t="s">
        <v>7798</v>
      </c>
      <c r="J183" t="s">
        <v>7799</v>
      </c>
      <c r="K183">
        <v>1</v>
      </c>
      <c r="L183" s="189">
        <v>45341</v>
      </c>
      <c r="M183" t="s">
        <v>7764</v>
      </c>
      <c r="N183" t="s">
        <v>7765</v>
      </c>
      <c r="O183">
        <v>-24.793081099999998</v>
      </c>
      <c r="P183">
        <v>-65.4112492</v>
      </c>
      <c r="Q183">
        <v>45336.41609953704</v>
      </c>
      <c r="R183">
        <v>110.01361111103324</v>
      </c>
      <c r="S183">
        <f>VLOOKUP(F183,'VALORES DIST'!$A$3:$B$27,2,TRUE)</f>
        <v>11816.268749999999</v>
      </c>
    </row>
    <row r="184" spans="1:19" x14ac:dyDescent="0.25">
      <c r="A184">
        <v>900014223</v>
      </c>
      <c r="B184" t="s">
        <v>7035</v>
      </c>
      <c r="C184" t="s">
        <v>8011</v>
      </c>
      <c r="D184" t="s">
        <v>7768</v>
      </c>
      <c r="E184">
        <v>87</v>
      </c>
      <c r="F184">
        <v>0.159</v>
      </c>
      <c r="G184" t="s">
        <v>7509</v>
      </c>
      <c r="H184">
        <v>0</v>
      </c>
      <c r="I184" t="s">
        <v>7769</v>
      </c>
      <c r="J184" t="s">
        <v>7770</v>
      </c>
      <c r="K184">
        <v>3</v>
      </c>
      <c r="L184" s="189">
        <v>45341</v>
      </c>
      <c r="M184" t="s">
        <v>7764</v>
      </c>
      <c r="N184" t="s">
        <v>7765</v>
      </c>
      <c r="O184">
        <v>-36.623970700000001</v>
      </c>
      <c r="P184">
        <v>-64.282447700000006</v>
      </c>
      <c r="Q184">
        <v>45336.370069444441</v>
      </c>
      <c r="R184">
        <v>111.11833333340472</v>
      </c>
      <c r="S184">
        <f>VLOOKUP(F184,'VALORES DIST'!$A$3:$B$27,2,TRUE)</f>
        <v>11816.268749999999</v>
      </c>
    </row>
    <row r="185" spans="1:19" x14ac:dyDescent="0.25">
      <c r="A185">
        <v>900014235</v>
      </c>
      <c r="B185" t="s">
        <v>7353</v>
      </c>
      <c r="C185" t="s">
        <v>8012</v>
      </c>
      <c r="D185" t="s">
        <v>8013</v>
      </c>
      <c r="E185">
        <v>24</v>
      </c>
      <c r="F185">
        <v>2.4E-2</v>
      </c>
      <c r="G185" t="s">
        <v>7509</v>
      </c>
      <c r="H185">
        <v>0</v>
      </c>
      <c r="I185" t="s">
        <v>8014</v>
      </c>
      <c r="J185" t="s">
        <v>8015</v>
      </c>
      <c r="K185">
        <v>1</v>
      </c>
      <c r="L185" s="189">
        <v>45341</v>
      </c>
      <c r="M185" t="s">
        <v>7764</v>
      </c>
      <c r="N185" t="s">
        <v>7765</v>
      </c>
      <c r="O185">
        <v>-31.254707</v>
      </c>
      <c r="P185">
        <v>-61.485429000000003</v>
      </c>
      <c r="Q185">
        <v>45336.370081018518</v>
      </c>
      <c r="R185">
        <v>111.11805555556202</v>
      </c>
      <c r="S185">
        <f>VLOOKUP(F185,'VALORES DIST'!$A$3:$B$27,2,TRUE)</f>
        <v>11816.268749999999</v>
      </c>
    </row>
    <row r="186" spans="1:19" x14ac:dyDescent="0.25">
      <c r="A186">
        <v>900014210</v>
      </c>
      <c r="B186" t="s">
        <v>8016</v>
      </c>
      <c r="C186" t="s">
        <v>8017</v>
      </c>
      <c r="D186" t="s">
        <v>8018</v>
      </c>
      <c r="E186">
        <v>72</v>
      </c>
      <c r="F186">
        <v>7.1999999999999995E-2</v>
      </c>
      <c r="G186" t="s">
        <v>7509</v>
      </c>
      <c r="H186">
        <v>0</v>
      </c>
      <c r="I186" t="s">
        <v>7762</v>
      </c>
      <c r="J186" t="s">
        <v>7763</v>
      </c>
      <c r="K186">
        <v>1</v>
      </c>
      <c r="L186" s="189">
        <v>45341</v>
      </c>
      <c r="M186" t="s">
        <v>7764</v>
      </c>
      <c r="N186" t="s">
        <v>7765</v>
      </c>
      <c r="O186">
        <v>-24.182942000000001</v>
      </c>
      <c r="P186">
        <v>-65.303069899999997</v>
      </c>
      <c r="Q186">
        <v>45336.370046296295</v>
      </c>
      <c r="R186">
        <v>111.11888888891554</v>
      </c>
      <c r="S186">
        <f>VLOOKUP(F186,'VALORES DIST'!$A$3:$B$27,2,TRUE)</f>
        <v>11816.268749999999</v>
      </c>
    </row>
    <row r="187" spans="1:19" x14ac:dyDescent="0.25">
      <c r="A187">
        <v>900014236</v>
      </c>
      <c r="B187" t="s">
        <v>7154</v>
      </c>
      <c r="C187" t="s">
        <v>8019</v>
      </c>
      <c r="D187" t="s">
        <v>7801</v>
      </c>
      <c r="E187">
        <v>8</v>
      </c>
      <c r="F187">
        <v>0.108</v>
      </c>
      <c r="G187" t="s">
        <v>7509</v>
      </c>
      <c r="H187">
        <v>0</v>
      </c>
      <c r="I187" t="s">
        <v>7850</v>
      </c>
      <c r="J187" t="s">
        <v>7851</v>
      </c>
      <c r="K187">
        <v>1</v>
      </c>
      <c r="L187" s="189">
        <v>45341</v>
      </c>
      <c r="M187" t="s">
        <v>7764</v>
      </c>
      <c r="N187" t="s">
        <v>7765</v>
      </c>
      <c r="O187">
        <v>-32.976676699999999</v>
      </c>
      <c r="P187">
        <v>-60.651304400000001</v>
      </c>
      <c r="Q187">
        <v>45336.370081018518</v>
      </c>
      <c r="R187">
        <v>111.11805555556202</v>
      </c>
      <c r="S187">
        <f>VLOOKUP(F187,'VALORES DIST'!$A$3:$B$27,2,TRUE)</f>
        <v>11816.268749999999</v>
      </c>
    </row>
    <row r="188" spans="1:19" x14ac:dyDescent="0.25">
      <c r="A188">
        <v>900014213</v>
      </c>
      <c r="B188" t="s">
        <v>7025</v>
      </c>
      <c r="C188" t="s">
        <v>8020</v>
      </c>
      <c r="D188" t="s">
        <v>7935</v>
      </c>
      <c r="E188">
        <v>192</v>
      </c>
      <c r="F188">
        <v>0.192</v>
      </c>
      <c r="G188" t="s">
        <v>7509</v>
      </c>
      <c r="H188">
        <v>0</v>
      </c>
      <c r="I188" t="s">
        <v>8021</v>
      </c>
      <c r="J188" t="s">
        <v>8022</v>
      </c>
      <c r="K188">
        <v>1</v>
      </c>
      <c r="L188" s="189">
        <v>45341</v>
      </c>
      <c r="M188" t="s">
        <v>7764</v>
      </c>
      <c r="N188" t="s">
        <v>7765</v>
      </c>
      <c r="O188">
        <v>-37.970896099999997</v>
      </c>
      <c r="P188">
        <v>-57.634768600000001</v>
      </c>
      <c r="Q188">
        <v>45336.370057870372</v>
      </c>
      <c r="R188">
        <v>111.11861111107282</v>
      </c>
      <c r="S188">
        <f>VLOOKUP(F188,'VALORES DIST'!$A$3:$B$27,2,TRUE)</f>
        <v>11816.268749999999</v>
      </c>
    </row>
    <row r="189" spans="1:19" x14ac:dyDescent="0.25">
      <c r="A189">
        <v>900014229</v>
      </c>
      <c r="B189" t="s">
        <v>7208</v>
      </c>
      <c r="C189" t="s">
        <v>7785</v>
      </c>
      <c r="D189" t="s">
        <v>7786</v>
      </c>
      <c r="E189">
        <v>162</v>
      </c>
      <c r="F189">
        <v>0.16200000000000001</v>
      </c>
      <c r="G189" t="s">
        <v>7509</v>
      </c>
      <c r="H189">
        <v>0</v>
      </c>
      <c r="I189" t="s">
        <v>7787</v>
      </c>
      <c r="J189" t="s">
        <v>7788</v>
      </c>
      <c r="K189">
        <v>2</v>
      </c>
      <c r="L189" s="189">
        <v>45341</v>
      </c>
      <c r="M189" t="s">
        <v>7764</v>
      </c>
      <c r="N189" t="s">
        <v>7765</v>
      </c>
      <c r="O189">
        <v>-42.765902799999999</v>
      </c>
      <c r="P189">
        <v>-65.034841700000001</v>
      </c>
      <c r="Q189">
        <v>45336.370069444441</v>
      </c>
      <c r="R189">
        <v>111.11833333340472</v>
      </c>
      <c r="S189">
        <f>VLOOKUP(F189,'VALORES DIST'!$A$3:$B$27,2,TRUE)</f>
        <v>11816.268749999999</v>
      </c>
    </row>
    <row r="190" spans="1:19" x14ac:dyDescent="0.25">
      <c r="A190">
        <v>900014246</v>
      </c>
      <c r="B190" t="s">
        <v>7211</v>
      </c>
      <c r="C190" t="s">
        <v>7837</v>
      </c>
      <c r="D190" t="s">
        <v>7838</v>
      </c>
      <c r="E190">
        <v>30</v>
      </c>
      <c r="F190">
        <v>3.5999999999999997E-2</v>
      </c>
      <c r="G190" t="s">
        <v>7509</v>
      </c>
      <c r="H190">
        <v>0</v>
      </c>
      <c r="I190" t="s">
        <v>7839</v>
      </c>
      <c r="J190" t="s">
        <v>7840</v>
      </c>
      <c r="K190">
        <v>1</v>
      </c>
      <c r="L190" s="189">
        <v>45341</v>
      </c>
      <c r="M190" t="s">
        <v>7764</v>
      </c>
      <c r="N190" t="s">
        <v>7765</v>
      </c>
      <c r="O190">
        <v>-27.7833574</v>
      </c>
      <c r="P190">
        <v>-64.264167</v>
      </c>
      <c r="Q190">
        <v>45336.370081018518</v>
      </c>
      <c r="R190">
        <v>111.11805555556202</v>
      </c>
      <c r="S190">
        <f>VLOOKUP(F190,'VALORES DIST'!$A$3:$B$27,2,TRUE)</f>
        <v>11816.268749999999</v>
      </c>
    </row>
    <row r="191" spans="1:19" x14ac:dyDescent="0.25">
      <c r="A191">
        <v>900014244</v>
      </c>
      <c r="B191" t="s">
        <v>7082</v>
      </c>
      <c r="C191" t="s">
        <v>8023</v>
      </c>
      <c r="D191" t="s">
        <v>8024</v>
      </c>
      <c r="E191">
        <v>6</v>
      </c>
      <c r="F191">
        <v>6.6000000000000003E-2</v>
      </c>
      <c r="G191" t="s">
        <v>7509</v>
      </c>
      <c r="H191">
        <v>0</v>
      </c>
      <c r="I191" t="s">
        <v>8025</v>
      </c>
      <c r="J191" t="s">
        <v>8026</v>
      </c>
      <c r="K191">
        <v>1</v>
      </c>
      <c r="L191" s="189">
        <v>45341</v>
      </c>
      <c r="M191" t="s">
        <v>7764</v>
      </c>
      <c r="N191" t="s">
        <v>7765</v>
      </c>
      <c r="O191">
        <v>-33.808848099999999</v>
      </c>
      <c r="P191">
        <v>-59.502746100000003</v>
      </c>
      <c r="Q191">
        <v>45336.370081018518</v>
      </c>
      <c r="R191">
        <v>111.11805555556202</v>
      </c>
      <c r="S191">
        <f>VLOOKUP(F191,'VALORES DIST'!$A$3:$B$27,2,TRUE)</f>
        <v>11816.268749999999</v>
      </c>
    </row>
    <row r="192" spans="1:19" x14ac:dyDescent="0.25">
      <c r="A192">
        <v>900014292</v>
      </c>
      <c r="B192" t="s">
        <v>7759</v>
      </c>
      <c r="C192" t="s">
        <v>7760</v>
      </c>
      <c r="D192" t="s">
        <v>7761</v>
      </c>
      <c r="E192">
        <v>210</v>
      </c>
      <c r="F192">
        <v>0.28799999999999998</v>
      </c>
      <c r="G192" t="s">
        <v>7509</v>
      </c>
      <c r="H192">
        <v>0</v>
      </c>
      <c r="I192" t="s">
        <v>7762</v>
      </c>
      <c r="J192" t="s">
        <v>7763</v>
      </c>
      <c r="K192">
        <v>1</v>
      </c>
      <c r="L192" s="189">
        <v>45341</v>
      </c>
      <c r="M192" t="s">
        <v>7764</v>
      </c>
      <c r="N192" t="s">
        <v>7765</v>
      </c>
      <c r="O192">
        <v>-24.781306799999999</v>
      </c>
      <c r="P192">
        <v>-65.402777400000005</v>
      </c>
      <c r="Q192">
        <v>45336.41609953704</v>
      </c>
      <c r="R192">
        <v>110.01361111103324</v>
      </c>
      <c r="S192">
        <f>VLOOKUP(F192,'VALORES DIST'!$A$3:$B$27,2,TRUE)</f>
        <v>11816.268749999999</v>
      </c>
    </row>
    <row r="193" spans="1:19" x14ac:dyDescent="0.25">
      <c r="A193" t="s">
        <v>8027</v>
      </c>
      <c r="B193" t="s">
        <v>3982</v>
      </c>
      <c r="C193" t="s">
        <v>7974</v>
      </c>
      <c r="D193" t="s">
        <v>7975</v>
      </c>
      <c r="E193">
        <v>56</v>
      </c>
      <c r="F193">
        <v>6.5</v>
      </c>
      <c r="G193" t="s">
        <v>3982</v>
      </c>
      <c r="H193">
        <v>0</v>
      </c>
      <c r="I193" t="s">
        <v>7825</v>
      </c>
      <c r="J193">
        <v>0</v>
      </c>
      <c r="K193">
        <v>1</v>
      </c>
      <c r="L193" s="189">
        <v>45341</v>
      </c>
      <c r="M193" t="s">
        <v>7870</v>
      </c>
      <c r="N193" t="s">
        <v>7765</v>
      </c>
      <c r="O193">
        <v>-34.653543200000001</v>
      </c>
      <c r="P193">
        <v>-58.5321322</v>
      </c>
      <c r="S193">
        <f>VLOOKUP(F193,'VALORES DIST'!$A$3:$B$27,2,TRUE)</f>
        <v>53177.962500000001</v>
      </c>
    </row>
    <row r="194" spans="1:19" x14ac:dyDescent="0.25">
      <c r="A194">
        <v>1638</v>
      </c>
      <c r="B194" t="s">
        <v>7852</v>
      </c>
      <c r="C194" t="s">
        <v>7853</v>
      </c>
      <c r="D194" t="s">
        <v>7794</v>
      </c>
      <c r="E194">
        <v>140</v>
      </c>
      <c r="F194">
        <v>24.28</v>
      </c>
      <c r="G194" t="s">
        <v>7509</v>
      </c>
      <c r="H194" t="s">
        <v>8028</v>
      </c>
      <c r="I194" t="s">
        <v>7825</v>
      </c>
      <c r="J194">
        <v>0</v>
      </c>
      <c r="K194">
        <v>1</v>
      </c>
      <c r="L194" s="189">
        <v>45341</v>
      </c>
      <c r="M194" t="s">
        <v>7870</v>
      </c>
      <c r="N194" t="s">
        <v>7765</v>
      </c>
      <c r="O194">
        <v>-34.608005900000002</v>
      </c>
      <c r="P194">
        <v>-58.4625299</v>
      </c>
      <c r="S194">
        <f>VLOOKUP(F194,'VALORES DIST'!$A$3:$B$27,2,TRUE)</f>
        <v>161495.34375</v>
      </c>
    </row>
    <row r="195" spans="1:19" x14ac:dyDescent="0.25">
      <c r="A195">
        <v>900014313</v>
      </c>
      <c r="B195" t="s">
        <v>3450</v>
      </c>
      <c r="C195" t="s">
        <v>7804</v>
      </c>
      <c r="D195" t="s">
        <v>7794</v>
      </c>
      <c r="E195">
        <v>35</v>
      </c>
      <c r="F195">
        <v>1.07</v>
      </c>
      <c r="G195" t="s">
        <v>7509</v>
      </c>
      <c r="J195">
        <v>0</v>
      </c>
      <c r="K195">
        <v>1</v>
      </c>
      <c r="L195" s="189">
        <v>45341</v>
      </c>
      <c r="M195" t="s">
        <v>7870</v>
      </c>
      <c r="N195" t="s">
        <v>7765</v>
      </c>
      <c r="O195">
        <v>-34.608005900000002</v>
      </c>
      <c r="P195">
        <v>-58.4625299</v>
      </c>
      <c r="Q195">
        <v>45338.599444444444</v>
      </c>
      <c r="R195">
        <v>57.61333333334187</v>
      </c>
      <c r="S195">
        <f>VLOOKUP(F195,'VALORES DIST'!$A$3:$B$27,2,TRUE)</f>
        <v>11816.268749999999</v>
      </c>
    </row>
    <row r="196" spans="1:19" x14ac:dyDescent="0.25">
      <c r="A196">
        <v>30053</v>
      </c>
      <c r="B196" t="s">
        <v>7556</v>
      </c>
      <c r="C196" t="s">
        <v>7968</v>
      </c>
      <c r="D196" t="s">
        <v>7861</v>
      </c>
      <c r="E196">
        <v>140</v>
      </c>
      <c r="F196">
        <v>13.3</v>
      </c>
      <c r="G196" t="s">
        <v>7556</v>
      </c>
      <c r="H196">
        <v>0</v>
      </c>
      <c r="I196" t="s">
        <v>7825</v>
      </c>
      <c r="J196">
        <v>0</v>
      </c>
      <c r="K196">
        <v>1</v>
      </c>
      <c r="L196" s="189">
        <v>45342</v>
      </c>
      <c r="M196" t="s">
        <v>7870</v>
      </c>
      <c r="N196" t="s">
        <v>7765</v>
      </c>
      <c r="O196">
        <v>-345757521</v>
      </c>
      <c r="P196">
        <v>-585370965</v>
      </c>
      <c r="S196">
        <f>VLOOKUP(F196,'VALORES DIST'!$A$3:$B$27,2,TRUE)</f>
        <v>106349.58749999999</v>
      </c>
    </row>
    <row r="197" spans="1:19" x14ac:dyDescent="0.25">
      <c r="A197">
        <v>900014315</v>
      </c>
      <c r="B197" t="s">
        <v>7138</v>
      </c>
      <c r="C197" t="s">
        <v>8029</v>
      </c>
      <c r="D197" t="s">
        <v>8030</v>
      </c>
      <c r="E197">
        <v>792</v>
      </c>
      <c r="F197">
        <v>4.2228000000000003</v>
      </c>
      <c r="G197" t="s">
        <v>7509</v>
      </c>
      <c r="H197">
        <v>0</v>
      </c>
      <c r="I197" t="s">
        <v>7805</v>
      </c>
      <c r="J197">
        <v>0</v>
      </c>
      <c r="K197">
        <v>3</v>
      </c>
      <c r="L197" s="189">
        <v>45342</v>
      </c>
      <c r="M197" t="s">
        <v>7764</v>
      </c>
      <c r="N197" t="s">
        <v>7765</v>
      </c>
      <c r="O197">
        <v>-34.775064999999998</v>
      </c>
      <c r="P197">
        <v>-58.6222651</v>
      </c>
      <c r="Q197">
        <v>45338.599444444444</v>
      </c>
      <c r="R197">
        <v>81.61333333334187</v>
      </c>
      <c r="S197">
        <f>VLOOKUP(F197,'VALORES DIST'!$A$3:$B$27,2,TRUE)</f>
        <v>13787.231250000001</v>
      </c>
    </row>
    <row r="198" spans="1:19" x14ac:dyDescent="0.25">
      <c r="A198">
        <v>900014316</v>
      </c>
      <c r="B198" t="s">
        <v>7138</v>
      </c>
      <c r="C198" t="s">
        <v>8029</v>
      </c>
      <c r="D198" t="s">
        <v>8030</v>
      </c>
      <c r="E198">
        <v>24</v>
      </c>
      <c r="F198">
        <v>0.74399999999999999</v>
      </c>
      <c r="G198" t="s">
        <v>7509</v>
      </c>
      <c r="H198">
        <v>0</v>
      </c>
      <c r="I198" t="s">
        <v>7805</v>
      </c>
      <c r="J198">
        <v>0</v>
      </c>
      <c r="K198">
        <v>3</v>
      </c>
      <c r="L198" s="189">
        <v>45342</v>
      </c>
      <c r="M198" t="s">
        <v>7764</v>
      </c>
      <c r="N198" t="s">
        <v>7765</v>
      </c>
      <c r="O198">
        <v>-34.775064999999998</v>
      </c>
      <c r="P198">
        <v>-58.6222651</v>
      </c>
      <c r="Q198">
        <v>45338.599444444444</v>
      </c>
      <c r="R198">
        <v>81.61333333334187</v>
      </c>
      <c r="S198">
        <f>VLOOKUP(F198,'VALORES DIST'!$A$3:$B$27,2,TRUE)</f>
        <v>11816.268749999999</v>
      </c>
    </row>
    <row r="199" spans="1:19" x14ac:dyDescent="0.25">
      <c r="A199">
        <v>900014220</v>
      </c>
      <c r="B199" t="s">
        <v>7004</v>
      </c>
      <c r="C199" t="s">
        <v>8031</v>
      </c>
      <c r="D199" t="s">
        <v>8032</v>
      </c>
      <c r="E199">
        <v>96</v>
      </c>
      <c r="F199">
        <v>0.108</v>
      </c>
      <c r="G199" t="s">
        <v>7509</v>
      </c>
      <c r="H199">
        <v>0</v>
      </c>
      <c r="I199" t="s">
        <v>7805</v>
      </c>
      <c r="J199">
        <v>0</v>
      </c>
      <c r="K199">
        <v>3</v>
      </c>
      <c r="L199" s="189">
        <v>45342</v>
      </c>
      <c r="M199" t="s">
        <v>7764</v>
      </c>
      <c r="N199" t="s">
        <v>7765</v>
      </c>
      <c r="O199">
        <v>-34.622228800000002</v>
      </c>
      <c r="P199">
        <v>-58.437438100000001</v>
      </c>
      <c r="Q199">
        <v>45336.370057870372</v>
      </c>
      <c r="R199">
        <v>135.11861111107282</v>
      </c>
      <c r="S199">
        <f>VLOOKUP(F199,'VALORES DIST'!$A$3:$B$27,2,TRUE)</f>
        <v>11816.268749999999</v>
      </c>
    </row>
    <row r="200" spans="1:19" x14ac:dyDescent="0.25">
      <c r="A200">
        <v>900014239</v>
      </c>
      <c r="B200" t="s">
        <v>7268</v>
      </c>
      <c r="C200" t="s">
        <v>8033</v>
      </c>
      <c r="D200" t="s">
        <v>8034</v>
      </c>
      <c r="E200">
        <v>30</v>
      </c>
      <c r="F200">
        <v>7.8E-2</v>
      </c>
      <c r="G200" t="s">
        <v>7509</v>
      </c>
      <c r="H200">
        <v>0</v>
      </c>
      <c r="I200" t="s">
        <v>7805</v>
      </c>
      <c r="J200">
        <v>0</v>
      </c>
      <c r="K200">
        <v>3</v>
      </c>
      <c r="L200" s="189">
        <v>45342</v>
      </c>
      <c r="M200" t="s">
        <v>7764</v>
      </c>
      <c r="N200" t="s">
        <v>7765</v>
      </c>
      <c r="O200">
        <v>-34.628202000000002</v>
      </c>
      <c r="P200">
        <v>-58.481577999999999</v>
      </c>
      <c r="Q200">
        <v>45336.370081018518</v>
      </c>
      <c r="R200">
        <v>135.11805555556202</v>
      </c>
      <c r="S200">
        <f>VLOOKUP(F200,'VALORES DIST'!$A$3:$B$27,2,TRUE)</f>
        <v>11816.268749999999</v>
      </c>
    </row>
    <row r="201" spans="1:19" x14ac:dyDescent="0.25">
      <c r="A201">
        <v>900014217</v>
      </c>
      <c r="B201" t="s">
        <v>7002</v>
      </c>
      <c r="C201" t="s">
        <v>8035</v>
      </c>
      <c r="D201" t="s">
        <v>8036</v>
      </c>
      <c r="E201">
        <v>80</v>
      </c>
      <c r="F201">
        <v>0.154</v>
      </c>
      <c r="G201" t="s">
        <v>7509</v>
      </c>
      <c r="H201">
        <v>0</v>
      </c>
      <c r="I201" t="s">
        <v>7805</v>
      </c>
      <c r="J201">
        <v>0</v>
      </c>
      <c r="K201">
        <v>1</v>
      </c>
      <c r="L201" s="189">
        <v>45342</v>
      </c>
      <c r="M201" t="s">
        <v>7764</v>
      </c>
      <c r="N201" t="s">
        <v>7765</v>
      </c>
      <c r="O201">
        <v>-34.776407499999998</v>
      </c>
      <c r="P201">
        <v>-58.4072824</v>
      </c>
      <c r="Q201">
        <v>45336.370057870372</v>
      </c>
      <c r="R201">
        <v>135.11861111107282</v>
      </c>
      <c r="S201">
        <f>VLOOKUP(F201,'VALORES DIST'!$A$3:$B$27,2,TRUE)</f>
        <v>11816.268749999999</v>
      </c>
    </row>
    <row r="202" spans="1:19" x14ac:dyDescent="0.25">
      <c r="A202">
        <v>900014232</v>
      </c>
      <c r="B202" t="s">
        <v>7388</v>
      </c>
      <c r="C202" t="s">
        <v>8037</v>
      </c>
      <c r="D202" t="s">
        <v>8038</v>
      </c>
      <c r="E202">
        <v>60</v>
      </c>
      <c r="F202">
        <v>0.14599999999999999</v>
      </c>
      <c r="G202" t="s">
        <v>7509</v>
      </c>
      <c r="H202">
        <v>0</v>
      </c>
      <c r="I202" t="s">
        <v>7805</v>
      </c>
      <c r="J202" t="s">
        <v>8039</v>
      </c>
      <c r="K202">
        <v>3</v>
      </c>
      <c r="L202" s="189">
        <v>45342</v>
      </c>
      <c r="M202" t="s">
        <v>7764</v>
      </c>
      <c r="N202" t="s">
        <v>7765</v>
      </c>
      <c r="O202">
        <v>-31.419638500000001</v>
      </c>
      <c r="P202">
        <v>-64.188099500000007</v>
      </c>
      <c r="Q202">
        <v>45336.370081018518</v>
      </c>
      <c r="R202">
        <v>135.11805555556202</v>
      </c>
      <c r="S202">
        <f>VLOOKUP(F202,'VALORES DIST'!$A$3:$B$27,2,TRUE)</f>
        <v>11816.268749999999</v>
      </c>
    </row>
    <row r="203" spans="1:19" x14ac:dyDescent="0.25">
      <c r="A203">
        <v>900014214</v>
      </c>
      <c r="B203" t="s">
        <v>7319</v>
      </c>
      <c r="C203" t="s">
        <v>8040</v>
      </c>
      <c r="D203" t="s">
        <v>7925</v>
      </c>
      <c r="E203">
        <v>68</v>
      </c>
      <c r="F203">
        <v>1.4159999999999999</v>
      </c>
      <c r="G203" t="s">
        <v>7509</v>
      </c>
      <c r="H203">
        <v>0</v>
      </c>
      <c r="I203" t="s">
        <v>7805</v>
      </c>
      <c r="J203">
        <v>0</v>
      </c>
      <c r="K203">
        <v>1</v>
      </c>
      <c r="L203" s="189">
        <v>45342</v>
      </c>
      <c r="M203" t="s">
        <v>7764</v>
      </c>
      <c r="N203" t="s">
        <v>7765</v>
      </c>
      <c r="O203">
        <v>-34.7594347</v>
      </c>
      <c r="P203">
        <v>-58.399706999999999</v>
      </c>
      <c r="Q203">
        <v>45336.370057870372</v>
      </c>
      <c r="R203">
        <v>135.11861111107282</v>
      </c>
      <c r="S203">
        <f>VLOOKUP(F203,'VALORES DIST'!$A$3:$B$27,2,TRUE)</f>
        <v>11816.268749999999</v>
      </c>
    </row>
    <row r="204" spans="1:19" x14ac:dyDescent="0.25">
      <c r="A204">
        <v>900014226</v>
      </c>
      <c r="B204" t="s">
        <v>8041</v>
      </c>
      <c r="C204" t="s">
        <v>8042</v>
      </c>
      <c r="D204" t="s">
        <v>7846</v>
      </c>
      <c r="E204">
        <v>278</v>
      </c>
      <c r="F204">
        <v>0.47399999999999998</v>
      </c>
      <c r="G204" t="s">
        <v>7509</v>
      </c>
      <c r="H204">
        <v>0</v>
      </c>
      <c r="I204" t="s">
        <v>7805</v>
      </c>
      <c r="J204">
        <v>0</v>
      </c>
      <c r="K204">
        <v>1</v>
      </c>
      <c r="L204" s="189">
        <v>45342</v>
      </c>
      <c r="M204" t="s">
        <v>7764</v>
      </c>
      <c r="N204" t="s">
        <v>7765</v>
      </c>
      <c r="O204">
        <v>-34.700795999999997</v>
      </c>
      <c r="P204">
        <v>-58.373296099999997</v>
      </c>
      <c r="Q204">
        <v>45336.370069444441</v>
      </c>
      <c r="R204">
        <v>135.11833333340471</v>
      </c>
      <c r="S204">
        <f>VLOOKUP(F204,'VALORES DIST'!$A$3:$B$27,2,TRUE)</f>
        <v>11816.268749999999</v>
      </c>
    </row>
    <row r="205" spans="1:19" x14ac:dyDescent="0.25">
      <c r="A205">
        <v>50500000737</v>
      </c>
      <c r="B205" t="s">
        <v>7199</v>
      </c>
      <c r="C205" t="s">
        <v>7884</v>
      </c>
      <c r="D205" t="s">
        <v>7846</v>
      </c>
      <c r="E205">
        <v>24</v>
      </c>
      <c r="F205">
        <v>0.40799999999999997</v>
      </c>
      <c r="G205" t="s">
        <v>7509</v>
      </c>
      <c r="H205">
        <v>0</v>
      </c>
      <c r="I205" t="s">
        <v>7805</v>
      </c>
      <c r="J205">
        <v>0</v>
      </c>
      <c r="K205">
        <v>1</v>
      </c>
      <c r="L205" s="189">
        <v>45342</v>
      </c>
      <c r="M205" t="s">
        <v>7764</v>
      </c>
      <c r="N205" t="s">
        <v>8043</v>
      </c>
      <c r="O205">
        <v>-34.688305</v>
      </c>
      <c r="P205">
        <v>-58.400648500000003</v>
      </c>
      <c r="Q205">
        <v>45315.320486111108</v>
      </c>
      <c r="R205">
        <v>640.30833333340706</v>
      </c>
      <c r="S205">
        <f>VLOOKUP(F205,'VALORES DIST'!$A$3:$B$27,2,TRUE)</f>
        <v>11816.268749999999</v>
      </c>
    </row>
    <row r="206" spans="1:19" x14ac:dyDescent="0.25">
      <c r="A206">
        <v>900014228</v>
      </c>
      <c r="B206" t="s">
        <v>7116</v>
      </c>
      <c r="C206" t="s">
        <v>8044</v>
      </c>
      <c r="D206" t="s">
        <v>7950</v>
      </c>
      <c r="E206">
        <v>96</v>
      </c>
      <c r="F206">
        <v>9.6000000000000002E-2</v>
      </c>
      <c r="G206" t="s">
        <v>7509</v>
      </c>
      <c r="H206">
        <v>0</v>
      </c>
      <c r="I206" t="s">
        <v>7805</v>
      </c>
      <c r="J206">
        <v>0</v>
      </c>
      <c r="K206">
        <v>2</v>
      </c>
      <c r="L206" s="189">
        <v>45342</v>
      </c>
      <c r="M206" t="s">
        <v>7764</v>
      </c>
      <c r="N206" t="s">
        <v>7765</v>
      </c>
      <c r="O206">
        <v>-34.655331599999997</v>
      </c>
      <c r="P206">
        <v>-58.560468999999998</v>
      </c>
      <c r="Q206">
        <v>45336.370069444441</v>
      </c>
      <c r="R206">
        <v>135.11833333340471</v>
      </c>
      <c r="S206">
        <f>VLOOKUP(F206,'VALORES DIST'!$A$3:$B$27,2,TRUE)</f>
        <v>11816.268749999999</v>
      </c>
    </row>
    <row r="207" spans="1:19" x14ac:dyDescent="0.25">
      <c r="A207">
        <v>900014225</v>
      </c>
      <c r="B207" t="s">
        <v>7228</v>
      </c>
      <c r="C207" t="s">
        <v>8045</v>
      </c>
      <c r="D207" t="s">
        <v>8046</v>
      </c>
      <c r="E207">
        <v>120</v>
      </c>
      <c r="F207">
        <v>0.12</v>
      </c>
      <c r="G207" t="s">
        <v>7509</v>
      </c>
      <c r="H207">
        <v>0</v>
      </c>
      <c r="I207" t="s">
        <v>7805</v>
      </c>
      <c r="J207">
        <v>0</v>
      </c>
      <c r="K207">
        <v>1</v>
      </c>
      <c r="L207" s="189">
        <v>45342</v>
      </c>
      <c r="M207" t="s">
        <v>7764</v>
      </c>
      <c r="N207" t="s">
        <v>7765</v>
      </c>
      <c r="O207">
        <v>-34.650298200000002</v>
      </c>
      <c r="P207">
        <v>-58.620098400000003</v>
      </c>
      <c r="Q207">
        <v>45336.370069444441</v>
      </c>
      <c r="R207">
        <v>135.11833333340471</v>
      </c>
      <c r="S207">
        <f>VLOOKUP(F207,'VALORES DIST'!$A$3:$B$27,2,TRUE)</f>
        <v>11816.268749999999</v>
      </c>
    </row>
    <row r="208" spans="1:19" x14ac:dyDescent="0.25">
      <c r="A208">
        <v>50500000739</v>
      </c>
      <c r="B208" t="s">
        <v>7334</v>
      </c>
      <c r="C208" t="s">
        <v>8047</v>
      </c>
      <c r="D208" t="s">
        <v>8048</v>
      </c>
      <c r="E208">
        <v>48</v>
      </c>
      <c r="F208">
        <v>4.8000000000000001E-2</v>
      </c>
      <c r="G208" t="s">
        <v>7509</v>
      </c>
      <c r="H208">
        <v>0</v>
      </c>
      <c r="I208" t="s">
        <v>7805</v>
      </c>
      <c r="J208">
        <v>0</v>
      </c>
      <c r="K208">
        <v>1</v>
      </c>
      <c r="L208" s="189">
        <v>45342</v>
      </c>
      <c r="M208" t="s">
        <v>7764</v>
      </c>
      <c r="N208" t="s">
        <v>8049</v>
      </c>
      <c r="O208">
        <v>-34.6528347</v>
      </c>
      <c r="P208">
        <v>-58.680966900000001</v>
      </c>
      <c r="Q208">
        <v>45336.370092592595</v>
      </c>
      <c r="R208">
        <v>135.11777777771931</v>
      </c>
      <c r="S208">
        <f>VLOOKUP(F208,'VALORES DIST'!$A$3:$B$27,2,TRUE)</f>
        <v>11816.268749999999</v>
      </c>
    </row>
    <row r="209" spans="1:19" x14ac:dyDescent="0.25">
      <c r="A209">
        <v>900014171</v>
      </c>
      <c r="B209" t="s">
        <v>7110</v>
      </c>
      <c r="C209" t="s">
        <v>8050</v>
      </c>
      <c r="D209" t="s">
        <v>8051</v>
      </c>
      <c r="E209">
        <v>556</v>
      </c>
      <c r="F209">
        <v>0.78</v>
      </c>
      <c r="G209" t="s">
        <v>7509</v>
      </c>
      <c r="H209">
        <v>0</v>
      </c>
      <c r="I209" t="s">
        <v>7805</v>
      </c>
      <c r="J209">
        <v>0</v>
      </c>
      <c r="K209">
        <v>3</v>
      </c>
      <c r="L209" s="189">
        <v>45342</v>
      </c>
      <c r="M209" t="s">
        <v>7764</v>
      </c>
      <c r="N209" t="s">
        <v>7765</v>
      </c>
      <c r="O209">
        <v>-34.633532500000001</v>
      </c>
      <c r="P209">
        <v>-58.766650800000001</v>
      </c>
      <c r="Q209">
        <v>45315.320451388892</v>
      </c>
      <c r="R209">
        <v>640.30916666658595</v>
      </c>
      <c r="S209">
        <f>VLOOKUP(F209,'VALORES DIST'!$A$3:$B$27,2,TRUE)</f>
        <v>11816.268749999999</v>
      </c>
    </row>
    <row r="210" spans="1:19" x14ac:dyDescent="0.25">
      <c r="A210">
        <v>50500000742</v>
      </c>
      <c r="B210" t="s">
        <v>7157</v>
      </c>
      <c r="C210" t="s">
        <v>7793</v>
      </c>
      <c r="D210" t="s">
        <v>7794</v>
      </c>
      <c r="E210">
        <v>60</v>
      </c>
      <c r="F210">
        <v>0.06</v>
      </c>
      <c r="G210" t="s">
        <v>7509</v>
      </c>
      <c r="H210">
        <v>0</v>
      </c>
      <c r="I210" t="s">
        <v>7795</v>
      </c>
      <c r="J210" t="s">
        <v>7796</v>
      </c>
      <c r="K210">
        <v>1</v>
      </c>
      <c r="L210" s="189">
        <v>45343</v>
      </c>
      <c r="M210" t="s">
        <v>7764</v>
      </c>
      <c r="N210" t="s">
        <v>7765</v>
      </c>
      <c r="O210">
        <v>-34.606275099999998</v>
      </c>
      <c r="P210">
        <v>-58.485909499999998</v>
      </c>
      <c r="Q210">
        <v>45338.599444444444</v>
      </c>
      <c r="R210">
        <v>105.61333333334188</v>
      </c>
      <c r="S210">
        <f>VLOOKUP(F210,'VALORES DIST'!$A$3:$B$27,2,TRUE)</f>
        <v>11816.268749999999</v>
      </c>
    </row>
    <row r="211" spans="1:19" x14ac:dyDescent="0.25">
      <c r="A211">
        <v>900014310</v>
      </c>
      <c r="B211" t="s">
        <v>8052</v>
      </c>
      <c r="C211" t="s">
        <v>8053</v>
      </c>
      <c r="D211" t="s">
        <v>8054</v>
      </c>
      <c r="E211">
        <v>258</v>
      </c>
      <c r="F211">
        <v>6.9749999999999996</v>
      </c>
      <c r="G211" t="s">
        <v>7509</v>
      </c>
      <c r="H211">
        <v>0</v>
      </c>
      <c r="I211" t="s">
        <v>8055</v>
      </c>
      <c r="J211" t="s">
        <v>8056</v>
      </c>
      <c r="K211">
        <v>1</v>
      </c>
      <c r="L211" s="189">
        <v>45343</v>
      </c>
      <c r="M211" t="s">
        <v>7764</v>
      </c>
      <c r="N211" t="s">
        <v>7765</v>
      </c>
      <c r="O211">
        <v>-35.810716599999999</v>
      </c>
      <c r="P211">
        <v>-61.898783199999997</v>
      </c>
      <c r="Q211">
        <v>45338.599432870367</v>
      </c>
      <c r="R211">
        <v>105.61361111118458</v>
      </c>
      <c r="S211">
        <f>VLOOKUP(F211,'VALORES DIST'!$A$3:$B$27,2,TRUE)</f>
        <v>53177.962500000001</v>
      </c>
    </row>
    <row r="212" spans="1:19" x14ac:dyDescent="0.25">
      <c r="A212">
        <v>900014308</v>
      </c>
      <c r="B212" t="s">
        <v>7083</v>
      </c>
      <c r="C212" t="s">
        <v>8057</v>
      </c>
      <c r="D212" t="s">
        <v>7782</v>
      </c>
      <c r="E212">
        <v>312</v>
      </c>
      <c r="F212">
        <v>0.312</v>
      </c>
      <c r="G212" t="s">
        <v>7509</v>
      </c>
      <c r="H212">
        <v>0</v>
      </c>
      <c r="I212" t="s">
        <v>8058</v>
      </c>
      <c r="J212" t="s">
        <v>8059</v>
      </c>
      <c r="K212">
        <v>1</v>
      </c>
      <c r="L212" s="189">
        <v>45343</v>
      </c>
      <c r="M212" t="s">
        <v>7764</v>
      </c>
      <c r="N212" t="s">
        <v>7765</v>
      </c>
      <c r="O212">
        <v>-31.3451187</v>
      </c>
      <c r="P212">
        <v>-64.235939299999998</v>
      </c>
      <c r="Q212">
        <v>45338.599432870367</v>
      </c>
      <c r="R212">
        <v>105.61361111118458</v>
      </c>
      <c r="S212">
        <f>VLOOKUP(F212,'VALORES DIST'!$A$3:$B$27,2,TRUE)</f>
        <v>11816.268749999999</v>
      </c>
    </row>
    <row r="213" spans="1:19" x14ac:dyDescent="0.25">
      <c r="A213">
        <v>900014307</v>
      </c>
      <c r="B213" t="s">
        <v>8060</v>
      </c>
      <c r="C213" t="s">
        <v>8061</v>
      </c>
      <c r="D213" t="s">
        <v>7886</v>
      </c>
      <c r="E213">
        <v>356</v>
      </c>
      <c r="F213">
        <v>0.75600000000000001</v>
      </c>
      <c r="G213" t="s">
        <v>7509</v>
      </c>
      <c r="H213" t="s">
        <v>8062</v>
      </c>
      <c r="I213" t="s">
        <v>8063</v>
      </c>
      <c r="J213" t="s">
        <v>8064</v>
      </c>
      <c r="K213">
        <v>1</v>
      </c>
      <c r="L213" s="189">
        <v>45343</v>
      </c>
      <c r="M213" t="s">
        <v>7764</v>
      </c>
      <c r="N213" t="s">
        <v>7765</v>
      </c>
      <c r="O213">
        <v>-38.939021199999999</v>
      </c>
      <c r="P213">
        <v>-67.973810999999998</v>
      </c>
      <c r="Q213">
        <v>45338.599421296298</v>
      </c>
      <c r="R213">
        <v>105.61388888885268</v>
      </c>
      <c r="S213">
        <f>VLOOKUP(F213,'VALORES DIST'!$A$3:$B$27,2,TRUE)</f>
        <v>11816.268749999999</v>
      </c>
    </row>
    <row r="214" spans="1:19" x14ac:dyDescent="0.25">
      <c r="A214">
        <v>900014302</v>
      </c>
      <c r="B214" t="s">
        <v>7766</v>
      </c>
      <c r="C214" t="s">
        <v>7767</v>
      </c>
      <c r="D214" t="s">
        <v>7768</v>
      </c>
      <c r="E214">
        <v>36</v>
      </c>
      <c r="F214">
        <v>3.5999999999999997E-2</v>
      </c>
      <c r="G214" t="s">
        <v>7509</v>
      </c>
      <c r="H214">
        <v>0</v>
      </c>
      <c r="I214" t="s">
        <v>7769</v>
      </c>
      <c r="J214" t="s">
        <v>7770</v>
      </c>
      <c r="K214">
        <v>3</v>
      </c>
      <c r="L214" s="189">
        <v>45343</v>
      </c>
      <c r="M214" t="s">
        <v>7764</v>
      </c>
      <c r="N214" t="s">
        <v>7765</v>
      </c>
      <c r="O214">
        <v>-36.618456199999997</v>
      </c>
      <c r="P214">
        <v>-64.288480199999995</v>
      </c>
      <c r="Q214">
        <v>45338.599421296298</v>
      </c>
      <c r="R214">
        <v>105.61388888885268</v>
      </c>
      <c r="S214">
        <f>VLOOKUP(F214,'VALORES DIST'!$A$3:$B$27,2,TRUE)</f>
        <v>11816.268749999999</v>
      </c>
    </row>
    <row r="215" spans="1:19" x14ac:dyDescent="0.25">
      <c r="A215">
        <v>900014317</v>
      </c>
      <c r="B215" t="s">
        <v>7211</v>
      </c>
      <c r="C215" t="s">
        <v>7837</v>
      </c>
      <c r="D215" t="s">
        <v>7838</v>
      </c>
      <c r="E215">
        <v>111</v>
      </c>
      <c r="F215">
        <v>0.252</v>
      </c>
      <c r="G215" t="s">
        <v>7509</v>
      </c>
      <c r="H215">
        <v>0</v>
      </c>
      <c r="I215" t="s">
        <v>7839</v>
      </c>
      <c r="J215" t="s">
        <v>7840</v>
      </c>
      <c r="K215">
        <v>1</v>
      </c>
      <c r="L215" s="189">
        <v>45343</v>
      </c>
      <c r="M215" t="s">
        <v>7764</v>
      </c>
      <c r="N215" t="s">
        <v>7765</v>
      </c>
      <c r="O215">
        <v>-27.7833574</v>
      </c>
      <c r="P215">
        <v>-64.264167</v>
      </c>
      <c r="Q215">
        <v>45338.599444444444</v>
      </c>
      <c r="R215">
        <v>105.61333333334188</v>
      </c>
      <c r="S215">
        <f>VLOOKUP(F215,'VALORES DIST'!$A$3:$B$27,2,TRUE)</f>
        <v>11816.268749999999</v>
      </c>
    </row>
    <row r="216" spans="1:19" x14ac:dyDescent="0.25">
      <c r="A216">
        <v>900014304</v>
      </c>
      <c r="B216" t="s">
        <v>7775</v>
      </c>
      <c r="C216" t="s">
        <v>7776</v>
      </c>
      <c r="D216" t="s">
        <v>7777</v>
      </c>
      <c r="E216">
        <v>59</v>
      </c>
      <c r="F216">
        <v>0.94399999999999995</v>
      </c>
      <c r="G216" t="s">
        <v>7509</v>
      </c>
      <c r="H216">
        <v>0</v>
      </c>
      <c r="I216" t="s">
        <v>7778</v>
      </c>
      <c r="J216" t="s">
        <v>7779</v>
      </c>
      <c r="K216">
        <v>1</v>
      </c>
      <c r="L216" s="189">
        <v>45343</v>
      </c>
      <c r="M216" t="s">
        <v>7764</v>
      </c>
      <c r="N216" t="s">
        <v>7765</v>
      </c>
      <c r="O216">
        <v>-31.537851400000001</v>
      </c>
      <c r="P216">
        <v>-68.538845100000003</v>
      </c>
      <c r="Q216">
        <v>45338.599421296298</v>
      </c>
      <c r="R216">
        <v>105.61388888885268</v>
      </c>
      <c r="S216">
        <f>VLOOKUP(F216,'VALORES DIST'!$A$3:$B$27,2,TRUE)</f>
        <v>11816.268749999999</v>
      </c>
    </row>
    <row r="217" spans="1:19" x14ac:dyDescent="0.25">
      <c r="A217">
        <v>900014303</v>
      </c>
      <c r="B217" t="s">
        <v>7775</v>
      </c>
      <c r="C217" t="s">
        <v>7776</v>
      </c>
      <c r="D217" t="s">
        <v>7777</v>
      </c>
      <c r="E217">
        <v>390</v>
      </c>
      <c r="F217">
        <v>0.96899999999999997</v>
      </c>
      <c r="G217" t="s">
        <v>7509</v>
      </c>
      <c r="H217">
        <v>0</v>
      </c>
      <c r="I217" t="s">
        <v>7778</v>
      </c>
      <c r="J217" t="s">
        <v>7779</v>
      </c>
      <c r="K217">
        <v>1</v>
      </c>
      <c r="L217" s="189">
        <v>45343</v>
      </c>
      <c r="M217" t="s">
        <v>7764</v>
      </c>
      <c r="N217" t="s">
        <v>7765</v>
      </c>
      <c r="O217">
        <v>-31.537851400000001</v>
      </c>
      <c r="P217">
        <v>-68.538845100000003</v>
      </c>
      <c r="Q217">
        <v>45338.599421296298</v>
      </c>
      <c r="R217">
        <v>105.61388888885268</v>
      </c>
      <c r="S217">
        <f>VLOOKUP(F217,'VALORES DIST'!$A$3:$B$27,2,TRUE)</f>
        <v>11816.268749999999</v>
      </c>
    </row>
    <row r="218" spans="1:19" x14ac:dyDescent="0.25">
      <c r="A218">
        <v>900014301</v>
      </c>
      <c r="B218" t="s">
        <v>7130</v>
      </c>
      <c r="C218" t="s">
        <v>7897</v>
      </c>
      <c r="D218" t="s">
        <v>7898</v>
      </c>
      <c r="E218">
        <v>22</v>
      </c>
      <c r="F218">
        <v>0.65600000000000003</v>
      </c>
      <c r="G218" t="s">
        <v>7509</v>
      </c>
      <c r="H218">
        <v>0</v>
      </c>
      <c r="I218" t="s">
        <v>7895</v>
      </c>
      <c r="J218" t="s">
        <v>7896</v>
      </c>
      <c r="K218">
        <v>1</v>
      </c>
      <c r="L218" s="189">
        <v>45343</v>
      </c>
      <c r="M218" t="s">
        <v>7764</v>
      </c>
      <c r="N218" t="s">
        <v>7765</v>
      </c>
      <c r="O218">
        <v>-24.7975429</v>
      </c>
      <c r="P218">
        <v>-65.417430899999999</v>
      </c>
      <c r="Q218">
        <v>45338.599421296298</v>
      </c>
      <c r="R218">
        <v>105.61388888885268</v>
      </c>
      <c r="S218">
        <f>VLOOKUP(F218,'VALORES DIST'!$A$3:$B$27,2,TRUE)</f>
        <v>11816.268749999999</v>
      </c>
    </row>
    <row r="219" spans="1:19" x14ac:dyDescent="0.25">
      <c r="A219">
        <v>900014306</v>
      </c>
      <c r="B219" t="s">
        <v>7813</v>
      </c>
      <c r="C219" t="s">
        <v>7814</v>
      </c>
      <c r="D219" t="s">
        <v>7794</v>
      </c>
      <c r="E219">
        <v>74</v>
      </c>
      <c r="F219">
        <v>0.13600000000000001</v>
      </c>
      <c r="G219" t="s">
        <v>7509</v>
      </c>
      <c r="H219" t="s">
        <v>7815</v>
      </c>
      <c r="I219" t="s">
        <v>7805</v>
      </c>
      <c r="J219">
        <v>0</v>
      </c>
      <c r="K219">
        <v>1</v>
      </c>
      <c r="L219" s="189">
        <v>45343</v>
      </c>
      <c r="M219" t="s">
        <v>7764</v>
      </c>
      <c r="N219" t="s">
        <v>7765</v>
      </c>
      <c r="O219">
        <v>-34.603105200000002</v>
      </c>
      <c r="P219">
        <v>-58.374937600000003</v>
      </c>
      <c r="Q219">
        <v>45338.599421296298</v>
      </c>
      <c r="R219">
        <v>105.61388888885268</v>
      </c>
      <c r="S219">
        <f>VLOOKUP(F219,'VALORES DIST'!$A$3:$B$27,2,TRUE)</f>
        <v>11816.268749999999</v>
      </c>
    </row>
    <row r="220" spans="1:19" x14ac:dyDescent="0.25">
      <c r="A220">
        <v>5764</v>
      </c>
      <c r="B220" t="s">
        <v>6885</v>
      </c>
      <c r="C220" t="s">
        <v>8065</v>
      </c>
      <c r="D220" t="s">
        <v>8066</v>
      </c>
      <c r="E220">
        <v>173</v>
      </c>
      <c r="F220">
        <v>11.692</v>
      </c>
      <c r="G220" t="s">
        <v>6885</v>
      </c>
      <c r="H220">
        <v>0</v>
      </c>
      <c r="I220" t="s">
        <v>7825</v>
      </c>
      <c r="J220">
        <v>0</v>
      </c>
      <c r="K220">
        <v>3</v>
      </c>
      <c r="L220" s="189">
        <v>45343</v>
      </c>
      <c r="M220" t="s">
        <v>7870</v>
      </c>
      <c r="N220" t="s">
        <v>7765</v>
      </c>
      <c r="O220">
        <v>-344001828</v>
      </c>
      <c r="P220">
        <v>-587161066</v>
      </c>
      <c r="S220">
        <f>VLOOKUP(F220,'VALORES DIST'!$A$3:$B$27,2,TRUE)</f>
        <v>96504.28125</v>
      </c>
    </row>
    <row r="221" spans="1:19" x14ac:dyDescent="0.25">
      <c r="A221">
        <v>800008618</v>
      </c>
      <c r="B221" t="s">
        <v>7184</v>
      </c>
      <c r="C221" t="s">
        <v>7807</v>
      </c>
      <c r="D221" t="s">
        <v>7794</v>
      </c>
      <c r="E221">
        <v>421</v>
      </c>
      <c r="F221">
        <v>9.0459999999999994</v>
      </c>
      <c r="G221" t="s">
        <v>7509</v>
      </c>
      <c r="H221" t="s">
        <v>8028</v>
      </c>
      <c r="I221" t="s">
        <v>7805</v>
      </c>
      <c r="J221">
        <v>0</v>
      </c>
      <c r="K221">
        <v>1</v>
      </c>
      <c r="L221" s="189">
        <v>45343</v>
      </c>
      <c r="M221" t="s">
        <v>7870</v>
      </c>
      <c r="N221" t="s">
        <v>7765</v>
      </c>
      <c r="O221">
        <v>-34.608005900000002</v>
      </c>
      <c r="P221">
        <v>-58.4625299</v>
      </c>
      <c r="Q221">
        <v>45342.433356481481</v>
      </c>
      <c r="R221">
        <v>13.599444444465917</v>
      </c>
      <c r="S221">
        <f>VLOOKUP(F221,'VALORES DIST'!$A$3:$B$27,2,TRUE)</f>
        <v>76807.331250000003</v>
      </c>
    </row>
    <row r="222" spans="1:19" x14ac:dyDescent="0.25">
      <c r="A222">
        <v>1000192</v>
      </c>
      <c r="B222" t="s">
        <v>7852</v>
      </c>
      <c r="C222" t="s">
        <v>7853</v>
      </c>
      <c r="D222" t="s">
        <v>7794</v>
      </c>
      <c r="E222">
        <v>44</v>
      </c>
      <c r="F222">
        <v>3.28</v>
      </c>
      <c r="G222" t="s">
        <v>8067</v>
      </c>
      <c r="H222">
        <v>0</v>
      </c>
      <c r="I222" t="s">
        <v>7805</v>
      </c>
      <c r="J222">
        <v>0</v>
      </c>
      <c r="K222">
        <v>1</v>
      </c>
      <c r="L222" s="189">
        <v>45343</v>
      </c>
      <c r="M222" t="s">
        <v>7870</v>
      </c>
      <c r="N222" t="s">
        <v>7765</v>
      </c>
      <c r="O222">
        <v>-34.608005900000002</v>
      </c>
      <c r="P222">
        <v>-58.4625299</v>
      </c>
      <c r="Q222">
        <v>45341.460509259261</v>
      </c>
      <c r="R222">
        <v>36.94777777773561</v>
      </c>
      <c r="S222">
        <f>VLOOKUP(F222,'VALORES DIST'!$A$3:$B$27,2,TRUE)</f>
        <v>13787.231250000001</v>
      </c>
    </row>
    <row r="223" spans="1:19" x14ac:dyDescent="0.25">
      <c r="A223">
        <v>900014305</v>
      </c>
      <c r="B223" t="s">
        <v>6968</v>
      </c>
      <c r="C223" t="s">
        <v>7874</v>
      </c>
      <c r="D223" t="s">
        <v>7794</v>
      </c>
      <c r="E223">
        <v>8</v>
      </c>
      <c r="F223">
        <v>0.24</v>
      </c>
      <c r="G223" t="s">
        <v>7509</v>
      </c>
      <c r="H223">
        <v>0</v>
      </c>
      <c r="I223" t="s">
        <v>7805</v>
      </c>
      <c r="J223">
        <v>0</v>
      </c>
      <c r="K223">
        <v>1</v>
      </c>
      <c r="L223" s="189">
        <v>45344</v>
      </c>
      <c r="M223" t="s">
        <v>7764</v>
      </c>
      <c r="N223" t="s">
        <v>7765</v>
      </c>
      <c r="O223">
        <v>-34.594501899999997</v>
      </c>
      <c r="P223">
        <v>-58.429039899999999</v>
      </c>
      <c r="Q223">
        <v>45338.599421296298</v>
      </c>
      <c r="R223">
        <v>129.61388888885267</v>
      </c>
      <c r="S223">
        <f>VLOOKUP(F223,'VALORES DIST'!$A$3:$B$27,2,TRUE)</f>
        <v>11816.268749999999</v>
      </c>
    </row>
    <row r="224" spans="1:19" x14ac:dyDescent="0.25">
      <c r="A224">
        <v>900014311</v>
      </c>
      <c r="B224" t="s">
        <v>7107</v>
      </c>
      <c r="C224" t="s">
        <v>7987</v>
      </c>
      <c r="D224" t="s">
        <v>7988</v>
      </c>
      <c r="E224">
        <v>372</v>
      </c>
      <c r="F224">
        <v>1.5691999999999999</v>
      </c>
      <c r="G224" t="s">
        <v>7509</v>
      </c>
      <c r="H224">
        <v>0</v>
      </c>
      <c r="I224" t="s">
        <v>7989</v>
      </c>
      <c r="J224" t="s">
        <v>7990</v>
      </c>
      <c r="K224">
        <v>1</v>
      </c>
      <c r="L224" s="189">
        <v>45344</v>
      </c>
      <c r="M224" t="s">
        <v>7764</v>
      </c>
      <c r="N224" t="s">
        <v>7765</v>
      </c>
      <c r="O224">
        <v>-38.715818900000002</v>
      </c>
      <c r="P224">
        <v>-62.2616029</v>
      </c>
      <c r="Q224">
        <v>45338.599432870367</v>
      </c>
      <c r="R224">
        <v>129.61361111118458</v>
      </c>
      <c r="S224">
        <f>VLOOKUP(F224,'VALORES DIST'!$A$3:$B$27,2,TRUE)</f>
        <v>11816.268749999999</v>
      </c>
    </row>
    <row r="225" spans="1:19" x14ac:dyDescent="0.25">
      <c r="A225">
        <v>900014312</v>
      </c>
      <c r="B225" t="s">
        <v>7107</v>
      </c>
      <c r="C225" t="s">
        <v>7987</v>
      </c>
      <c r="D225" t="s">
        <v>7988</v>
      </c>
      <c r="E225">
        <v>24</v>
      </c>
      <c r="F225">
        <v>0.16800000000000001</v>
      </c>
      <c r="G225" t="s">
        <v>7509</v>
      </c>
      <c r="H225">
        <v>0</v>
      </c>
      <c r="I225" t="s">
        <v>7989</v>
      </c>
      <c r="J225" t="s">
        <v>7990</v>
      </c>
      <c r="K225">
        <v>1</v>
      </c>
      <c r="L225" s="189">
        <v>45344</v>
      </c>
      <c r="M225" t="s">
        <v>7764</v>
      </c>
      <c r="N225" t="s">
        <v>7765</v>
      </c>
      <c r="O225">
        <v>-38.715818900000002</v>
      </c>
      <c r="P225">
        <v>-62.2616029</v>
      </c>
      <c r="Q225">
        <v>45338.599444444444</v>
      </c>
      <c r="R225">
        <v>129.61333333334187</v>
      </c>
      <c r="S225">
        <f>VLOOKUP(F225,'VALORES DIST'!$A$3:$B$27,2,TRUE)</f>
        <v>11816.268749999999</v>
      </c>
    </row>
    <row r="226" spans="1:19" x14ac:dyDescent="0.25">
      <c r="A226">
        <v>800008625</v>
      </c>
      <c r="B226" t="s">
        <v>7183</v>
      </c>
      <c r="C226" t="s">
        <v>7844</v>
      </c>
      <c r="D226" t="s">
        <v>7794</v>
      </c>
      <c r="E226">
        <v>27</v>
      </c>
      <c r="F226">
        <v>0.309</v>
      </c>
      <c r="G226" t="s">
        <v>7509</v>
      </c>
      <c r="H226">
        <v>0</v>
      </c>
      <c r="I226" t="s">
        <v>7805</v>
      </c>
      <c r="J226">
        <v>0</v>
      </c>
      <c r="K226">
        <v>1</v>
      </c>
      <c r="L226" s="189">
        <v>45344</v>
      </c>
      <c r="M226" t="s">
        <v>7764</v>
      </c>
      <c r="N226" t="s">
        <v>7765</v>
      </c>
      <c r="O226">
        <v>-34.598365299999998</v>
      </c>
      <c r="P226">
        <v>-58.440120899999997</v>
      </c>
      <c r="Q226">
        <v>45342.433391203704</v>
      </c>
      <c r="R226">
        <v>37.598611111112405</v>
      </c>
      <c r="S226">
        <f>VLOOKUP(F226,'VALORES DIST'!$A$3:$B$27,2,TRUE)</f>
        <v>11816.268749999999</v>
      </c>
    </row>
    <row r="227" spans="1:19" x14ac:dyDescent="0.25">
      <c r="A227">
        <v>153</v>
      </c>
      <c r="B227" t="s">
        <v>3117</v>
      </c>
      <c r="C227" t="s">
        <v>8068</v>
      </c>
      <c r="D227" t="s">
        <v>7794</v>
      </c>
      <c r="E227">
        <v>31</v>
      </c>
      <c r="F227">
        <v>4.5570000000000004</v>
      </c>
      <c r="G227" t="s">
        <v>3117</v>
      </c>
      <c r="H227">
        <v>0</v>
      </c>
      <c r="I227">
        <v>0</v>
      </c>
      <c r="J227">
        <v>0</v>
      </c>
      <c r="K227">
        <v>1</v>
      </c>
      <c r="L227" s="189">
        <v>45344</v>
      </c>
      <c r="M227" t="s">
        <v>7764</v>
      </c>
      <c r="N227" t="s">
        <v>7765</v>
      </c>
      <c r="O227">
        <v>-346290028</v>
      </c>
      <c r="P227">
        <v>-584337594</v>
      </c>
      <c r="S227">
        <f>VLOOKUP(F227,'VALORES DIST'!$A$3:$B$27,2,TRUE)</f>
        <v>13787.231250000001</v>
      </c>
    </row>
    <row r="228" spans="1:19" x14ac:dyDescent="0.25">
      <c r="A228">
        <v>1000193</v>
      </c>
      <c r="B228" t="s">
        <v>8069</v>
      </c>
      <c r="C228" t="s">
        <v>7841</v>
      </c>
      <c r="D228" t="s">
        <v>7794</v>
      </c>
      <c r="E228">
        <v>44</v>
      </c>
      <c r="F228">
        <v>3.28</v>
      </c>
      <c r="G228" t="s">
        <v>8067</v>
      </c>
      <c r="H228">
        <v>0</v>
      </c>
      <c r="I228" t="s">
        <v>7805</v>
      </c>
      <c r="J228">
        <v>0</v>
      </c>
      <c r="K228">
        <v>1</v>
      </c>
      <c r="L228" s="189">
        <v>45344</v>
      </c>
      <c r="M228" t="s">
        <v>7764</v>
      </c>
      <c r="N228" t="s">
        <v>7765</v>
      </c>
      <c r="O228">
        <v>-34.608005900000002</v>
      </c>
      <c r="P228">
        <v>-58.4625299</v>
      </c>
      <c r="Q228">
        <v>45341.460520833331</v>
      </c>
      <c r="R228">
        <v>60.947500000067521</v>
      </c>
      <c r="S228">
        <f>VLOOKUP(F228,'VALORES DIST'!$A$3:$B$27,2,TRUE)</f>
        <v>13787.231250000001</v>
      </c>
    </row>
    <row r="229" spans="1:19" x14ac:dyDescent="0.25">
      <c r="A229">
        <v>1000191</v>
      </c>
      <c r="B229" t="s">
        <v>8070</v>
      </c>
      <c r="C229" t="s">
        <v>8071</v>
      </c>
      <c r="D229" t="s">
        <v>7794</v>
      </c>
      <c r="E229">
        <v>20</v>
      </c>
      <c r="F229">
        <v>1.55</v>
      </c>
      <c r="G229" t="s">
        <v>8067</v>
      </c>
      <c r="H229">
        <v>0</v>
      </c>
      <c r="I229" t="s">
        <v>7805</v>
      </c>
      <c r="J229">
        <v>0</v>
      </c>
      <c r="K229">
        <v>1</v>
      </c>
      <c r="L229" s="189">
        <v>45344</v>
      </c>
      <c r="M229" t="s">
        <v>7764</v>
      </c>
      <c r="N229" t="s">
        <v>7765</v>
      </c>
      <c r="O229">
        <v>-34.5575537</v>
      </c>
      <c r="P229">
        <v>-58.4600583</v>
      </c>
      <c r="Q229">
        <v>45341.460509259261</v>
      </c>
      <c r="R229">
        <v>60.94777777773561</v>
      </c>
      <c r="S229">
        <f>VLOOKUP(F229,'VALORES DIST'!$A$3:$B$27,2,TRUE)</f>
        <v>11816.268749999999</v>
      </c>
    </row>
    <row r="230" spans="1:19" x14ac:dyDescent="0.25">
      <c r="A230">
        <v>1000190</v>
      </c>
      <c r="B230" t="s">
        <v>8072</v>
      </c>
      <c r="C230" t="s">
        <v>8073</v>
      </c>
      <c r="D230" t="s">
        <v>7794</v>
      </c>
      <c r="E230">
        <v>20</v>
      </c>
      <c r="F230">
        <v>1.55</v>
      </c>
      <c r="G230" t="s">
        <v>8067</v>
      </c>
      <c r="H230">
        <v>0</v>
      </c>
      <c r="I230" t="s">
        <v>7805</v>
      </c>
      <c r="J230">
        <v>0</v>
      </c>
      <c r="K230">
        <v>1</v>
      </c>
      <c r="L230" s="189">
        <v>45344</v>
      </c>
      <c r="M230" t="s">
        <v>7764</v>
      </c>
      <c r="N230" t="s">
        <v>7765</v>
      </c>
      <c r="O230">
        <v>-34.604748000000001</v>
      </c>
      <c r="P230">
        <v>-58.399992900000001</v>
      </c>
      <c r="Q230">
        <v>45341.460509259261</v>
      </c>
      <c r="R230">
        <v>60.94777777773561</v>
      </c>
      <c r="S230">
        <f>VLOOKUP(F230,'VALORES DIST'!$A$3:$B$27,2,TRUE)</f>
        <v>11816.268749999999</v>
      </c>
    </row>
    <row r="231" spans="1:19" x14ac:dyDescent="0.25">
      <c r="A231">
        <v>1000186</v>
      </c>
      <c r="B231" t="s">
        <v>7149</v>
      </c>
      <c r="C231" t="s">
        <v>8074</v>
      </c>
      <c r="D231" t="s">
        <v>7935</v>
      </c>
      <c r="E231">
        <v>53</v>
      </c>
      <c r="F231">
        <v>3.76</v>
      </c>
      <c r="G231" t="s">
        <v>8067</v>
      </c>
      <c r="H231">
        <v>0</v>
      </c>
      <c r="I231" t="s">
        <v>7936</v>
      </c>
      <c r="J231" t="s">
        <v>7937</v>
      </c>
      <c r="K231">
        <v>1</v>
      </c>
      <c r="L231" s="189">
        <v>45344</v>
      </c>
      <c r="M231" t="s">
        <v>8075</v>
      </c>
      <c r="N231" t="s">
        <v>7765</v>
      </c>
      <c r="O231">
        <v>-37.9941672</v>
      </c>
      <c r="P231">
        <v>-57.554538600000001</v>
      </c>
      <c r="Q231">
        <v>45341.460497685184</v>
      </c>
      <c r="R231">
        <v>60.948055555578321</v>
      </c>
      <c r="S231">
        <f>VLOOKUP(F231,'VALORES DIST'!$A$3:$B$27,2,TRUE)</f>
        <v>13787.231250000001</v>
      </c>
    </row>
    <row r="232" spans="1:19" x14ac:dyDescent="0.25">
      <c r="A232">
        <v>1000185</v>
      </c>
      <c r="B232" t="s">
        <v>7339</v>
      </c>
      <c r="C232" t="s">
        <v>7964</v>
      </c>
      <c r="D232" t="s">
        <v>7935</v>
      </c>
      <c r="E232">
        <v>53</v>
      </c>
      <c r="F232">
        <v>3.76</v>
      </c>
      <c r="G232" t="s">
        <v>8067</v>
      </c>
      <c r="H232">
        <v>0</v>
      </c>
      <c r="I232" t="s">
        <v>7936</v>
      </c>
      <c r="J232" t="s">
        <v>7937</v>
      </c>
      <c r="K232">
        <v>1</v>
      </c>
      <c r="L232" s="189">
        <v>45344</v>
      </c>
      <c r="M232" t="s">
        <v>8075</v>
      </c>
      <c r="N232" t="s">
        <v>7765</v>
      </c>
      <c r="O232">
        <v>-37.985015799999999</v>
      </c>
      <c r="P232">
        <v>-57.582066500000003</v>
      </c>
      <c r="Q232">
        <v>45341.460497685184</v>
      </c>
      <c r="R232">
        <v>60.948055555578321</v>
      </c>
      <c r="S232">
        <f>VLOOKUP(F232,'VALORES DIST'!$A$3:$B$27,2,TRUE)</f>
        <v>13787.231250000001</v>
      </c>
    </row>
    <row r="233" spans="1:19" x14ac:dyDescent="0.25">
      <c r="A233">
        <v>1000188</v>
      </c>
      <c r="B233" t="s">
        <v>6931</v>
      </c>
      <c r="C233" t="s">
        <v>7834</v>
      </c>
      <c r="D233" t="s">
        <v>7786</v>
      </c>
      <c r="E233">
        <v>68</v>
      </c>
      <c r="F233">
        <v>4.96</v>
      </c>
      <c r="G233" t="s">
        <v>8067</v>
      </c>
      <c r="H233">
        <v>0</v>
      </c>
      <c r="I233" t="s">
        <v>7835</v>
      </c>
      <c r="J233" t="s">
        <v>7836</v>
      </c>
      <c r="K233">
        <v>1</v>
      </c>
      <c r="L233" s="189">
        <v>45344</v>
      </c>
      <c r="M233" t="s">
        <v>8075</v>
      </c>
      <c r="N233" t="s">
        <v>7765</v>
      </c>
      <c r="O233">
        <v>-42.765600599999999</v>
      </c>
      <c r="P233">
        <v>-65.035136800000004</v>
      </c>
      <c r="Q233">
        <v>45341.460497685184</v>
      </c>
      <c r="R233">
        <v>60.948055555578321</v>
      </c>
      <c r="S233">
        <f>VLOOKUP(F233,'VALORES DIST'!$A$3:$B$27,2,TRUE)</f>
        <v>13787.231250000001</v>
      </c>
    </row>
    <row r="234" spans="1:19" x14ac:dyDescent="0.25">
      <c r="A234">
        <v>1000189</v>
      </c>
      <c r="B234" t="s">
        <v>7064</v>
      </c>
      <c r="C234" t="s">
        <v>7965</v>
      </c>
      <c r="D234" t="s">
        <v>7894</v>
      </c>
      <c r="E234">
        <v>166</v>
      </c>
      <c r="F234">
        <v>11.98</v>
      </c>
      <c r="G234" t="s">
        <v>8067</v>
      </c>
      <c r="H234">
        <v>0</v>
      </c>
      <c r="I234" t="s">
        <v>7966</v>
      </c>
      <c r="J234" t="s">
        <v>7967</v>
      </c>
      <c r="K234">
        <v>1</v>
      </c>
      <c r="L234" s="189">
        <v>45344</v>
      </c>
      <c r="M234" t="s">
        <v>8075</v>
      </c>
      <c r="N234" t="s">
        <v>7765</v>
      </c>
      <c r="O234">
        <v>-26.829931800000001</v>
      </c>
      <c r="P234">
        <v>-65.205920399999997</v>
      </c>
      <c r="Q234">
        <v>45341.460509259261</v>
      </c>
      <c r="R234">
        <v>60.94777777773561</v>
      </c>
      <c r="S234">
        <f>VLOOKUP(F234,'VALORES DIST'!$A$3:$B$27,2,TRUE)</f>
        <v>96504.28125</v>
      </c>
    </row>
    <row r="235" spans="1:19" x14ac:dyDescent="0.25">
      <c r="A235">
        <v>349</v>
      </c>
      <c r="B235" t="s">
        <v>6888</v>
      </c>
      <c r="C235" t="s">
        <v>7824</v>
      </c>
      <c r="D235" t="s">
        <v>7794</v>
      </c>
      <c r="G235" t="s">
        <v>6888</v>
      </c>
      <c r="H235">
        <v>0</v>
      </c>
      <c r="I235" t="s">
        <v>7805</v>
      </c>
      <c r="J235">
        <v>0</v>
      </c>
      <c r="K235">
        <v>1</v>
      </c>
      <c r="L235" s="189">
        <v>45345</v>
      </c>
      <c r="M235" t="s">
        <v>8075</v>
      </c>
      <c r="N235" t="s">
        <v>7765</v>
      </c>
      <c r="O235">
        <v>-34.603684399999999</v>
      </c>
      <c r="P235">
        <v>-58.381559099999997</v>
      </c>
      <c r="S235">
        <f>VLOOKUP(F235,'VALORES DIST'!$A$3:$B$27,2,TRUE)</f>
        <v>11816.268749999999</v>
      </c>
    </row>
    <row r="236" spans="1:19" x14ac:dyDescent="0.25">
      <c r="A236">
        <v>1000183</v>
      </c>
      <c r="B236" t="s">
        <v>6935</v>
      </c>
      <c r="C236" t="s">
        <v>8076</v>
      </c>
      <c r="D236" t="s">
        <v>7830</v>
      </c>
      <c r="E236">
        <v>18</v>
      </c>
      <c r="F236">
        <v>1.32</v>
      </c>
      <c r="G236" t="s">
        <v>8067</v>
      </c>
      <c r="H236">
        <v>0</v>
      </c>
      <c r="I236" t="s">
        <v>8077</v>
      </c>
      <c r="J236" t="s">
        <v>8078</v>
      </c>
      <c r="K236">
        <v>1</v>
      </c>
      <c r="L236" s="189">
        <v>45345</v>
      </c>
      <c r="M236" t="s">
        <v>8075</v>
      </c>
      <c r="N236" t="s">
        <v>7765</v>
      </c>
      <c r="O236">
        <v>-32.889458699999999</v>
      </c>
      <c r="P236">
        <v>-68.845838599999993</v>
      </c>
      <c r="Q236">
        <v>45341.460486111115</v>
      </c>
      <c r="R236">
        <v>84.94833333324641</v>
      </c>
      <c r="S236">
        <f>VLOOKUP(F236,'VALORES DIST'!$A$3:$B$27,2,TRUE)</f>
        <v>11816.268749999999</v>
      </c>
    </row>
    <row r="237" spans="1:19" x14ac:dyDescent="0.25">
      <c r="A237">
        <v>1000184</v>
      </c>
      <c r="B237" t="s">
        <v>7318</v>
      </c>
      <c r="C237" t="s">
        <v>8079</v>
      </c>
      <c r="D237" t="s">
        <v>8080</v>
      </c>
      <c r="E237">
        <v>24</v>
      </c>
      <c r="F237">
        <v>1.8</v>
      </c>
      <c r="G237" t="s">
        <v>8067</v>
      </c>
      <c r="H237">
        <v>0</v>
      </c>
      <c r="I237" t="s">
        <v>8081</v>
      </c>
      <c r="J237" t="s">
        <v>8082</v>
      </c>
      <c r="K237">
        <v>1</v>
      </c>
      <c r="L237" s="189">
        <v>45345</v>
      </c>
      <c r="M237" t="s">
        <v>8075</v>
      </c>
      <c r="N237" t="s">
        <v>7765</v>
      </c>
      <c r="O237">
        <v>-32.896439899999997</v>
      </c>
      <c r="P237">
        <v>-68.828765000000004</v>
      </c>
      <c r="Q237">
        <v>45341.460486111115</v>
      </c>
      <c r="R237">
        <v>84.94833333324641</v>
      </c>
      <c r="S237">
        <f>VLOOKUP(F237,'VALORES DIST'!$A$3:$B$27,2,TRUE)</f>
        <v>11816.268749999999</v>
      </c>
    </row>
    <row r="238" spans="1:19" x14ac:dyDescent="0.25">
      <c r="A238">
        <v>1000181</v>
      </c>
      <c r="B238" t="s">
        <v>6925</v>
      </c>
      <c r="C238" t="s">
        <v>8083</v>
      </c>
      <c r="D238" t="s">
        <v>8038</v>
      </c>
      <c r="E238">
        <v>152</v>
      </c>
      <c r="F238">
        <v>10.96</v>
      </c>
      <c r="G238" t="s">
        <v>8067</v>
      </c>
      <c r="H238">
        <v>0</v>
      </c>
      <c r="I238" t="s">
        <v>8058</v>
      </c>
      <c r="J238" t="s">
        <v>8059</v>
      </c>
      <c r="K238">
        <v>1</v>
      </c>
      <c r="L238" s="189">
        <v>45345</v>
      </c>
      <c r="M238" t="s">
        <v>8075</v>
      </c>
      <c r="N238" t="s">
        <v>7765</v>
      </c>
      <c r="O238">
        <v>-31.413715799999999</v>
      </c>
      <c r="P238">
        <v>-64.185669799999999</v>
      </c>
      <c r="Q238">
        <v>45341.460486111115</v>
      </c>
      <c r="R238">
        <v>84.94833333324641</v>
      </c>
      <c r="S238">
        <f>VLOOKUP(F238,'VALORES DIST'!$A$3:$B$27,2,TRUE)</f>
        <v>86655.806249999994</v>
      </c>
    </row>
    <row r="239" spans="1:19" x14ac:dyDescent="0.25">
      <c r="A239">
        <v>1000182</v>
      </c>
      <c r="B239" t="s">
        <v>7420</v>
      </c>
      <c r="C239" t="s">
        <v>8084</v>
      </c>
      <c r="D239" t="s">
        <v>7950</v>
      </c>
      <c r="E239">
        <v>80</v>
      </c>
      <c r="F239">
        <v>5.84</v>
      </c>
      <c r="G239" t="s">
        <v>8067</v>
      </c>
      <c r="H239">
        <v>0</v>
      </c>
      <c r="I239" t="s">
        <v>7805</v>
      </c>
      <c r="J239" t="s">
        <v>8085</v>
      </c>
      <c r="K239">
        <v>1</v>
      </c>
      <c r="L239" s="189">
        <v>45345</v>
      </c>
      <c r="M239" t="s">
        <v>8075</v>
      </c>
      <c r="N239" t="s">
        <v>7765</v>
      </c>
      <c r="O239">
        <v>-31.379676</v>
      </c>
      <c r="P239">
        <v>-64.180404300000006</v>
      </c>
      <c r="Q239">
        <v>45341.460486111115</v>
      </c>
      <c r="R239">
        <v>84.94833333324641</v>
      </c>
      <c r="S239">
        <f>VLOOKUP(F239,'VALORES DIST'!$A$3:$B$27,2,TRUE)</f>
        <v>45297.28125</v>
      </c>
    </row>
    <row r="240" spans="1:19" x14ac:dyDescent="0.25">
      <c r="A240">
        <v>1000187</v>
      </c>
      <c r="B240" t="s">
        <v>6936</v>
      </c>
      <c r="C240" t="s">
        <v>8086</v>
      </c>
      <c r="D240" t="s">
        <v>8087</v>
      </c>
      <c r="E240">
        <v>30</v>
      </c>
      <c r="F240">
        <v>2.16</v>
      </c>
      <c r="G240" t="s">
        <v>8067</v>
      </c>
      <c r="H240">
        <v>0</v>
      </c>
      <c r="I240" t="s">
        <v>8088</v>
      </c>
      <c r="J240" t="s">
        <v>8089</v>
      </c>
      <c r="K240">
        <v>1</v>
      </c>
      <c r="L240" s="189">
        <v>45345</v>
      </c>
      <c r="M240" t="s">
        <v>8075</v>
      </c>
      <c r="N240" t="s">
        <v>7765</v>
      </c>
      <c r="O240">
        <v>-31.395317200000001</v>
      </c>
      <c r="P240">
        <v>-58.0173937</v>
      </c>
      <c r="Q240">
        <v>45341.460497685184</v>
      </c>
      <c r="R240">
        <v>84.948055555578321</v>
      </c>
      <c r="S240">
        <f>VLOOKUP(F240,'VALORES DIST'!$A$3:$B$27,2,TRUE)</f>
        <v>11816.268749999999</v>
      </c>
    </row>
    <row r="241" spans="1:19" x14ac:dyDescent="0.25">
      <c r="A241">
        <v>1000195</v>
      </c>
      <c r="B241" t="s">
        <v>6930</v>
      </c>
      <c r="C241" t="s">
        <v>7800</v>
      </c>
      <c r="D241" t="s">
        <v>7801</v>
      </c>
      <c r="E241">
        <v>24</v>
      </c>
      <c r="F241">
        <v>1.92</v>
      </c>
      <c r="G241" t="s">
        <v>8067</v>
      </c>
      <c r="H241">
        <v>0</v>
      </c>
      <c r="I241" t="s">
        <v>7802</v>
      </c>
      <c r="J241" t="s">
        <v>7803</v>
      </c>
      <c r="K241">
        <v>1</v>
      </c>
      <c r="L241" s="189">
        <v>45345</v>
      </c>
      <c r="M241" t="s">
        <v>8075</v>
      </c>
      <c r="N241" t="s">
        <v>7765</v>
      </c>
      <c r="O241">
        <v>-32.945973500000001</v>
      </c>
      <c r="P241">
        <v>-60.647028599999999</v>
      </c>
      <c r="Q241">
        <v>45341.460520833331</v>
      </c>
      <c r="R241">
        <v>84.947500000067521</v>
      </c>
      <c r="S241">
        <f>VLOOKUP(F241,'VALORES DIST'!$A$3:$B$27,2,TRUE)</f>
        <v>11816.268749999999</v>
      </c>
    </row>
    <row r="242" spans="1:19" x14ac:dyDescent="0.25">
      <c r="A242">
        <v>30054</v>
      </c>
      <c r="B242" t="s">
        <v>7556</v>
      </c>
      <c r="C242" t="s">
        <v>7968</v>
      </c>
      <c r="D242" t="s">
        <v>7861</v>
      </c>
      <c r="E242">
        <v>144</v>
      </c>
      <c r="F242">
        <v>13.68</v>
      </c>
      <c r="G242" t="s">
        <v>7556</v>
      </c>
      <c r="H242">
        <v>0</v>
      </c>
      <c r="I242" t="s">
        <v>7825</v>
      </c>
      <c r="J242">
        <v>0</v>
      </c>
      <c r="K242">
        <v>1</v>
      </c>
      <c r="L242" s="189">
        <v>45348</v>
      </c>
      <c r="M242" t="s">
        <v>8075</v>
      </c>
      <c r="N242" t="s">
        <v>7765</v>
      </c>
      <c r="O242">
        <v>-345757521</v>
      </c>
      <c r="P242">
        <v>-585370965</v>
      </c>
      <c r="S242">
        <f>VLOOKUP(F242,'VALORES DIST'!$A$3:$B$27,2,TRUE)</f>
        <v>106349.58749999999</v>
      </c>
    </row>
    <row r="243" spans="1:19" x14ac:dyDescent="0.25">
      <c r="A243">
        <v>900014309</v>
      </c>
      <c r="B243" t="s">
        <v>7387</v>
      </c>
      <c r="C243" t="s">
        <v>8090</v>
      </c>
      <c r="D243" t="s">
        <v>7857</v>
      </c>
      <c r="E243">
        <v>326</v>
      </c>
      <c r="F243">
        <v>0.55800000000000005</v>
      </c>
      <c r="G243" t="s">
        <v>7509</v>
      </c>
      <c r="H243">
        <v>0</v>
      </c>
      <c r="I243" t="s">
        <v>7805</v>
      </c>
      <c r="J243">
        <v>0</v>
      </c>
      <c r="K243">
        <v>3</v>
      </c>
      <c r="L243" s="189">
        <v>45349</v>
      </c>
      <c r="M243" t="s">
        <v>8075</v>
      </c>
      <c r="N243" t="s">
        <v>7765</v>
      </c>
      <c r="O243">
        <v>-34.444420100000002</v>
      </c>
      <c r="P243">
        <v>-58.759914899999998</v>
      </c>
      <c r="Q243">
        <v>45338.599432870367</v>
      </c>
      <c r="R243">
        <v>249.61361111118455</v>
      </c>
      <c r="S243">
        <f>VLOOKUP(F243,'VALORES DIST'!$A$3:$B$27,2,TRUE)</f>
        <v>11816.268749999999</v>
      </c>
    </row>
    <row r="244" spans="1:19" x14ac:dyDescent="0.25">
      <c r="A244">
        <v>800008620</v>
      </c>
      <c r="B244" t="s">
        <v>7185</v>
      </c>
      <c r="C244" t="s">
        <v>7862</v>
      </c>
      <c r="D244" t="s">
        <v>7863</v>
      </c>
      <c r="E244">
        <v>84</v>
      </c>
      <c r="F244">
        <v>0.86399999999999999</v>
      </c>
      <c r="G244" t="s">
        <v>7509</v>
      </c>
      <c r="H244">
        <v>0</v>
      </c>
      <c r="I244" t="s">
        <v>7805</v>
      </c>
      <c r="J244">
        <v>0</v>
      </c>
      <c r="K244">
        <v>1</v>
      </c>
      <c r="L244" s="189">
        <v>45349</v>
      </c>
      <c r="M244" t="s">
        <v>8075</v>
      </c>
      <c r="N244" t="s">
        <v>7765</v>
      </c>
      <c r="O244">
        <v>-34.533126799999998</v>
      </c>
      <c r="P244">
        <v>-58.70158</v>
      </c>
      <c r="Q244">
        <v>45342.433379629627</v>
      </c>
      <c r="R244">
        <v>157.59888888895512</v>
      </c>
      <c r="S244">
        <f>VLOOKUP(F244,'VALORES DIST'!$A$3:$B$27,2,TRUE)</f>
        <v>11816.268749999999</v>
      </c>
    </row>
    <row r="245" spans="1:19" x14ac:dyDescent="0.25">
      <c r="A245">
        <v>800008619</v>
      </c>
      <c r="B245" t="s">
        <v>7185</v>
      </c>
      <c r="C245" t="s">
        <v>7862</v>
      </c>
      <c r="D245" t="s">
        <v>7863</v>
      </c>
      <c r="E245">
        <v>398</v>
      </c>
      <c r="F245">
        <v>3.18</v>
      </c>
      <c r="G245" t="s">
        <v>7509</v>
      </c>
      <c r="H245">
        <v>0</v>
      </c>
      <c r="I245" t="s">
        <v>7805</v>
      </c>
      <c r="J245">
        <v>0</v>
      </c>
      <c r="K245">
        <v>1</v>
      </c>
      <c r="L245" s="189">
        <v>45349</v>
      </c>
      <c r="M245" t="s">
        <v>8075</v>
      </c>
      <c r="N245" t="s">
        <v>7765</v>
      </c>
      <c r="O245">
        <v>-34.533126799999998</v>
      </c>
      <c r="P245">
        <v>-58.70158</v>
      </c>
      <c r="Q245">
        <v>45342.433356481481</v>
      </c>
      <c r="R245">
        <v>157.59944444446592</v>
      </c>
      <c r="S245">
        <f>VLOOKUP(F245,'VALORES DIST'!$A$3:$B$27,2,TRUE)</f>
        <v>13787.231250000001</v>
      </c>
    </row>
    <row r="246" spans="1:19" x14ac:dyDescent="0.25">
      <c r="A246">
        <v>1000194</v>
      </c>
      <c r="B246" t="s">
        <v>7344</v>
      </c>
      <c r="C246" t="s">
        <v>8084</v>
      </c>
      <c r="D246" t="s">
        <v>7950</v>
      </c>
      <c r="E246">
        <v>148</v>
      </c>
      <c r="F246">
        <v>10.28</v>
      </c>
      <c r="G246" t="s">
        <v>8067</v>
      </c>
      <c r="H246">
        <v>0</v>
      </c>
      <c r="I246" t="s">
        <v>7805</v>
      </c>
      <c r="J246" t="s">
        <v>8091</v>
      </c>
      <c r="K246">
        <v>0</v>
      </c>
      <c r="L246" s="189">
        <v>45349</v>
      </c>
      <c r="M246" t="s">
        <v>8075</v>
      </c>
      <c r="N246" t="s">
        <v>7765</v>
      </c>
      <c r="Q246">
        <v>45341.460520833331</v>
      </c>
      <c r="R246">
        <v>180.94750000006752</v>
      </c>
      <c r="S246">
        <f>VLOOKUP(F246,'VALORES DIST'!$A$3:$B$27,2,TRUE)</f>
        <v>86655.806249999994</v>
      </c>
    </row>
    <row r="247" spans="1:19" x14ac:dyDescent="0.25">
      <c r="A247">
        <v>900014314</v>
      </c>
      <c r="B247" t="s">
        <v>7217</v>
      </c>
      <c r="C247" t="s">
        <v>8092</v>
      </c>
      <c r="D247" t="s">
        <v>8093</v>
      </c>
      <c r="E247">
        <v>374</v>
      </c>
      <c r="F247">
        <v>1.478</v>
      </c>
      <c r="G247" t="s">
        <v>7509</v>
      </c>
      <c r="H247">
        <v>0</v>
      </c>
      <c r="I247" t="s">
        <v>8094</v>
      </c>
      <c r="J247" t="s">
        <v>8095</v>
      </c>
      <c r="K247">
        <v>1</v>
      </c>
      <c r="L247" s="189">
        <v>45350</v>
      </c>
      <c r="M247" t="s">
        <v>7764</v>
      </c>
      <c r="N247" t="s">
        <v>7765</v>
      </c>
      <c r="O247">
        <v>-45.876958500000001</v>
      </c>
      <c r="P247">
        <v>-67.521729100000002</v>
      </c>
      <c r="Q247">
        <v>45338.599444444444</v>
      </c>
      <c r="R247">
        <v>273.61333333334187</v>
      </c>
      <c r="S247">
        <f>VLOOKUP(F247,'VALORES DIST'!$A$3:$B$27,2,TRUE)</f>
        <v>11816.268749999999</v>
      </c>
    </row>
    <row r="248" spans="1:19" x14ac:dyDescent="0.25">
      <c r="A248">
        <v>800008621</v>
      </c>
      <c r="B248" t="s">
        <v>7187</v>
      </c>
      <c r="C248" t="s">
        <v>7822</v>
      </c>
      <c r="D248" t="s">
        <v>7823</v>
      </c>
      <c r="E248">
        <v>319</v>
      </c>
      <c r="F248">
        <v>0.6754</v>
      </c>
      <c r="G248" t="s">
        <v>7509</v>
      </c>
      <c r="H248">
        <v>0</v>
      </c>
      <c r="I248" t="s">
        <v>7805</v>
      </c>
      <c r="J248">
        <v>0</v>
      </c>
      <c r="K248">
        <v>3</v>
      </c>
      <c r="L248" s="189">
        <v>45350</v>
      </c>
      <c r="M248" t="s">
        <v>7764</v>
      </c>
      <c r="N248" t="s">
        <v>7765</v>
      </c>
      <c r="O248">
        <v>-34.7108688</v>
      </c>
      <c r="P248">
        <v>-58.280082700000001</v>
      </c>
      <c r="Q248">
        <v>45342.433391203704</v>
      </c>
      <c r="R248">
        <v>181.5986111111124</v>
      </c>
      <c r="S248">
        <f>VLOOKUP(F248,'VALORES DIST'!$A$3:$B$27,2,TRUE)</f>
        <v>11816.268749999999</v>
      </c>
    </row>
    <row r="249" spans="1:19" x14ac:dyDescent="0.25">
      <c r="A249">
        <v>900014231</v>
      </c>
      <c r="B249" t="s">
        <v>7121</v>
      </c>
      <c r="C249" t="s">
        <v>8096</v>
      </c>
      <c r="D249" t="s">
        <v>8097</v>
      </c>
      <c r="E249">
        <v>54</v>
      </c>
      <c r="F249">
        <v>5.3999999999999999E-2</v>
      </c>
      <c r="G249" t="s">
        <v>7509</v>
      </c>
      <c r="H249">
        <v>0</v>
      </c>
      <c r="I249" t="s">
        <v>7805</v>
      </c>
      <c r="J249">
        <v>0</v>
      </c>
      <c r="K249">
        <v>1</v>
      </c>
      <c r="L249" s="189">
        <v>45350</v>
      </c>
      <c r="M249" t="s">
        <v>7764</v>
      </c>
      <c r="N249" t="s">
        <v>7765</v>
      </c>
      <c r="O249">
        <v>-34.779813400000002</v>
      </c>
      <c r="P249">
        <v>-58.311706700000002</v>
      </c>
      <c r="Q249">
        <v>45336.370081018518</v>
      </c>
      <c r="R249">
        <v>327.11805555556202</v>
      </c>
      <c r="S249">
        <f>VLOOKUP(F249,'VALORES DIST'!$A$3:$B$27,2,TRUE)</f>
        <v>11816.268749999999</v>
      </c>
    </row>
    <row r="250" spans="1:19" x14ac:dyDescent="0.25">
      <c r="A250">
        <v>800008624</v>
      </c>
      <c r="B250" t="s">
        <v>7186</v>
      </c>
      <c r="C250" t="s">
        <v>7847</v>
      </c>
      <c r="D250" t="s">
        <v>7848</v>
      </c>
      <c r="E250">
        <v>27</v>
      </c>
      <c r="F250">
        <v>0.309</v>
      </c>
      <c r="G250" t="s">
        <v>7509</v>
      </c>
      <c r="H250">
        <v>0</v>
      </c>
      <c r="I250" t="s">
        <v>7805</v>
      </c>
      <c r="J250">
        <v>0</v>
      </c>
      <c r="K250">
        <v>3</v>
      </c>
      <c r="L250" s="189">
        <v>45350</v>
      </c>
      <c r="M250" t="s">
        <v>7764</v>
      </c>
      <c r="N250" t="s">
        <v>7765</v>
      </c>
      <c r="O250">
        <v>-34.722945199999998</v>
      </c>
      <c r="P250">
        <v>-58.258703699999998</v>
      </c>
      <c r="Q250">
        <v>45342.433391203704</v>
      </c>
      <c r="R250">
        <v>181.5986111111124</v>
      </c>
      <c r="S250">
        <f>VLOOKUP(F250,'VALORES DIST'!$A$3:$B$27,2,TRUE)</f>
        <v>11816.268749999999</v>
      </c>
    </row>
    <row r="251" spans="1:19" x14ac:dyDescent="0.25">
      <c r="A251">
        <v>900014338</v>
      </c>
      <c r="B251" t="s">
        <v>7288</v>
      </c>
      <c r="C251" t="s">
        <v>8098</v>
      </c>
      <c r="D251" t="s">
        <v>8099</v>
      </c>
      <c r="E251">
        <v>516</v>
      </c>
      <c r="F251">
        <v>14.964</v>
      </c>
      <c r="G251" t="s">
        <v>7509</v>
      </c>
      <c r="H251">
        <v>0</v>
      </c>
      <c r="I251" t="s">
        <v>7805</v>
      </c>
      <c r="J251">
        <v>0</v>
      </c>
      <c r="K251">
        <v>1</v>
      </c>
      <c r="L251" s="189">
        <v>45350</v>
      </c>
      <c r="M251" t="s">
        <v>8075</v>
      </c>
      <c r="N251" t="s">
        <v>7765</v>
      </c>
      <c r="O251">
        <v>-34.574484200000001</v>
      </c>
      <c r="P251">
        <v>-58.507114100000003</v>
      </c>
      <c r="Q251">
        <v>45343.357499999998</v>
      </c>
      <c r="R251">
        <v>159.42000000004191</v>
      </c>
      <c r="S251">
        <f>VLOOKUP(F251,'VALORES DIST'!$A$3:$B$27,2,TRUE)</f>
        <v>115215.75</v>
      </c>
    </row>
    <row r="252" spans="1:19" x14ac:dyDescent="0.25">
      <c r="A252">
        <v>953</v>
      </c>
      <c r="B252" t="s">
        <v>3982</v>
      </c>
      <c r="C252" t="s">
        <v>7974</v>
      </c>
      <c r="D252" t="s">
        <v>7975</v>
      </c>
      <c r="E252">
        <v>20</v>
      </c>
      <c r="F252">
        <v>1.881</v>
      </c>
      <c r="G252" t="s">
        <v>3982</v>
      </c>
      <c r="H252">
        <v>0</v>
      </c>
      <c r="I252" t="s">
        <v>7881</v>
      </c>
      <c r="J252">
        <v>0</v>
      </c>
      <c r="K252">
        <v>1</v>
      </c>
      <c r="L252" s="189">
        <v>45351</v>
      </c>
      <c r="M252" t="s">
        <v>7764</v>
      </c>
      <c r="O252">
        <v>-34.653543200000001</v>
      </c>
      <c r="P252">
        <v>-58.5321322</v>
      </c>
      <c r="S252">
        <f>VLOOKUP(F252,'VALORES DIST'!$A$3:$B$27,2,TRUE)</f>
        <v>11816.268749999999</v>
      </c>
    </row>
    <row r="253" spans="1:19" x14ac:dyDescent="0.25">
      <c r="A253">
        <v>954</v>
      </c>
      <c r="B253" t="s">
        <v>3982</v>
      </c>
      <c r="C253" t="s">
        <v>7974</v>
      </c>
      <c r="D253" t="s">
        <v>7975</v>
      </c>
      <c r="E253">
        <v>6</v>
      </c>
      <c r="F253">
        <v>0.52700000000000002</v>
      </c>
      <c r="G253" t="s">
        <v>3982</v>
      </c>
      <c r="H253">
        <v>0</v>
      </c>
      <c r="J253">
        <v>0</v>
      </c>
      <c r="K253">
        <v>1</v>
      </c>
      <c r="L253" s="189">
        <v>45351</v>
      </c>
      <c r="M253" t="s">
        <v>7764</v>
      </c>
      <c r="O253">
        <v>-34.653543200000001</v>
      </c>
      <c r="P253">
        <v>-58.5321322</v>
      </c>
      <c r="S253">
        <f>VLOOKUP(F253,'VALORES DIST'!$A$3:$B$27,2,TRUE)</f>
        <v>11816.268749999999</v>
      </c>
    </row>
    <row r="254" spans="1:19" x14ac:dyDescent="0.25">
      <c r="A254">
        <v>900014392</v>
      </c>
      <c r="B254" t="s">
        <v>7062</v>
      </c>
      <c r="C254" t="s">
        <v>7860</v>
      </c>
      <c r="D254" t="s">
        <v>7861</v>
      </c>
      <c r="E254">
        <v>168</v>
      </c>
      <c r="F254">
        <v>3.36</v>
      </c>
      <c r="G254" t="s">
        <v>7509</v>
      </c>
      <c r="H254">
        <v>0</v>
      </c>
      <c r="I254" t="s">
        <v>7805</v>
      </c>
      <c r="J254">
        <v>0</v>
      </c>
      <c r="K254">
        <v>1</v>
      </c>
      <c r="L254" s="189">
        <v>45352</v>
      </c>
      <c r="M254" t="s">
        <v>7764</v>
      </c>
      <c r="N254" t="s">
        <v>7765</v>
      </c>
      <c r="O254">
        <v>-34.580266899999998</v>
      </c>
      <c r="P254">
        <v>-58.567333300000001</v>
      </c>
      <c r="Q254">
        <v>45351.418483796297</v>
      </c>
      <c r="R254">
        <v>13.95638888888061</v>
      </c>
      <c r="S254">
        <f>VLOOKUP(F254,'VALORES DIST'!$A$3:$B$27,2,TRUE)</f>
        <v>13787.231250000001</v>
      </c>
    </row>
    <row r="255" spans="1:19" x14ac:dyDescent="0.25">
      <c r="A255">
        <v>900014345</v>
      </c>
      <c r="B255" t="s">
        <v>7780</v>
      </c>
      <c r="C255" t="s">
        <v>7781</v>
      </c>
      <c r="D255" t="s">
        <v>7782</v>
      </c>
      <c r="E255">
        <v>186</v>
      </c>
      <c r="F255">
        <v>3.294</v>
      </c>
      <c r="G255" t="s">
        <v>7509</v>
      </c>
      <c r="H255">
        <v>0</v>
      </c>
      <c r="I255" t="s">
        <v>7783</v>
      </c>
      <c r="J255" t="s">
        <v>7784</v>
      </c>
      <c r="K255">
        <v>2</v>
      </c>
      <c r="L255" s="189">
        <v>45352</v>
      </c>
      <c r="M255" t="s">
        <v>7764</v>
      </c>
      <c r="N255" t="s">
        <v>7765</v>
      </c>
      <c r="O255">
        <v>-31.412323799999999</v>
      </c>
      <c r="P255">
        <v>-64.182606100000001</v>
      </c>
      <c r="Q255">
        <v>45351.418402777781</v>
      </c>
      <c r="R255">
        <v>13.958333333255723</v>
      </c>
      <c r="S255">
        <f>VLOOKUP(F255,'VALORES DIST'!$A$3:$B$27,2,TRUE)</f>
        <v>13787.231250000001</v>
      </c>
    </row>
    <row r="256" spans="1:19" x14ac:dyDescent="0.25">
      <c r="A256">
        <v>900014346</v>
      </c>
      <c r="B256" t="s">
        <v>7389</v>
      </c>
      <c r="E256">
        <v>72</v>
      </c>
      <c r="F256">
        <v>1.302</v>
      </c>
      <c r="G256" t="s">
        <v>7509</v>
      </c>
      <c r="L256" s="189">
        <v>45352</v>
      </c>
      <c r="M256" t="s">
        <v>7764</v>
      </c>
      <c r="N256" t="s">
        <v>7765</v>
      </c>
      <c r="Q256">
        <v>45351.418402777781</v>
      </c>
      <c r="R256">
        <v>13.958333333255723</v>
      </c>
      <c r="S256">
        <f>VLOOKUP(F256,'VALORES DIST'!$A$3:$B$27,2,TRUE)</f>
        <v>11816.268749999999</v>
      </c>
    </row>
    <row r="257" spans="1:19" x14ac:dyDescent="0.25">
      <c r="A257">
        <v>900014347</v>
      </c>
      <c r="B257" t="s">
        <v>7080</v>
      </c>
      <c r="C257" t="s">
        <v>7829</v>
      </c>
      <c r="D257" t="s">
        <v>7830</v>
      </c>
      <c r="E257">
        <v>104</v>
      </c>
      <c r="F257">
        <v>3.1520000000000001</v>
      </c>
      <c r="G257" t="s">
        <v>7509</v>
      </c>
      <c r="H257">
        <v>0</v>
      </c>
      <c r="I257" t="s">
        <v>7831</v>
      </c>
      <c r="J257" t="s">
        <v>7832</v>
      </c>
      <c r="K257">
        <v>1</v>
      </c>
      <c r="L257" s="189">
        <v>45352</v>
      </c>
      <c r="M257" t="s">
        <v>7764</v>
      </c>
      <c r="N257" t="s">
        <v>7765</v>
      </c>
      <c r="O257">
        <v>-32.884159699999998</v>
      </c>
      <c r="P257">
        <v>-68.838725199999999</v>
      </c>
      <c r="Q257">
        <v>45351.418414351851</v>
      </c>
      <c r="R257">
        <v>13.958055555587634</v>
      </c>
      <c r="S257">
        <f>VLOOKUP(F257,'VALORES DIST'!$A$3:$B$27,2,TRUE)</f>
        <v>13787.231250000001</v>
      </c>
    </row>
    <row r="258" spans="1:19" x14ac:dyDescent="0.25">
      <c r="A258">
        <v>900014350</v>
      </c>
      <c r="B258" t="s">
        <v>7064</v>
      </c>
      <c r="C258" t="s">
        <v>7965</v>
      </c>
      <c r="D258" t="s">
        <v>7894</v>
      </c>
      <c r="E258">
        <v>108</v>
      </c>
      <c r="F258">
        <v>2.8</v>
      </c>
      <c r="G258" t="s">
        <v>7509</v>
      </c>
      <c r="H258">
        <v>0</v>
      </c>
      <c r="I258" t="s">
        <v>7966</v>
      </c>
      <c r="J258" t="s">
        <v>7967</v>
      </c>
      <c r="K258">
        <v>1</v>
      </c>
      <c r="L258" s="189">
        <v>45352</v>
      </c>
      <c r="M258" t="s">
        <v>7764</v>
      </c>
      <c r="N258" t="s">
        <v>7765</v>
      </c>
      <c r="O258">
        <v>-26.829931800000001</v>
      </c>
      <c r="P258">
        <v>-65.205920399999997</v>
      </c>
      <c r="Q258">
        <v>45351.418414351851</v>
      </c>
      <c r="R258">
        <v>13.958055555587634</v>
      </c>
      <c r="S258">
        <f>VLOOKUP(F258,'VALORES DIST'!$A$3:$B$27,2,TRUE)</f>
        <v>11816.268749999999</v>
      </c>
    </row>
    <row r="259" spans="1:19" x14ac:dyDescent="0.25">
      <c r="A259">
        <v>900014351</v>
      </c>
      <c r="B259" t="s">
        <v>7166</v>
      </c>
      <c r="C259" t="s">
        <v>7943</v>
      </c>
      <c r="D259" t="s">
        <v>7777</v>
      </c>
      <c r="E259">
        <v>140</v>
      </c>
      <c r="F259">
        <v>0.55800000000000005</v>
      </c>
      <c r="G259" t="s">
        <v>7509</v>
      </c>
      <c r="H259">
        <v>0</v>
      </c>
      <c r="I259" t="s">
        <v>7944</v>
      </c>
      <c r="J259" t="s">
        <v>7945</v>
      </c>
      <c r="K259">
        <v>1</v>
      </c>
      <c r="L259" s="189">
        <v>45352</v>
      </c>
      <c r="M259" t="s">
        <v>7764</v>
      </c>
      <c r="N259" t="s">
        <v>7765</v>
      </c>
      <c r="O259">
        <v>-31.535107400000001</v>
      </c>
      <c r="P259">
        <v>-68.538594099999997</v>
      </c>
      <c r="Q259">
        <v>45351.418414351851</v>
      </c>
      <c r="R259">
        <v>13.958055555587634</v>
      </c>
      <c r="S259">
        <f>VLOOKUP(F259,'VALORES DIST'!$A$3:$B$27,2,TRUE)</f>
        <v>11816.268749999999</v>
      </c>
    </row>
    <row r="260" spans="1:19" x14ac:dyDescent="0.25">
      <c r="A260">
        <v>900014349</v>
      </c>
      <c r="B260" t="s">
        <v>7404</v>
      </c>
      <c r="C260" t="s">
        <v>8100</v>
      </c>
      <c r="D260" t="s">
        <v>8101</v>
      </c>
      <c r="E260">
        <v>254</v>
      </c>
      <c r="F260">
        <v>0.33600000000000002</v>
      </c>
      <c r="G260" t="s">
        <v>7509</v>
      </c>
      <c r="H260">
        <v>0</v>
      </c>
      <c r="I260" t="s">
        <v>8102</v>
      </c>
      <c r="J260" t="s">
        <v>8103</v>
      </c>
      <c r="K260">
        <v>1</v>
      </c>
      <c r="L260" s="189">
        <v>45352</v>
      </c>
      <c r="M260" t="s">
        <v>7764</v>
      </c>
      <c r="N260" t="s">
        <v>7765</v>
      </c>
      <c r="O260">
        <v>-31.656094800000002</v>
      </c>
      <c r="P260">
        <v>-64.4312209</v>
      </c>
      <c r="Q260">
        <v>45351.418414351851</v>
      </c>
      <c r="R260">
        <v>13.958055555587634</v>
      </c>
      <c r="S260">
        <f>VLOOKUP(F260,'VALORES DIST'!$A$3:$B$27,2,TRUE)</f>
        <v>11816.268749999999</v>
      </c>
    </row>
    <row r="261" spans="1:19" x14ac:dyDescent="0.25">
      <c r="A261">
        <v>900014348</v>
      </c>
      <c r="B261" t="s">
        <v>7081</v>
      </c>
      <c r="C261" t="s">
        <v>7962</v>
      </c>
      <c r="D261" t="s">
        <v>7963</v>
      </c>
      <c r="E261">
        <v>32</v>
      </c>
      <c r="F261">
        <v>0.65</v>
      </c>
      <c r="G261" t="s">
        <v>7509</v>
      </c>
      <c r="H261">
        <v>0</v>
      </c>
      <c r="I261" t="s">
        <v>7787</v>
      </c>
      <c r="J261" t="s">
        <v>7788</v>
      </c>
      <c r="K261">
        <v>1</v>
      </c>
      <c r="L261" s="189">
        <v>45352</v>
      </c>
      <c r="M261" t="s">
        <v>7764</v>
      </c>
      <c r="N261" t="s">
        <v>7765</v>
      </c>
      <c r="O261">
        <v>-34.614748800000001</v>
      </c>
      <c r="P261">
        <v>-68.332763</v>
      </c>
      <c r="Q261">
        <v>45351.418414351851</v>
      </c>
      <c r="R261">
        <v>13.958055555587634</v>
      </c>
      <c r="S261">
        <f>VLOOKUP(F261,'VALORES DIST'!$A$3:$B$27,2,TRUE)</f>
        <v>11816.268749999999</v>
      </c>
    </row>
    <row r="262" spans="1:19" x14ac:dyDescent="0.25">
      <c r="A262">
        <v>352</v>
      </c>
      <c r="B262" t="s">
        <v>6888</v>
      </c>
      <c r="C262" t="s">
        <v>7824</v>
      </c>
      <c r="D262" t="s">
        <v>7794</v>
      </c>
      <c r="E262">
        <v>48</v>
      </c>
      <c r="F262">
        <v>1.44</v>
      </c>
      <c r="G262" t="s">
        <v>6888</v>
      </c>
      <c r="H262">
        <v>0</v>
      </c>
      <c r="I262" t="s">
        <v>7881</v>
      </c>
      <c r="J262">
        <v>0</v>
      </c>
      <c r="K262">
        <v>1</v>
      </c>
      <c r="L262" s="189">
        <v>45352</v>
      </c>
      <c r="M262" t="s">
        <v>7764</v>
      </c>
      <c r="N262" t="s">
        <v>7765</v>
      </c>
      <c r="O262">
        <v>-34.603684399999999</v>
      </c>
      <c r="P262">
        <v>-58.381559099999997</v>
      </c>
      <c r="S262">
        <f>VLOOKUP(F262,'VALORES DIST'!$A$3:$B$27,2,TRUE)</f>
        <v>11816.268749999999</v>
      </c>
    </row>
    <row r="263" spans="1:19" x14ac:dyDescent="0.25">
      <c r="A263">
        <v>900014341</v>
      </c>
      <c r="B263" t="s">
        <v>6987</v>
      </c>
      <c r="C263" t="s">
        <v>8104</v>
      </c>
      <c r="D263" t="s">
        <v>7794</v>
      </c>
      <c r="E263">
        <v>18</v>
      </c>
      <c r="F263">
        <v>0.54</v>
      </c>
      <c r="G263" t="s">
        <v>7509</v>
      </c>
      <c r="H263">
        <v>0</v>
      </c>
      <c r="I263" t="s">
        <v>7805</v>
      </c>
      <c r="J263" t="s">
        <v>7788</v>
      </c>
      <c r="K263">
        <v>1</v>
      </c>
      <c r="L263" s="189">
        <v>45355</v>
      </c>
      <c r="M263" t="s">
        <v>7764</v>
      </c>
      <c r="N263" t="s">
        <v>7765</v>
      </c>
      <c r="O263">
        <v>-34.626237600000003</v>
      </c>
      <c r="P263">
        <v>-58.401294999999998</v>
      </c>
      <c r="Q263">
        <v>45351.418402777781</v>
      </c>
      <c r="R263">
        <v>85.958333333255723</v>
      </c>
      <c r="S263">
        <f>VLOOKUP(F263,'VALORES DIST'!$A$3:$B$27,2,TRUE)</f>
        <v>11816.268749999999</v>
      </c>
    </row>
    <row r="264" spans="1:19" x14ac:dyDescent="0.25">
      <c r="A264">
        <v>900014344</v>
      </c>
      <c r="B264" t="s">
        <v>7034</v>
      </c>
      <c r="C264" t="s">
        <v>8004</v>
      </c>
      <c r="D264" t="s">
        <v>7935</v>
      </c>
      <c r="E264">
        <v>48</v>
      </c>
      <c r="F264">
        <v>4.8000000000000001E-2</v>
      </c>
      <c r="G264" t="s">
        <v>7509</v>
      </c>
      <c r="H264">
        <v>0</v>
      </c>
      <c r="I264" t="s">
        <v>8005</v>
      </c>
      <c r="J264" t="s">
        <v>8006</v>
      </c>
      <c r="K264">
        <v>1</v>
      </c>
      <c r="L264" s="189">
        <v>45355</v>
      </c>
      <c r="M264" t="s">
        <v>7764</v>
      </c>
      <c r="N264" t="s">
        <v>7765</v>
      </c>
      <c r="O264">
        <v>-38.004376499999999</v>
      </c>
      <c r="P264">
        <v>-57.559128899999997</v>
      </c>
      <c r="Q264">
        <v>45351.418402777781</v>
      </c>
      <c r="R264">
        <v>85.958333333255723</v>
      </c>
      <c r="S264">
        <f>VLOOKUP(F264,'VALORES DIST'!$A$3:$B$27,2,TRUE)</f>
        <v>11816.268749999999</v>
      </c>
    </row>
    <row r="265" spans="1:19" x14ac:dyDescent="0.25">
      <c r="A265">
        <v>900014340</v>
      </c>
      <c r="B265" t="s">
        <v>7056</v>
      </c>
      <c r="C265" t="s">
        <v>7810</v>
      </c>
      <c r="D265" t="s">
        <v>7794</v>
      </c>
      <c r="E265">
        <v>112</v>
      </c>
      <c r="F265">
        <v>3.282</v>
      </c>
      <c r="G265" t="s">
        <v>7509</v>
      </c>
      <c r="H265">
        <v>0</v>
      </c>
      <c r="I265" t="s">
        <v>7805</v>
      </c>
      <c r="J265">
        <v>0</v>
      </c>
      <c r="K265">
        <v>1</v>
      </c>
      <c r="L265" s="189">
        <v>45355</v>
      </c>
      <c r="M265" t="s">
        <v>7764</v>
      </c>
      <c r="N265" t="s">
        <v>7765</v>
      </c>
      <c r="O265">
        <v>-34.604430800000003</v>
      </c>
      <c r="P265">
        <v>-58.401197199999999</v>
      </c>
      <c r="Q265">
        <v>45351.418402777781</v>
      </c>
      <c r="R265">
        <v>85.958333333255723</v>
      </c>
      <c r="S265">
        <f>VLOOKUP(F265,'VALORES DIST'!$A$3:$B$27,2,TRUE)</f>
        <v>13787.231250000001</v>
      </c>
    </row>
    <row r="266" spans="1:19" x14ac:dyDescent="0.25">
      <c r="A266">
        <v>900014342</v>
      </c>
      <c r="B266" t="s">
        <v>7148</v>
      </c>
      <c r="C266" t="s">
        <v>8105</v>
      </c>
      <c r="D266" t="s">
        <v>8038</v>
      </c>
      <c r="E266">
        <v>110</v>
      </c>
      <c r="F266">
        <v>3.1</v>
      </c>
      <c r="G266" t="s">
        <v>7509</v>
      </c>
      <c r="H266">
        <v>0</v>
      </c>
      <c r="I266" t="s">
        <v>8106</v>
      </c>
      <c r="J266" t="s">
        <v>8107</v>
      </c>
      <c r="K266">
        <v>1</v>
      </c>
      <c r="L266" s="189">
        <v>45355</v>
      </c>
      <c r="M266" t="s">
        <v>7764</v>
      </c>
      <c r="N266" t="s">
        <v>7765</v>
      </c>
      <c r="O266">
        <v>-31.3672544</v>
      </c>
      <c r="P266">
        <v>-64.218734799999993</v>
      </c>
      <c r="Q266">
        <v>45351.418402777781</v>
      </c>
      <c r="R266">
        <v>85.958333333255723</v>
      </c>
      <c r="S266">
        <f>VLOOKUP(F266,'VALORES DIST'!$A$3:$B$27,2,TRUE)</f>
        <v>13787.231250000001</v>
      </c>
    </row>
    <row r="267" spans="1:19" x14ac:dyDescent="0.25">
      <c r="A267">
        <v>900014343</v>
      </c>
      <c r="B267" t="s">
        <v>6968</v>
      </c>
      <c r="C267" t="s">
        <v>7874</v>
      </c>
      <c r="D267" t="s">
        <v>7794</v>
      </c>
      <c r="E267">
        <v>120</v>
      </c>
      <c r="F267">
        <v>3.72</v>
      </c>
      <c r="G267" t="s">
        <v>7509</v>
      </c>
      <c r="H267">
        <v>0</v>
      </c>
      <c r="I267" t="s">
        <v>7805</v>
      </c>
      <c r="J267">
        <v>0</v>
      </c>
      <c r="K267">
        <v>1</v>
      </c>
      <c r="L267" s="189">
        <v>45355</v>
      </c>
      <c r="M267" t="s">
        <v>7764</v>
      </c>
      <c r="N267" t="s">
        <v>7765</v>
      </c>
      <c r="O267">
        <v>-34.594501899999997</v>
      </c>
      <c r="P267">
        <v>-58.429039899999999</v>
      </c>
      <c r="Q267">
        <v>45351.418402777781</v>
      </c>
      <c r="R267">
        <v>85.958333333255723</v>
      </c>
      <c r="S267">
        <f>VLOOKUP(F267,'VALORES DIST'!$A$3:$B$27,2,TRUE)</f>
        <v>13787.231250000001</v>
      </c>
    </row>
    <row r="268" spans="1:19" x14ac:dyDescent="0.25">
      <c r="A268">
        <v>100000001</v>
      </c>
      <c r="B268" t="s">
        <v>3117</v>
      </c>
      <c r="C268" t="s">
        <v>8068</v>
      </c>
      <c r="D268" t="s">
        <v>7794</v>
      </c>
      <c r="E268">
        <v>38</v>
      </c>
      <c r="F268">
        <v>2.3889999999999998</v>
      </c>
      <c r="G268" t="s">
        <v>3117</v>
      </c>
      <c r="H268">
        <v>0</v>
      </c>
      <c r="I268">
        <v>0</v>
      </c>
      <c r="J268">
        <v>0</v>
      </c>
      <c r="K268">
        <v>1</v>
      </c>
      <c r="L268" s="189">
        <v>45355</v>
      </c>
      <c r="M268" t="s">
        <v>7764</v>
      </c>
      <c r="N268" t="s">
        <v>7765</v>
      </c>
      <c r="O268">
        <v>-346290028</v>
      </c>
      <c r="P268">
        <v>-584337594</v>
      </c>
      <c r="S268">
        <f>VLOOKUP(F268,'VALORES DIST'!$A$3:$B$27,2,TRUE)</f>
        <v>11816.268749999999</v>
      </c>
    </row>
    <row r="269" spans="1:19" x14ac:dyDescent="0.25">
      <c r="A269">
        <v>30055</v>
      </c>
      <c r="B269" t="s">
        <v>7556</v>
      </c>
      <c r="C269" t="s">
        <v>7968</v>
      </c>
      <c r="D269" t="s">
        <v>7861</v>
      </c>
      <c r="E269">
        <v>150</v>
      </c>
      <c r="F269">
        <v>14.25</v>
      </c>
      <c r="G269" t="s">
        <v>7556</v>
      </c>
      <c r="H269">
        <v>0</v>
      </c>
      <c r="I269" t="s">
        <v>7825</v>
      </c>
      <c r="J269">
        <v>0</v>
      </c>
      <c r="K269">
        <v>1</v>
      </c>
      <c r="L269" s="189">
        <v>45356</v>
      </c>
      <c r="M269" t="s">
        <v>8075</v>
      </c>
      <c r="N269" t="s">
        <v>7765</v>
      </c>
      <c r="O269">
        <v>-345757521</v>
      </c>
      <c r="P269">
        <v>-585370965</v>
      </c>
      <c r="S269">
        <f>VLOOKUP(F269,'VALORES DIST'!$A$3:$B$27,2,TRUE)</f>
        <v>115215.75</v>
      </c>
    </row>
    <row r="270" spans="1:19" x14ac:dyDescent="0.25">
      <c r="A270">
        <v>900014428</v>
      </c>
      <c r="B270" t="s">
        <v>7123</v>
      </c>
      <c r="C270" t="s">
        <v>8108</v>
      </c>
      <c r="D270" t="s">
        <v>7863</v>
      </c>
      <c r="E270">
        <v>20</v>
      </c>
      <c r="F270">
        <v>0.104</v>
      </c>
      <c r="G270" t="s">
        <v>7509</v>
      </c>
      <c r="H270">
        <v>0</v>
      </c>
      <c r="I270" t="s">
        <v>7805</v>
      </c>
      <c r="J270">
        <v>0</v>
      </c>
      <c r="K270">
        <v>1</v>
      </c>
      <c r="L270" s="189">
        <v>45357</v>
      </c>
      <c r="M270" t="s">
        <v>8075</v>
      </c>
      <c r="N270" t="s">
        <v>7765</v>
      </c>
      <c r="O270">
        <v>-34.543440099999998</v>
      </c>
      <c r="P270">
        <v>-58.7088058</v>
      </c>
      <c r="Q270">
        <v>45351.418553240743</v>
      </c>
      <c r="R270">
        <v>133.95472222217359</v>
      </c>
      <c r="S270">
        <f>VLOOKUP(F270,'VALORES DIST'!$A$3:$B$27,2,TRUE)</f>
        <v>11816.268749999999</v>
      </c>
    </row>
    <row r="271" spans="1:19" x14ac:dyDescent="0.25">
      <c r="A271">
        <v>900014355</v>
      </c>
      <c r="B271" t="s">
        <v>6975</v>
      </c>
      <c r="C271" t="s">
        <v>7915</v>
      </c>
      <c r="D271" t="s">
        <v>7863</v>
      </c>
      <c r="E271">
        <v>97</v>
      </c>
      <c r="F271">
        <v>0.32</v>
      </c>
      <c r="G271" t="s">
        <v>7509</v>
      </c>
      <c r="H271">
        <v>0</v>
      </c>
      <c r="I271" t="s">
        <v>7805</v>
      </c>
      <c r="J271">
        <v>0</v>
      </c>
      <c r="K271">
        <v>1</v>
      </c>
      <c r="L271" s="189">
        <v>45357</v>
      </c>
      <c r="M271" t="s">
        <v>8075</v>
      </c>
      <c r="N271" t="s">
        <v>7765</v>
      </c>
      <c r="O271">
        <v>-34.515901999999997</v>
      </c>
      <c r="P271">
        <v>-58.723560499999998</v>
      </c>
      <c r="Q271">
        <v>45351.418414351851</v>
      </c>
      <c r="R271">
        <v>133.95805555558763</v>
      </c>
      <c r="S271">
        <f>VLOOKUP(F271,'VALORES DIST'!$A$3:$B$27,2,TRUE)</f>
        <v>11816.268749999999</v>
      </c>
    </row>
    <row r="272" spans="1:19" x14ac:dyDescent="0.25">
      <c r="A272">
        <v>800008678</v>
      </c>
      <c r="B272" t="s">
        <v>7185</v>
      </c>
      <c r="C272" t="s">
        <v>7862</v>
      </c>
      <c r="D272" t="s">
        <v>7863</v>
      </c>
      <c r="E272">
        <v>26</v>
      </c>
      <c r="F272">
        <v>0.45600000000000002</v>
      </c>
      <c r="G272" t="s">
        <v>7509</v>
      </c>
      <c r="H272">
        <v>0</v>
      </c>
      <c r="I272" t="s">
        <v>7805</v>
      </c>
      <c r="J272">
        <v>0</v>
      </c>
      <c r="K272">
        <v>1</v>
      </c>
      <c r="L272" s="189">
        <v>45357</v>
      </c>
      <c r="M272" t="s">
        <v>8075</v>
      </c>
      <c r="N272" t="s">
        <v>7765</v>
      </c>
      <c r="O272">
        <v>-34.533126799999998</v>
      </c>
      <c r="P272">
        <v>-58.70158</v>
      </c>
      <c r="Q272">
        <v>45350.492997685185</v>
      </c>
      <c r="R272">
        <v>156.16805555555038</v>
      </c>
      <c r="S272">
        <f>VLOOKUP(F272,'VALORES DIST'!$A$3:$B$27,2,TRUE)</f>
        <v>11816.268749999999</v>
      </c>
    </row>
    <row r="273" spans="1:19" x14ac:dyDescent="0.25">
      <c r="A273">
        <v>900014422</v>
      </c>
      <c r="B273" t="s">
        <v>7387</v>
      </c>
      <c r="C273" t="s">
        <v>8090</v>
      </c>
      <c r="D273" t="s">
        <v>7857</v>
      </c>
      <c r="E273">
        <v>398</v>
      </c>
      <c r="F273">
        <v>1.127</v>
      </c>
      <c r="G273" t="s">
        <v>7509</v>
      </c>
      <c r="H273">
        <v>0</v>
      </c>
      <c r="I273" t="s">
        <v>7805</v>
      </c>
      <c r="J273">
        <v>0</v>
      </c>
      <c r="K273">
        <v>3</v>
      </c>
      <c r="L273" s="189">
        <v>45357</v>
      </c>
      <c r="M273" t="s">
        <v>8075</v>
      </c>
      <c r="N273" t="s">
        <v>7765</v>
      </c>
      <c r="O273">
        <v>-34.444420100000002</v>
      </c>
      <c r="P273">
        <v>-58.759914899999998</v>
      </c>
      <c r="Q273">
        <v>45351.418541666666</v>
      </c>
      <c r="R273">
        <v>133.9550000000163</v>
      </c>
      <c r="S273">
        <f>VLOOKUP(F273,'VALORES DIST'!$A$3:$B$27,2,TRUE)</f>
        <v>11816.268749999999</v>
      </c>
    </row>
    <row r="274" spans="1:19" x14ac:dyDescent="0.25">
      <c r="A274">
        <v>900014423</v>
      </c>
      <c r="B274" t="s">
        <v>7387</v>
      </c>
      <c r="C274" t="s">
        <v>8090</v>
      </c>
      <c r="D274" t="s">
        <v>7857</v>
      </c>
      <c r="E274">
        <v>32</v>
      </c>
      <c r="F274">
        <v>0.124</v>
      </c>
      <c r="G274" t="s">
        <v>7509</v>
      </c>
      <c r="H274">
        <v>0</v>
      </c>
      <c r="I274" t="s">
        <v>7805</v>
      </c>
      <c r="J274">
        <v>0</v>
      </c>
      <c r="K274">
        <v>3</v>
      </c>
      <c r="L274" s="189">
        <v>45357</v>
      </c>
      <c r="M274" t="s">
        <v>8075</v>
      </c>
      <c r="N274" t="s">
        <v>7765</v>
      </c>
      <c r="O274">
        <v>-34.444420100000002</v>
      </c>
      <c r="P274">
        <v>-58.759914899999998</v>
      </c>
      <c r="Q274">
        <v>45351.418541666666</v>
      </c>
      <c r="R274">
        <v>133.9550000000163</v>
      </c>
      <c r="S274">
        <f>VLOOKUP(F274,'VALORES DIST'!$A$3:$B$27,2,TRUE)</f>
        <v>11816.268749999999</v>
      </c>
    </row>
    <row r="275" spans="1:19" x14ac:dyDescent="0.25">
      <c r="A275">
        <v>900014442</v>
      </c>
      <c r="B275" t="s">
        <v>7253</v>
      </c>
      <c r="C275" t="s">
        <v>7856</v>
      </c>
      <c r="D275" t="s">
        <v>7857</v>
      </c>
      <c r="E275">
        <v>409</v>
      </c>
      <c r="F275">
        <v>0.88880000000000003</v>
      </c>
      <c r="G275" t="s">
        <v>7509</v>
      </c>
      <c r="H275">
        <v>0</v>
      </c>
      <c r="I275" t="s">
        <v>7805</v>
      </c>
      <c r="J275">
        <v>0</v>
      </c>
      <c r="K275">
        <v>1</v>
      </c>
      <c r="L275" s="189">
        <v>45357</v>
      </c>
      <c r="M275" t="s">
        <v>8075</v>
      </c>
      <c r="N275" t="s">
        <v>7765</v>
      </c>
      <c r="O275">
        <v>-34.436028899999997</v>
      </c>
      <c r="P275">
        <v>-58.807999299999999</v>
      </c>
      <c r="Q275">
        <v>45355.540393518517</v>
      </c>
      <c r="R275">
        <v>35.030555555596948</v>
      </c>
      <c r="S275">
        <f>VLOOKUP(F275,'VALORES DIST'!$A$3:$B$27,2,TRUE)</f>
        <v>11816.268749999999</v>
      </c>
    </row>
    <row r="276" spans="1:19" x14ac:dyDescent="0.25">
      <c r="A276">
        <v>900014443</v>
      </c>
      <c r="B276" t="s">
        <v>7346</v>
      </c>
      <c r="C276" t="s">
        <v>7858</v>
      </c>
      <c r="D276" t="s">
        <v>7859</v>
      </c>
      <c r="E276">
        <v>115</v>
      </c>
      <c r="F276">
        <v>0.50639999999999996</v>
      </c>
      <c r="G276" t="s">
        <v>7509</v>
      </c>
      <c r="H276">
        <v>0</v>
      </c>
      <c r="I276" t="s">
        <v>7805</v>
      </c>
      <c r="J276">
        <v>0</v>
      </c>
      <c r="K276">
        <v>2</v>
      </c>
      <c r="L276" s="189">
        <v>45357</v>
      </c>
      <c r="M276" t="s">
        <v>8075</v>
      </c>
      <c r="N276" t="s">
        <v>7765</v>
      </c>
      <c r="O276">
        <v>-34.3999357</v>
      </c>
      <c r="P276">
        <v>-58.654762599999998</v>
      </c>
      <c r="Q276">
        <v>45355.540393518517</v>
      </c>
      <c r="R276">
        <v>35.030555555596948</v>
      </c>
      <c r="S276">
        <f>VLOOKUP(F276,'VALORES DIST'!$A$3:$B$27,2,TRUE)</f>
        <v>11816.268749999999</v>
      </c>
    </row>
    <row r="277" spans="1:19" x14ac:dyDescent="0.25">
      <c r="A277">
        <v>900014410</v>
      </c>
      <c r="B277" t="s">
        <v>7011</v>
      </c>
      <c r="C277" t="s">
        <v>7959</v>
      </c>
      <c r="D277" t="s">
        <v>7855</v>
      </c>
      <c r="E277">
        <v>116</v>
      </c>
      <c r="F277">
        <v>0.29599999999999999</v>
      </c>
      <c r="G277" t="s">
        <v>7509</v>
      </c>
      <c r="H277">
        <v>0</v>
      </c>
      <c r="I277" t="s">
        <v>7805</v>
      </c>
      <c r="J277">
        <v>0</v>
      </c>
      <c r="K277">
        <v>1</v>
      </c>
      <c r="L277" s="189">
        <v>45357</v>
      </c>
      <c r="M277" t="s">
        <v>8075</v>
      </c>
      <c r="N277" t="s">
        <v>7765</v>
      </c>
      <c r="O277">
        <v>-34.404365200000001</v>
      </c>
      <c r="P277">
        <v>-58.620124699999998</v>
      </c>
      <c r="Q277">
        <v>45351.41851851852</v>
      </c>
      <c r="R277">
        <v>133.9555555555271</v>
      </c>
      <c r="S277">
        <f>VLOOKUP(F277,'VALORES DIST'!$A$3:$B$27,2,TRUE)</f>
        <v>11816.268749999999</v>
      </c>
    </row>
    <row r="278" spans="1:19" x14ac:dyDescent="0.25">
      <c r="A278">
        <v>900014388</v>
      </c>
      <c r="B278" t="s">
        <v>7264</v>
      </c>
      <c r="C278" t="s">
        <v>8109</v>
      </c>
      <c r="D278" t="s">
        <v>8110</v>
      </c>
      <c r="E278">
        <v>45</v>
      </c>
      <c r="F278">
        <v>8.4000000000000005E-2</v>
      </c>
      <c r="G278" t="s">
        <v>7509</v>
      </c>
      <c r="H278">
        <v>0</v>
      </c>
      <c r="I278" t="s">
        <v>7805</v>
      </c>
      <c r="J278">
        <v>0</v>
      </c>
      <c r="K278">
        <v>1</v>
      </c>
      <c r="L278" s="189">
        <v>45357</v>
      </c>
      <c r="M278" t="s">
        <v>8075</v>
      </c>
      <c r="N278" t="s">
        <v>7765</v>
      </c>
      <c r="O278">
        <v>-34.473600599999997</v>
      </c>
      <c r="P278">
        <v>-58.503039700000002</v>
      </c>
      <c r="Q278">
        <v>45351.418483796297</v>
      </c>
      <c r="R278">
        <v>133.95638888888061</v>
      </c>
      <c r="S278">
        <f>VLOOKUP(F278,'VALORES DIST'!$A$3:$B$27,2,TRUE)</f>
        <v>11816.268749999999</v>
      </c>
    </row>
    <row r="279" spans="1:19" x14ac:dyDescent="0.25">
      <c r="A279">
        <v>900014354</v>
      </c>
      <c r="B279" t="s">
        <v>7247</v>
      </c>
      <c r="C279" t="s">
        <v>7913</v>
      </c>
      <c r="D279" t="s">
        <v>7914</v>
      </c>
      <c r="E279">
        <v>70</v>
      </c>
      <c r="F279">
        <v>0.19600000000000001</v>
      </c>
      <c r="G279" t="s">
        <v>7509</v>
      </c>
      <c r="H279">
        <v>0</v>
      </c>
      <c r="I279" t="s">
        <v>7805</v>
      </c>
      <c r="J279">
        <v>0</v>
      </c>
      <c r="K279">
        <v>1</v>
      </c>
      <c r="L279" s="189">
        <v>45357</v>
      </c>
      <c r="M279" t="s">
        <v>8075</v>
      </c>
      <c r="N279" t="s">
        <v>7765</v>
      </c>
      <c r="O279">
        <v>-34.489162800000003</v>
      </c>
      <c r="P279">
        <v>-58.499683400000002</v>
      </c>
      <c r="Q279">
        <v>45351.418414351851</v>
      </c>
      <c r="R279">
        <v>133.95805555558763</v>
      </c>
      <c r="S279">
        <f>VLOOKUP(F279,'VALORES DIST'!$A$3:$B$27,2,TRUE)</f>
        <v>11816.268749999999</v>
      </c>
    </row>
    <row r="280" spans="1:19" x14ac:dyDescent="0.25">
      <c r="A280">
        <v>900014424</v>
      </c>
      <c r="B280" t="s">
        <v>7410</v>
      </c>
      <c r="C280" t="s">
        <v>8111</v>
      </c>
      <c r="D280" t="s">
        <v>7794</v>
      </c>
      <c r="E280">
        <v>180</v>
      </c>
      <c r="F280">
        <v>0.18</v>
      </c>
      <c r="G280" t="s">
        <v>7509</v>
      </c>
      <c r="H280">
        <v>0</v>
      </c>
      <c r="I280" t="s">
        <v>7805</v>
      </c>
      <c r="J280">
        <v>0</v>
      </c>
      <c r="K280">
        <v>1</v>
      </c>
      <c r="L280" s="189">
        <v>45357</v>
      </c>
      <c r="M280" t="s">
        <v>8075</v>
      </c>
      <c r="N280" t="s">
        <v>7765</v>
      </c>
      <c r="O280">
        <v>-34.559193100000002</v>
      </c>
      <c r="P280">
        <v>-58.457759000000003</v>
      </c>
      <c r="Q280">
        <v>45351.418541666666</v>
      </c>
      <c r="R280">
        <v>133.9550000000163</v>
      </c>
      <c r="S280">
        <f>VLOOKUP(F280,'VALORES DIST'!$A$3:$B$27,2,TRUE)</f>
        <v>11816.268749999999</v>
      </c>
    </row>
    <row r="281" spans="1:19" x14ac:dyDescent="0.25">
      <c r="A281">
        <v>900014394</v>
      </c>
      <c r="B281" t="s">
        <v>7108</v>
      </c>
      <c r="C281" t="s">
        <v>7969</v>
      </c>
      <c r="D281" t="s">
        <v>7970</v>
      </c>
      <c r="E281">
        <v>650</v>
      </c>
      <c r="F281">
        <v>2.5139999999999998</v>
      </c>
      <c r="G281" t="s">
        <v>7509</v>
      </c>
      <c r="H281">
        <v>0</v>
      </c>
      <c r="I281" t="s">
        <v>7805</v>
      </c>
      <c r="J281">
        <v>0</v>
      </c>
      <c r="K281">
        <v>1</v>
      </c>
      <c r="L281" s="189">
        <v>45357</v>
      </c>
      <c r="M281" t="s">
        <v>8075</v>
      </c>
      <c r="N281" t="s">
        <v>7765</v>
      </c>
      <c r="O281">
        <v>-34.513758099999997</v>
      </c>
      <c r="P281">
        <v>-58.565118099999999</v>
      </c>
      <c r="Q281">
        <v>45351.418483796297</v>
      </c>
      <c r="R281">
        <v>133.95638888888061</v>
      </c>
      <c r="S281">
        <f>VLOOKUP(F281,'VALORES DIST'!$A$3:$B$27,2,TRUE)</f>
        <v>11816.268749999999</v>
      </c>
    </row>
    <row r="282" spans="1:19" x14ac:dyDescent="0.25">
      <c r="A282">
        <v>900014395</v>
      </c>
      <c r="B282" t="s">
        <v>7108</v>
      </c>
      <c r="C282" t="s">
        <v>7969</v>
      </c>
      <c r="D282" t="s">
        <v>7970</v>
      </c>
      <c r="E282">
        <v>282</v>
      </c>
      <c r="F282">
        <v>1.1160000000000001</v>
      </c>
      <c r="G282" t="s">
        <v>7509</v>
      </c>
      <c r="H282">
        <v>0</v>
      </c>
      <c r="I282" t="s">
        <v>7805</v>
      </c>
      <c r="J282">
        <v>0</v>
      </c>
      <c r="K282">
        <v>1</v>
      </c>
      <c r="L282" s="189">
        <v>45357</v>
      </c>
      <c r="M282" t="s">
        <v>8075</v>
      </c>
      <c r="N282" t="s">
        <v>7765</v>
      </c>
      <c r="O282">
        <v>-34.513758099999997</v>
      </c>
      <c r="P282">
        <v>-58.565118099999999</v>
      </c>
      <c r="Q282">
        <v>45351.418495370373</v>
      </c>
      <c r="R282">
        <v>133.9561111110379</v>
      </c>
      <c r="S282">
        <f>VLOOKUP(F282,'VALORES DIST'!$A$3:$B$27,2,TRUE)</f>
        <v>11816.268749999999</v>
      </c>
    </row>
    <row r="283" spans="1:19" x14ac:dyDescent="0.25">
      <c r="A283">
        <v>900014429</v>
      </c>
      <c r="B283" t="s">
        <v>7126</v>
      </c>
      <c r="C283" t="s">
        <v>7969</v>
      </c>
      <c r="D283" t="s">
        <v>7970</v>
      </c>
      <c r="E283">
        <v>790</v>
      </c>
      <c r="F283">
        <v>3.3340000000000001</v>
      </c>
      <c r="G283" t="s">
        <v>7509</v>
      </c>
      <c r="H283">
        <v>0</v>
      </c>
      <c r="I283" t="s">
        <v>7805</v>
      </c>
      <c r="J283">
        <v>0</v>
      </c>
      <c r="K283">
        <v>1</v>
      </c>
      <c r="L283" s="189">
        <v>45357</v>
      </c>
      <c r="M283" t="s">
        <v>8075</v>
      </c>
      <c r="N283" t="s">
        <v>7765</v>
      </c>
      <c r="O283">
        <v>-34.513758099999997</v>
      </c>
      <c r="P283">
        <v>-58.565118099999999</v>
      </c>
      <c r="Q283">
        <v>45351.418553240743</v>
      </c>
      <c r="R283">
        <v>133.95472222217359</v>
      </c>
      <c r="S283">
        <f>VLOOKUP(F283,'VALORES DIST'!$A$3:$B$27,2,TRUE)</f>
        <v>13787.231250000001</v>
      </c>
    </row>
    <row r="284" spans="1:19" x14ac:dyDescent="0.25">
      <c r="A284">
        <v>28912</v>
      </c>
      <c r="B284" t="s">
        <v>6939</v>
      </c>
      <c r="C284" t="s">
        <v>7927</v>
      </c>
      <c r="D284" t="s">
        <v>7928</v>
      </c>
      <c r="E284">
        <v>24</v>
      </c>
      <c r="F284">
        <v>38.4</v>
      </c>
      <c r="G284" t="s">
        <v>5141</v>
      </c>
      <c r="H284">
        <v>0</v>
      </c>
      <c r="I284" t="s">
        <v>7867</v>
      </c>
      <c r="J284">
        <v>0</v>
      </c>
      <c r="K284">
        <v>2</v>
      </c>
      <c r="L284" s="189">
        <v>45357</v>
      </c>
      <c r="M284" t="s">
        <v>8112</v>
      </c>
      <c r="N284" t="s">
        <v>8113</v>
      </c>
      <c r="O284">
        <v>-34.479624299999998</v>
      </c>
      <c r="P284">
        <v>-58.661138399999999</v>
      </c>
      <c r="S284">
        <f>VLOOKUP(F284,'VALORES DIST'!$A$3:$B$27,2,TRUE)</f>
        <v>194979.52499999999</v>
      </c>
    </row>
    <row r="285" spans="1:19" x14ac:dyDescent="0.25">
      <c r="A285">
        <v>50500000743</v>
      </c>
      <c r="B285" t="s">
        <v>7143</v>
      </c>
      <c r="C285" t="s">
        <v>8114</v>
      </c>
      <c r="D285" t="s">
        <v>8038</v>
      </c>
      <c r="E285">
        <v>103</v>
      </c>
      <c r="F285">
        <v>0.182</v>
      </c>
      <c r="G285" t="s">
        <v>7509</v>
      </c>
      <c r="H285">
        <v>0</v>
      </c>
      <c r="I285" t="s">
        <v>8115</v>
      </c>
      <c r="J285" t="s">
        <v>8116</v>
      </c>
      <c r="K285">
        <v>1</v>
      </c>
      <c r="L285" s="189">
        <v>45358</v>
      </c>
      <c r="M285" t="s">
        <v>8075</v>
      </c>
      <c r="N285" t="s">
        <v>7765</v>
      </c>
      <c r="O285">
        <v>-31.420225500000001</v>
      </c>
      <c r="P285">
        <v>-64.184207000000001</v>
      </c>
      <c r="Q285">
        <v>45351.418587962966</v>
      </c>
      <c r="R285">
        <v>157.95388888882007</v>
      </c>
      <c r="S285">
        <f>VLOOKUP(F285,'VALORES DIST'!$A$3:$B$27,2,TRUE)</f>
        <v>11816.268749999999</v>
      </c>
    </row>
    <row r="286" spans="1:19" x14ac:dyDescent="0.25">
      <c r="A286">
        <v>900014435</v>
      </c>
      <c r="B286" t="s">
        <v>7372</v>
      </c>
      <c r="C286" t="s">
        <v>7997</v>
      </c>
      <c r="D286" t="s">
        <v>7998</v>
      </c>
      <c r="E286">
        <v>12</v>
      </c>
      <c r="F286">
        <v>8.4000000000000005E-2</v>
      </c>
      <c r="G286" t="s">
        <v>7509</v>
      </c>
      <c r="H286">
        <v>0</v>
      </c>
      <c r="I286" t="s">
        <v>7999</v>
      </c>
      <c r="J286" t="s">
        <v>8000</v>
      </c>
      <c r="K286">
        <v>1</v>
      </c>
      <c r="L286" s="189">
        <v>45358</v>
      </c>
      <c r="M286" t="s">
        <v>8075</v>
      </c>
      <c r="N286" t="s">
        <v>7765</v>
      </c>
      <c r="O286">
        <v>-34.9204948</v>
      </c>
      <c r="P286">
        <v>-57.953565699999999</v>
      </c>
      <c r="Q286">
        <v>45351.418553240743</v>
      </c>
      <c r="R286">
        <v>157.95472222217359</v>
      </c>
      <c r="S286">
        <f>VLOOKUP(F286,'VALORES DIST'!$A$3:$B$27,2,TRUE)</f>
        <v>11816.268749999999</v>
      </c>
    </row>
    <row r="287" spans="1:19" x14ac:dyDescent="0.25">
      <c r="A287">
        <v>900014419</v>
      </c>
      <c r="B287" t="s">
        <v>7242</v>
      </c>
      <c r="C287" t="s">
        <v>8117</v>
      </c>
      <c r="D287" t="s">
        <v>8118</v>
      </c>
      <c r="E287">
        <v>4</v>
      </c>
      <c r="F287">
        <v>0.1</v>
      </c>
      <c r="G287" t="s">
        <v>7509</v>
      </c>
      <c r="H287">
        <v>0</v>
      </c>
      <c r="I287" t="s">
        <v>8119</v>
      </c>
      <c r="J287" t="s">
        <v>8120</v>
      </c>
      <c r="K287">
        <v>3</v>
      </c>
      <c r="L287" s="189">
        <v>45358</v>
      </c>
      <c r="M287" t="s">
        <v>8075</v>
      </c>
      <c r="N287" t="s">
        <v>7765</v>
      </c>
      <c r="O287">
        <v>-31.093150600000001</v>
      </c>
      <c r="P287">
        <v>-64.482722699999997</v>
      </c>
      <c r="Q287">
        <v>45351.418541666666</v>
      </c>
      <c r="R287">
        <v>157.9550000000163</v>
      </c>
      <c r="S287">
        <f>VLOOKUP(F287,'VALORES DIST'!$A$3:$B$27,2,TRUE)</f>
        <v>11816.268749999999</v>
      </c>
    </row>
    <row r="288" spans="1:19" x14ac:dyDescent="0.25">
      <c r="A288">
        <v>900014413</v>
      </c>
      <c r="B288" t="s">
        <v>7780</v>
      </c>
      <c r="C288" t="s">
        <v>7781</v>
      </c>
      <c r="D288" t="s">
        <v>7782</v>
      </c>
      <c r="E288">
        <v>99</v>
      </c>
      <c r="F288">
        <v>0.38100000000000001</v>
      </c>
      <c r="G288" t="s">
        <v>7509</v>
      </c>
      <c r="H288">
        <v>0</v>
      </c>
      <c r="I288" t="s">
        <v>7783</v>
      </c>
      <c r="J288" t="s">
        <v>7784</v>
      </c>
      <c r="K288">
        <v>2</v>
      </c>
      <c r="L288" s="189">
        <v>45358</v>
      </c>
      <c r="M288" t="s">
        <v>8075</v>
      </c>
      <c r="N288" t="s">
        <v>8121</v>
      </c>
      <c r="O288">
        <v>-31.412323799999999</v>
      </c>
      <c r="P288">
        <v>-64.182606100000001</v>
      </c>
      <c r="Q288">
        <v>45351.418530092589</v>
      </c>
      <c r="R288">
        <v>157.95527777785901</v>
      </c>
      <c r="S288">
        <f>VLOOKUP(F288,'VALORES DIST'!$A$3:$B$27,2,TRUE)</f>
        <v>11816.268749999999</v>
      </c>
    </row>
    <row r="289" spans="1:19" x14ac:dyDescent="0.25">
      <c r="A289">
        <v>900014411</v>
      </c>
      <c r="B289" t="s">
        <v>7083</v>
      </c>
      <c r="C289" t="s">
        <v>8057</v>
      </c>
      <c r="D289" t="s">
        <v>7782</v>
      </c>
      <c r="E289">
        <v>72</v>
      </c>
      <c r="F289">
        <v>7.1999999999999995E-2</v>
      </c>
      <c r="G289" t="s">
        <v>7509</v>
      </c>
      <c r="H289">
        <v>0</v>
      </c>
      <c r="I289" t="s">
        <v>8058</v>
      </c>
      <c r="J289" t="s">
        <v>8059</v>
      </c>
      <c r="K289">
        <v>1</v>
      </c>
      <c r="L289" s="189">
        <v>45358</v>
      </c>
      <c r="M289" t="s">
        <v>8075</v>
      </c>
      <c r="N289" t="s">
        <v>7765</v>
      </c>
      <c r="O289">
        <v>-31.3451187</v>
      </c>
      <c r="P289">
        <v>-64.235939299999998</v>
      </c>
      <c r="Q289">
        <v>45351.41851851852</v>
      </c>
      <c r="R289">
        <v>157.9555555555271</v>
      </c>
      <c r="S289">
        <f>VLOOKUP(F289,'VALORES DIST'!$A$3:$B$27,2,TRUE)</f>
        <v>11816.268749999999</v>
      </c>
    </row>
    <row r="290" spans="1:19" x14ac:dyDescent="0.25">
      <c r="A290">
        <v>900014396</v>
      </c>
      <c r="B290" t="s">
        <v>7766</v>
      </c>
      <c r="C290" t="s">
        <v>7767</v>
      </c>
      <c r="D290" t="s">
        <v>7768</v>
      </c>
      <c r="E290">
        <v>115</v>
      </c>
      <c r="F290">
        <v>0.38500000000000001</v>
      </c>
      <c r="G290" t="s">
        <v>7509</v>
      </c>
      <c r="H290">
        <v>0</v>
      </c>
      <c r="I290" t="s">
        <v>7769</v>
      </c>
      <c r="J290" t="s">
        <v>7770</v>
      </c>
      <c r="K290">
        <v>3</v>
      </c>
      <c r="L290" s="189">
        <v>45358</v>
      </c>
      <c r="M290" t="s">
        <v>8075</v>
      </c>
      <c r="N290" t="s">
        <v>7765</v>
      </c>
      <c r="O290">
        <v>-36.618456199999997</v>
      </c>
      <c r="P290">
        <v>-64.288480199999995</v>
      </c>
      <c r="Q290">
        <v>45351.418495370373</v>
      </c>
      <c r="R290">
        <v>157.9561111110379</v>
      </c>
      <c r="S290">
        <f>VLOOKUP(F290,'VALORES DIST'!$A$3:$B$27,2,TRUE)</f>
        <v>11816.268749999999</v>
      </c>
    </row>
    <row r="291" spans="1:19" x14ac:dyDescent="0.25">
      <c r="A291">
        <v>900014381</v>
      </c>
      <c r="B291" t="s">
        <v>7022</v>
      </c>
      <c r="C291" t="s">
        <v>7849</v>
      </c>
      <c r="D291" t="s">
        <v>7801</v>
      </c>
      <c r="E291">
        <v>487</v>
      </c>
      <c r="F291">
        <v>2.21</v>
      </c>
      <c r="G291" t="s">
        <v>7509</v>
      </c>
      <c r="H291">
        <v>0</v>
      </c>
      <c r="I291" t="s">
        <v>7850</v>
      </c>
      <c r="J291" t="s">
        <v>7851</v>
      </c>
      <c r="K291">
        <v>1</v>
      </c>
      <c r="L291" s="189">
        <v>45358</v>
      </c>
      <c r="M291" t="s">
        <v>8075</v>
      </c>
      <c r="N291" t="s">
        <v>7765</v>
      </c>
      <c r="O291">
        <v>-32.947460499999998</v>
      </c>
      <c r="P291">
        <v>-60.638382300000004</v>
      </c>
      <c r="Q291">
        <v>45351.41847222222</v>
      </c>
      <c r="R291">
        <v>157.95666666672332</v>
      </c>
      <c r="S291">
        <f>VLOOKUP(F291,'VALORES DIST'!$A$3:$B$27,2,TRUE)</f>
        <v>11816.268749999999</v>
      </c>
    </row>
    <row r="292" spans="1:19" x14ac:dyDescent="0.25">
      <c r="A292">
        <v>900014376</v>
      </c>
      <c r="B292" t="s">
        <v>7154</v>
      </c>
      <c r="C292" t="s">
        <v>8019</v>
      </c>
      <c r="D292" t="s">
        <v>7801</v>
      </c>
      <c r="E292">
        <v>36</v>
      </c>
      <c r="F292">
        <v>8.4000000000000005E-2</v>
      </c>
      <c r="G292" t="s">
        <v>7509</v>
      </c>
      <c r="H292">
        <v>0</v>
      </c>
      <c r="I292" t="s">
        <v>7850</v>
      </c>
      <c r="J292" t="s">
        <v>7851</v>
      </c>
      <c r="K292">
        <v>1</v>
      </c>
      <c r="L292" s="189">
        <v>45358</v>
      </c>
      <c r="M292" t="s">
        <v>8075</v>
      </c>
      <c r="N292" t="s">
        <v>7765</v>
      </c>
      <c r="O292">
        <v>-32.976676699999999</v>
      </c>
      <c r="P292">
        <v>-60.651304400000001</v>
      </c>
      <c r="Q292">
        <v>45351.41846064815</v>
      </c>
      <c r="R292">
        <v>157.95694444439141</v>
      </c>
      <c r="S292">
        <f>VLOOKUP(F292,'VALORES DIST'!$A$3:$B$27,2,TRUE)</f>
        <v>11816.268749999999</v>
      </c>
    </row>
    <row r="293" spans="1:19" x14ac:dyDescent="0.25">
      <c r="A293">
        <v>900014374</v>
      </c>
      <c r="B293" t="s">
        <v>7235</v>
      </c>
      <c r="C293" t="s">
        <v>8007</v>
      </c>
      <c r="D293" t="s">
        <v>8008</v>
      </c>
      <c r="E293">
        <v>64</v>
      </c>
      <c r="F293">
        <v>0.33</v>
      </c>
      <c r="G293" t="s">
        <v>7509</v>
      </c>
      <c r="H293">
        <v>0</v>
      </c>
      <c r="I293" t="s">
        <v>8009</v>
      </c>
      <c r="J293" t="s">
        <v>8010</v>
      </c>
      <c r="K293">
        <v>2</v>
      </c>
      <c r="L293" s="189">
        <v>45358</v>
      </c>
      <c r="M293" t="s">
        <v>8075</v>
      </c>
      <c r="N293" t="s">
        <v>8121</v>
      </c>
      <c r="O293">
        <v>-33.044742300000003</v>
      </c>
      <c r="P293">
        <v>-61.167425399999999</v>
      </c>
      <c r="Q293">
        <v>45351.41846064815</v>
      </c>
      <c r="R293">
        <v>157.95694444439141</v>
      </c>
      <c r="S293">
        <f>VLOOKUP(F293,'VALORES DIST'!$A$3:$B$27,2,TRUE)</f>
        <v>11816.268749999999</v>
      </c>
    </row>
    <row r="294" spans="1:19" x14ac:dyDescent="0.25">
      <c r="A294">
        <v>900014370</v>
      </c>
      <c r="B294" t="s">
        <v>7070</v>
      </c>
      <c r="C294" t="s">
        <v>8122</v>
      </c>
      <c r="D294" t="s">
        <v>8123</v>
      </c>
      <c r="E294">
        <v>290</v>
      </c>
      <c r="F294">
        <v>0.75719999999999998</v>
      </c>
      <c r="G294" t="s">
        <v>7509</v>
      </c>
      <c r="H294">
        <v>0</v>
      </c>
      <c r="I294" t="s">
        <v>8124</v>
      </c>
      <c r="J294" t="s">
        <v>8125</v>
      </c>
      <c r="K294">
        <v>3</v>
      </c>
      <c r="L294" s="189">
        <v>45358</v>
      </c>
      <c r="M294" t="s">
        <v>8075</v>
      </c>
      <c r="N294" t="s">
        <v>7765</v>
      </c>
      <c r="O294">
        <v>-51.619323299999998</v>
      </c>
      <c r="P294">
        <v>-69.220355600000005</v>
      </c>
      <c r="Q294">
        <v>45351.418449074074</v>
      </c>
      <c r="R294">
        <v>157.95722222223412</v>
      </c>
      <c r="S294">
        <f>VLOOKUP(F294,'VALORES DIST'!$A$3:$B$27,2,TRUE)</f>
        <v>11816.268749999999</v>
      </c>
    </row>
    <row r="295" spans="1:19" x14ac:dyDescent="0.25">
      <c r="A295">
        <v>900014358</v>
      </c>
      <c r="B295" t="s">
        <v>7034</v>
      </c>
      <c r="C295" t="s">
        <v>8004</v>
      </c>
      <c r="D295" t="s">
        <v>7935</v>
      </c>
      <c r="E295">
        <v>54</v>
      </c>
      <c r="F295">
        <v>0.192</v>
      </c>
      <c r="G295" t="s">
        <v>7509</v>
      </c>
      <c r="H295">
        <v>0</v>
      </c>
      <c r="I295" t="s">
        <v>8005</v>
      </c>
      <c r="J295" t="s">
        <v>8006</v>
      </c>
      <c r="K295">
        <v>1</v>
      </c>
      <c r="L295" s="189">
        <v>45358</v>
      </c>
      <c r="M295" t="s">
        <v>8075</v>
      </c>
      <c r="N295" t="s">
        <v>7765</v>
      </c>
      <c r="O295">
        <v>-38.004376499999999</v>
      </c>
      <c r="P295">
        <v>-57.559128899999997</v>
      </c>
      <c r="Q295">
        <v>45351.418425925927</v>
      </c>
      <c r="R295">
        <v>157.95777777774492</v>
      </c>
      <c r="S295">
        <f>VLOOKUP(F295,'VALORES DIST'!$A$3:$B$27,2,TRUE)</f>
        <v>11816.268749999999</v>
      </c>
    </row>
    <row r="296" spans="1:19" x14ac:dyDescent="0.25">
      <c r="A296">
        <v>900014356</v>
      </c>
      <c r="B296" t="s">
        <v>7032</v>
      </c>
      <c r="C296" t="s">
        <v>8126</v>
      </c>
      <c r="D296" t="s">
        <v>8127</v>
      </c>
      <c r="E296">
        <v>138</v>
      </c>
      <c r="F296">
        <v>0.86</v>
      </c>
      <c r="G296" t="s">
        <v>7509</v>
      </c>
      <c r="H296">
        <v>0</v>
      </c>
      <c r="I296" t="s">
        <v>8128</v>
      </c>
      <c r="J296" t="s">
        <v>8129</v>
      </c>
      <c r="K296">
        <v>1</v>
      </c>
      <c r="L296" s="189">
        <v>45358</v>
      </c>
      <c r="M296" t="s">
        <v>8075</v>
      </c>
      <c r="N296" t="s">
        <v>7765</v>
      </c>
      <c r="O296">
        <v>-38.385256200000001</v>
      </c>
      <c r="P296">
        <v>-60.265200399999998</v>
      </c>
      <c r="Q296">
        <v>45351.418425925927</v>
      </c>
      <c r="R296">
        <v>157.95777777774492</v>
      </c>
      <c r="S296">
        <f>VLOOKUP(F296,'VALORES DIST'!$A$3:$B$27,2,TRUE)</f>
        <v>11816.268749999999</v>
      </c>
    </row>
    <row r="297" spans="1:19" x14ac:dyDescent="0.25">
      <c r="A297">
        <v>900014382</v>
      </c>
      <c r="B297" t="s">
        <v>7217</v>
      </c>
      <c r="C297" t="s">
        <v>8092</v>
      </c>
      <c r="D297" t="s">
        <v>8093</v>
      </c>
      <c r="E297">
        <v>30</v>
      </c>
      <c r="F297">
        <v>0.06</v>
      </c>
      <c r="G297" t="s">
        <v>7509</v>
      </c>
      <c r="H297">
        <v>0</v>
      </c>
      <c r="I297" t="s">
        <v>8094</v>
      </c>
      <c r="J297" t="s">
        <v>8095</v>
      </c>
      <c r="K297">
        <v>1</v>
      </c>
      <c r="L297" s="189">
        <v>45358</v>
      </c>
      <c r="M297" t="s">
        <v>8075</v>
      </c>
      <c r="N297" t="s">
        <v>7765</v>
      </c>
      <c r="O297">
        <v>-45.876958500000001</v>
      </c>
      <c r="P297">
        <v>-67.521729100000002</v>
      </c>
      <c r="Q297">
        <v>45351.41847222222</v>
      </c>
      <c r="R297">
        <v>157.95666666672332</v>
      </c>
      <c r="S297">
        <f>VLOOKUP(F297,'VALORES DIST'!$A$3:$B$27,2,TRUE)</f>
        <v>11816.268749999999</v>
      </c>
    </row>
    <row r="298" spans="1:19" x14ac:dyDescent="0.25">
      <c r="A298">
        <v>50500000744</v>
      </c>
      <c r="B298" t="s">
        <v>7157</v>
      </c>
      <c r="C298" t="s">
        <v>7793</v>
      </c>
      <c r="D298" t="s">
        <v>7794</v>
      </c>
      <c r="E298">
        <v>274</v>
      </c>
      <c r="F298">
        <v>4.1760000000000002</v>
      </c>
      <c r="G298" t="s">
        <v>7509</v>
      </c>
      <c r="H298">
        <v>0</v>
      </c>
      <c r="I298" t="s">
        <v>7795</v>
      </c>
      <c r="J298" t="s">
        <v>7796</v>
      </c>
      <c r="K298">
        <v>1</v>
      </c>
      <c r="L298" s="189">
        <v>45358</v>
      </c>
      <c r="M298" t="s">
        <v>8075</v>
      </c>
      <c r="N298" t="s">
        <v>7765</v>
      </c>
      <c r="O298">
        <v>-34.606275099999998</v>
      </c>
      <c r="P298">
        <v>-58.485909499999998</v>
      </c>
      <c r="Q298">
        <v>45355.540405092594</v>
      </c>
      <c r="R298">
        <v>59.030277777754243</v>
      </c>
      <c r="S298">
        <f>VLOOKUP(F298,'VALORES DIST'!$A$3:$B$27,2,TRUE)</f>
        <v>13787.231250000001</v>
      </c>
    </row>
    <row r="299" spans="1:19" x14ac:dyDescent="0.25">
      <c r="A299">
        <v>900014400</v>
      </c>
      <c r="B299" t="s">
        <v>7003</v>
      </c>
      <c r="C299" t="s">
        <v>7916</v>
      </c>
      <c r="D299" t="s">
        <v>7917</v>
      </c>
      <c r="E299">
        <v>178</v>
      </c>
      <c r="F299">
        <v>0.56999999999999995</v>
      </c>
      <c r="G299" t="s">
        <v>7509</v>
      </c>
      <c r="H299">
        <v>0</v>
      </c>
      <c r="I299" t="s">
        <v>7918</v>
      </c>
      <c r="J299" t="s">
        <v>7919</v>
      </c>
      <c r="K299">
        <v>1</v>
      </c>
      <c r="L299" s="189">
        <v>45358</v>
      </c>
      <c r="M299" t="s">
        <v>8075</v>
      </c>
      <c r="N299" t="s">
        <v>7765</v>
      </c>
      <c r="O299">
        <v>-34.866941199999999</v>
      </c>
      <c r="P299">
        <v>-58.042709700000003</v>
      </c>
      <c r="Q299">
        <v>45351.418506944443</v>
      </c>
      <c r="R299">
        <v>157.95583333336981</v>
      </c>
      <c r="S299">
        <f>VLOOKUP(F299,'VALORES DIST'!$A$3:$B$27,2,TRUE)</f>
        <v>11816.268749999999</v>
      </c>
    </row>
    <row r="300" spans="1:19" x14ac:dyDescent="0.25">
      <c r="A300">
        <v>800008668</v>
      </c>
      <c r="B300" t="s">
        <v>7186</v>
      </c>
      <c r="C300" t="s">
        <v>7847</v>
      </c>
      <c r="D300" t="s">
        <v>7848</v>
      </c>
      <c r="E300">
        <v>88</v>
      </c>
      <c r="F300">
        <v>2.1709999999999998</v>
      </c>
      <c r="G300" t="s">
        <v>7509</v>
      </c>
      <c r="H300">
        <v>0</v>
      </c>
      <c r="I300" t="s">
        <v>7805</v>
      </c>
      <c r="J300">
        <v>0</v>
      </c>
      <c r="K300">
        <v>3</v>
      </c>
      <c r="L300" s="189">
        <v>45358</v>
      </c>
      <c r="M300" t="s">
        <v>8075</v>
      </c>
      <c r="N300" t="s">
        <v>7765</v>
      </c>
      <c r="O300">
        <v>-34.722945199999998</v>
      </c>
      <c r="P300">
        <v>-58.258703699999998</v>
      </c>
      <c r="Q300">
        <v>45350.492997685185</v>
      </c>
      <c r="R300">
        <v>180.16805555555041</v>
      </c>
      <c r="S300">
        <f>VLOOKUP(F300,'VALORES DIST'!$A$3:$B$27,2,TRUE)</f>
        <v>11816.268749999999</v>
      </c>
    </row>
    <row r="301" spans="1:19" x14ac:dyDescent="0.25">
      <c r="A301">
        <v>900014353</v>
      </c>
      <c r="B301" t="s">
        <v>7390</v>
      </c>
      <c r="C301" t="s">
        <v>7811</v>
      </c>
      <c r="D301" t="s">
        <v>7794</v>
      </c>
      <c r="E301">
        <v>56</v>
      </c>
      <c r="F301">
        <v>0.33600000000000002</v>
      </c>
      <c r="G301" t="s">
        <v>7509</v>
      </c>
      <c r="H301">
        <v>0</v>
      </c>
      <c r="I301" t="s">
        <v>7805</v>
      </c>
      <c r="J301">
        <v>0</v>
      </c>
      <c r="K301">
        <v>1</v>
      </c>
      <c r="L301" s="189">
        <v>45359</v>
      </c>
      <c r="M301" t="s">
        <v>7806</v>
      </c>
      <c r="N301" t="s">
        <v>7765</v>
      </c>
      <c r="O301">
        <v>-34.614199399999997</v>
      </c>
      <c r="P301">
        <v>-58.501922299999997</v>
      </c>
      <c r="Q301">
        <v>45351.418414351851</v>
      </c>
      <c r="R301">
        <v>181.95805555558763</v>
      </c>
      <c r="S301">
        <f>VLOOKUP(F301,'VALORES DIST'!$A$3:$B$27,2,TRUE)</f>
        <v>11816.268749999999</v>
      </c>
    </row>
    <row r="302" spans="1:19" x14ac:dyDescent="0.25">
      <c r="A302">
        <v>900014379</v>
      </c>
      <c r="B302" t="s">
        <v>7099</v>
      </c>
      <c r="C302" t="s">
        <v>7876</v>
      </c>
      <c r="D302" t="s">
        <v>7794</v>
      </c>
      <c r="E302">
        <v>284</v>
      </c>
      <c r="F302">
        <v>0.94199999999999995</v>
      </c>
      <c r="G302" t="s">
        <v>7509</v>
      </c>
      <c r="H302">
        <v>0</v>
      </c>
      <c r="I302" t="s">
        <v>7805</v>
      </c>
      <c r="J302">
        <v>0</v>
      </c>
      <c r="K302">
        <v>1</v>
      </c>
      <c r="L302" s="189">
        <v>45359</v>
      </c>
      <c r="M302" t="s">
        <v>7806</v>
      </c>
      <c r="N302" t="s">
        <v>7765</v>
      </c>
      <c r="O302">
        <v>-34.630330999999998</v>
      </c>
      <c r="P302">
        <v>-58.462640999999998</v>
      </c>
      <c r="Q302">
        <v>45351.41846064815</v>
      </c>
      <c r="R302">
        <v>181.95694444439141</v>
      </c>
      <c r="S302">
        <f>VLOOKUP(F302,'VALORES DIST'!$A$3:$B$27,2,TRUE)</f>
        <v>11816.268749999999</v>
      </c>
    </row>
    <row r="303" spans="1:19" x14ac:dyDescent="0.25">
      <c r="A303">
        <v>900014360</v>
      </c>
      <c r="B303" t="s">
        <v>7162</v>
      </c>
      <c r="C303" t="s">
        <v>8130</v>
      </c>
      <c r="D303" t="s">
        <v>7794</v>
      </c>
      <c r="E303">
        <v>82</v>
      </c>
      <c r="F303">
        <v>0.17199999999999999</v>
      </c>
      <c r="G303" t="s">
        <v>7509</v>
      </c>
      <c r="H303">
        <v>0</v>
      </c>
      <c r="I303" t="s">
        <v>7805</v>
      </c>
      <c r="J303">
        <v>0</v>
      </c>
      <c r="K303">
        <v>1</v>
      </c>
      <c r="L303" s="189">
        <v>45359</v>
      </c>
      <c r="M303" t="s">
        <v>7806</v>
      </c>
      <c r="N303" t="s">
        <v>7765</v>
      </c>
      <c r="O303">
        <v>-34.625180499999999</v>
      </c>
      <c r="P303">
        <v>-58.453566600000002</v>
      </c>
      <c r="Q303">
        <v>45351.418425925927</v>
      </c>
      <c r="R303">
        <v>181.95777777774492</v>
      </c>
      <c r="S303">
        <f>VLOOKUP(F303,'VALORES DIST'!$A$3:$B$27,2,TRUE)</f>
        <v>11816.268749999999</v>
      </c>
    </row>
    <row r="304" spans="1:19" x14ac:dyDescent="0.25">
      <c r="A304">
        <v>900014416</v>
      </c>
      <c r="B304" t="s">
        <v>7385</v>
      </c>
      <c r="C304" t="s">
        <v>8131</v>
      </c>
      <c r="D304" t="s">
        <v>7794</v>
      </c>
      <c r="E304">
        <v>195</v>
      </c>
      <c r="F304">
        <v>0.58099999999999996</v>
      </c>
      <c r="G304" t="s">
        <v>7509</v>
      </c>
      <c r="H304" t="s">
        <v>8132</v>
      </c>
      <c r="I304" t="s">
        <v>7805</v>
      </c>
      <c r="J304">
        <v>0</v>
      </c>
      <c r="K304">
        <v>1</v>
      </c>
      <c r="L304" s="189">
        <v>45359</v>
      </c>
      <c r="M304" t="s">
        <v>7806</v>
      </c>
      <c r="N304" t="s">
        <v>7765</v>
      </c>
      <c r="O304">
        <v>-34.580669299999997</v>
      </c>
      <c r="P304">
        <v>-58.413622699999998</v>
      </c>
      <c r="Q304">
        <v>45351.418530092589</v>
      </c>
      <c r="R304">
        <v>181.95527777785901</v>
      </c>
      <c r="S304">
        <f>VLOOKUP(F304,'VALORES DIST'!$A$3:$B$27,2,TRUE)</f>
        <v>11816.268749999999</v>
      </c>
    </row>
    <row r="305" spans="1:19" x14ac:dyDescent="0.25">
      <c r="A305">
        <v>900014446</v>
      </c>
      <c r="B305" t="s">
        <v>3450</v>
      </c>
      <c r="C305" t="s">
        <v>7804</v>
      </c>
      <c r="D305" t="s">
        <v>7794</v>
      </c>
      <c r="E305">
        <v>88</v>
      </c>
      <c r="F305">
        <v>2.3519999999999999</v>
      </c>
      <c r="G305" t="s">
        <v>7509</v>
      </c>
      <c r="H305">
        <v>0</v>
      </c>
      <c r="I305" t="s">
        <v>7805</v>
      </c>
      <c r="J305">
        <v>0</v>
      </c>
      <c r="K305">
        <v>1</v>
      </c>
      <c r="L305" s="189">
        <v>45359</v>
      </c>
      <c r="M305" t="s">
        <v>7806</v>
      </c>
      <c r="N305" t="s">
        <v>7765</v>
      </c>
      <c r="O305">
        <v>-34.608005900000002</v>
      </c>
      <c r="P305">
        <v>-58.4625299</v>
      </c>
      <c r="Q305">
        <v>45355.540393518517</v>
      </c>
      <c r="R305">
        <v>83.030555555596948</v>
      </c>
      <c r="S305">
        <f>VLOOKUP(F305,'VALORES DIST'!$A$3:$B$27,2,TRUE)</f>
        <v>11816.268749999999</v>
      </c>
    </row>
    <row r="306" spans="1:19" x14ac:dyDescent="0.25">
      <c r="A306">
        <v>4000029551</v>
      </c>
      <c r="B306" t="s">
        <v>7961</v>
      </c>
      <c r="C306" t="s">
        <v>7853</v>
      </c>
      <c r="D306" t="s">
        <v>7794</v>
      </c>
      <c r="E306">
        <v>25</v>
      </c>
      <c r="F306">
        <v>1.52</v>
      </c>
      <c r="G306" t="s">
        <v>7509</v>
      </c>
      <c r="H306">
        <v>0</v>
      </c>
      <c r="I306" t="s">
        <v>7805</v>
      </c>
      <c r="J306">
        <v>0</v>
      </c>
      <c r="K306">
        <v>1</v>
      </c>
      <c r="L306" s="189">
        <v>45359</v>
      </c>
      <c r="M306" t="s">
        <v>7806</v>
      </c>
      <c r="N306" t="s">
        <v>7765</v>
      </c>
      <c r="O306">
        <v>-34.608005900000002</v>
      </c>
      <c r="P306">
        <v>-58.4625299</v>
      </c>
      <c r="Q306">
        <v>45355.547881944447</v>
      </c>
      <c r="R306">
        <v>82.850833333272021</v>
      </c>
      <c r="S306">
        <f>VLOOKUP(F306,'VALORES DIST'!$A$3:$B$27,2,TRUE)</f>
        <v>11816.268749999999</v>
      </c>
    </row>
    <row r="307" spans="1:19" x14ac:dyDescent="0.25">
      <c r="A307">
        <v>900014363</v>
      </c>
      <c r="B307" t="s">
        <v>7068</v>
      </c>
      <c r="C307" t="s">
        <v>8133</v>
      </c>
      <c r="D307" t="s">
        <v>8134</v>
      </c>
      <c r="E307">
        <v>32</v>
      </c>
      <c r="F307">
        <v>0.626</v>
      </c>
      <c r="G307" t="s">
        <v>7509</v>
      </c>
      <c r="H307">
        <v>0</v>
      </c>
      <c r="I307" t="s">
        <v>8135</v>
      </c>
      <c r="J307" t="s">
        <v>8136</v>
      </c>
      <c r="K307">
        <v>1</v>
      </c>
      <c r="L307" s="189">
        <v>45359</v>
      </c>
      <c r="M307" t="s">
        <v>7806</v>
      </c>
      <c r="N307" t="s">
        <v>7765</v>
      </c>
      <c r="O307">
        <v>-41.1334722</v>
      </c>
      <c r="P307">
        <v>-71.310277799999994</v>
      </c>
      <c r="Q307">
        <v>45351.418437499997</v>
      </c>
      <c r="R307">
        <v>181.95750000007683</v>
      </c>
      <c r="S307">
        <f>VLOOKUP(F307,'VALORES DIST'!$A$3:$B$27,2,TRUE)</f>
        <v>11816.268749999999</v>
      </c>
    </row>
    <row r="308" spans="1:19" x14ac:dyDescent="0.25">
      <c r="A308">
        <v>900014362</v>
      </c>
      <c r="B308" t="s">
        <v>7068</v>
      </c>
      <c r="C308" t="s">
        <v>8133</v>
      </c>
      <c r="D308" t="s">
        <v>8134</v>
      </c>
      <c r="E308">
        <v>332</v>
      </c>
      <c r="F308">
        <v>0.87919999999999998</v>
      </c>
      <c r="G308" t="s">
        <v>7509</v>
      </c>
      <c r="H308">
        <v>0</v>
      </c>
      <c r="I308" t="s">
        <v>8135</v>
      </c>
      <c r="J308" t="s">
        <v>8136</v>
      </c>
      <c r="K308">
        <v>1</v>
      </c>
      <c r="L308" s="189">
        <v>45359</v>
      </c>
      <c r="M308" t="s">
        <v>7806</v>
      </c>
      <c r="N308" t="s">
        <v>7765</v>
      </c>
      <c r="O308">
        <v>-41.1334722</v>
      </c>
      <c r="P308">
        <v>-71.310277799999994</v>
      </c>
      <c r="Q308">
        <v>45351.418425925927</v>
      </c>
      <c r="R308">
        <v>181.95777777774492</v>
      </c>
      <c r="S308">
        <f>VLOOKUP(F308,'VALORES DIST'!$A$3:$B$27,2,TRUE)</f>
        <v>11816.268749999999</v>
      </c>
    </row>
    <row r="309" spans="1:19" x14ac:dyDescent="0.25">
      <c r="A309">
        <v>900014391</v>
      </c>
      <c r="B309" t="s">
        <v>7135</v>
      </c>
      <c r="C309" t="s">
        <v>8137</v>
      </c>
      <c r="D309" t="s">
        <v>8093</v>
      </c>
      <c r="E309">
        <v>29</v>
      </c>
      <c r="F309">
        <v>0.19500000000000001</v>
      </c>
      <c r="G309" t="s">
        <v>7509</v>
      </c>
      <c r="H309">
        <v>0</v>
      </c>
      <c r="I309" t="s">
        <v>8138</v>
      </c>
      <c r="J309" t="s">
        <v>8139</v>
      </c>
      <c r="K309">
        <v>1</v>
      </c>
      <c r="L309" s="189">
        <v>45359</v>
      </c>
      <c r="M309" t="s">
        <v>7806</v>
      </c>
      <c r="N309" t="s">
        <v>7765</v>
      </c>
      <c r="O309">
        <v>-45.862748699999997</v>
      </c>
      <c r="P309">
        <v>-67.496560000000002</v>
      </c>
      <c r="Q309">
        <v>45351.418483796297</v>
      </c>
      <c r="R309">
        <v>181.95638888888061</v>
      </c>
      <c r="S309">
        <f>VLOOKUP(F309,'VALORES DIST'!$A$3:$B$27,2,TRUE)</f>
        <v>11816.268749999999</v>
      </c>
    </row>
    <row r="310" spans="1:19" x14ac:dyDescent="0.25">
      <c r="A310">
        <v>900014390</v>
      </c>
      <c r="B310" t="s">
        <v>7135</v>
      </c>
      <c r="C310" t="s">
        <v>8137</v>
      </c>
      <c r="D310" t="s">
        <v>8093</v>
      </c>
      <c r="E310">
        <v>231</v>
      </c>
      <c r="F310">
        <v>1.0911999999999999</v>
      </c>
      <c r="G310" t="s">
        <v>7509</v>
      </c>
      <c r="H310">
        <v>0</v>
      </c>
      <c r="I310" t="s">
        <v>8138</v>
      </c>
      <c r="J310" t="s">
        <v>8139</v>
      </c>
      <c r="K310">
        <v>1</v>
      </c>
      <c r="L310" s="189">
        <v>45359</v>
      </c>
      <c r="M310" t="s">
        <v>7806</v>
      </c>
      <c r="N310" t="s">
        <v>7765</v>
      </c>
      <c r="O310">
        <v>-45.862748699999997</v>
      </c>
      <c r="P310">
        <v>-67.496560000000002</v>
      </c>
      <c r="Q310">
        <v>45351.418483796297</v>
      </c>
      <c r="R310">
        <v>181.95638888888061</v>
      </c>
      <c r="S310">
        <f>VLOOKUP(F310,'VALORES DIST'!$A$3:$B$27,2,TRUE)</f>
        <v>11816.268749999999</v>
      </c>
    </row>
    <row r="311" spans="1:19" x14ac:dyDescent="0.25">
      <c r="A311">
        <v>900014436</v>
      </c>
      <c r="B311" t="s">
        <v>7086</v>
      </c>
      <c r="C311" t="s">
        <v>8140</v>
      </c>
      <c r="D311" t="s">
        <v>8141</v>
      </c>
      <c r="E311">
        <v>61</v>
      </c>
      <c r="F311">
        <v>0.19700000000000001</v>
      </c>
      <c r="G311" t="s">
        <v>7509</v>
      </c>
      <c r="H311">
        <v>0</v>
      </c>
      <c r="I311" t="s">
        <v>8142</v>
      </c>
      <c r="J311" t="s">
        <v>8143</v>
      </c>
      <c r="K311">
        <v>1</v>
      </c>
      <c r="L311" s="189">
        <v>45359</v>
      </c>
      <c r="M311" t="s">
        <v>7806</v>
      </c>
      <c r="N311" t="s">
        <v>7765</v>
      </c>
      <c r="O311">
        <v>-33.124034100000003</v>
      </c>
      <c r="P311">
        <v>-64.347549999999998</v>
      </c>
      <c r="Q311">
        <v>45351.418553240743</v>
      </c>
      <c r="R311">
        <v>181.95472222217359</v>
      </c>
      <c r="S311">
        <f>VLOOKUP(F311,'VALORES DIST'!$A$3:$B$27,2,TRUE)</f>
        <v>11816.268749999999</v>
      </c>
    </row>
    <row r="312" spans="1:19" x14ac:dyDescent="0.25">
      <c r="A312">
        <v>900014359</v>
      </c>
      <c r="B312" t="s">
        <v>7097</v>
      </c>
      <c r="C312" t="s">
        <v>7875</v>
      </c>
      <c r="D312" t="s">
        <v>7794</v>
      </c>
      <c r="E312">
        <v>136</v>
      </c>
      <c r="F312">
        <v>0.442</v>
      </c>
      <c r="G312" t="s">
        <v>7509</v>
      </c>
      <c r="H312">
        <v>0</v>
      </c>
      <c r="I312" t="s">
        <v>7805</v>
      </c>
      <c r="J312">
        <v>0</v>
      </c>
      <c r="K312">
        <v>1</v>
      </c>
      <c r="L312" s="189">
        <v>45359</v>
      </c>
      <c r="M312" t="s">
        <v>7806</v>
      </c>
      <c r="N312" t="s">
        <v>7765</v>
      </c>
      <c r="O312">
        <v>-34.639650600000003</v>
      </c>
      <c r="P312">
        <v>-58.527576400000001</v>
      </c>
      <c r="Q312">
        <v>45351.418425925927</v>
      </c>
      <c r="R312">
        <v>181.95777777774492</v>
      </c>
      <c r="S312">
        <f>VLOOKUP(F312,'VALORES DIST'!$A$3:$B$27,2,TRUE)</f>
        <v>11816.268749999999</v>
      </c>
    </row>
    <row r="313" spans="1:19" x14ac:dyDescent="0.25">
      <c r="A313">
        <v>900014415</v>
      </c>
      <c r="B313" t="s">
        <v>7116</v>
      </c>
      <c r="C313" t="s">
        <v>8044</v>
      </c>
      <c r="D313" t="s">
        <v>7950</v>
      </c>
      <c r="E313">
        <v>290</v>
      </c>
      <c r="F313">
        <v>1.042</v>
      </c>
      <c r="G313" t="s">
        <v>7509</v>
      </c>
      <c r="H313">
        <v>0</v>
      </c>
      <c r="I313" t="s">
        <v>7805</v>
      </c>
      <c r="J313">
        <v>0</v>
      </c>
      <c r="K313">
        <v>2</v>
      </c>
      <c r="L313" s="189">
        <v>45359</v>
      </c>
      <c r="M313" t="s">
        <v>7806</v>
      </c>
      <c r="N313" t="s">
        <v>7765</v>
      </c>
      <c r="O313">
        <v>-34.655331599999997</v>
      </c>
      <c r="P313">
        <v>-58.560468999999998</v>
      </c>
      <c r="Q313">
        <v>45351.418530092589</v>
      </c>
      <c r="R313">
        <v>181.95527777785901</v>
      </c>
      <c r="S313">
        <f>VLOOKUP(F313,'VALORES DIST'!$A$3:$B$27,2,TRUE)</f>
        <v>11816.268749999999</v>
      </c>
    </row>
    <row r="314" spans="1:19" x14ac:dyDescent="0.25">
      <c r="A314">
        <v>900014405</v>
      </c>
      <c r="B314" t="s">
        <v>7004</v>
      </c>
      <c r="C314" t="s">
        <v>8031</v>
      </c>
      <c r="D314" t="s">
        <v>8032</v>
      </c>
      <c r="E314">
        <v>6</v>
      </c>
      <c r="F314">
        <v>0.06</v>
      </c>
      <c r="G314" t="s">
        <v>7509</v>
      </c>
      <c r="H314">
        <v>0</v>
      </c>
      <c r="I314" t="s">
        <v>7805</v>
      </c>
      <c r="J314">
        <v>0</v>
      </c>
      <c r="K314">
        <v>3</v>
      </c>
      <c r="L314" s="189">
        <v>45362</v>
      </c>
      <c r="M314" t="s">
        <v>7806</v>
      </c>
      <c r="N314" t="s">
        <v>7765</v>
      </c>
      <c r="O314">
        <v>-34.622228800000002</v>
      </c>
      <c r="P314">
        <v>-58.437438100000001</v>
      </c>
      <c r="Q314">
        <v>45351.41851851852</v>
      </c>
      <c r="R314">
        <v>253.9555555555271</v>
      </c>
      <c r="S314">
        <f>VLOOKUP(F314,'VALORES DIST'!$A$3:$B$27,2,TRUE)</f>
        <v>11816.268749999999</v>
      </c>
    </row>
    <row r="315" spans="1:19" x14ac:dyDescent="0.25">
      <c r="A315">
        <v>900014404</v>
      </c>
      <c r="B315" t="s">
        <v>7004</v>
      </c>
      <c r="C315" t="s">
        <v>8031</v>
      </c>
      <c r="D315" t="s">
        <v>8032</v>
      </c>
      <c r="E315">
        <v>207</v>
      </c>
      <c r="F315">
        <v>0.50639999999999996</v>
      </c>
      <c r="G315" t="s">
        <v>7509</v>
      </c>
      <c r="H315">
        <v>0</v>
      </c>
      <c r="I315" t="s">
        <v>7805</v>
      </c>
      <c r="J315">
        <v>0</v>
      </c>
      <c r="K315">
        <v>3</v>
      </c>
      <c r="L315" s="189">
        <v>45362</v>
      </c>
      <c r="M315" t="s">
        <v>7806</v>
      </c>
      <c r="N315" t="s">
        <v>7765</v>
      </c>
      <c r="O315">
        <v>-34.622228800000002</v>
      </c>
      <c r="P315">
        <v>-58.437438100000001</v>
      </c>
      <c r="Q315">
        <v>45351.418506944443</v>
      </c>
      <c r="R315">
        <v>253.95583333336981</v>
      </c>
      <c r="S315">
        <f>VLOOKUP(F315,'VALORES DIST'!$A$3:$B$27,2,TRUE)</f>
        <v>11816.268749999999</v>
      </c>
    </row>
    <row r="316" spans="1:19" x14ac:dyDescent="0.25">
      <c r="A316">
        <v>900014431</v>
      </c>
      <c r="B316" t="s">
        <v>7268</v>
      </c>
      <c r="C316" t="s">
        <v>8033</v>
      </c>
      <c r="D316" t="s">
        <v>8034</v>
      </c>
      <c r="E316">
        <v>72</v>
      </c>
      <c r="F316">
        <v>0.3</v>
      </c>
      <c r="G316" t="s">
        <v>7509</v>
      </c>
      <c r="H316">
        <v>0</v>
      </c>
      <c r="I316" t="s">
        <v>7805</v>
      </c>
      <c r="J316">
        <v>0</v>
      </c>
      <c r="K316">
        <v>3</v>
      </c>
      <c r="L316" s="189">
        <v>45362</v>
      </c>
      <c r="M316" t="s">
        <v>7806</v>
      </c>
      <c r="N316" t="s">
        <v>7765</v>
      </c>
      <c r="O316">
        <v>-34.628202000000002</v>
      </c>
      <c r="P316">
        <v>-58.481577999999999</v>
      </c>
      <c r="Q316">
        <v>45351.418553240743</v>
      </c>
      <c r="R316">
        <v>253.95472222217359</v>
      </c>
      <c r="S316">
        <f>VLOOKUP(F316,'VALORES DIST'!$A$3:$B$27,2,TRUE)</f>
        <v>11816.268749999999</v>
      </c>
    </row>
    <row r="317" spans="1:19" x14ac:dyDescent="0.25">
      <c r="A317">
        <v>900014433</v>
      </c>
      <c r="B317" t="s">
        <v>7210</v>
      </c>
      <c r="C317" t="s">
        <v>8144</v>
      </c>
      <c r="D317" t="s">
        <v>8145</v>
      </c>
      <c r="E317">
        <v>38</v>
      </c>
      <c r="F317">
        <v>0.13500000000000001</v>
      </c>
      <c r="G317" t="s">
        <v>7509</v>
      </c>
      <c r="H317">
        <v>0</v>
      </c>
      <c r="I317" t="s">
        <v>7805</v>
      </c>
      <c r="J317">
        <v>0</v>
      </c>
      <c r="K317">
        <v>3</v>
      </c>
      <c r="L317" s="189">
        <v>45362</v>
      </c>
      <c r="M317" t="s">
        <v>7806</v>
      </c>
      <c r="N317" t="s">
        <v>7765</v>
      </c>
      <c r="O317">
        <v>-34.798495199999998</v>
      </c>
      <c r="P317">
        <v>-58.391802800000001</v>
      </c>
      <c r="Q317">
        <v>45351.418553240743</v>
      </c>
      <c r="R317">
        <v>253.95472222217359</v>
      </c>
      <c r="S317">
        <f>VLOOKUP(F317,'VALORES DIST'!$A$3:$B$27,2,TRUE)</f>
        <v>11816.268749999999</v>
      </c>
    </row>
    <row r="318" spans="1:19" x14ac:dyDescent="0.25">
      <c r="A318">
        <v>900014438</v>
      </c>
      <c r="B318" t="s">
        <v>7404</v>
      </c>
      <c r="C318" t="s">
        <v>8100</v>
      </c>
      <c r="D318" t="s">
        <v>8101</v>
      </c>
      <c r="E318">
        <v>84</v>
      </c>
      <c r="F318">
        <v>0.108</v>
      </c>
      <c r="G318" t="s">
        <v>7509</v>
      </c>
      <c r="H318">
        <v>0</v>
      </c>
      <c r="I318" t="s">
        <v>8102</v>
      </c>
      <c r="J318" t="s">
        <v>8103</v>
      </c>
      <c r="K318">
        <v>1</v>
      </c>
      <c r="L318" s="189">
        <v>45362</v>
      </c>
      <c r="M318" t="s">
        <v>7806</v>
      </c>
      <c r="N318" t="s">
        <v>7765</v>
      </c>
      <c r="O318">
        <v>-31.656094800000002</v>
      </c>
      <c r="P318">
        <v>-64.4312209</v>
      </c>
      <c r="Q318">
        <v>45351.418564814812</v>
      </c>
      <c r="R318">
        <v>253.9544444445055</v>
      </c>
      <c r="S318">
        <f>VLOOKUP(F318,'VALORES DIST'!$A$3:$B$27,2,TRUE)</f>
        <v>11816.268749999999</v>
      </c>
    </row>
    <row r="319" spans="1:19" x14ac:dyDescent="0.25">
      <c r="A319">
        <v>900014412</v>
      </c>
      <c r="B319" t="s">
        <v>7322</v>
      </c>
      <c r="C319" t="s">
        <v>8146</v>
      </c>
      <c r="D319" t="s">
        <v>8147</v>
      </c>
      <c r="E319">
        <v>600</v>
      </c>
      <c r="F319">
        <v>0.6</v>
      </c>
      <c r="G319" t="s">
        <v>7509</v>
      </c>
      <c r="H319">
        <v>0</v>
      </c>
      <c r="I319" t="s">
        <v>8148</v>
      </c>
      <c r="J319" t="s">
        <v>8149</v>
      </c>
      <c r="K319">
        <v>1</v>
      </c>
      <c r="L319" s="189">
        <v>45362</v>
      </c>
      <c r="M319" t="s">
        <v>7806</v>
      </c>
      <c r="N319" t="s">
        <v>7765</v>
      </c>
      <c r="O319">
        <v>-32.414428399999998</v>
      </c>
      <c r="P319">
        <v>-63.250700299999998</v>
      </c>
      <c r="Q319">
        <v>45351.41851851852</v>
      </c>
      <c r="R319">
        <v>253.9555555555271</v>
      </c>
      <c r="S319">
        <f>VLOOKUP(F319,'VALORES DIST'!$A$3:$B$27,2,TRUE)</f>
        <v>11816.268749999999</v>
      </c>
    </row>
    <row r="320" spans="1:19" x14ac:dyDescent="0.25">
      <c r="A320">
        <v>900014447</v>
      </c>
      <c r="B320" t="s">
        <v>7064</v>
      </c>
      <c r="C320" t="s">
        <v>7965</v>
      </c>
      <c r="D320" t="s">
        <v>7894</v>
      </c>
      <c r="E320">
        <v>84</v>
      </c>
      <c r="F320">
        <v>0.38400000000000001</v>
      </c>
      <c r="G320" t="s">
        <v>7509</v>
      </c>
      <c r="H320">
        <v>0</v>
      </c>
      <c r="I320" t="s">
        <v>7966</v>
      </c>
      <c r="J320" t="s">
        <v>7967</v>
      </c>
      <c r="K320">
        <v>1</v>
      </c>
      <c r="L320" s="189">
        <v>45362</v>
      </c>
      <c r="M320" t="s">
        <v>7806</v>
      </c>
      <c r="N320" t="s">
        <v>7765</v>
      </c>
      <c r="O320">
        <v>-26.829931800000001</v>
      </c>
      <c r="P320">
        <v>-65.205920399999997</v>
      </c>
      <c r="Q320">
        <v>45355.540393518517</v>
      </c>
      <c r="R320">
        <v>155.03055555559695</v>
      </c>
      <c r="S320">
        <f>VLOOKUP(F320,'VALORES DIST'!$A$3:$B$27,2,TRUE)</f>
        <v>11816.268749999999</v>
      </c>
    </row>
    <row r="321" spans="1:19" x14ac:dyDescent="0.25">
      <c r="A321">
        <v>900014427</v>
      </c>
      <c r="B321" t="s">
        <v>7085</v>
      </c>
      <c r="C321" t="s">
        <v>8150</v>
      </c>
      <c r="D321" t="s">
        <v>8038</v>
      </c>
      <c r="E321">
        <v>580</v>
      </c>
      <c r="F321">
        <v>0.67600000000000005</v>
      </c>
      <c r="G321" t="s">
        <v>7509</v>
      </c>
      <c r="H321">
        <v>0</v>
      </c>
      <c r="I321" t="s">
        <v>8151</v>
      </c>
      <c r="J321" t="s">
        <v>8152</v>
      </c>
      <c r="K321">
        <v>1</v>
      </c>
      <c r="L321" s="189">
        <v>45362</v>
      </c>
      <c r="M321" t="s">
        <v>7806</v>
      </c>
      <c r="N321" t="s">
        <v>7765</v>
      </c>
      <c r="O321">
        <v>-31.412956900000001</v>
      </c>
      <c r="P321">
        <v>-64.204527999999996</v>
      </c>
      <c r="Q321">
        <v>45351.418553240743</v>
      </c>
      <c r="R321">
        <v>253.95472222217359</v>
      </c>
      <c r="S321">
        <f>VLOOKUP(F321,'VALORES DIST'!$A$3:$B$27,2,TRUE)</f>
        <v>11816.268749999999</v>
      </c>
    </row>
    <row r="322" spans="1:19" x14ac:dyDescent="0.25">
      <c r="A322">
        <v>900014426</v>
      </c>
      <c r="B322" t="s">
        <v>7085</v>
      </c>
      <c r="C322" t="s">
        <v>8150</v>
      </c>
      <c r="D322" t="s">
        <v>8038</v>
      </c>
      <c r="E322">
        <v>1042</v>
      </c>
      <c r="F322">
        <v>4.33</v>
      </c>
      <c r="G322" t="s">
        <v>7509</v>
      </c>
      <c r="H322">
        <v>0</v>
      </c>
      <c r="I322" t="s">
        <v>8151</v>
      </c>
      <c r="J322" t="s">
        <v>8152</v>
      </c>
      <c r="K322">
        <v>1</v>
      </c>
      <c r="L322" s="189">
        <v>45362</v>
      </c>
      <c r="M322" t="s">
        <v>7806</v>
      </c>
      <c r="N322" t="s">
        <v>7765</v>
      </c>
      <c r="O322">
        <v>-31.412956900000001</v>
      </c>
      <c r="P322">
        <v>-64.204527999999996</v>
      </c>
      <c r="Q322">
        <v>45351.418541666666</v>
      </c>
      <c r="R322">
        <v>253.9550000000163</v>
      </c>
      <c r="S322">
        <f>VLOOKUP(F322,'VALORES DIST'!$A$3:$B$27,2,TRUE)</f>
        <v>13787.231250000001</v>
      </c>
    </row>
    <row r="323" spans="1:19" x14ac:dyDescent="0.25">
      <c r="A323">
        <v>900014397</v>
      </c>
      <c r="B323" t="s">
        <v>7203</v>
      </c>
      <c r="C323" t="s">
        <v>7826</v>
      </c>
      <c r="D323" t="s">
        <v>7827</v>
      </c>
      <c r="E323">
        <v>206</v>
      </c>
      <c r="F323">
        <v>0.442</v>
      </c>
      <c r="G323" t="s">
        <v>7509</v>
      </c>
      <c r="H323">
        <v>0</v>
      </c>
      <c r="I323" t="s">
        <v>7828</v>
      </c>
      <c r="J323" t="s">
        <v>7799</v>
      </c>
      <c r="K323">
        <v>1</v>
      </c>
      <c r="L323" s="189">
        <v>45362</v>
      </c>
      <c r="M323" t="s">
        <v>7806</v>
      </c>
      <c r="N323" t="s">
        <v>7765</v>
      </c>
      <c r="O323">
        <v>-32.172202900000002</v>
      </c>
      <c r="P323">
        <v>-64.114576799999995</v>
      </c>
      <c r="Q323">
        <v>45351.418495370373</v>
      </c>
      <c r="R323">
        <v>253.9561111110379</v>
      </c>
      <c r="S323">
        <f>VLOOKUP(F323,'VALORES DIST'!$A$3:$B$27,2,TRUE)</f>
        <v>11816.268749999999</v>
      </c>
    </row>
    <row r="324" spans="1:19" x14ac:dyDescent="0.25">
      <c r="A324">
        <v>900014373</v>
      </c>
      <c r="B324" t="s">
        <v>7019</v>
      </c>
      <c r="C324" t="s">
        <v>7930</v>
      </c>
      <c r="D324" t="s">
        <v>7931</v>
      </c>
      <c r="E324">
        <v>37</v>
      </c>
      <c r="F324">
        <v>8.3000000000000004E-2</v>
      </c>
      <c r="G324" t="s">
        <v>7509</v>
      </c>
      <c r="H324">
        <v>0</v>
      </c>
      <c r="I324" t="s">
        <v>7932</v>
      </c>
      <c r="J324" t="s">
        <v>7933</v>
      </c>
      <c r="K324">
        <v>1</v>
      </c>
      <c r="L324" s="189">
        <v>45362</v>
      </c>
      <c r="M324" t="s">
        <v>7806</v>
      </c>
      <c r="N324" t="s">
        <v>7765</v>
      </c>
      <c r="O324">
        <v>-31.650077199999998</v>
      </c>
      <c r="P324">
        <v>-60.707554899999998</v>
      </c>
      <c r="Q324">
        <v>45351.41846064815</v>
      </c>
      <c r="R324">
        <v>253.95694444439141</v>
      </c>
      <c r="S324">
        <f>VLOOKUP(F324,'VALORES DIST'!$A$3:$B$27,2,TRUE)</f>
        <v>11816.268749999999</v>
      </c>
    </row>
    <row r="325" spans="1:19" x14ac:dyDescent="0.25">
      <c r="A325">
        <v>900014380</v>
      </c>
      <c r="B325" t="s">
        <v>6999</v>
      </c>
      <c r="C325" t="s">
        <v>8153</v>
      </c>
      <c r="D325" t="s">
        <v>7794</v>
      </c>
      <c r="E325">
        <v>102</v>
      </c>
      <c r="F325">
        <v>0.58799999999999997</v>
      </c>
      <c r="G325" t="s">
        <v>7509</v>
      </c>
      <c r="H325">
        <v>0</v>
      </c>
      <c r="I325" t="s">
        <v>7805</v>
      </c>
      <c r="J325">
        <v>0</v>
      </c>
      <c r="K325">
        <v>1</v>
      </c>
      <c r="L325" s="189">
        <v>45362</v>
      </c>
      <c r="M325" t="s">
        <v>7806</v>
      </c>
      <c r="N325" t="s">
        <v>7765</v>
      </c>
      <c r="O325">
        <v>-34.6594044</v>
      </c>
      <c r="P325">
        <v>-58.441492099999998</v>
      </c>
      <c r="Q325">
        <v>45351.41847222222</v>
      </c>
      <c r="R325">
        <v>253.95666666672332</v>
      </c>
      <c r="S325">
        <f>VLOOKUP(F325,'VALORES DIST'!$A$3:$B$27,2,TRUE)</f>
        <v>11816.268749999999</v>
      </c>
    </row>
    <row r="326" spans="1:19" x14ac:dyDescent="0.25">
      <c r="A326">
        <v>900014357</v>
      </c>
      <c r="B326" t="s">
        <v>7033</v>
      </c>
      <c r="C326" t="s">
        <v>8154</v>
      </c>
      <c r="D326" t="s">
        <v>7772</v>
      </c>
      <c r="E326">
        <v>178</v>
      </c>
      <c r="F326">
        <v>0.90800000000000003</v>
      </c>
      <c r="G326" t="s">
        <v>7509</v>
      </c>
      <c r="H326">
        <v>0</v>
      </c>
      <c r="I326" t="s">
        <v>7773</v>
      </c>
      <c r="J326" t="s">
        <v>7774</v>
      </c>
      <c r="K326">
        <v>1</v>
      </c>
      <c r="L326" s="189">
        <v>45362</v>
      </c>
      <c r="M326" t="s">
        <v>7806</v>
      </c>
      <c r="N326" t="s">
        <v>7765</v>
      </c>
      <c r="O326">
        <v>-34.652599700000003</v>
      </c>
      <c r="P326">
        <v>-59.4319214</v>
      </c>
      <c r="Q326">
        <v>45351.418425925927</v>
      </c>
      <c r="R326">
        <v>253.95777777774492</v>
      </c>
      <c r="S326">
        <f>VLOOKUP(F326,'VALORES DIST'!$A$3:$B$27,2,TRUE)</f>
        <v>11816.268749999999</v>
      </c>
    </row>
    <row r="327" spans="1:19" x14ac:dyDescent="0.25">
      <c r="A327">
        <v>900014398</v>
      </c>
      <c r="B327" t="s">
        <v>7204</v>
      </c>
      <c r="C327" t="s">
        <v>7771</v>
      </c>
      <c r="D327" t="s">
        <v>7772</v>
      </c>
      <c r="E327">
        <v>30</v>
      </c>
      <c r="F327">
        <v>5.3999999999999999E-2</v>
      </c>
      <c r="G327" t="s">
        <v>7509</v>
      </c>
      <c r="H327">
        <v>0</v>
      </c>
      <c r="I327" t="s">
        <v>7773</v>
      </c>
      <c r="J327" t="s">
        <v>7774</v>
      </c>
      <c r="K327">
        <v>1</v>
      </c>
      <c r="L327" s="189">
        <v>45362</v>
      </c>
      <c r="M327" t="s">
        <v>7806</v>
      </c>
      <c r="N327" t="s">
        <v>7765</v>
      </c>
      <c r="O327">
        <v>-34.6525356</v>
      </c>
      <c r="P327">
        <v>-59.423332199999997</v>
      </c>
      <c r="Q327">
        <v>45351.418495370373</v>
      </c>
      <c r="R327">
        <v>253.9561111110379</v>
      </c>
      <c r="S327">
        <f>VLOOKUP(F327,'VALORES DIST'!$A$3:$B$27,2,TRUE)</f>
        <v>11816.268749999999</v>
      </c>
    </row>
    <row r="328" spans="1:19" x14ac:dyDescent="0.25">
      <c r="A328">
        <v>900014445</v>
      </c>
      <c r="B328" t="s">
        <v>7081</v>
      </c>
      <c r="C328" t="s">
        <v>7962</v>
      </c>
      <c r="D328" t="s">
        <v>7963</v>
      </c>
      <c r="E328">
        <v>111</v>
      </c>
      <c r="F328">
        <v>0.65500000000000003</v>
      </c>
      <c r="G328" t="s">
        <v>7509</v>
      </c>
      <c r="H328">
        <v>0</v>
      </c>
      <c r="I328" t="s">
        <v>7787</v>
      </c>
      <c r="J328" t="s">
        <v>7788</v>
      </c>
      <c r="K328">
        <v>1</v>
      </c>
      <c r="L328" s="189">
        <v>45362</v>
      </c>
      <c r="M328" t="s">
        <v>7806</v>
      </c>
      <c r="N328" t="s">
        <v>7765</v>
      </c>
      <c r="O328">
        <v>-34.614748800000001</v>
      </c>
      <c r="P328">
        <v>-68.332763</v>
      </c>
      <c r="Q328">
        <v>45355.540393518517</v>
      </c>
      <c r="R328">
        <v>155.03055555559695</v>
      </c>
      <c r="S328">
        <f>VLOOKUP(F328,'VALORES DIST'!$A$3:$B$27,2,TRUE)</f>
        <v>11816.268749999999</v>
      </c>
    </row>
    <row r="329" spans="1:19" x14ac:dyDescent="0.25">
      <c r="A329">
        <v>900014441</v>
      </c>
      <c r="B329" t="s">
        <v>6972</v>
      </c>
      <c r="C329" t="s">
        <v>7992</v>
      </c>
      <c r="D329" t="s">
        <v>7993</v>
      </c>
      <c r="E329">
        <v>98</v>
      </c>
      <c r="F329">
        <v>1.6879999999999999</v>
      </c>
      <c r="G329" t="s">
        <v>7509</v>
      </c>
      <c r="H329">
        <v>0</v>
      </c>
      <c r="I329" t="s">
        <v>7835</v>
      </c>
      <c r="J329" t="s">
        <v>7836</v>
      </c>
      <c r="K329">
        <v>1</v>
      </c>
      <c r="L329" s="189">
        <v>45362</v>
      </c>
      <c r="M329" t="s">
        <v>7806</v>
      </c>
      <c r="N329" t="s">
        <v>7765</v>
      </c>
      <c r="O329">
        <v>-40.811908699999996</v>
      </c>
      <c r="P329">
        <v>-62.996204400000003</v>
      </c>
      <c r="Q329">
        <v>45351.418564814812</v>
      </c>
      <c r="R329">
        <v>253.9544444445055</v>
      </c>
      <c r="S329">
        <f>VLOOKUP(F329,'VALORES DIST'!$A$3:$B$27,2,TRUE)</f>
        <v>11816.268749999999</v>
      </c>
    </row>
    <row r="330" spans="1:19" x14ac:dyDescent="0.25">
      <c r="A330">
        <v>900014440</v>
      </c>
      <c r="B330" t="s">
        <v>7075</v>
      </c>
      <c r="C330" t="s">
        <v>8155</v>
      </c>
      <c r="D330" t="s">
        <v>8156</v>
      </c>
      <c r="E330">
        <v>196</v>
      </c>
      <c r="F330">
        <v>0.60199999999999998</v>
      </c>
      <c r="G330" t="s">
        <v>7509</v>
      </c>
      <c r="H330">
        <v>0</v>
      </c>
      <c r="I330" t="s">
        <v>8157</v>
      </c>
      <c r="J330" t="s">
        <v>8158</v>
      </c>
      <c r="K330">
        <v>1</v>
      </c>
      <c r="L330" s="189">
        <v>45362</v>
      </c>
      <c r="M330" t="s">
        <v>7806</v>
      </c>
      <c r="N330" t="s">
        <v>7765</v>
      </c>
      <c r="O330">
        <v>-54.8074078</v>
      </c>
      <c r="P330">
        <v>-68.312887799999999</v>
      </c>
      <c r="Q330">
        <v>45351.418564814812</v>
      </c>
      <c r="R330">
        <v>253.9544444445055</v>
      </c>
      <c r="S330">
        <f>VLOOKUP(F330,'VALORES DIST'!$A$3:$B$27,2,TRUE)</f>
        <v>11816.268749999999</v>
      </c>
    </row>
    <row r="331" spans="1:19" x14ac:dyDescent="0.25">
      <c r="A331">
        <v>900014401</v>
      </c>
      <c r="B331" t="s">
        <v>7142</v>
      </c>
      <c r="C331" t="s">
        <v>8159</v>
      </c>
      <c r="D331" t="s">
        <v>8038</v>
      </c>
      <c r="E331">
        <v>76</v>
      </c>
      <c r="F331">
        <v>0.20200000000000001</v>
      </c>
      <c r="G331" t="s">
        <v>7509</v>
      </c>
      <c r="H331">
        <v>0</v>
      </c>
      <c r="I331" t="s">
        <v>8160</v>
      </c>
      <c r="J331" t="s">
        <v>8161</v>
      </c>
      <c r="K331">
        <v>1</v>
      </c>
      <c r="L331" s="189">
        <v>45362</v>
      </c>
      <c r="M331" t="s">
        <v>7806</v>
      </c>
      <c r="N331" t="s">
        <v>7765</v>
      </c>
      <c r="O331">
        <v>-31.4134037</v>
      </c>
      <c r="P331">
        <v>-64.188202700000005</v>
      </c>
      <c r="Q331">
        <v>45351.418506944443</v>
      </c>
      <c r="R331">
        <v>253.95583333336981</v>
      </c>
      <c r="S331">
        <f>VLOOKUP(F331,'VALORES DIST'!$A$3:$B$27,2,TRUE)</f>
        <v>11816.268749999999</v>
      </c>
    </row>
    <row r="332" spans="1:19" x14ac:dyDescent="0.25">
      <c r="A332">
        <v>900014473</v>
      </c>
      <c r="B332" t="s">
        <v>7004</v>
      </c>
      <c r="C332" t="s">
        <v>8031</v>
      </c>
      <c r="D332" t="s">
        <v>8032</v>
      </c>
      <c r="E332">
        <v>103</v>
      </c>
      <c r="F332">
        <v>0.379</v>
      </c>
      <c r="G332" t="s">
        <v>7509</v>
      </c>
      <c r="H332">
        <v>0</v>
      </c>
      <c r="I332" t="s">
        <v>7805</v>
      </c>
      <c r="J332">
        <v>0</v>
      </c>
      <c r="K332">
        <v>3</v>
      </c>
      <c r="L332" s="189">
        <v>45362</v>
      </c>
      <c r="M332" t="s">
        <v>7806</v>
      </c>
      <c r="N332" t="s">
        <v>7765</v>
      </c>
      <c r="O332">
        <v>-34.622228800000002</v>
      </c>
      <c r="P332">
        <v>-58.437438100000001</v>
      </c>
      <c r="Q332">
        <v>45357.608055555553</v>
      </c>
      <c r="R332">
        <v>105.40666666673496</v>
      </c>
      <c r="S332">
        <f>VLOOKUP(F332,'VALORES DIST'!$A$3:$B$27,2,TRUE)</f>
        <v>11816.268749999999</v>
      </c>
    </row>
    <row r="333" spans="1:19" x14ac:dyDescent="0.25">
      <c r="A333">
        <v>900014474</v>
      </c>
      <c r="B333" t="s">
        <v>7004</v>
      </c>
      <c r="C333" t="s">
        <v>8031</v>
      </c>
      <c r="D333" t="s">
        <v>8032</v>
      </c>
      <c r="E333">
        <v>103</v>
      </c>
      <c r="F333">
        <v>0.64400000000000002</v>
      </c>
      <c r="G333" t="s">
        <v>7509</v>
      </c>
      <c r="H333">
        <v>0</v>
      </c>
      <c r="I333" t="s">
        <v>7805</v>
      </c>
      <c r="J333">
        <v>0</v>
      </c>
      <c r="K333">
        <v>3</v>
      </c>
      <c r="L333" s="189">
        <v>45362</v>
      </c>
      <c r="M333" t="s">
        <v>7806</v>
      </c>
      <c r="N333" t="s">
        <v>7765</v>
      </c>
      <c r="O333">
        <v>-34.622228800000002</v>
      </c>
      <c r="P333">
        <v>-58.437438100000001</v>
      </c>
      <c r="Q333">
        <v>45357.608055555553</v>
      </c>
      <c r="R333">
        <v>105.40666666673496</v>
      </c>
      <c r="S333">
        <f>VLOOKUP(F333,'VALORES DIST'!$A$3:$B$27,2,TRUE)</f>
        <v>11816.268749999999</v>
      </c>
    </row>
    <row r="334" spans="1:19" x14ac:dyDescent="0.25">
      <c r="A334">
        <v>5808</v>
      </c>
      <c r="B334" t="s">
        <v>6885</v>
      </c>
      <c r="C334" t="s">
        <v>8065</v>
      </c>
      <c r="D334" t="s">
        <v>8066</v>
      </c>
      <c r="E334">
        <v>621</v>
      </c>
      <c r="F334">
        <v>13.257</v>
      </c>
      <c r="G334" t="s">
        <v>6885</v>
      </c>
      <c r="I334" t="s">
        <v>7825</v>
      </c>
      <c r="J334">
        <v>0</v>
      </c>
      <c r="K334">
        <v>3</v>
      </c>
      <c r="L334" s="189">
        <v>45363</v>
      </c>
      <c r="M334" t="s">
        <v>7806</v>
      </c>
      <c r="N334" t="s">
        <v>7765</v>
      </c>
      <c r="O334">
        <v>-344001828</v>
      </c>
      <c r="P334">
        <v>-587161066</v>
      </c>
      <c r="S334">
        <f>VLOOKUP(F334,'VALORES DIST'!$A$3:$B$27,2,TRUE)</f>
        <v>106349.58749999999</v>
      </c>
    </row>
    <row r="335" spans="1:19" x14ac:dyDescent="0.25">
      <c r="A335">
        <v>51371</v>
      </c>
      <c r="B335" t="s">
        <v>6908</v>
      </c>
      <c r="C335" t="s">
        <v>8162</v>
      </c>
      <c r="D335" t="s">
        <v>7794</v>
      </c>
      <c r="E335">
        <v>1900</v>
      </c>
      <c r="F335">
        <v>67</v>
      </c>
      <c r="G335" t="s">
        <v>6908</v>
      </c>
      <c r="H335" t="s">
        <v>8163</v>
      </c>
      <c r="I335" t="s">
        <v>7867</v>
      </c>
      <c r="J335">
        <v>0</v>
      </c>
      <c r="K335">
        <v>1</v>
      </c>
      <c r="L335" s="189">
        <v>45363</v>
      </c>
      <c r="M335" t="s">
        <v>7870</v>
      </c>
      <c r="N335" t="s">
        <v>7765</v>
      </c>
      <c r="O335">
        <v>-34.572809800000002</v>
      </c>
      <c r="P335">
        <v>-58.5041516</v>
      </c>
      <c r="S335">
        <f>VLOOKUP(F335,'VALORES DIST'!$A$3:$B$27,2,TRUE)</f>
        <v>246183.35625000001</v>
      </c>
    </row>
    <row r="336" spans="1:19" x14ac:dyDescent="0.25">
      <c r="A336">
        <v>4000029606</v>
      </c>
      <c r="B336" t="s">
        <v>7961</v>
      </c>
      <c r="C336" t="s">
        <v>7853</v>
      </c>
      <c r="D336" t="s">
        <v>7794</v>
      </c>
      <c r="E336">
        <v>30</v>
      </c>
      <c r="F336">
        <v>1.67</v>
      </c>
      <c r="G336" t="s">
        <v>7509</v>
      </c>
      <c r="H336">
        <v>0</v>
      </c>
      <c r="I336" t="s">
        <v>7805</v>
      </c>
      <c r="J336">
        <v>0</v>
      </c>
      <c r="K336">
        <v>1</v>
      </c>
      <c r="L336" s="189">
        <v>45364</v>
      </c>
      <c r="M336" t="s">
        <v>7806</v>
      </c>
      <c r="N336" t="s">
        <v>7765</v>
      </c>
      <c r="O336">
        <v>-34.608005900000002</v>
      </c>
      <c r="P336">
        <v>-58.4625299</v>
      </c>
      <c r="Q336">
        <v>45362.451562499999</v>
      </c>
      <c r="R336">
        <v>37.162500000034925</v>
      </c>
      <c r="S336">
        <f>VLOOKUP(F336,'VALORES DIST'!$A$3:$B$27,2,TRUE)</f>
        <v>11816.268749999999</v>
      </c>
    </row>
    <row r="337" spans="1:19" x14ac:dyDescent="0.25">
      <c r="A337">
        <v>4000029579</v>
      </c>
      <c r="B337" t="s">
        <v>7961</v>
      </c>
      <c r="C337" t="s">
        <v>7853</v>
      </c>
      <c r="D337" t="s">
        <v>7794</v>
      </c>
      <c r="E337">
        <v>20</v>
      </c>
      <c r="F337">
        <v>1.44</v>
      </c>
      <c r="G337" t="s">
        <v>7509</v>
      </c>
      <c r="H337">
        <v>0</v>
      </c>
      <c r="I337" t="s">
        <v>7805</v>
      </c>
      <c r="J337">
        <v>0</v>
      </c>
      <c r="K337">
        <v>1</v>
      </c>
      <c r="L337" s="189">
        <v>45364</v>
      </c>
      <c r="M337" t="s">
        <v>7806</v>
      </c>
      <c r="N337" t="s">
        <v>7765</v>
      </c>
      <c r="O337">
        <v>-34.608005900000002</v>
      </c>
      <c r="P337">
        <v>-58.4625299</v>
      </c>
      <c r="Q337">
        <v>45359.431018518517</v>
      </c>
      <c r="R337">
        <v>109.65555555559696</v>
      </c>
      <c r="S337">
        <f>VLOOKUP(F337,'VALORES DIST'!$A$3:$B$27,2,TRUE)</f>
        <v>11816.268749999999</v>
      </c>
    </row>
    <row r="338" spans="1:19" x14ac:dyDescent="0.25">
      <c r="A338">
        <v>800008718</v>
      </c>
      <c r="B338" t="s">
        <v>7184</v>
      </c>
      <c r="C338" t="s">
        <v>7807</v>
      </c>
      <c r="D338" t="s">
        <v>7794</v>
      </c>
      <c r="E338">
        <v>852</v>
      </c>
      <c r="F338">
        <v>3.96</v>
      </c>
      <c r="G338" t="s">
        <v>7509</v>
      </c>
      <c r="H338">
        <v>0</v>
      </c>
      <c r="I338" t="s">
        <v>7805</v>
      </c>
      <c r="J338">
        <v>0</v>
      </c>
      <c r="K338">
        <v>1</v>
      </c>
      <c r="L338" s="189">
        <v>45364</v>
      </c>
      <c r="M338" t="s">
        <v>7806</v>
      </c>
      <c r="N338" t="s">
        <v>7765</v>
      </c>
      <c r="O338">
        <v>-34.608005900000002</v>
      </c>
      <c r="P338">
        <v>-58.4625299</v>
      </c>
      <c r="Q338">
        <v>45357.608090277776</v>
      </c>
      <c r="R338">
        <v>153.40583333338145</v>
      </c>
      <c r="S338">
        <f>VLOOKUP(F338,'VALORES DIST'!$A$3:$B$27,2,TRUE)</f>
        <v>13787.231250000001</v>
      </c>
    </row>
    <row r="339" spans="1:19" x14ac:dyDescent="0.25">
      <c r="A339">
        <v>800008719</v>
      </c>
      <c r="B339" t="s">
        <v>7184</v>
      </c>
      <c r="C339" t="s">
        <v>7807</v>
      </c>
      <c r="D339" t="s">
        <v>7794</v>
      </c>
      <c r="E339">
        <v>216</v>
      </c>
      <c r="F339">
        <v>0.52800000000000002</v>
      </c>
      <c r="G339" t="s">
        <v>7509</v>
      </c>
      <c r="H339">
        <v>0</v>
      </c>
      <c r="I339" t="s">
        <v>7805</v>
      </c>
      <c r="J339">
        <v>0</v>
      </c>
      <c r="K339">
        <v>1</v>
      </c>
      <c r="L339" s="189">
        <v>45364</v>
      </c>
      <c r="M339" t="s">
        <v>7806</v>
      </c>
      <c r="N339" t="s">
        <v>7765</v>
      </c>
      <c r="O339">
        <v>-34.608005900000002</v>
      </c>
      <c r="P339">
        <v>-58.4625299</v>
      </c>
      <c r="Q339">
        <v>45357.608090277776</v>
      </c>
      <c r="R339">
        <v>153.40583333338145</v>
      </c>
      <c r="S339">
        <f>VLOOKUP(F339,'VALORES DIST'!$A$3:$B$27,2,TRUE)</f>
        <v>11816.268749999999</v>
      </c>
    </row>
    <row r="340" spans="1:19" x14ac:dyDescent="0.25">
      <c r="A340">
        <v>800008713</v>
      </c>
      <c r="B340" t="s">
        <v>7183</v>
      </c>
      <c r="C340" t="s">
        <v>7844</v>
      </c>
      <c r="D340" t="s">
        <v>7794</v>
      </c>
      <c r="E340">
        <v>406</v>
      </c>
      <c r="F340">
        <v>1.242</v>
      </c>
      <c r="G340" t="s">
        <v>7509</v>
      </c>
      <c r="H340">
        <v>0</v>
      </c>
      <c r="I340" t="s">
        <v>7805</v>
      </c>
      <c r="J340">
        <v>0</v>
      </c>
      <c r="K340">
        <v>1</v>
      </c>
      <c r="L340" s="189">
        <v>45364</v>
      </c>
      <c r="M340" t="s">
        <v>7806</v>
      </c>
      <c r="N340" t="s">
        <v>7765</v>
      </c>
      <c r="O340">
        <v>-34.598365299999998</v>
      </c>
      <c r="P340">
        <v>-58.440120899999997</v>
      </c>
      <c r="Q340">
        <v>45357.608055555553</v>
      </c>
      <c r="R340">
        <v>153.40666666673496</v>
      </c>
      <c r="S340">
        <f>VLOOKUP(F340,'VALORES DIST'!$A$3:$B$27,2,TRUE)</f>
        <v>11816.268749999999</v>
      </c>
    </row>
    <row r="341" spans="1:19" x14ac:dyDescent="0.25">
      <c r="A341">
        <v>51375</v>
      </c>
      <c r="B341" t="s">
        <v>6908</v>
      </c>
      <c r="C341" t="s">
        <v>8162</v>
      </c>
      <c r="D341" t="s">
        <v>7794</v>
      </c>
      <c r="E341">
        <v>147</v>
      </c>
      <c r="F341">
        <v>8.1999999999999993</v>
      </c>
      <c r="G341" t="s">
        <v>6908</v>
      </c>
      <c r="H341" t="s">
        <v>8163</v>
      </c>
      <c r="I341" t="s">
        <v>7881</v>
      </c>
      <c r="J341">
        <v>0</v>
      </c>
      <c r="K341">
        <v>1</v>
      </c>
      <c r="L341" s="189">
        <v>45364</v>
      </c>
      <c r="M341" t="s">
        <v>7806</v>
      </c>
      <c r="N341" t="s">
        <v>7765</v>
      </c>
      <c r="O341">
        <v>-34.572809800000002</v>
      </c>
      <c r="P341">
        <v>-58.5041516</v>
      </c>
      <c r="S341">
        <f>VLOOKUP(F341,'VALORES DIST'!$A$3:$B$27,2,TRUE)</f>
        <v>68932.987500000003</v>
      </c>
    </row>
    <row r="342" spans="1:19" x14ac:dyDescent="0.25">
      <c r="A342">
        <v>900014448</v>
      </c>
      <c r="B342" t="s">
        <v>7065</v>
      </c>
      <c r="C342" t="s">
        <v>8164</v>
      </c>
      <c r="D342" t="s">
        <v>7794</v>
      </c>
      <c r="E342">
        <v>144</v>
      </c>
      <c r="F342">
        <v>1.782</v>
      </c>
      <c r="G342" t="s">
        <v>7509</v>
      </c>
      <c r="H342" t="s">
        <v>8165</v>
      </c>
      <c r="I342" t="s">
        <v>7805</v>
      </c>
      <c r="J342">
        <v>0</v>
      </c>
      <c r="K342">
        <v>3</v>
      </c>
      <c r="L342" s="189">
        <v>45365</v>
      </c>
      <c r="M342" t="s">
        <v>7806</v>
      </c>
      <c r="N342" t="s">
        <v>7765</v>
      </c>
      <c r="O342">
        <v>-34.5869219</v>
      </c>
      <c r="P342">
        <v>-58.429820999999997</v>
      </c>
      <c r="Q342">
        <v>45355.540405092594</v>
      </c>
      <c r="R342">
        <v>227.03027777775424</v>
      </c>
      <c r="S342">
        <f>VLOOKUP(F342,'VALORES DIST'!$A$3:$B$27,2,TRUE)</f>
        <v>11816.268749999999</v>
      </c>
    </row>
    <row r="343" spans="1:19" x14ac:dyDescent="0.25">
      <c r="A343">
        <v>900014369</v>
      </c>
      <c r="B343" t="s">
        <v>6978</v>
      </c>
      <c r="C343" t="s">
        <v>8166</v>
      </c>
      <c r="D343" t="s">
        <v>7794</v>
      </c>
      <c r="E343">
        <v>54</v>
      </c>
      <c r="F343">
        <v>0.14399999999999999</v>
      </c>
      <c r="G343" t="s">
        <v>7509</v>
      </c>
      <c r="H343">
        <v>0</v>
      </c>
      <c r="I343" t="s">
        <v>7805</v>
      </c>
      <c r="J343">
        <v>0</v>
      </c>
      <c r="K343">
        <v>1</v>
      </c>
      <c r="L343" s="189">
        <v>45365</v>
      </c>
      <c r="M343" t="s">
        <v>7806</v>
      </c>
      <c r="N343" t="s">
        <v>7765</v>
      </c>
      <c r="O343">
        <v>-34.595728000000001</v>
      </c>
      <c r="P343">
        <v>-58.392328999999997</v>
      </c>
      <c r="Q343">
        <v>45351.418449074074</v>
      </c>
      <c r="R343">
        <v>325.95722222223412</v>
      </c>
      <c r="S343">
        <f>VLOOKUP(F343,'VALORES DIST'!$A$3:$B$27,2,TRUE)</f>
        <v>11816.268749999999</v>
      </c>
    </row>
    <row r="344" spans="1:19" x14ac:dyDescent="0.25">
      <c r="A344">
        <v>900014365</v>
      </c>
      <c r="B344" t="s">
        <v>6998</v>
      </c>
      <c r="C344" t="s">
        <v>8167</v>
      </c>
      <c r="D344" t="s">
        <v>7794</v>
      </c>
      <c r="E344">
        <v>12</v>
      </c>
      <c r="F344">
        <v>8.4000000000000005E-2</v>
      </c>
      <c r="G344" t="s">
        <v>7509</v>
      </c>
      <c r="H344">
        <v>0</v>
      </c>
      <c r="I344" t="s">
        <v>7805</v>
      </c>
      <c r="J344">
        <v>0</v>
      </c>
      <c r="K344">
        <v>1</v>
      </c>
      <c r="L344" s="189">
        <v>45365</v>
      </c>
      <c r="M344" t="s">
        <v>7806</v>
      </c>
      <c r="N344" t="s">
        <v>7765</v>
      </c>
      <c r="O344">
        <v>-34.594732</v>
      </c>
      <c r="P344">
        <v>-58.401964</v>
      </c>
      <c r="Q344">
        <v>45351.418437499997</v>
      </c>
      <c r="R344">
        <v>325.95750000007683</v>
      </c>
      <c r="S344">
        <f>VLOOKUP(F344,'VALORES DIST'!$A$3:$B$27,2,TRUE)</f>
        <v>11816.268749999999</v>
      </c>
    </row>
    <row r="345" spans="1:19" x14ac:dyDescent="0.25">
      <c r="A345">
        <v>900014364</v>
      </c>
      <c r="B345" t="s">
        <v>6998</v>
      </c>
      <c r="C345" t="s">
        <v>8167</v>
      </c>
      <c r="D345" t="s">
        <v>7794</v>
      </c>
      <c r="E345">
        <v>518</v>
      </c>
      <c r="F345">
        <v>1.1479999999999999</v>
      </c>
      <c r="G345" t="s">
        <v>7509</v>
      </c>
      <c r="H345">
        <v>0</v>
      </c>
      <c r="I345" t="s">
        <v>7805</v>
      </c>
      <c r="J345">
        <v>0</v>
      </c>
      <c r="K345">
        <v>1</v>
      </c>
      <c r="L345" s="189">
        <v>45365</v>
      </c>
      <c r="M345" t="s">
        <v>7806</v>
      </c>
      <c r="N345" t="s">
        <v>7765</v>
      </c>
      <c r="O345">
        <v>-34.594732</v>
      </c>
      <c r="P345">
        <v>-58.401964</v>
      </c>
      <c r="Q345">
        <v>45351.418437499997</v>
      </c>
      <c r="R345">
        <v>325.95750000007683</v>
      </c>
      <c r="S345">
        <f>VLOOKUP(F345,'VALORES DIST'!$A$3:$B$27,2,TRUE)</f>
        <v>11816.268749999999</v>
      </c>
    </row>
    <row r="346" spans="1:19" x14ac:dyDescent="0.25">
      <c r="A346">
        <v>900014366</v>
      </c>
      <c r="B346" t="s">
        <v>6975</v>
      </c>
      <c r="C346" t="s">
        <v>7915</v>
      </c>
      <c r="D346" t="s">
        <v>7863</v>
      </c>
      <c r="E346">
        <v>141</v>
      </c>
      <c r="F346">
        <v>0.39600000000000002</v>
      </c>
      <c r="G346" t="s">
        <v>7509</v>
      </c>
      <c r="H346">
        <v>0</v>
      </c>
      <c r="I346" t="s">
        <v>7805</v>
      </c>
      <c r="J346">
        <v>0</v>
      </c>
      <c r="K346">
        <v>1</v>
      </c>
      <c r="L346" s="189">
        <v>45365</v>
      </c>
      <c r="M346" t="s">
        <v>7806</v>
      </c>
      <c r="N346" t="s">
        <v>7765</v>
      </c>
      <c r="O346">
        <v>-34.515901999999997</v>
      </c>
      <c r="P346">
        <v>-58.723560499999998</v>
      </c>
      <c r="Q346">
        <v>45351.418437499997</v>
      </c>
      <c r="R346">
        <v>325.95750000007683</v>
      </c>
      <c r="S346">
        <f>VLOOKUP(F346,'VALORES DIST'!$A$3:$B$27,2,TRUE)</f>
        <v>11816.268749999999</v>
      </c>
    </row>
    <row r="347" spans="1:19" x14ac:dyDescent="0.25">
      <c r="A347">
        <v>900014408</v>
      </c>
      <c r="B347" t="s">
        <v>7007</v>
      </c>
      <c r="C347" t="s">
        <v>8168</v>
      </c>
      <c r="D347" t="s">
        <v>7794</v>
      </c>
      <c r="E347">
        <v>48</v>
      </c>
      <c r="F347">
        <v>4.8000000000000001E-2</v>
      </c>
      <c r="G347" t="s">
        <v>7509</v>
      </c>
      <c r="H347">
        <v>0</v>
      </c>
      <c r="I347" t="s">
        <v>7805</v>
      </c>
      <c r="J347">
        <v>0</v>
      </c>
      <c r="K347">
        <v>1</v>
      </c>
      <c r="L347" s="189">
        <v>45365</v>
      </c>
      <c r="M347" t="s">
        <v>7806</v>
      </c>
      <c r="N347" t="s">
        <v>7765</v>
      </c>
      <c r="O347">
        <v>-34.567376500000002</v>
      </c>
      <c r="P347">
        <v>-58.4372148</v>
      </c>
      <c r="Q347">
        <v>45351.41851851852</v>
      </c>
      <c r="R347">
        <v>325.9555555555271</v>
      </c>
      <c r="S347">
        <f>VLOOKUP(F347,'VALORES DIST'!$A$3:$B$27,2,TRUE)</f>
        <v>11816.268749999999</v>
      </c>
    </row>
    <row r="348" spans="1:19" x14ac:dyDescent="0.25">
      <c r="A348">
        <v>900014472</v>
      </c>
      <c r="B348" t="s">
        <v>7007</v>
      </c>
      <c r="C348" t="s">
        <v>8168</v>
      </c>
      <c r="D348" t="s">
        <v>7794</v>
      </c>
      <c r="E348">
        <v>140</v>
      </c>
      <c r="F348">
        <v>0.38500000000000001</v>
      </c>
      <c r="G348" t="s">
        <v>7509</v>
      </c>
      <c r="H348">
        <v>0</v>
      </c>
      <c r="I348" t="s">
        <v>7805</v>
      </c>
      <c r="J348">
        <v>0</v>
      </c>
      <c r="K348">
        <v>1</v>
      </c>
      <c r="L348" s="189">
        <v>45365</v>
      </c>
      <c r="M348" t="s">
        <v>7806</v>
      </c>
      <c r="N348" t="s">
        <v>7765</v>
      </c>
      <c r="O348">
        <v>-34.567376500000002</v>
      </c>
      <c r="P348">
        <v>-58.4372148</v>
      </c>
      <c r="Q348">
        <v>45357.608055555553</v>
      </c>
      <c r="R348">
        <v>177.40666666673496</v>
      </c>
      <c r="S348">
        <f>VLOOKUP(F348,'VALORES DIST'!$A$3:$B$27,2,TRUE)</f>
        <v>11816.268749999999</v>
      </c>
    </row>
    <row r="349" spans="1:19" x14ac:dyDescent="0.25">
      <c r="A349">
        <v>900014383</v>
      </c>
      <c r="B349" t="s">
        <v>6981</v>
      </c>
      <c r="C349" t="s">
        <v>8169</v>
      </c>
      <c r="D349" t="s">
        <v>7794</v>
      </c>
      <c r="E349">
        <v>78</v>
      </c>
      <c r="F349">
        <v>0.23100000000000001</v>
      </c>
      <c r="G349" t="s">
        <v>7509</v>
      </c>
      <c r="H349">
        <v>0</v>
      </c>
      <c r="I349" t="s">
        <v>7805</v>
      </c>
      <c r="J349">
        <v>0</v>
      </c>
      <c r="K349">
        <v>1</v>
      </c>
      <c r="L349" s="189">
        <v>45365</v>
      </c>
      <c r="M349" t="s">
        <v>7806</v>
      </c>
      <c r="N349" t="s">
        <v>7765</v>
      </c>
      <c r="O349">
        <v>-34.587642199999998</v>
      </c>
      <c r="P349">
        <v>-58.411865800000001</v>
      </c>
      <c r="Q349">
        <v>45351.41847222222</v>
      </c>
      <c r="R349">
        <v>325.95666666672332</v>
      </c>
      <c r="S349">
        <f>VLOOKUP(F349,'VALORES DIST'!$A$3:$B$27,2,TRUE)</f>
        <v>11816.268749999999</v>
      </c>
    </row>
    <row r="350" spans="1:19" x14ac:dyDescent="0.25">
      <c r="A350">
        <v>900014385</v>
      </c>
      <c r="B350" t="s">
        <v>6983</v>
      </c>
      <c r="C350" t="s">
        <v>7904</v>
      </c>
      <c r="D350" t="s">
        <v>7794</v>
      </c>
      <c r="E350">
        <v>87</v>
      </c>
      <c r="F350">
        <v>0.24</v>
      </c>
      <c r="G350" t="s">
        <v>7509</v>
      </c>
      <c r="H350">
        <v>0</v>
      </c>
      <c r="I350" t="s">
        <v>7805</v>
      </c>
      <c r="J350">
        <v>0</v>
      </c>
      <c r="K350">
        <v>1</v>
      </c>
      <c r="L350" s="189">
        <v>45365</v>
      </c>
      <c r="M350" t="s">
        <v>7806</v>
      </c>
      <c r="N350" t="s">
        <v>7765</v>
      </c>
      <c r="O350">
        <v>-34.580744099999997</v>
      </c>
      <c r="P350">
        <v>-58.407094700000002</v>
      </c>
      <c r="Q350">
        <v>45351.41847222222</v>
      </c>
      <c r="R350">
        <v>325.95666666672332</v>
      </c>
      <c r="S350">
        <f>VLOOKUP(F350,'VALORES DIST'!$A$3:$B$27,2,TRUE)</f>
        <v>11816.268749999999</v>
      </c>
    </row>
    <row r="351" spans="1:19" x14ac:dyDescent="0.25">
      <c r="A351">
        <v>900014386</v>
      </c>
      <c r="B351" t="s">
        <v>6984</v>
      </c>
      <c r="C351" t="s">
        <v>7909</v>
      </c>
      <c r="D351" t="s">
        <v>7794</v>
      </c>
      <c r="E351">
        <v>134</v>
      </c>
      <c r="F351">
        <v>0.34399999999999997</v>
      </c>
      <c r="G351" t="s">
        <v>7509</v>
      </c>
      <c r="H351">
        <v>0</v>
      </c>
      <c r="I351" t="s">
        <v>7805</v>
      </c>
      <c r="J351">
        <v>0</v>
      </c>
      <c r="K351">
        <v>1</v>
      </c>
      <c r="L351" s="189">
        <v>45365</v>
      </c>
      <c r="M351" t="s">
        <v>7806</v>
      </c>
      <c r="N351" t="s">
        <v>7765</v>
      </c>
      <c r="O351">
        <v>-34.589246899999999</v>
      </c>
      <c r="P351">
        <v>-58.393886600000002</v>
      </c>
      <c r="Q351">
        <v>45351.41847222222</v>
      </c>
      <c r="R351">
        <v>325.95666666672332</v>
      </c>
      <c r="S351">
        <f>VLOOKUP(F351,'VALORES DIST'!$A$3:$B$27,2,TRUE)</f>
        <v>11816.268749999999</v>
      </c>
    </row>
    <row r="352" spans="1:19" x14ac:dyDescent="0.25">
      <c r="A352">
        <v>900014409</v>
      </c>
      <c r="B352" t="s">
        <v>7008</v>
      </c>
      <c r="C352" t="s">
        <v>7842</v>
      </c>
      <c r="D352" t="s">
        <v>7794</v>
      </c>
      <c r="E352">
        <v>278</v>
      </c>
      <c r="F352">
        <v>0.84799999999999998</v>
      </c>
      <c r="G352" t="s">
        <v>7509</v>
      </c>
      <c r="H352">
        <v>0</v>
      </c>
      <c r="I352" t="s">
        <v>7805</v>
      </c>
      <c r="J352">
        <v>0</v>
      </c>
      <c r="K352">
        <v>1</v>
      </c>
      <c r="L352" s="189">
        <v>45365</v>
      </c>
      <c r="M352" t="s">
        <v>7806</v>
      </c>
      <c r="N352" t="s">
        <v>7765</v>
      </c>
      <c r="O352">
        <v>-34.595244000000001</v>
      </c>
      <c r="P352">
        <v>-58.393552300000003</v>
      </c>
      <c r="Q352">
        <v>45351.41851851852</v>
      </c>
      <c r="R352">
        <v>325.9555555555271</v>
      </c>
      <c r="S352">
        <f>VLOOKUP(F352,'VALORES DIST'!$A$3:$B$27,2,TRUE)</f>
        <v>11816.268749999999</v>
      </c>
    </row>
    <row r="353" spans="1:19" x14ac:dyDescent="0.25">
      <c r="A353">
        <v>900014417</v>
      </c>
      <c r="B353" t="s">
        <v>7386</v>
      </c>
      <c r="C353" t="s">
        <v>8131</v>
      </c>
      <c r="D353" t="s">
        <v>7794</v>
      </c>
      <c r="E353">
        <v>169</v>
      </c>
      <c r="F353">
        <v>0.46700000000000003</v>
      </c>
      <c r="G353" t="s">
        <v>7509</v>
      </c>
      <c r="H353">
        <v>0</v>
      </c>
      <c r="I353" t="s">
        <v>7805</v>
      </c>
      <c r="J353">
        <v>0</v>
      </c>
      <c r="K353">
        <v>1</v>
      </c>
      <c r="L353" s="189">
        <v>45365</v>
      </c>
      <c r="M353" t="s">
        <v>7806</v>
      </c>
      <c r="N353" t="s">
        <v>7765</v>
      </c>
      <c r="O353">
        <v>-34.580669299999997</v>
      </c>
      <c r="P353">
        <v>-58.413622699999998</v>
      </c>
      <c r="Q353">
        <v>45351.418530092589</v>
      </c>
      <c r="R353">
        <v>325.95527777785901</v>
      </c>
      <c r="S353">
        <f>VLOOKUP(F353,'VALORES DIST'!$A$3:$B$27,2,TRUE)</f>
        <v>11816.268749999999</v>
      </c>
    </row>
    <row r="354" spans="1:19" x14ac:dyDescent="0.25">
      <c r="A354">
        <v>900014418</v>
      </c>
      <c r="B354" t="s">
        <v>8170</v>
      </c>
      <c r="C354" t="s">
        <v>8171</v>
      </c>
      <c r="D354" t="s">
        <v>7794</v>
      </c>
      <c r="E354">
        <v>166</v>
      </c>
      <c r="F354">
        <v>0.47</v>
      </c>
      <c r="G354" t="s">
        <v>7509</v>
      </c>
      <c r="H354">
        <v>0</v>
      </c>
      <c r="I354" t="s">
        <v>7805</v>
      </c>
      <c r="J354">
        <v>0</v>
      </c>
      <c r="K354">
        <v>1</v>
      </c>
      <c r="L354" s="189">
        <v>45365</v>
      </c>
      <c r="M354" t="s">
        <v>7806</v>
      </c>
      <c r="N354" t="s">
        <v>7765</v>
      </c>
      <c r="O354">
        <v>-34.580649700000002</v>
      </c>
      <c r="P354">
        <v>-58.413609100000002</v>
      </c>
      <c r="Q354">
        <v>45351.418530092589</v>
      </c>
      <c r="R354">
        <v>325.95527777785901</v>
      </c>
      <c r="S354">
        <f>VLOOKUP(F354,'VALORES DIST'!$A$3:$B$27,2,TRUE)</f>
        <v>11816.268749999999</v>
      </c>
    </row>
    <row r="355" spans="1:19" x14ac:dyDescent="0.25">
      <c r="A355">
        <v>900014425</v>
      </c>
      <c r="B355" t="s">
        <v>7122</v>
      </c>
      <c r="C355" t="s">
        <v>8172</v>
      </c>
      <c r="D355" t="s">
        <v>7883</v>
      </c>
      <c r="E355">
        <v>81</v>
      </c>
      <c r="F355">
        <v>0.39900000000000002</v>
      </c>
      <c r="G355" t="s">
        <v>7509</v>
      </c>
      <c r="H355">
        <v>0</v>
      </c>
      <c r="I355" t="s">
        <v>7805</v>
      </c>
      <c r="J355">
        <v>0</v>
      </c>
      <c r="K355">
        <v>3</v>
      </c>
      <c r="L355" s="189">
        <v>45366</v>
      </c>
      <c r="M355" t="s">
        <v>8173</v>
      </c>
      <c r="N355" t="s">
        <v>7765</v>
      </c>
      <c r="O355">
        <v>-34.8076042</v>
      </c>
      <c r="P355">
        <v>-58.274821199999998</v>
      </c>
      <c r="Q355">
        <v>45351.418541666666</v>
      </c>
      <c r="R355">
        <v>349.9550000000163</v>
      </c>
      <c r="S355">
        <f>VLOOKUP(F355,'VALORES DIST'!$A$3:$B$27,2,TRUE)</f>
        <v>11816.268749999999</v>
      </c>
    </row>
    <row r="356" spans="1:19" x14ac:dyDescent="0.25">
      <c r="A356">
        <v>900014421</v>
      </c>
      <c r="B356" t="s">
        <v>7121</v>
      </c>
      <c r="C356" t="s">
        <v>8096</v>
      </c>
      <c r="D356" t="s">
        <v>8097</v>
      </c>
      <c r="E356">
        <v>118</v>
      </c>
      <c r="F356">
        <v>0.61599999999999999</v>
      </c>
      <c r="G356" t="s">
        <v>7509</v>
      </c>
      <c r="H356">
        <v>0</v>
      </c>
      <c r="I356" t="s">
        <v>7805</v>
      </c>
      <c r="J356">
        <v>0</v>
      </c>
      <c r="K356">
        <v>1</v>
      </c>
      <c r="L356" s="189">
        <v>45366</v>
      </c>
      <c r="M356" t="s">
        <v>7806</v>
      </c>
      <c r="N356" t="s">
        <v>7765</v>
      </c>
      <c r="O356">
        <v>-34.779813400000002</v>
      </c>
      <c r="P356">
        <v>-58.311706700000002</v>
      </c>
      <c r="Q356">
        <v>45351.418541666666</v>
      </c>
      <c r="R356">
        <v>349.9550000000163</v>
      </c>
      <c r="S356">
        <f>VLOOKUP(F356,'VALORES DIST'!$A$3:$B$27,2,TRUE)</f>
        <v>11816.268749999999</v>
      </c>
    </row>
    <row r="357" spans="1:19" x14ac:dyDescent="0.25">
      <c r="A357">
        <v>900014434</v>
      </c>
      <c r="B357" t="s">
        <v>7920</v>
      </c>
      <c r="C357" t="s">
        <v>7921</v>
      </c>
      <c r="D357" t="s">
        <v>7922</v>
      </c>
      <c r="E357">
        <v>98</v>
      </c>
      <c r="F357">
        <v>0.44800000000000001</v>
      </c>
      <c r="G357" t="s">
        <v>7509</v>
      </c>
      <c r="H357">
        <v>0</v>
      </c>
      <c r="I357" t="s">
        <v>7805</v>
      </c>
      <c r="J357">
        <v>0</v>
      </c>
      <c r="K357">
        <v>3</v>
      </c>
      <c r="L357" s="189">
        <v>45366</v>
      </c>
      <c r="M357" t="s">
        <v>7806</v>
      </c>
      <c r="N357" t="s">
        <v>7765</v>
      </c>
      <c r="O357">
        <v>-34.781371</v>
      </c>
      <c r="P357">
        <v>-58.313514699999999</v>
      </c>
      <c r="Q357">
        <v>45351.418553240743</v>
      </c>
      <c r="R357">
        <v>349.95472222217359</v>
      </c>
      <c r="S357">
        <f>VLOOKUP(F357,'VALORES DIST'!$A$3:$B$27,2,TRUE)</f>
        <v>11816.268749999999</v>
      </c>
    </row>
    <row r="358" spans="1:19" x14ac:dyDescent="0.25">
      <c r="A358">
        <v>900014439</v>
      </c>
      <c r="B358" t="s">
        <v>7141</v>
      </c>
      <c r="C358" t="s">
        <v>8174</v>
      </c>
      <c r="D358" t="s">
        <v>8175</v>
      </c>
      <c r="E358">
        <v>40</v>
      </c>
      <c r="F358">
        <v>0.33400000000000002</v>
      </c>
      <c r="G358" t="s">
        <v>7509</v>
      </c>
      <c r="H358">
        <v>0</v>
      </c>
      <c r="I358" t="s">
        <v>7805</v>
      </c>
      <c r="J358">
        <v>0</v>
      </c>
      <c r="K358">
        <v>1</v>
      </c>
      <c r="L358" s="189">
        <v>45366</v>
      </c>
      <c r="M358" t="s">
        <v>7806</v>
      </c>
      <c r="N358" t="s">
        <v>7765</v>
      </c>
      <c r="O358">
        <v>-34.743230199999999</v>
      </c>
      <c r="P358">
        <v>-58.394196200000003</v>
      </c>
      <c r="Q358">
        <v>45351.418564814812</v>
      </c>
      <c r="R358">
        <v>349.9544444445055</v>
      </c>
      <c r="S358">
        <f>VLOOKUP(F358,'VALORES DIST'!$A$3:$B$27,2,TRUE)</f>
        <v>11816.268749999999</v>
      </c>
    </row>
    <row r="359" spans="1:19" x14ac:dyDescent="0.25">
      <c r="A359">
        <v>50500000737</v>
      </c>
      <c r="B359" t="s">
        <v>7199</v>
      </c>
      <c r="C359" t="s">
        <v>7884</v>
      </c>
      <c r="D359" t="s">
        <v>7846</v>
      </c>
      <c r="E359">
        <v>24</v>
      </c>
      <c r="F359">
        <v>0.40799999999999997</v>
      </c>
      <c r="G359" t="s">
        <v>7509</v>
      </c>
      <c r="H359">
        <v>0</v>
      </c>
      <c r="I359" t="s">
        <v>7805</v>
      </c>
      <c r="J359">
        <v>0</v>
      </c>
      <c r="K359">
        <v>1</v>
      </c>
      <c r="L359" s="189">
        <v>45366</v>
      </c>
      <c r="M359" t="s">
        <v>7806</v>
      </c>
      <c r="N359" t="s">
        <v>7765</v>
      </c>
      <c r="O359">
        <v>-34.688305</v>
      </c>
      <c r="P359">
        <v>-58.400648500000003</v>
      </c>
      <c r="Q359">
        <v>45315.320486111108</v>
      </c>
      <c r="R359">
        <v>1216.3083333334073</v>
      </c>
      <c r="S359">
        <f>VLOOKUP(F359,'VALORES DIST'!$A$3:$B$27,2,TRUE)</f>
        <v>11816.268749999999</v>
      </c>
    </row>
    <row r="360" spans="1:19" x14ac:dyDescent="0.25">
      <c r="A360">
        <v>900014375</v>
      </c>
      <c r="B360" t="s">
        <v>7353</v>
      </c>
      <c r="C360" t="s">
        <v>8012</v>
      </c>
      <c r="D360" t="s">
        <v>8013</v>
      </c>
      <c r="E360">
        <v>69</v>
      </c>
      <c r="F360">
        <v>0.246</v>
      </c>
      <c r="G360" t="s">
        <v>7509</v>
      </c>
      <c r="H360">
        <v>0</v>
      </c>
      <c r="I360" t="s">
        <v>8014</v>
      </c>
      <c r="J360" t="s">
        <v>8015</v>
      </c>
      <c r="K360">
        <v>1</v>
      </c>
      <c r="L360" s="189">
        <v>45366</v>
      </c>
      <c r="M360" t="s">
        <v>7806</v>
      </c>
      <c r="N360" t="s">
        <v>7765</v>
      </c>
      <c r="O360">
        <v>-31.254707</v>
      </c>
      <c r="P360">
        <v>-61.485429000000003</v>
      </c>
      <c r="Q360">
        <v>45351.41846064815</v>
      </c>
      <c r="R360">
        <v>349.95694444439141</v>
      </c>
      <c r="S360">
        <f>VLOOKUP(F360,'VALORES DIST'!$A$3:$B$27,2,TRUE)</f>
        <v>11816.268749999999</v>
      </c>
    </row>
    <row r="361" spans="1:19" x14ac:dyDescent="0.25">
      <c r="A361">
        <v>900014414</v>
      </c>
      <c r="B361" t="s">
        <v>7084</v>
      </c>
      <c r="C361" t="s">
        <v>8176</v>
      </c>
      <c r="D361" t="s">
        <v>7782</v>
      </c>
      <c r="E361">
        <v>15</v>
      </c>
      <c r="F361">
        <v>0.375</v>
      </c>
      <c r="G361" t="s">
        <v>7509</v>
      </c>
      <c r="H361">
        <v>0</v>
      </c>
      <c r="I361" t="s">
        <v>8177</v>
      </c>
      <c r="J361" t="s">
        <v>7796</v>
      </c>
      <c r="K361">
        <v>1</v>
      </c>
      <c r="L361" s="189">
        <v>45366</v>
      </c>
      <c r="M361" t="s">
        <v>7806</v>
      </c>
      <c r="N361" t="s">
        <v>7765</v>
      </c>
      <c r="O361">
        <v>-31.414263099999999</v>
      </c>
      <c r="P361">
        <v>-64.183616400000005</v>
      </c>
      <c r="Q361">
        <v>45351.418530092589</v>
      </c>
      <c r="R361">
        <v>349.95527777785901</v>
      </c>
      <c r="S361">
        <f>VLOOKUP(F361,'VALORES DIST'!$A$3:$B$27,2,TRUE)</f>
        <v>11816.268749999999</v>
      </c>
    </row>
    <row r="362" spans="1:19" x14ac:dyDescent="0.25">
      <c r="A362">
        <v>900014377</v>
      </c>
      <c r="B362" t="s">
        <v>6994</v>
      </c>
      <c r="C362" t="s">
        <v>8178</v>
      </c>
      <c r="D362" t="s">
        <v>7794</v>
      </c>
      <c r="E362">
        <v>300</v>
      </c>
      <c r="F362">
        <v>1.1259999999999999</v>
      </c>
      <c r="G362" t="s">
        <v>7509</v>
      </c>
      <c r="H362">
        <v>0</v>
      </c>
      <c r="I362" t="s">
        <v>7805</v>
      </c>
      <c r="J362">
        <v>0</v>
      </c>
      <c r="K362">
        <v>3</v>
      </c>
      <c r="L362" s="189">
        <v>45366</v>
      </c>
      <c r="M362" t="s">
        <v>7806</v>
      </c>
      <c r="N362" t="s">
        <v>7765</v>
      </c>
      <c r="O362">
        <v>-34.6532968</v>
      </c>
      <c r="P362">
        <v>-58.416824499999997</v>
      </c>
      <c r="Q362">
        <v>45351.41846064815</v>
      </c>
      <c r="R362">
        <v>349.95694444439141</v>
      </c>
      <c r="S362">
        <f>VLOOKUP(F362,'VALORES DIST'!$A$3:$B$27,2,TRUE)</f>
        <v>11816.268749999999</v>
      </c>
    </row>
    <row r="363" spans="1:19" x14ac:dyDescent="0.25">
      <c r="A363">
        <v>900014352</v>
      </c>
      <c r="B363" t="s">
        <v>7025</v>
      </c>
      <c r="C363" t="s">
        <v>8020</v>
      </c>
      <c r="D363" t="s">
        <v>7935</v>
      </c>
      <c r="E363">
        <v>252</v>
      </c>
      <c r="F363">
        <v>0.97799999999999998</v>
      </c>
      <c r="G363" t="s">
        <v>7509</v>
      </c>
      <c r="H363">
        <v>0</v>
      </c>
      <c r="I363" t="s">
        <v>8021</v>
      </c>
      <c r="J363" t="s">
        <v>8022</v>
      </c>
      <c r="K363">
        <v>1</v>
      </c>
      <c r="L363" s="189">
        <v>45366</v>
      </c>
      <c r="M363" t="s">
        <v>7806</v>
      </c>
      <c r="N363" t="s">
        <v>7765</v>
      </c>
      <c r="O363">
        <v>-37.970896099999997</v>
      </c>
      <c r="P363">
        <v>-57.634768600000001</v>
      </c>
      <c r="Q363">
        <v>45351.418414351851</v>
      </c>
      <c r="R363">
        <v>349.95805555558763</v>
      </c>
      <c r="S363">
        <f>VLOOKUP(F363,'VALORES DIST'!$A$3:$B$27,2,TRUE)</f>
        <v>11816.268749999999</v>
      </c>
    </row>
    <row r="364" spans="1:19" x14ac:dyDescent="0.25">
      <c r="A364">
        <v>900014444</v>
      </c>
      <c r="B364" t="s">
        <v>7150</v>
      </c>
      <c r="C364" t="s">
        <v>7964</v>
      </c>
      <c r="D364" t="s">
        <v>7935</v>
      </c>
      <c r="E364">
        <v>118</v>
      </c>
      <c r="F364">
        <v>1.1279999999999999</v>
      </c>
      <c r="G364" t="s">
        <v>7509</v>
      </c>
      <c r="H364">
        <v>0</v>
      </c>
      <c r="I364" t="s">
        <v>7936</v>
      </c>
      <c r="J364" t="s">
        <v>7937</v>
      </c>
      <c r="K364">
        <v>1</v>
      </c>
      <c r="L364" s="189">
        <v>45366</v>
      </c>
      <c r="M364" t="s">
        <v>7806</v>
      </c>
      <c r="N364" t="s">
        <v>7765</v>
      </c>
      <c r="O364">
        <v>-38.0020892</v>
      </c>
      <c r="P364">
        <v>-57.548521200000003</v>
      </c>
      <c r="Q364">
        <v>45355.540393518517</v>
      </c>
      <c r="R364">
        <v>251.03055555559695</v>
      </c>
      <c r="S364">
        <f>VLOOKUP(F364,'VALORES DIST'!$A$3:$B$27,2,TRUE)</f>
        <v>11816.268749999999</v>
      </c>
    </row>
    <row r="365" spans="1:19" x14ac:dyDescent="0.25">
      <c r="A365">
        <v>900014372</v>
      </c>
      <c r="B365" t="s">
        <v>7351</v>
      </c>
      <c r="C365" t="s">
        <v>8179</v>
      </c>
      <c r="D365" t="s">
        <v>8180</v>
      </c>
      <c r="E365">
        <v>99</v>
      </c>
      <c r="F365">
        <v>0.311</v>
      </c>
      <c r="G365" t="s">
        <v>7509</v>
      </c>
      <c r="H365">
        <v>0</v>
      </c>
      <c r="I365" t="s">
        <v>8181</v>
      </c>
      <c r="J365" t="s">
        <v>8182</v>
      </c>
      <c r="K365">
        <v>1</v>
      </c>
      <c r="L365" s="189">
        <v>45366</v>
      </c>
      <c r="M365" t="s">
        <v>7806</v>
      </c>
      <c r="N365" t="s">
        <v>7765</v>
      </c>
      <c r="O365">
        <v>-34.615351500000003</v>
      </c>
      <c r="P365">
        <v>-58.370821599999999</v>
      </c>
      <c r="Q365">
        <v>45351.41846064815</v>
      </c>
      <c r="R365">
        <v>349.95694444439141</v>
      </c>
      <c r="S365">
        <f>VLOOKUP(F365,'VALORES DIST'!$A$3:$B$27,2,TRUE)</f>
        <v>11816.268749999999</v>
      </c>
    </row>
    <row r="366" spans="1:19" x14ac:dyDescent="0.25">
      <c r="A366">
        <v>900014374</v>
      </c>
      <c r="B366" t="s">
        <v>7235</v>
      </c>
      <c r="C366" t="s">
        <v>8007</v>
      </c>
      <c r="D366" t="s">
        <v>8008</v>
      </c>
      <c r="E366">
        <v>64</v>
      </c>
      <c r="F366">
        <v>0.33</v>
      </c>
      <c r="G366" t="s">
        <v>7509</v>
      </c>
      <c r="H366">
        <v>0</v>
      </c>
      <c r="I366" t="s">
        <v>8009</v>
      </c>
      <c r="J366" t="s">
        <v>8010</v>
      </c>
      <c r="K366">
        <v>2</v>
      </c>
      <c r="L366" s="189">
        <v>45366</v>
      </c>
      <c r="M366" t="s">
        <v>7806</v>
      </c>
      <c r="N366" t="s">
        <v>7765</v>
      </c>
      <c r="O366">
        <v>-33.044742300000003</v>
      </c>
      <c r="P366">
        <v>-61.167425399999999</v>
      </c>
      <c r="Q366">
        <v>45351.41846064815</v>
      </c>
      <c r="R366">
        <v>349.95694444439141</v>
      </c>
      <c r="S366">
        <f>VLOOKUP(F366,'VALORES DIST'!$A$3:$B$27,2,TRUE)</f>
        <v>11816.268749999999</v>
      </c>
    </row>
    <row r="367" spans="1:19" x14ac:dyDescent="0.25">
      <c r="A367">
        <v>900014368</v>
      </c>
      <c r="B367" t="s">
        <v>7393</v>
      </c>
      <c r="C367" t="s">
        <v>7984</v>
      </c>
      <c r="D367" t="s">
        <v>7794</v>
      </c>
      <c r="E367">
        <v>150</v>
      </c>
      <c r="F367">
        <v>0.96399999999999997</v>
      </c>
      <c r="G367" t="s">
        <v>7509</v>
      </c>
      <c r="H367">
        <v>0</v>
      </c>
      <c r="I367" t="s">
        <v>7805</v>
      </c>
      <c r="J367">
        <v>0</v>
      </c>
      <c r="K367">
        <v>1</v>
      </c>
      <c r="L367" s="189">
        <v>45366</v>
      </c>
      <c r="M367" t="s">
        <v>7806</v>
      </c>
      <c r="N367" t="s">
        <v>7765</v>
      </c>
      <c r="O367">
        <v>-34.626446199999997</v>
      </c>
      <c r="P367">
        <v>-58.401406899999998</v>
      </c>
      <c r="Q367">
        <v>45351.418449074074</v>
      </c>
      <c r="R367">
        <v>349.95722222223412</v>
      </c>
      <c r="S367">
        <f>VLOOKUP(F367,'VALORES DIST'!$A$3:$B$27,2,TRUE)</f>
        <v>11816.268749999999</v>
      </c>
    </row>
    <row r="368" spans="1:19" x14ac:dyDescent="0.25">
      <c r="A368">
        <v>900014378</v>
      </c>
      <c r="B368" t="s">
        <v>6995</v>
      </c>
      <c r="C368" t="s">
        <v>8183</v>
      </c>
      <c r="D368" t="s">
        <v>7794</v>
      </c>
      <c r="E368">
        <v>278</v>
      </c>
      <c r="F368">
        <v>1.194</v>
      </c>
      <c r="G368" t="s">
        <v>7509</v>
      </c>
      <c r="H368">
        <v>0</v>
      </c>
      <c r="I368" t="s">
        <v>7805</v>
      </c>
      <c r="J368">
        <v>0</v>
      </c>
      <c r="K368">
        <v>2</v>
      </c>
      <c r="L368" s="189">
        <v>45366</v>
      </c>
      <c r="M368" t="s">
        <v>7806</v>
      </c>
      <c r="N368" t="s">
        <v>7765</v>
      </c>
      <c r="O368">
        <v>-34.626274500000001</v>
      </c>
      <c r="P368">
        <v>-58.400398500000001</v>
      </c>
      <c r="Q368">
        <v>45351.41846064815</v>
      </c>
      <c r="R368">
        <v>349.95694444439141</v>
      </c>
      <c r="S368">
        <f>VLOOKUP(F368,'VALORES DIST'!$A$3:$B$27,2,TRUE)</f>
        <v>11816.268749999999</v>
      </c>
    </row>
    <row r="369" spans="1:19" x14ac:dyDescent="0.25">
      <c r="A369">
        <v>900014367</v>
      </c>
      <c r="B369" t="s">
        <v>7402</v>
      </c>
      <c r="C369" t="s">
        <v>8184</v>
      </c>
      <c r="D369" t="s">
        <v>8185</v>
      </c>
      <c r="E369">
        <v>58</v>
      </c>
      <c r="F369">
        <v>0.34799999999999998</v>
      </c>
      <c r="G369" t="s">
        <v>7509</v>
      </c>
      <c r="H369">
        <v>0</v>
      </c>
      <c r="I369">
        <v>0</v>
      </c>
      <c r="J369">
        <v>0</v>
      </c>
      <c r="K369">
        <v>1</v>
      </c>
      <c r="L369" s="189">
        <v>45369</v>
      </c>
      <c r="M369" t="s">
        <v>7806</v>
      </c>
      <c r="N369" t="s">
        <v>7765</v>
      </c>
      <c r="O369">
        <v>-34.641896000000003</v>
      </c>
      <c r="P369">
        <v>-58.531379299999998</v>
      </c>
      <c r="Q369">
        <v>45351.418449074074</v>
      </c>
      <c r="R369">
        <v>421.95722222223407</v>
      </c>
      <c r="S369">
        <f>VLOOKUP(F369,'VALORES DIST'!$A$3:$B$27,2,TRUE)</f>
        <v>11816.268749999999</v>
      </c>
    </row>
    <row r="370" spans="1:19" x14ac:dyDescent="0.25">
      <c r="A370">
        <v>900014531</v>
      </c>
      <c r="B370" t="s">
        <v>7135</v>
      </c>
      <c r="C370" t="s">
        <v>8137</v>
      </c>
      <c r="D370" t="s">
        <v>8093</v>
      </c>
      <c r="E370">
        <v>7</v>
      </c>
      <c r="F370">
        <v>0.20300000000000001</v>
      </c>
      <c r="G370" t="s">
        <v>7509</v>
      </c>
      <c r="H370">
        <v>0</v>
      </c>
      <c r="I370" t="s">
        <v>8138</v>
      </c>
      <c r="J370" t="s">
        <v>8139</v>
      </c>
      <c r="K370">
        <v>1</v>
      </c>
      <c r="L370" s="189">
        <v>45369</v>
      </c>
      <c r="M370" t="s">
        <v>7806</v>
      </c>
      <c r="N370" t="s">
        <v>7765</v>
      </c>
      <c r="O370">
        <v>-45.862748699999997</v>
      </c>
      <c r="P370">
        <v>-67.496560000000002</v>
      </c>
      <c r="Q370">
        <v>45362.44121527778</v>
      </c>
      <c r="R370">
        <v>157.41083333326969</v>
      </c>
      <c r="S370">
        <f>VLOOKUP(F370,'VALORES DIST'!$A$3:$B$27,2,TRUE)</f>
        <v>11816.268749999999</v>
      </c>
    </row>
    <row r="371" spans="1:19" x14ac:dyDescent="0.25">
      <c r="A371">
        <v>900014529</v>
      </c>
      <c r="B371" t="s">
        <v>7101</v>
      </c>
      <c r="C371" t="s">
        <v>8186</v>
      </c>
      <c r="D371" t="s">
        <v>8187</v>
      </c>
      <c r="E371">
        <v>28</v>
      </c>
      <c r="F371">
        <v>0.82399999999999995</v>
      </c>
      <c r="G371" t="s">
        <v>7509</v>
      </c>
      <c r="H371">
        <v>0</v>
      </c>
      <c r="I371" t="s">
        <v>7805</v>
      </c>
      <c r="J371">
        <v>0</v>
      </c>
      <c r="K371">
        <v>1</v>
      </c>
      <c r="L371" s="189">
        <v>45369</v>
      </c>
      <c r="M371" t="s">
        <v>7806</v>
      </c>
      <c r="N371" t="s">
        <v>7765</v>
      </c>
      <c r="O371">
        <v>-34.675015500000001</v>
      </c>
      <c r="P371">
        <v>-58.503717999999999</v>
      </c>
      <c r="Q371">
        <v>45362.44121527778</v>
      </c>
      <c r="R371">
        <v>157.41083333326969</v>
      </c>
      <c r="S371">
        <f>VLOOKUP(F371,'VALORES DIST'!$A$3:$B$27,2,TRUE)</f>
        <v>11816.268749999999</v>
      </c>
    </row>
    <row r="372" spans="1:19" x14ac:dyDescent="0.25">
      <c r="A372">
        <v>900014528</v>
      </c>
      <c r="B372" t="s">
        <v>7101</v>
      </c>
      <c r="C372" t="s">
        <v>8186</v>
      </c>
      <c r="D372" t="s">
        <v>8187</v>
      </c>
      <c r="E372">
        <v>348</v>
      </c>
      <c r="F372">
        <v>3.03</v>
      </c>
      <c r="G372" t="s">
        <v>7509</v>
      </c>
      <c r="H372">
        <v>0</v>
      </c>
      <c r="I372" t="s">
        <v>7805</v>
      </c>
      <c r="J372">
        <v>0</v>
      </c>
      <c r="K372">
        <v>1</v>
      </c>
      <c r="L372" s="189">
        <v>45369</v>
      </c>
      <c r="M372" t="s">
        <v>7806</v>
      </c>
      <c r="N372" t="s">
        <v>7765</v>
      </c>
      <c r="O372">
        <v>-34.675015500000001</v>
      </c>
      <c r="P372">
        <v>-58.503717999999999</v>
      </c>
      <c r="Q372">
        <v>45362.441203703704</v>
      </c>
      <c r="R372">
        <v>157.4111111111124</v>
      </c>
      <c r="S372">
        <f>VLOOKUP(F372,'VALORES DIST'!$A$3:$B$27,2,TRUE)</f>
        <v>13787.231250000001</v>
      </c>
    </row>
    <row r="373" spans="1:19" x14ac:dyDescent="0.25">
      <c r="A373">
        <v>900014527</v>
      </c>
      <c r="B373" t="s">
        <v>7101</v>
      </c>
      <c r="C373" t="s">
        <v>8186</v>
      </c>
      <c r="D373" t="s">
        <v>8187</v>
      </c>
      <c r="E373">
        <v>602</v>
      </c>
      <c r="F373">
        <v>0.70920000000000005</v>
      </c>
      <c r="G373" t="s">
        <v>7509</v>
      </c>
      <c r="H373">
        <v>0</v>
      </c>
      <c r="I373" t="s">
        <v>7805</v>
      </c>
      <c r="J373">
        <v>0</v>
      </c>
      <c r="K373">
        <v>1</v>
      </c>
      <c r="L373" s="189">
        <v>45369</v>
      </c>
      <c r="M373" t="s">
        <v>7806</v>
      </c>
      <c r="N373" t="s">
        <v>7765</v>
      </c>
      <c r="O373">
        <v>-34.675015500000001</v>
      </c>
      <c r="P373">
        <v>-58.503717999999999</v>
      </c>
      <c r="Q373">
        <v>45362.441203703704</v>
      </c>
      <c r="R373">
        <v>157.4111111111124</v>
      </c>
      <c r="S373">
        <f>VLOOKUP(F373,'VALORES DIST'!$A$3:$B$27,2,TRUE)</f>
        <v>11816.268749999999</v>
      </c>
    </row>
    <row r="374" spans="1:19" x14ac:dyDescent="0.25">
      <c r="A374">
        <v>900014526</v>
      </c>
      <c r="B374" t="s">
        <v>7101</v>
      </c>
      <c r="C374" t="s">
        <v>8186</v>
      </c>
      <c r="D374" t="s">
        <v>8187</v>
      </c>
      <c r="E374">
        <v>318</v>
      </c>
      <c r="F374">
        <v>1.1879999999999999</v>
      </c>
      <c r="G374" t="s">
        <v>7509</v>
      </c>
      <c r="H374">
        <v>0</v>
      </c>
      <c r="I374" t="s">
        <v>7805</v>
      </c>
      <c r="J374">
        <v>0</v>
      </c>
      <c r="K374">
        <v>1</v>
      </c>
      <c r="L374" s="189">
        <v>45369</v>
      </c>
      <c r="M374" t="s">
        <v>7806</v>
      </c>
      <c r="N374" t="s">
        <v>7765</v>
      </c>
      <c r="O374">
        <v>-34.675015500000001</v>
      </c>
      <c r="P374">
        <v>-58.503717999999999</v>
      </c>
      <c r="Q374">
        <v>45362.441203703704</v>
      </c>
      <c r="R374">
        <v>157.4111111111124</v>
      </c>
      <c r="S374">
        <f>VLOOKUP(F374,'VALORES DIST'!$A$3:$B$27,2,TRUE)</f>
        <v>11816.268749999999</v>
      </c>
    </row>
    <row r="375" spans="1:19" x14ac:dyDescent="0.25">
      <c r="A375">
        <v>900014525</v>
      </c>
      <c r="B375" t="s">
        <v>7101</v>
      </c>
      <c r="C375" t="s">
        <v>8186</v>
      </c>
      <c r="D375" t="s">
        <v>8187</v>
      </c>
      <c r="E375">
        <v>402</v>
      </c>
      <c r="F375">
        <v>1.274</v>
      </c>
      <c r="G375" t="s">
        <v>7509</v>
      </c>
      <c r="H375">
        <v>0</v>
      </c>
      <c r="I375" t="s">
        <v>7805</v>
      </c>
      <c r="J375">
        <v>0</v>
      </c>
      <c r="K375">
        <v>1</v>
      </c>
      <c r="L375" s="189">
        <v>45369</v>
      </c>
      <c r="M375" t="s">
        <v>7806</v>
      </c>
      <c r="N375" t="s">
        <v>7765</v>
      </c>
      <c r="O375">
        <v>-34.675015500000001</v>
      </c>
      <c r="P375">
        <v>-58.503717999999999</v>
      </c>
      <c r="Q375">
        <v>45362.441192129627</v>
      </c>
      <c r="R375">
        <v>157.41138888895512</v>
      </c>
      <c r="S375">
        <f>VLOOKUP(F375,'VALORES DIST'!$A$3:$B$27,2,TRUE)</f>
        <v>11816.268749999999</v>
      </c>
    </row>
    <row r="376" spans="1:19" x14ac:dyDescent="0.25">
      <c r="A376">
        <v>900014524</v>
      </c>
      <c r="B376" t="s">
        <v>7101</v>
      </c>
      <c r="C376" t="s">
        <v>8186</v>
      </c>
      <c r="D376" t="s">
        <v>8187</v>
      </c>
      <c r="E376">
        <v>294</v>
      </c>
      <c r="F376">
        <v>2.06</v>
      </c>
      <c r="G376" t="s">
        <v>7509</v>
      </c>
      <c r="H376">
        <v>0</v>
      </c>
      <c r="I376" t="s">
        <v>7805</v>
      </c>
      <c r="J376">
        <v>0</v>
      </c>
      <c r="K376">
        <v>1</v>
      </c>
      <c r="L376" s="189">
        <v>45369</v>
      </c>
      <c r="M376" t="s">
        <v>7806</v>
      </c>
      <c r="N376" t="s">
        <v>7765</v>
      </c>
      <c r="O376">
        <v>-34.675015500000001</v>
      </c>
      <c r="P376">
        <v>-58.503717999999999</v>
      </c>
      <c r="Q376">
        <v>45362.441192129627</v>
      </c>
      <c r="R376">
        <v>157.41138888895512</v>
      </c>
      <c r="S376">
        <f>VLOOKUP(F376,'VALORES DIST'!$A$3:$B$27,2,TRUE)</f>
        <v>11816.268749999999</v>
      </c>
    </row>
    <row r="377" spans="1:19" x14ac:dyDescent="0.25">
      <c r="A377">
        <v>900014523</v>
      </c>
      <c r="B377" t="s">
        <v>7268</v>
      </c>
      <c r="C377" t="s">
        <v>8033</v>
      </c>
      <c r="D377" t="s">
        <v>8034</v>
      </c>
      <c r="E377">
        <v>220</v>
      </c>
      <c r="F377">
        <v>0.65239999999999998</v>
      </c>
      <c r="G377" t="s">
        <v>7509</v>
      </c>
      <c r="H377">
        <v>0</v>
      </c>
      <c r="I377" t="s">
        <v>7805</v>
      </c>
      <c r="J377">
        <v>0</v>
      </c>
      <c r="K377">
        <v>3</v>
      </c>
      <c r="L377" s="189">
        <v>45369</v>
      </c>
      <c r="M377" t="s">
        <v>7806</v>
      </c>
      <c r="N377" t="s">
        <v>7765</v>
      </c>
      <c r="O377">
        <v>-34.628202000000002</v>
      </c>
      <c r="P377">
        <v>-58.481577999999999</v>
      </c>
      <c r="Q377">
        <v>45362.441192129627</v>
      </c>
      <c r="R377">
        <v>157.41138888895512</v>
      </c>
      <c r="S377">
        <f>VLOOKUP(F377,'VALORES DIST'!$A$3:$B$27,2,TRUE)</f>
        <v>11816.268749999999</v>
      </c>
    </row>
    <row r="378" spans="1:19" x14ac:dyDescent="0.25">
      <c r="A378">
        <v>900014519</v>
      </c>
      <c r="B378" t="s">
        <v>7160</v>
      </c>
      <c r="C378" t="s">
        <v>7885</v>
      </c>
      <c r="D378" t="s">
        <v>7886</v>
      </c>
      <c r="E378">
        <v>24</v>
      </c>
      <c r="F378">
        <v>0.13800000000000001</v>
      </c>
      <c r="G378" t="s">
        <v>7509</v>
      </c>
      <c r="H378">
        <v>0</v>
      </c>
      <c r="I378" t="s">
        <v>7887</v>
      </c>
      <c r="J378" t="s">
        <v>7888</v>
      </c>
      <c r="K378">
        <v>1</v>
      </c>
      <c r="L378" s="189">
        <v>45369</v>
      </c>
      <c r="M378" t="s">
        <v>7806</v>
      </c>
      <c r="N378" t="s">
        <v>7765</v>
      </c>
      <c r="O378">
        <v>-38.938856000000001</v>
      </c>
      <c r="P378">
        <v>-67.990520000000004</v>
      </c>
      <c r="Q378">
        <v>45362.441192129627</v>
      </c>
      <c r="R378">
        <v>157.41138888895512</v>
      </c>
      <c r="S378">
        <f>VLOOKUP(F378,'VALORES DIST'!$A$3:$B$27,2,TRUE)</f>
        <v>11816.268749999999</v>
      </c>
    </row>
    <row r="379" spans="1:19" x14ac:dyDescent="0.25">
      <c r="A379">
        <v>900014530</v>
      </c>
      <c r="B379" t="s">
        <v>7064</v>
      </c>
      <c r="C379" t="s">
        <v>7965</v>
      </c>
      <c r="D379" t="s">
        <v>7894</v>
      </c>
      <c r="E379">
        <v>16</v>
      </c>
      <c r="F379">
        <v>0.46400000000000002</v>
      </c>
      <c r="G379" t="s">
        <v>7509</v>
      </c>
      <c r="H379">
        <v>0</v>
      </c>
      <c r="I379" t="s">
        <v>7966</v>
      </c>
      <c r="J379" t="s">
        <v>7967</v>
      </c>
      <c r="K379">
        <v>1</v>
      </c>
      <c r="L379" s="189">
        <v>45369</v>
      </c>
      <c r="M379" t="s">
        <v>7806</v>
      </c>
      <c r="N379" t="s">
        <v>7765</v>
      </c>
      <c r="O379">
        <v>-26.829931800000001</v>
      </c>
      <c r="P379">
        <v>-65.205920399999997</v>
      </c>
      <c r="Q379">
        <v>45362.44121527778</v>
      </c>
      <c r="R379">
        <v>157.41083333326969</v>
      </c>
      <c r="S379">
        <f>VLOOKUP(F379,'VALORES DIST'!$A$3:$B$27,2,TRUE)</f>
        <v>11816.268749999999</v>
      </c>
    </row>
    <row r="380" spans="1:19" x14ac:dyDescent="0.25">
      <c r="A380">
        <v>900014522</v>
      </c>
      <c r="B380" t="s">
        <v>7081</v>
      </c>
      <c r="C380" t="s">
        <v>7962</v>
      </c>
      <c r="D380" t="s">
        <v>7963</v>
      </c>
      <c r="E380">
        <v>8</v>
      </c>
      <c r="F380">
        <v>0.23200000000000001</v>
      </c>
      <c r="G380" t="s">
        <v>7509</v>
      </c>
      <c r="H380">
        <v>0</v>
      </c>
      <c r="I380" t="s">
        <v>7787</v>
      </c>
      <c r="J380" t="s">
        <v>7788</v>
      </c>
      <c r="K380">
        <v>1</v>
      </c>
      <c r="L380" s="189">
        <v>45369</v>
      </c>
      <c r="M380" t="s">
        <v>7806</v>
      </c>
      <c r="N380" t="s">
        <v>7765</v>
      </c>
      <c r="O380">
        <v>-34.614748800000001</v>
      </c>
      <c r="P380">
        <v>-68.332763</v>
      </c>
      <c r="Q380">
        <v>45362.441192129627</v>
      </c>
      <c r="R380">
        <v>157.41138888895512</v>
      </c>
      <c r="S380">
        <f>VLOOKUP(F380,'VALORES DIST'!$A$3:$B$27,2,TRUE)</f>
        <v>11816.268749999999</v>
      </c>
    </row>
    <row r="381" spans="1:19" x14ac:dyDescent="0.25">
      <c r="A381">
        <v>900014520</v>
      </c>
      <c r="B381" t="s">
        <v>7165</v>
      </c>
      <c r="C381" t="s">
        <v>8188</v>
      </c>
      <c r="D381" t="s">
        <v>7782</v>
      </c>
      <c r="E381">
        <v>336</v>
      </c>
      <c r="F381">
        <v>0.33600000000000002</v>
      </c>
      <c r="G381" t="s">
        <v>7509</v>
      </c>
      <c r="H381">
        <v>0</v>
      </c>
      <c r="I381" t="s">
        <v>8151</v>
      </c>
      <c r="J381" t="s">
        <v>8152</v>
      </c>
      <c r="K381">
        <v>1</v>
      </c>
      <c r="L381" s="189">
        <v>45369</v>
      </c>
      <c r="M381" t="s">
        <v>7806</v>
      </c>
      <c r="N381" t="s">
        <v>7765</v>
      </c>
      <c r="O381">
        <v>-31.4196913</v>
      </c>
      <c r="P381">
        <v>-64.187680599999993</v>
      </c>
      <c r="Q381">
        <v>45362.441192129627</v>
      </c>
      <c r="R381">
        <v>157.41138888895512</v>
      </c>
      <c r="S381">
        <f>VLOOKUP(F381,'VALORES DIST'!$A$3:$B$27,2,TRUE)</f>
        <v>11816.268749999999</v>
      </c>
    </row>
    <row r="382" spans="1:19" x14ac:dyDescent="0.25">
      <c r="A382">
        <v>900014518</v>
      </c>
      <c r="B382" t="s">
        <v>7039</v>
      </c>
      <c r="C382" t="s">
        <v>8189</v>
      </c>
      <c r="D382" t="s">
        <v>8190</v>
      </c>
      <c r="E382">
        <v>184</v>
      </c>
      <c r="F382">
        <v>1.0871999999999999</v>
      </c>
      <c r="G382" t="s">
        <v>7509</v>
      </c>
      <c r="H382" t="s">
        <v>8191</v>
      </c>
      <c r="I382" t="s">
        <v>8192</v>
      </c>
      <c r="J382" t="s">
        <v>8193</v>
      </c>
      <c r="K382">
        <v>1</v>
      </c>
      <c r="L382" s="189">
        <v>45369</v>
      </c>
      <c r="M382" t="s">
        <v>7806</v>
      </c>
      <c r="N382" t="s">
        <v>7765</v>
      </c>
      <c r="O382">
        <v>-38.557177600000003</v>
      </c>
      <c r="P382">
        <v>-58.746393699999999</v>
      </c>
      <c r="Q382">
        <v>45362.441180555557</v>
      </c>
      <c r="R382">
        <v>157.4116666666232</v>
      </c>
      <c r="S382">
        <f>VLOOKUP(F382,'VALORES DIST'!$A$3:$B$27,2,TRUE)</f>
        <v>11816.268749999999</v>
      </c>
    </row>
    <row r="383" spans="1:19" x14ac:dyDescent="0.25">
      <c r="A383">
        <v>900014517</v>
      </c>
      <c r="B383" t="s">
        <v>7378</v>
      </c>
      <c r="C383" t="s">
        <v>8194</v>
      </c>
      <c r="D383" t="s">
        <v>7782</v>
      </c>
      <c r="E383">
        <v>24</v>
      </c>
      <c r="F383">
        <v>0.69599999999999995</v>
      </c>
      <c r="G383" t="s">
        <v>7509</v>
      </c>
      <c r="H383">
        <v>0</v>
      </c>
      <c r="I383" t="s">
        <v>8195</v>
      </c>
      <c r="J383" t="s">
        <v>8196</v>
      </c>
      <c r="K383">
        <v>1</v>
      </c>
      <c r="L383" s="189">
        <v>45369</v>
      </c>
      <c r="M383" t="s">
        <v>7806</v>
      </c>
      <c r="N383" t="s">
        <v>7765</v>
      </c>
      <c r="O383">
        <v>-31.421233699999998</v>
      </c>
      <c r="P383">
        <v>-64.183501300000003</v>
      </c>
      <c r="Q383">
        <v>45362.441180555557</v>
      </c>
      <c r="R383">
        <v>157.4116666666232</v>
      </c>
      <c r="S383">
        <f>VLOOKUP(F383,'VALORES DIST'!$A$3:$B$27,2,TRUE)</f>
        <v>11816.268749999999</v>
      </c>
    </row>
    <row r="384" spans="1:19" x14ac:dyDescent="0.25">
      <c r="A384">
        <v>900014512</v>
      </c>
      <c r="B384" t="s">
        <v>7249</v>
      </c>
      <c r="C384" t="s">
        <v>7994</v>
      </c>
      <c r="D384" t="s">
        <v>7886</v>
      </c>
      <c r="E384">
        <v>36</v>
      </c>
      <c r="F384">
        <v>0.16900000000000001</v>
      </c>
      <c r="G384" t="s">
        <v>7509</v>
      </c>
      <c r="H384">
        <v>0</v>
      </c>
      <c r="I384" t="s">
        <v>7995</v>
      </c>
      <c r="J384" t="s">
        <v>7996</v>
      </c>
      <c r="K384">
        <v>2</v>
      </c>
      <c r="L384" s="189">
        <v>45369</v>
      </c>
      <c r="M384" t="s">
        <v>7806</v>
      </c>
      <c r="N384" t="s">
        <v>7765</v>
      </c>
      <c r="O384">
        <v>-37.8956594</v>
      </c>
      <c r="P384">
        <v>-65.095779199999996</v>
      </c>
      <c r="Q384">
        <v>45362.441180555557</v>
      </c>
      <c r="R384">
        <v>157.4116666666232</v>
      </c>
      <c r="S384">
        <f>VLOOKUP(F384,'VALORES DIST'!$A$3:$B$27,2,TRUE)</f>
        <v>11816.268749999999</v>
      </c>
    </row>
    <row r="385" spans="1:19" x14ac:dyDescent="0.25">
      <c r="A385">
        <v>100000002</v>
      </c>
      <c r="B385" t="s">
        <v>3117</v>
      </c>
      <c r="C385" t="s">
        <v>8068</v>
      </c>
      <c r="D385" t="s">
        <v>7794</v>
      </c>
      <c r="E385">
        <v>38</v>
      </c>
      <c r="F385">
        <v>2.7010000000000001</v>
      </c>
      <c r="G385" t="s">
        <v>3117</v>
      </c>
      <c r="H385">
        <v>0</v>
      </c>
      <c r="I385">
        <v>0</v>
      </c>
      <c r="J385">
        <v>0</v>
      </c>
      <c r="K385">
        <v>1</v>
      </c>
      <c r="L385" s="189">
        <v>45369</v>
      </c>
      <c r="M385" t="s">
        <v>7806</v>
      </c>
      <c r="N385" t="s">
        <v>7765</v>
      </c>
      <c r="O385">
        <v>-346290028</v>
      </c>
      <c r="P385">
        <v>-584337594</v>
      </c>
      <c r="S385">
        <f>VLOOKUP(F385,'VALORES DIST'!$A$3:$B$27,2,TRUE)</f>
        <v>11816.268749999999</v>
      </c>
    </row>
    <row r="386" spans="1:19" x14ac:dyDescent="0.25">
      <c r="A386">
        <v>900014505</v>
      </c>
      <c r="B386" t="s">
        <v>7130</v>
      </c>
      <c r="C386" t="s">
        <v>7897</v>
      </c>
      <c r="D386" t="s">
        <v>7898</v>
      </c>
      <c r="E386">
        <v>8</v>
      </c>
      <c r="F386">
        <v>0.23200000000000001</v>
      </c>
      <c r="G386" t="s">
        <v>7509</v>
      </c>
      <c r="H386">
        <v>0</v>
      </c>
      <c r="I386" t="s">
        <v>7895</v>
      </c>
      <c r="J386" t="s">
        <v>7896</v>
      </c>
      <c r="K386">
        <v>1</v>
      </c>
      <c r="L386" s="189">
        <v>45369</v>
      </c>
      <c r="M386" t="s">
        <v>7806</v>
      </c>
      <c r="N386" t="s">
        <v>7765</v>
      </c>
      <c r="O386">
        <v>-24.7975429</v>
      </c>
      <c r="P386">
        <v>-65.417430899999999</v>
      </c>
      <c r="Q386">
        <v>45362.441168981481</v>
      </c>
      <c r="R386">
        <v>157.41194444446592</v>
      </c>
      <c r="S386">
        <f>VLOOKUP(F386,'VALORES DIST'!$A$3:$B$27,2,TRUE)</f>
        <v>11816.268749999999</v>
      </c>
    </row>
    <row r="387" spans="1:19" x14ac:dyDescent="0.25">
      <c r="A387">
        <v>900014521</v>
      </c>
      <c r="B387" t="s">
        <v>7107</v>
      </c>
      <c r="C387" t="s">
        <v>7987</v>
      </c>
      <c r="D387" t="s">
        <v>7988</v>
      </c>
      <c r="E387">
        <v>22</v>
      </c>
      <c r="F387">
        <v>6.8000000000000005E-2</v>
      </c>
      <c r="G387" t="s">
        <v>7509</v>
      </c>
      <c r="H387">
        <v>0</v>
      </c>
      <c r="I387" t="s">
        <v>7989</v>
      </c>
      <c r="J387" t="s">
        <v>7990</v>
      </c>
      <c r="K387">
        <v>1</v>
      </c>
      <c r="L387" s="189">
        <v>45370</v>
      </c>
      <c r="M387" t="s">
        <v>7806</v>
      </c>
      <c r="N387" t="s">
        <v>7765</v>
      </c>
      <c r="O387">
        <v>-38.715818900000002</v>
      </c>
      <c r="P387">
        <v>-62.2616029</v>
      </c>
      <c r="Q387">
        <v>45362.441192129627</v>
      </c>
      <c r="R387">
        <v>181.41138888895512</v>
      </c>
      <c r="S387">
        <f>VLOOKUP(F387,'VALORES DIST'!$A$3:$B$27,2,TRUE)</f>
        <v>11816.268749999999</v>
      </c>
    </row>
    <row r="388" spans="1:19" x14ac:dyDescent="0.25">
      <c r="A388">
        <v>900014510</v>
      </c>
      <c r="B388" t="s">
        <v>7205</v>
      </c>
      <c r="C388" t="s">
        <v>8197</v>
      </c>
      <c r="D388" t="s">
        <v>7801</v>
      </c>
      <c r="E388">
        <v>16</v>
      </c>
      <c r="F388">
        <v>0.16</v>
      </c>
      <c r="G388" t="s">
        <v>7509</v>
      </c>
      <c r="H388">
        <v>0</v>
      </c>
      <c r="I388" t="s">
        <v>8106</v>
      </c>
      <c r="J388" t="s">
        <v>8107</v>
      </c>
      <c r="K388">
        <v>1</v>
      </c>
      <c r="L388" s="189">
        <v>45370</v>
      </c>
      <c r="M388" t="s">
        <v>7806</v>
      </c>
      <c r="N388" t="s">
        <v>7765</v>
      </c>
      <c r="O388">
        <v>-32.945779000000002</v>
      </c>
      <c r="P388">
        <v>-60.648026999999999</v>
      </c>
      <c r="Q388">
        <v>45362.441180555557</v>
      </c>
      <c r="R388">
        <v>181.4116666666232</v>
      </c>
      <c r="S388">
        <f>VLOOKUP(F388,'VALORES DIST'!$A$3:$B$27,2,TRUE)</f>
        <v>11816.268749999999</v>
      </c>
    </row>
    <row r="389" spans="1:19" x14ac:dyDescent="0.25">
      <c r="A389">
        <v>900014509</v>
      </c>
      <c r="B389" t="s">
        <v>7205</v>
      </c>
      <c r="C389" t="s">
        <v>8197</v>
      </c>
      <c r="D389" t="s">
        <v>7801</v>
      </c>
      <c r="E389">
        <v>490</v>
      </c>
      <c r="F389">
        <v>5.3239999999999998</v>
      </c>
      <c r="G389" t="s">
        <v>7509</v>
      </c>
      <c r="H389">
        <v>0</v>
      </c>
      <c r="I389" t="s">
        <v>8106</v>
      </c>
      <c r="J389" t="s">
        <v>8107</v>
      </c>
      <c r="K389">
        <v>1</v>
      </c>
      <c r="L389" s="189">
        <v>45370</v>
      </c>
      <c r="M389" t="s">
        <v>7806</v>
      </c>
      <c r="N389" t="s">
        <v>7765</v>
      </c>
      <c r="O389">
        <v>-32.945779000000002</v>
      </c>
      <c r="P389">
        <v>-60.648026999999999</v>
      </c>
      <c r="Q389">
        <v>45362.441180555557</v>
      </c>
      <c r="R389">
        <v>181.4116666666232</v>
      </c>
      <c r="S389">
        <f>VLOOKUP(F389,'VALORES DIST'!$A$3:$B$27,2,TRUE)</f>
        <v>45297.28125</v>
      </c>
    </row>
    <row r="390" spans="1:19" x14ac:dyDescent="0.25">
      <c r="A390">
        <v>900014513</v>
      </c>
      <c r="B390" t="s">
        <v>6968</v>
      </c>
      <c r="C390" t="s">
        <v>7874</v>
      </c>
      <c r="D390" t="s">
        <v>7794</v>
      </c>
      <c r="E390">
        <v>360</v>
      </c>
      <c r="F390">
        <v>6.12</v>
      </c>
      <c r="G390" t="s">
        <v>7509</v>
      </c>
      <c r="H390">
        <v>0</v>
      </c>
      <c r="I390" t="s">
        <v>7805</v>
      </c>
      <c r="J390">
        <v>0</v>
      </c>
      <c r="K390">
        <v>1</v>
      </c>
      <c r="L390" s="189">
        <v>45370</v>
      </c>
      <c r="M390" t="s">
        <v>7806</v>
      </c>
      <c r="N390" t="s">
        <v>7765</v>
      </c>
      <c r="O390">
        <v>-34.594501899999997</v>
      </c>
      <c r="P390">
        <v>-58.429039899999999</v>
      </c>
      <c r="Q390">
        <v>45362.441180555557</v>
      </c>
      <c r="R390">
        <v>181.4116666666232</v>
      </c>
      <c r="S390">
        <f>VLOOKUP(F390,'VALORES DIST'!$A$3:$B$27,2,TRUE)</f>
        <v>53177.962500000001</v>
      </c>
    </row>
    <row r="391" spans="1:19" x14ac:dyDescent="0.25">
      <c r="A391">
        <v>900014387</v>
      </c>
      <c r="B391" t="s">
        <v>6985</v>
      </c>
      <c r="C391" t="s">
        <v>7873</v>
      </c>
      <c r="D391" t="s">
        <v>7794</v>
      </c>
      <c r="E391">
        <v>104</v>
      </c>
      <c r="F391">
        <v>0.36599999999999999</v>
      </c>
      <c r="G391" t="s">
        <v>7509</v>
      </c>
      <c r="H391">
        <v>0</v>
      </c>
      <c r="I391" t="s">
        <v>7805</v>
      </c>
      <c r="J391">
        <v>0</v>
      </c>
      <c r="K391">
        <v>1</v>
      </c>
      <c r="L391" s="189">
        <v>45370</v>
      </c>
      <c r="M391" t="s">
        <v>7806</v>
      </c>
      <c r="N391" t="s">
        <v>7765</v>
      </c>
      <c r="O391">
        <v>-34.574657100000003</v>
      </c>
      <c r="P391">
        <v>-58.487377600000002</v>
      </c>
      <c r="Q391">
        <v>45351.418483796297</v>
      </c>
      <c r="R391">
        <v>445.95638888888067</v>
      </c>
      <c r="S391">
        <f>VLOOKUP(F391,'VALORES DIST'!$A$3:$B$27,2,TRUE)</f>
        <v>11816.268749999999</v>
      </c>
    </row>
    <row r="392" spans="1:19" x14ac:dyDescent="0.25">
      <c r="A392">
        <v>900014430</v>
      </c>
      <c r="B392" t="s">
        <v>7330</v>
      </c>
      <c r="C392" t="s">
        <v>7877</v>
      </c>
      <c r="D392" t="s">
        <v>7861</v>
      </c>
      <c r="E392">
        <v>19</v>
      </c>
      <c r="F392">
        <v>0.19</v>
      </c>
      <c r="G392" t="s">
        <v>7509</v>
      </c>
      <c r="H392">
        <v>0</v>
      </c>
      <c r="I392" t="s">
        <v>7805</v>
      </c>
      <c r="J392">
        <v>0</v>
      </c>
      <c r="K392">
        <v>1</v>
      </c>
      <c r="L392" s="189">
        <v>45370</v>
      </c>
      <c r="M392" t="s">
        <v>7806</v>
      </c>
      <c r="N392" t="s">
        <v>7765</v>
      </c>
      <c r="O392">
        <v>-34.579084600000002</v>
      </c>
      <c r="P392">
        <v>-58.539176400000002</v>
      </c>
      <c r="Q392">
        <v>45351.418553240743</v>
      </c>
      <c r="R392">
        <v>445.95472222217359</v>
      </c>
      <c r="S392">
        <f>VLOOKUP(F392,'VALORES DIST'!$A$3:$B$27,2,TRUE)</f>
        <v>11816.268749999999</v>
      </c>
    </row>
    <row r="393" spans="1:19" x14ac:dyDescent="0.25">
      <c r="A393">
        <v>900014406</v>
      </c>
      <c r="B393" t="s">
        <v>7113</v>
      </c>
      <c r="C393" t="s">
        <v>8198</v>
      </c>
      <c r="D393" t="s">
        <v>8199</v>
      </c>
      <c r="E393">
        <v>54</v>
      </c>
      <c r="F393">
        <v>0.09</v>
      </c>
      <c r="G393" t="s">
        <v>7509</v>
      </c>
      <c r="H393">
        <v>0</v>
      </c>
      <c r="I393" t="s">
        <v>7805</v>
      </c>
      <c r="J393">
        <v>0</v>
      </c>
      <c r="K393">
        <v>1</v>
      </c>
      <c r="L393" s="189">
        <v>45370</v>
      </c>
      <c r="M393" t="s">
        <v>7806</v>
      </c>
      <c r="N393" t="s">
        <v>7765</v>
      </c>
      <c r="O393">
        <v>-34.549235699999997</v>
      </c>
      <c r="P393">
        <v>-58.558819499999998</v>
      </c>
      <c r="Q393">
        <v>45351.41851851852</v>
      </c>
      <c r="R393">
        <v>445.9555555555271</v>
      </c>
      <c r="S393">
        <f>VLOOKUP(F393,'VALORES DIST'!$A$3:$B$27,2,TRUE)</f>
        <v>11816.268749999999</v>
      </c>
    </row>
    <row r="394" spans="1:19" x14ac:dyDescent="0.25">
      <c r="A394">
        <v>900014514</v>
      </c>
      <c r="B394" t="s">
        <v>7113</v>
      </c>
      <c r="C394" t="s">
        <v>8198</v>
      </c>
      <c r="D394" t="s">
        <v>8199</v>
      </c>
      <c r="E394">
        <v>33</v>
      </c>
      <c r="F394">
        <v>0.14699999999999999</v>
      </c>
      <c r="G394" t="s">
        <v>7509</v>
      </c>
      <c r="H394">
        <v>0</v>
      </c>
      <c r="I394" t="s">
        <v>7805</v>
      </c>
      <c r="J394">
        <v>0</v>
      </c>
      <c r="K394">
        <v>1</v>
      </c>
      <c r="L394" s="189">
        <v>45370</v>
      </c>
      <c r="M394" t="s">
        <v>7806</v>
      </c>
      <c r="N394" t="s">
        <v>7765</v>
      </c>
      <c r="O394">
        <v>-34.549235699999997</v>
      </c>
      <c r="P394">
        <v>-58.558819499999998</v>
      </c>
      <c r="Q394">
        <v>45362.441180555557</v>
      </c>
      <c r="R394">
        <v>181.4116666666232</v>
      </c>
      <c r="S394">
        <f>VLOOKUP(F394,'VALORES DIST'!$A$3:$B$27,2,TRUE)</f>
        <v>11816.268749999999</v>
      </c>
    </row>
    <row r="395" spans="1:19" x14ac:dyDescent="0.25">
      <c r="A395">
        <v>172800</v>
      </c>
      <c r="B395" t="s">
        <v>7428</v>
      </c>
      <c r="C395" t="s">
        <v>7977</v>
      </c>
      <c r="D395" t="s">
        <v>7794</v>
      </c>
      <c r="E395">
        <v>4</v>
      </c>
      <c r="F395">
        <v>9.6</v>
      </c>
      <c r="G395" t="s">
        <v>7428</v>
      </c>
      <c r="H395">
        <v>0</v>
      </c>
      <c r="I395" t="s">
        <v>7805</v>
      </c>
      <c r="J395">
        <v>0</v>
      </c>
      <c r="K395">
        <v>1</v>
      </c>
      <c r="L395" s="189">
        <v>45370</v>
      </c>
      <c r="M395" t="s">
        <v>8200</v>
      </c>
      <c r="N395" t="s">
        <v>7765</v>
      </c>
      <c r="O395">
        <v>-34.578397199999998</v>
      </c>
      <c r="P395">
        <v>-58.495547600000002</v>
      </c>
      <c r="S395">
        <f>VLOOKUP(F395,'VALORES DIST'!$A$3:$B$27,2,TRUE)</f>
        <v>76807.331250000003</v>
      </c>
    </row>
    <row r="396" spans="1:19" x14ac:dyDescent="0.25">
      <c r="A396">
        <v>956</v>
      </c>
      <c r="B396" t="s">
        <v>3982</v>
      </c>
      <c r="C396" t="s">
        <v>7974</v>
      </c>
      <c r="D396" t="s">
        <v>7975</v>
      </c>
      <c r="E396">
        <v>50</v>
      </c>
      <c r="F396">
        <v>0.51200000000000001</v>
      </c>
      <c r="G396" t="s">
        <v>3982</v>
      </c>
      <c r="H396">
        <v>0</v>
      </c>
      <c r="I396" t="s">
        <v>7805</v>
      </c>
      <c r="J396">
        <v>0</v>
      </c>
      <c r="K396">
        <v>1</v>
      </c>
      <c r="L396" s="189">
        <v>45370</v>
      </c>
      <c r="M396" t="s">
        <v>8200</v>
      </c>
      <c r="N396" t="s">
        <v>7765</v>
      </c>
      <c r="O396">
        <v>-34.653543200000001</v>
      </c>
      <c r="P396">
        <v>-58.5321322</v>
      </c>
      <c r="S396">
        <f>VLOOKUP(F396,'VALORES DIST'!$A$3:$B$27,2,TRUE)</f>
        <v>11816.268749999999</v>
      </c>
    </row>
    <row r="397" spans="1:19" x14ac:dyDescent="0.25">
      <c r="A397">
        <v>957</v>
      </c>
      <c r="B397" t="s">
        <v>3982</v>
      </c>
      <c r="C397" t="s">
        <v>7974</v>
      </c>
      <c r="D397" t="s">
        <v>7975</v>
      </c>
      <c r="E397">
        <v>4</v>
      </c>
      <c r="F397">
        <v>6.6120000000000001</v>
      </c>
      <c r="G397" t="s">
        <v>3982</v>
      </c>
      <c r="H397">
        <v>0</v>
      </c>
      <c r="I397" t="s">
        <v>7805</v>
      </c>
      <c r="J397">
        <v>0</v>
      </c>
      <c r="K397">
        <v>1</v>
      </c>
      <c r="L397" s="189">
        <v>45370</v>
      </c>
      <c r="M397" t="s">
        <v>8200</v>
      </c>
      <c r="N397" t="s">
        <v>7765</v>
      </c>
      <c r="O397">
        <v>-34.653543200000001</v>
      </c>
      <c r="P397">
        <v>-58.5321322</v>
      </c>
      <c r="S397">
        <f>VLOOKUP(F397,'VALORES DIST'!$A$3:$B$27,2,TRUE)</f>
        <v>53177.962500000001</v>
      </c>
    </row>
    <row r="398" spans="1:19" x14ac:dyDescent="0.25">
      <c r="A398">
        <v>28943</v>
      </c>
      <c r="B398" t="s">
        <v>6939</v>
      </c>
      <c r="C398" t="s">
        <v>7927</v>
      </c>
      <c r="D398" t="s">
        <v>7928</v>
      </c>
      <c r="E398">
        <v>26</v>
      </c>
      <c r="F398">
        <v>41.6</v>
      </c>
      <c r="H398" t="s">
        <v>8201</v>
      </c>
      <c r="I398" t="s">
        <v>7867</v>
      </c>
      <c r="J398">
        <v>0</v>
      </c>
      <c r="K398">
        <v>2</v>
      </c>
      <c r="L398" s="189">
        <v>45370</v>
      </c>
      <c r="M398" t="s">
        <v>8112</v>
      </c>
      <c r="N398" t="s">
        <v>7765</v>
      </c>
      <c r="O398">
        <v>-34.479624299999998</v>
      </c>
      <c r="P398">
        <v>-58.661138399999999</v>
      </c>
      <c r="S398">
        <f>VLOOKUP(F398,'VALORES DIST'!$A$3:$B$27,2,TRUE)</f>
        <v>205810.3125</v>
      </c>
    </row>
    <row r="399" spans="1:19" x14ac:dyDescent="0.25">
      <c r="A399">
        <v>172801</v>
      </c>
      <c r="B399" t="s">
        <v>7428</v>
      </c>
      <c r="C399" t="s">
        <v>7977</v>
      </c>
      <c r="D399" t="s">
        <v>7794</v>
      </c>
      <c r="E399">
        <v>1</v>
      </c>
      <c r="F399">
        <v>1.1000000000000001</v>
      </c>
      <c r="G399" t="s">
        <v>7428</v>
      </c>
      <c r="H399">
        <v>0</v>
      </c>
      <c r="I399" t="s">
        <v>7825</v>
      </c>
      <c r="J399">
        <v>0</v>
      </c>
      <c r="K399">
        <v>1</v>
      </c>
      <c r="L399" s="189">
        <v>45371</v>
      </c>
      <c r="M399" t="s">
        <v>8200</v>
      </c>
      <c r="N399" t="s">
        <v>7765</v>
      </c>
      <c r="O399">
        <v>-34.578397199999998</v>
      </c>
      <c r="P399">
        <v>-58.495547600000002</v>
      </c>
      <c r="S399">
        <f>VLOOKUP(F399,'VALORES DIST'!$A$3:$B$27,2,TRUE)</f>
        <v>11816.268749999999</v>
      </c>
    </row>
    <row r="400" spans="1:19" x14ac:dyDescent="0.25">
      <c r="A400">
        <v>353</v>
      </c>
      <c r="B400" t="s">
        <v>6888</v>
      </c>
      <c r="C400" t="s">
        <v>7824</v>
      </c>
      <c r="D400" t="s">
        <v>7794</v>
      </c>
      <c r="E400">
        <v>73</v>
      </c>
      <c r="F400">
        <v>2.19</v>
      </c>
      <c r="G400" t="s">
        <v>6888</v>
      </c>
      <c r="H400">
        <v>0</v>
      </c>
      <c r="I400" t="s">
        <v>7825</v>
      </c>
      <c r="J400">
        <v>0</v>
      </c>
      <c r="K400">
        <v>1</v>
      </c>
      <c r="L400" s="189">
        <v>45371</v>
      </c>
      <c r="M400" t="s">
        <v>8200</v>
      </c>
      <c r="N400" t="s">
        <v>7765</v>
      </c>
      <c r="O400">
        <v>-34.603684399999999</v>
      </c>
      <c r="P400">
        <v>-58.381559099999997</v>
      </c>
      <c r="S400">
        <f>VLOOKUP(F400,'VALORES DIST'!$A$3:$B$27,2,TRUE)</f>
        <v>11816.268749999999</v>
      </c>
    </row>
    <row r="401" spans="1:19" x14ac:dyDescent="0.25">
      <c r="A401">
        <v>50500000746</v>
      </c>
      <c r="B401" t="s">
        <v>7157</v>
      </c>
      <c r="C401" t="s">
        <v>7793</v>
      </c>
      <c r="D401" t="s">
        <v>7794</v>
      </c>
      <c r="E401">
        <v>173</v>
      </c>
      <c r="F401">
        <v>1.7749999999999999</v>
      </c>
      <c r="G401" t="s">
        <v>7509</v>
      </c>
      <c r="H401">
        <v>0</v>
      </c>
      <c r="I401" t="s">
        <v>7795</v>
      </c>
      <c r="J401" t="s">
        <v>7796</v>
      </c>
      <c r="K401">
        <v>1</v>
      </c>
      <c r="L401" s="189">
        <v>45372</v>
      </c>
      <c r="M401" t="s">
        <v>8200</v>
      </c>
      <c r="N401" t="s">
        <v>7765</v>
      </c>
      <c r="O401">
        <v>-34.606275099999998</v>
      </c>
      <c r="P401">
        <v>-58.485909499999998</v>
      </c>
      <c r="Q401">
        <v>45362.441238425927</v>
      </c>
      <c r="R401">
        <v>229.41027777775889</v>
      </c>
      <c r="S401">
        <f>VLOOKUP(F401,'VALORES DIST'!$A$3:$B$27,2,TRUE)</f>
        <v>11816.268749999999</v>
      </c>
    </row>
    <row r="402" spans="1:19" x14ac:dyDescent="0.25">
      <c r="A402">
        <v>900014537</v>
      </c>
      <c r="B402" t="s">
        <v>7136</v>
      </c>
      <c r="C402" t="s">
        <v>8202</v>
      </c>
      <c r="D402" t="s">
        <v>8156</v>
      </c>
      <c r="E402">
        <v>24</v>
      </c>
      <c r="F402">
        <v>0.16800000000000001</v>
      </c>
      <c r="G402" t="s">
        <v>7509</v>
      </c>
      <c r="H402">
        <v>0</v>
      </c>
      <c r="I402" t="s">
        <v>8124</v>
      </c>
      <c r="J402" t="s">
        <v>8125</v>
      </c>
      <c r="K402">
        <v>1</v>
      </c>
      <c r="L402" s="189">
        <v>45372</v>
      </c>
      <c r="M402" t="s">
        <v>8200</v>
      </c>
      <c r="N402" t="s">
        <v>7765</v>
      </c>
      <c r="O402">
        <v>-54.805426400000002</v>
      </c>
      <c r="P402">
        <v>-68.302372800000001</v>
      </c>
      <c r="Q402">
        <v>45362.44121527778</v>
      </c>
      <c r="R402">
        <v>229.41083333326969</v>
      </c>
      <c r="S402">
        <f>VLOOKUP(F402,'VALORES DIST'!$A$3:$B$27,2,TRUE)</f>
        <v>11816.268749999999</v>
      </c>
    </row>
    <row r="403" spans="1:19" x14ac:dyDescent="0.25">
      <c r="A403">
        <v>900014536</v>
      </c>
      <c r="B403" t="s">
        <v>7136</v>
      </c>
      <c r="C403" t="s">
        <v>8202</v>
      </c>
      <c r="D403" t="s">
        <v>8156</v>
      </c>
      <c r="E403">
        <v>253</v>
      </c>
      <c r="F403">
        <v>1.5669999999999999</v>
      </c>
      <c r="G403" t="s">
        <v>7509</v>
      </c>
      <c r="H403">
        <v>0</v>
      </c>
      <c r="I403" t="s">
        <v>8124</v>
      </c>
      <c r="J403" t="s">
        <v>8125</v>
      </c>
      <c r="K403">
        <v>1</v>
      </c>
      <c r="L403" s="189">
        <v>45372</v>
      </c>
      <c r="M403" t="s">
        <v>8200</v>
      </c>
      <c r="N403" t="s">
        <v>7765</v>
      </c>
      <c r="O403">
        <v>-54.805426400000002</v>
      </c>
      <c r="P403">
        <v>-68.302372800000001</v>
      </c>
      <c r="Q403">
        <v>45362.44121527778</v>
      </c>
      <c r="R403">
        <v>229.41083333326969</v>
      </c>
      <c r="S403">
        <f>VLOOKUP(F403,'VALORES DIST'!$A$3:$B$27,2,TRUE)</f>
        <v>11816.268749999999</v>
      </c>
    </row>
    <row r="404" spans="1:19" x14ac:dyDescent="0.25">
      <c r="A404">
        <v>900014515</v>
      </c>
      <c r="B404" t="s">
        <v>7400</v>
      </c>
      <c r="C404" t="s">
        <v>7905</v>
      </c>
      <c r="D404" t="s">
        <v>7906</v>
      </c>
      <c r="E404">
        <v>184</v>
      </c>
      <c r="F404">
        <v>0.27200000000000002</v>
      </c>
      <c r="G404" t="s">
        <v>7509</v>
      </c>
      <c r="H404">
        <v>0</v>
      </c>
      <c r="I404" t="s">
        <v>7907</v>
      </c>
      <c r="J404" t="s">
        <v>7908</v>
      </c>
      <c r="K404">
        <v>1</v>
      </c>
      <c r="L404" s="189">
        <v>45372</v>
      </c>
      <c r="M404" t="s">
        <v>8200</v>
      </c>
      <c r="N404" t="s">
        <v>7765</v>
      </c>
      <c r="O404">
        <v>-33.301726700000003</v>
      </c>
      <c r="P404">
        <v>-66.337752199999997</v>
      </c>
      <c r="Q404">
        <v>45362.441180555557</v>
      </c>
      <c r="R404">
        <v>229.4116666666232</v>
      </c>
      <c r="S404">
        <f>VLOOKUP(F404,'VALORES DIST'!$A$3:$B$27,2,TRUE)</f>
        <v>11816.268749999999</v>
      </c>
    </row>
    <row r="405" spans="1:19" x14ac:dyDescent="0.25">
      <c r="A405">
        <v>900014300</v>
      </c>
      <c r="B405" t="s">
        <v>7759</v>
      </c>
      <c r="C405" t="s">
        <v>7760</v>
      </c>
      <c r="D405" t="s">
        <v>7761</v>
      </c>
      <c r="E405">
        <v>196</v>
      </c>
      <c r="F405">
        <v>0.45500000000000002</v>
      </c>
      <c r="G405" t="s">
        <v>7509</v>
      </c>
      <c r="H405">
        <v>0</v>
      </c>
      <c r="I405" t="s">
        <v>7762</v>
      </c>
      <c r="J405" t="s">
        <v>7763</v>
      </c>
      <c r="K405">
        <v>1</v>
      </c>
      <c r="L405" s="189">
        <v>45372</v>
      </c>
      <c r="M405" t="s">
        <v>8200</v>
      </c>
      <c r="N405" t="s">
        <v>7765</v>
      </c>
      <c r="O405">
        <v>-24.781306799999999</v>
      </c>
      <c r="P405">
        <v>-65.402777400000005</v>
      </c>
      <c r="Q405">
        <v>45338.599409722221</v>
      </c>
      <c r="R405">
        <v>801.61416666669538</v>
      </c>
      <c r="S405">
        <f>VLOOKUP(F405,'VALORES DIST'!$A$3:$B$27,2,TRUE)</f>
        <v>11816.268749999999</v>
      </c>
    </row>
    <row r="406" spans="1:19" x14ac:dyDescent="0.25">
      <c r="A406">
        <v>900014508</v>
      </c>
      <c r="B406" t="s">
        <v>7175</v>
      </c>
      <c r="C406" t="s">
        <v>7955</v>
      </c>
      <c r="D406" t="s">
        <v>7956</v>
      </c>
      <c r="E406">
        <v>24</v>
      </c>
      <c r="F406">
        <v>7.1999999999999995E-2</v>
      </c>
      <c r="G406" t="s">
        <v>7509</v>
      </c>
      <c r="H406">
        <v>0</v>
      </c>
      <c r="I406" t="s">
        <v>7957</v>
      </c>
      <c r="J406" t="s">
        <v>7958</v>
      </c>
      <c r="K406">
        <v>1</v>
      </c>
      <c r="L406" s="189">
        <v>45372</v>
      </c>
      <c r="M406" t="s">
        <v>8200</v>
      </c>
      <c r="N406" t="s">
        <v>7765</v>
      </c>
      <c r="O406">
        <v>-34.604051300000002</v>
      </c>
      <c r="P406">
        <v>-58.381106899999999</v>
      </c>
      <c r="Q406">
        <v>45362.441180555557</v>
      </c>
      <c r="R406">
        <v>229.4116666666232</v>
      </c>
      <c r="S406">
        <f>VLOOKUP(F406,'VALORES DIST'!$A$3:$B$27,2,TRUE)</f>
        <v>11816.268749999999</v>
      </c>
    </row>
    <row r="407" spans="1:19" x14ac:dyDescent="0.25">
      <c r="A407">
        <v>900014413</v>
      </c>
      <c r="B407" t="s">
        <v>7780</v>
      </c>
      <c r="C407" t="s">
        <v>7781</v>
      </c>
      <c r="D407" t="s">
        <v>7782</v>
      </c>
      <c r="E407">
        <v>99</v>
      </c>
      <c r="F407">
        <v>0.38100000000000001</v>
      </c>
      <c r="G407" t="s">
        <v>7509</v>
      </c>
      <c r="H407">
        <v>0</v>
      </c>
      <c r="I407" t="s">
        <v>7783</v>
      </c>
      <c r="J407" t="s">
        <v>7784</v>
      </c>
      <c r="K407">
        <v>2</v>
      </c>
      <c r="L407" s="189">
        <v>45372</v>
      </c>
      <c r="M407" t="s">
        <v>8200</v>
      </c>
      <c r="N407" t="s">
        <v>7765</v>
      </c>
      <c r="O407">
        <v>-31.412323799999999</v>
      </c>
      <c r="P407">
        <v>-64.182606100000001</v>
      </c>
      <c r="Q407">
        <v>45351.418530092589</v>
      </c>
      <c r="R407">
        <v>493.95527777785907</v>
      </c>
      <c r="S407">
        <f>VLOOKUP(F407,'VALORES DIST'!$A$3:$B$27,2,TRUE)</f>
        <v>11816.268749999999</v>
      </c>
    </row>
    <row r="408" spans="1:19" x14ac:dyDescent="0.25">
      <c r="A408">
        <v>900014506</v>
      </c>
      <c r="B408" t="s">
        <v>7056</v>
      </c>
      <c r="C408" t="s">
        <v>7810</v>
      </c>
      <c r="D408" t="s">
        <v>7794</v>
      </c>
      <c r="E408">
        <v>8</v>
      </c>
      <c r="F408">
        <v>0.23200000000000001</v>
      </c>
      <c r="G408" t="s">
        <v>7509</v>
      </c>
      <c r="H408">
        <v>0</v>
      </c>
      <c r="I408" t="s">
        <v>7805</v>
      </c>
      <c r="J408">
        <v>0</v>
      </c>
      <c r="K408">
        <v>1</v>
      </c>
      <c r="L408" s="189">
        <v>45372</v>
      </c>
      <c r="M408" t="s">
        <v>8200</v>
      </c>
      <c r="N408" t="s">
        <v>7765</v>
      </c>
      <c r="O408">
        <v>-34.604430800000003</v>
      </c>
      <c r="P408">
        <v>-58.401197199999999</v>
      </c>
      <c r="Q408">
        <v>45362.441168981481</v>
      </c>
      <c r="R408">
        <v>229.41194444446592</v>
      </c>
      <c r="S408">
        <f>VLOOKUP(F408,'VALORES DIST'!$A$3:$B$27,2,TRUE)</f>
        <v>11816.268749999999</v>
      </c>
    </row>
    <row r="409" spans="1:19" x14ac:dyDescent="0.25">
      <c r="A409">
        <v>900014420</v>
      </c>
      <c r="B409" t="s">
        <v>7119</v>
      </c>
      <c r="C409" t="s">
        <v>7983</v>
      </c>
      <c r="D409" t="s">
        <v>7794</v>
      </c>
      <c r="E409">
        <v>36</v>
      </c>
      <c r="F409">
        <v>0.16800000000000001</v>
      </c>
      <c r="G409" t="s">
        <v>7509</v>
      </c>
      <c r="H409">
        <v>0</v>
      </c>
      <c r="I409" t="s">
        <v>7805</v>
      </c>
      <c r="J409">
        <v>0</v>
      </c>
      <c r="K409">
        <v>1</v>
      </c>
      <c r="L409" s="189">
        <v>45372</v>
      </c>
      <c r="M409" t="s">
        <v>8200</v>
      </c>
      <c r="N409" t="s">
        <v>7765</v>
      </c>
      <c r="O409">
        <v>-34.606155399999999</v>
      </c>
      <c r="P409">
        <v>-58.402174000000002</v>
      </c>
      <c r="Q409">
        <v>45351.418541666666</v>
      </c>
      <c r="R409">
        <v>493.9550000000163</v>
      </c>
      <c r="S409">
        <f>VLOOKUP(F409,'VALORES DIST'!$A$3:$B$27,2,TRUE)</f>
        <v>11816.268749999999</v>
      </c>
    </row>
    <row r="410" spans="1:19" x14ac:dyDescent="0.25">
      <c r="A410">
        <v>900014389</v>
      </c>
      <c r="B410" t="s">
        <v>6986</v>
      </c>
      <c r="C410" t="s">
        <v>7912</v>
      </c>
      <c r="D410" t="s">
        <v>7794</v>
      </c>
      <c r="E410">
        <v>88</v>
      </c>
      <c r="F410">
        <v>0.25</v>
      </c>
      <c r="G410" t="s">
        <v>7509</v>
      </c>
      <c r="H410">
        <v>0</v>
      </c>
      <c r="I410" t="s">
        <v>7805</v>
      </c>
      <c r="J410">
        <v>0</v>
      </c>
      <c r="K410">
        <v>1</v>
      </c>
      <c r="L410" s="189">
        <v>45372</v>
      </c>
      <c r="M410" t="s">
        <v>8200</v>
      </c>
      <c r="N410" t="s">
        <v>7765</v>
      </c>
      <c r="O410">
        <v>-34.609935900000004</v>
      </c>
      <c r="P410">
        <v>-58.362954600000002</v>
      </c>
      <c r="Q410">
        <v>45351.418483796297</v>
      </c>
      <c r="R410">
        <v>493.95638888888067</v>
      </c>
      <c r="S410">
        <f>VLOOKUP(F410,'VALORES DIST'!$A$3:$B$27,2,TRUE)</f>
        <v>11816.268749999999</v>
      </c>
    </row>
    <row r="411" spans="1:19" x14ac:dyDescent="0.25">
      <c r="A411">
        <v>900014371</v>
      </c>
      <c r="B411" t="s">
        <v>7395</v>
      </c>
      <c r="C411" t="s">
        <v>7910</v>
      </c>
      <c r="D411" t="s">
        <v>7794</v>
      </c>
      <c r="E411">
        <v>125</v>
      </c>
      <c r="F411">
        <v>0.32600000000000001</v>
      </c>
      <c r="G411" t="s">
        <v>7509</v>
      </c>
      <c r="H411">
        <v>0</v>
      </c>
      <c r="I411" t="s">
        <v>7805</v>
      </c>
      <c r="J411" t="s">
        <v>7911</v>
      </c>
      <c r="K411">
        <v>1</v>
      </c>
      <c r="L411" s="189">
        <v>45372</v>
      </c>
      <c r="M411" t="s">
        <v>8200</v>
      </c>
      <c r="N411" t="s">
        <v>7765</v>
      </c>
      <c r="O411">
        <v>-34.603684399999999</v>
      </c>
      <c r="P411">
        <v>-58.381559099999997</v>
      </c>
      <c r="Q411">
        <v>45351.418449074074</v>
      </c>
      <c r="R411">
        <v>493.95722222223407</v>
      </c>
      <c r="S411">
        <f>VLOOKUP(F411,'VALORES DIST'!$A$3:$B$27,2,TRUE)</f>
        <v>11816.268749999999</v>
      </c>
    </row>
    <row r="412" spans="1:19" x14ac:dyDescent="0.25">
      <c r="A412">
        <v>900014361</v>
      </c>
      <c r="B412" t="s">
        <v>7401</v>
      </c>
      <c r="C412" t="s">
        <v>8203</v>
      </c>
      <c r="D412" t="s">
        <v>7794</v>
      </c>
      <c r="E412">
        <v>130</v>
      </c>
      <c r="F412">
        <v>1.524</v>
      </c>
      <c r="G412" t="s">
        <v>7509</v>
      </c>
      <c r="H412">
        <v>0</v>
      </c>
      <c r="I412" t="s">
        <v>7805</v>
      </c>
      <c r="J412">
        <v>0</v>
      </c>
      <c r="K412">
        <v>1</v>
      </c>
      <c r="L412" s="189">
        <v>45372</v>
      </c>
      <c r="M412" t="s">
        <v>8200</v>
      </c>
      <c r="N412" t="s">
        <v>7765</v>
      </c>
      <c r="O412">
        <v>-34.603684399999999</v>
      </c>
      <c r="P412">
        <v>-58.381559099999997</v>
      </c>
      <c r="Q412">
        <v>45351.418425925927</v>
      </c>
      <c r="R412">
        <v>493.95777777774498</v>
      </c>
      <c r="S412">
        <f>VLOOKUP(F412,'VALORES DIST'!$A$3:$B$27,2,TRUE)</f>
        <v>11816.268749999999</v>
      </c>
    </row>
    <row r="413" spans="1:19" x14ac:dyDescent="0.25">
      <c r="A413">
        <v>900014384</v>
      </c>
      <c r="B413" t="s">
        <v>6982</v>
      </c>
      <c r="C413" t="s">
        <v>7872</v>
      </c>
      <c r="D413" t="s">
        <v>7794</v>
      </c>
      <c r="E413">
        <v>93</v>
      </c>
      <c r="F413">
        <v>0.23699999999999999</v>
      </c>
      <c r="G413" t="s">
        <v>7509</v>
      </c>
      <c r="H413">
        <v>0</v>
      </c>
      <c r="I413" t="s">
        <v>7805</v>
      </c>
      <c r="J413">
        <v>0</v>
      </c>
      <c r="K413">
        <v>1</v>
      </c>
      <c r="L413" s="189">
        <v>45372</v>
      </c>
      <c r="M413" t="s">
        <v>8200</v>
      </c>
      <c r="N413" t="s">
        <v>7765</v>
      </c>
      <c r="O413">
        <v>-34.604486600000001</v>
      </c>
      <c r="P413">
        <v>-58.403760499999997</v>
      </c>
      <c r="Q413">
        <v>45351.41847222222</v>
      </c>
      <c r="R413">
        <v>493.95666666672338</v>
      </c>
      <c r="S413">
        <f>VLOOKUP(F413,'VALORES DIST'!$A$3:$B$27,2,TRUE)</f>
        <v>11816.268749999999</v>
      </c>
    </row>
    <row r="414" spans="1:19" x14ac:dyDescent="0.25">
      <c r="A414">
        <v>900014567</v>
      </c>
      <c r="B414" t="s">
        <v>7228</v>
      </c>
      <c r="C414" t="s">
        <v>8045</v>
      </c>
      <c r="D414" t="s">
        <v>8046</v>
      </c>
      <c r="E414">
        <v>268</v>
      </c>
      <c r="F414">
        <v>0.78</v>
      </c>
      <c r="G414" t="s">
        <v>7509</v>
      </c>
      <c r="H414">
        <v>710</v>
      </c>
      <c r="I414" t="s">
        <v>7805</v>
      </c>
      <c r="J414">
        <v>0</v>
      </c>
      <c r="K414">
        <v>1</v>
      </c>
      <c r="L414" s="189">
        <v>45373</v>
      </c>
      <c r="M414" t="s">
        <v>8200</v>
      </c>
      <c r="N414" t="s">
        <v>7765</v>
      </c>
      <c r="O414">
        <v>-34.650298200000002</v>
      </c>
      <c r="P414">
        <v>-58.620098400000003</v>
      </c>
      <c r="Q414">
        <v>45371.420590277776</v>
      </c>
      <c r="R414">
        <v>37.905833333381459</v>
      </c>
      <c r="S414">
        <f>VLOOKUP(F414,'VALORES DIST'!$A$3:$B$27,2,TRUE)</f>
        <v>11816.268749999999</v>
      </c>
    </row>
    <row r="415" spans="1:19" x14ac:dyDescent="0.25">
      <c r="A415">
        <v>50500000747</v>
      </c>
      <c r="B415" t="s">
        <v>7394</v>
      </c>
      <c r="C415" t="s">
        <v>7924</v>
      </c>
      <c r="D415" t="s">
        <v>7925</v>
      </c>
      <c r="E415">
        <v>33</v>
      </c>
      <c r="F415">
        <v>0.73599999999999999</v>
      </c>
      <c r="G415" t="s">
        <v>7509</v>
      </c>
      <c r="H415">
        <v>0</v>
      </c>
      <c r="I415" t="s">
        <v>7805</v>
      </c>
      <c r="J415">
        <v>0</v>
      </c>
      <c r="K415">
        <v>2</v>
      </c>
      <c r="L415" s="189">
        <v>45373</v>
      </c>
      <c r="M415" t="s">
        <v>8200</v>
      </c>
      <c r="N415" t="s">
        <v>7765</v>
      </c>
      <c r="O415">
        <v>-34.759341599999999</v>
      </c>
      <c r="P415">
        <v>-58.398500900000002</v>
      </c>
      <c r="Q415">
        <v>45371.491493055553</v>
      </c>
      <c r="R415">
        <v>36.204166666720994</v>
      </c>
      <c r="S415">
        <f>VLOOKUP(F415,'VALORES DIST'!$A$3:$B$27,2,TRUE)</f>
        <v>11816.268749999999</v>
      </c>
    </row>
    <row r="416" spans="1:19" x14ac:dyDescent="0.25">
      <c r="A416">
        <v>900014563</v>
      </c>
      <c r="B416" t="s">
        <v>7169</v>
      </c>
      <c r="C416" t="s">
        <v>8204</v>
      </c>
      <c r="D416" t="s">
        <v>7925</v>
      </c>
      <c r="E416">
        <v>64</v>
      </c>
      <c r="F416">
        <v>1.6339999999999999</v>
      </c>
      <c r="G416" t="s">
        <v>7509</v>
      </c>
      <c r="H416">
        <v>0</v>
      </c>
      <c r="I416" t="s">
        <v>7805</v>
      </c>
      <c r="J416">
        <v>0</v>
      </c>
      <c r="K416">
        <v>1</v>
      </c>
      <c r="L416" s="189">
        <v>45373</v>
      </c>
      <c r="M416" t="s">
        <v>8200</v>
      </c>
      <c r="N416" t="s">
        <v>7765</v>
      </c>
      <c r="O416">
        <v>-34.754060799999998</v>
      </c>
      <c r="P416">
        <v>-58.401388900000001</v>
      </c>
      <c r="Q416">
        <v>45371.420578703706</v>
      </c>
      <c r="R416">
        <v>37.90611111104954</v>
      </c>
      <c r="S416">
        <f>VLOOKUP(F416,'VALORES DIST'!$A$3:$B$27,2,TRUE)</f>
        <v>11816.268749999999</v>
      </c>
    </row>
    <row r="417" spans="1:19" x14ac:dyDescent="0.25">
      <c r="A417">
        <v>900014581</v>
      </c>
      <c r="B417" t="s">
        <v>7061</v>
      </c>
      <c r="C417" t="s">
        <v>8205</v>
      </c>
      <c r="D417" t="s">
        <v>8206</v>
      </c>
      <c r="E417">
        <v>356</v>
      </c>
      <c r="F417">
        <v>10.407999999999999</v>
      </c>
      <c r="G417" t="s">
        <v>7509</v>
      </c>
      <c r="H417">
        <v>0</v>
      </c>
      <c r="I417" t="s">
        <v>7805</v>
      </c>
      <c r="J417">
        <v>0</v>
      </c>
      <c r="K417">
        <v>1</v>
      </c>
      <c r="L417" s="189">
        <v>45373</v>
      </c>
      <c r="M417" t="s">
        <v>8200</v>
      </c>
      <c r="N417" t="s">
        <v>7765</v>
      </c>
      <c r="O417">
        <v>-34.771769800000001</v>
      </c>
      <c r="P417">
        <v>-58.353486099999998</v>
      </c>
      <c r="Q417">
        <v>45371.420613425929</v>
      </c>
      <c r="R417">
        <v>37.905277777696035</v>
      </c>
      <c r="S417">
        <f>VLOOKUP(F417,'VALORES DIST'!$A$3:$B$27,2,TRUE)</f>
        <v>86655.806249999994</v>
      </c>
    </row>
    <row r="418" spans="1:19" x14ac:dyDescent="0.25">
      <c r="A418">
        <v>900014580</v>
      </c>
      <c r="B418" t="s">
        <v>6966</v>
      </c>
      <c r="C418" t="s">
        <v>7986</v>
      </c>
      <c r="D418" t="s">
        <v>7794</v>
      </c>
      <c r="E418">
        <v>120</v>
      </c>
      <c r="F418">
        <v>3.48</v>
      </c>
      <c r="G418" t="s">
        <v>7509</v>
      </c>
      <c r="H418" t="s">
        <v>8028</v>
      </c>
      <c r="I418" t="s">
        <v>7805</v>
      </c>
      <c r="J418">
        <v>0</v>
      </c>
      <c r="K418">
        <v>1</v>
      </c>
      <c r="L418" s="189">
        <v>45373</v>
      </c>
      <c r="M418" t="s">
        <v>7806</v>
      </c>
      <c r="N418" t="s">
        <v>7765</v>
      </c>
      <c r="O418">
        <v>-34.576191700000003</v>
      </c>
      <c r="P418">
        <v>-58.448747900000001</v>
      </c>
      <c r="Q418">
        <v>45371.420613425929</v>
      </c>
      <c r="R418">
        <v>37.905277777696035</v>
      </c>
      <c r="S418">
        <f>VLOOKUP(F418,'VALORES DIST'!$A$3:$B$27,2,TRUE)</f>
        <v>13787.231250000001</v>
      </c>
    </row>
    <row r="419" spans="1:19" x14ac:dyDescent="0.25">
      <c r="A419">
        <v>900014582</v>
      </c>
      <c r="B419" t="s">
        <v>3450</v>
      </c>
      <c r="C419" t="s">
        <v>7804</v>
      </c>
      <c r="D419" t="s">
        <v>7794</v>
      </c>
      <c r="E419">
        <v>125</v>
      </c>
      <c r="F419">
        <v>3.58</v>
      </c>
      <c r="G419" t="s">
        <v>7509</v>
      </c>
      <c r="H419" t="s">
        <v>7442</v>
      </c>
      <c r="I419" t="s">
        <v>7805</v>
      </c>
      <c r="J419">
        <v>0</v>
      </c>
      <c r="K419">
        <v>1</v>
      </c>
      <c r="L419" s="189">
        <v>45373</v>
      </c>
      <c r="M419" t="s">
        <v>7806</v>
      </c>
      <c r="N419" t="s">
        <v>7765</v>
      </c>
      <c r="O419">
        <v>-34.608005900000002</v>
      </c>
      <c r="P419">
        <v>-58.4625299</v>
      </c>
      <c r="Q419">
        <v>45371.420613425929</v>
      </c>
      <c r="R419">
        <v>37.905277777696035</v>
      </c>
      <c r="S419">
        <f>VLOOKUP(F419,'VALORES DIST'!$A$3:$B$27,2,TRUE)</f>
        <v>13787.231250000001</v>
      </c>
    </row>
    <row r="420" spans="1:19" x14ac:dyDescent="0.25">
      <c r="A420">
        <v>800008747</v>
      </c>
      <c r="B420" t="s">
        <v>7184</v>
      </c>
      <c r="C420" t="s">
        <v>7807</v>
      </c>
      <c r="D420" t="s">
        <v>7794</v>
      </c>
      <c r="E420">
        <v>345</v>
      </c>
      <c r="F420">
        <v>5.2359999999999998</v>
      </c>
      <c r="G420" t="s">
        <v>7509</v>
      </c>
      <c r="H420">
        <v>0</v>
      </c>
      <c r="I420" t="s">
        <v>7805</v>
      </c>
      <c r="J420">
        <v>0</v>
      </c>
      <c r="K420">
        <v>1</v>
      </c>
      <c r="L420" s="189">
        <v>45373</v>
      </c>
      <c r="M420" t="s">
        <v>7806</v>
      </c>
      <c r="N420" t="s">
        <v>7765</v>
      </c>
      <c r="O420">
        <v>-34.608005900000002</v>
      </c>
      <c r="P420">
        <v>-58.4625299</v>
      </c>
      <c r="Q420">
        <v>45371.420624999999</v>
      </c>
      <c r="R420">
        <v>37.90500000002794</v>
      </c>
      <c r="S420">
        <f>VLOOKUP(F420,'VALORES DIST'!$A$3:$B$27,2,TRUE)</f>
        <v>45297.28125</v>
      </c>
    </row>
    <row r="421" spans="1:19" x14ac:dyDescent="0.25">
      <c r="A421">
        <v>700022295</v>
      </c>
      <c r="B421" t="s">
        <v>7961</v>
      </c>
      <c r="C421" t="s">
        <v>7853</v>
      </c>
      <c r="D421" t="s">
        <v>7794</v>
      </c>
      <c r="E421">
        <v>92</v>
      </c>
      <c r="F421">
        <v>5.0359999999999996</v>
      </c>
      <c r="G421" t="s">
        <v>7509</v>
      </c>
      <c r="H421">
        <v>0</v>
      </c>
      <c r="I421" t="s">
        <v>7805</v>
      </c>
      <c r="J421">
        <v>0</v>
      </c>
      <c r="K421">
        <v>1</v>
      </c>
      <c r="L421" s="189">
        <v>45373</v>
      </c>
      <c r="M421" t="s">
        <v>7806</v>
      </c>
      <c r="N421" t="s">
        <v>7765</v>
      </c>
      <c r="O421">
        <v>-34.608005900000002</v>
      </c>
      <c r="P421">
        <v>-58.4625299</v>
      </c>
      <c r="Q421">
        <v>45371.476145833331</v>
      </c>
      <c r="R421">
        <v>36.572500000067521</v>
      </c>
      <c r="S421">
        <f>VLOOKUP(F421,'VALORES DIST'!$A$3:$B$27,2,TRUE)</f>
        <v>45297.28125</v>
      </c>
    </row>
    <row r="422" spans="1:19" x14ac:dyDescent="0.25">
      <c r="A422">
        <v>4000029713</v>
      </c>
      <c r="B422" t="s">
        <v>7961</v>
      </c>
      <c r="C422" t="s">
        <v>7853</v>
      </c>
      <c r="D422" t="s">
        <v>7794</v>
      </c>
      <c r="E422">
        <v>185</v>
      </c>
      <c r="F422">
        <v>9.3940000000000001</v>
      </c>
      <c r="G422" t="s">
        <v>7509</v>
      </c>
      <c r="H422">
        <v>0</v>
      </c>
      <c r="I422" t="s">
        <v>7805</v>
      </c>
      <c r="J422">
        <v>0</v>
      </c>
      <c r="K422">
        <v>1</v>
      </c>
      <c r="L422" s="189">
        <v>45373</v>
      </c>
      <c r="M422" t="s">
        <v>7806</v>
      </c>
      <c r="N422" t="s">
        <v>7765</v>
      </c>
      <c r="O422">
        <v>-34.608005900000002</v>
      </c>
      <c r="P422">
        <v>-58.4625299</v>
      </c>
      <c r="Q422">
        <v>45371.427256944444</v>
      </c>
      <c r="R422">
        <v>37.745833333348855</v>
      </c>
      <c r="S422">
        <f>VLOOKUP(F422,'VALORES DIST'!$A$3:$B$27,2,TRUE)</f>
        <v>76807.331250000003</v>
      </c>
    </row>
    <row r="423" spans="1:19" x14ac:dyDescent="0.25">
      <c r="A423">
        <v>800008715</v>
      </c>
      <c r="B423" t="s">
        <v>7185</v>
      </c>
      <c r="C423" t="s">
        <v>7862</v>
      </c>
      <c r="D423" t="s">
        <v>7863</v>
      </c>
      <c r="E423">
        <v>48</v>
      </c>
      <c r="F423">
        <v>4.8000000000000001E-2</v>
      </c>
      <c r="G423" t="s">
        <v>7509</v>
      </c>
      <c r="H423">
        <v>0</v>
      </c>
      <c r="I423" t="s">
        <v>7805</v>
      </c>
      <c r="J423">
        <v>0</v>
      </c>
      <c r="K423">
        <v>1</v>
      </c>
      <c r="L423" s="189">
        <v>45373</v>
      </c>
      <c r="M423" t="s">
        <v>8200</v>
      </c>
      <c r="N423" t="s">
        <v>7765</v>
      </c>
      <c r="O423">
        <v>-34.533126799999998</v>
      </c>
      <c r="P423">
        <v>-58.70158</v>
      </c>
      <c r="Q423">
        <v>45357.608078703706</v>
      </c>
      <c r="R423">
        <v>369.40611111104954</v>
      </c>
      <c r="S423">
        <f>VLOOKUP(F423,'VALORES DIST'!$A$3:$B$27,2,TRUE)</f>
        <v>11816.268749999999</v>
      </c>
    </row>
    <row r="424" spans="1:19" x14ac:dyDescent="0.25">
      <c r="A424">
        <v>900014432</v>
      </c>
      <c r="B424" t="s">
        <v>7230</v>
      </c>
      <c r="C424" t="s">
        <v>7820</v>
      </c>
      <c r="D424" t="s">
        <v>7821</v>
      </c>
      <c r="E424">
        <v>94</v>
      </c>
      <c r="F424">
        <v>0.31</v>
      </c>
      <c r="G424" t="s">
        <v>7509</v>
      </c>
      <c r="H424">
        <v>0</v>
      </c>
      <c r="I424" t="s">
        <v>7805</v>
      </c>
      <c r="J424">
        <v>0</v>
      </c>
      <c r="K424">
        <v>1</v>
      </c>
      <c r="L424" s="189">
        <v>45373</v>
      </c>
      <c r="M424" t="s">
        <v>8200</v>
      </c>
      <c r="N424" t="s">
        <v>7765</v>
      </c>
      <c r="O424">
        <v>-34.667323400000001</v>
      </c>
      <c r="P424">
        <v>-58.726286199999997</v>
      </c>
      <c r="Q424">
        <v>45351.418553240743</v>
      </c>
      <c r="R424">
        <v>517.95472222217359</v>
      </c>
      <c r="S424">
        <f>VLOOKUP(F424,'VALORES DIST'!$A$3:$B$27,2,TRUE)</f>
        <v>11816.268749999999</v>
      </c>
    </row>
    <row r="425" spans="1:19" x14ac:dyDescent="0.25">
      <c r="A425">
        <v>900014516</v>
      </c>
      <c r="B425" t="s">
        <v>7105</v>
      </c>
      <c r="C425" t="s">
        <v>8207</v>
      </c>
      <c r="D425" t="s">
        <v>7914</v>
      </c>
      <c r="E425">
        <v>169</v>
      </c>
      <c r="F425">
        <v>0.435</v>
      </c>
      <c r="G425" t="s">
        <v>7509</v>
      </c>
      <c r="H425">
        <v>0</v>
      </c>
      <c r="I425" t="s">
        <v>7805</v>
      </c>
      <c r="J425">
        <v>0</v>
      </c>
      <c r="K425">
        <v>1</v>
      </c>
      <c r="L425" s="189">
        <v>45373</v>
      </c>
      <c r="M425" t="s">
        <v>8200</v>
      </c>
      <c r="N425" t="s">
        <v>7765</v>
      </c>
      <c r="O425">
        <v>-34.487511400000002</v>
      </c>
      <c r="P425">
        <v>-58.496160099999997</v>
      </c>
      <c r="Q425">
        <v>45362.441180555557</v>
      </c>
      <c r="R425">
        <v>253.4116666666232</v>
      </c>
      <c r="S425">
        <f>VLOOKUP(F425,'VALORES DIST'!$A$3:$B$27,2,TRUE)</f>
        <v>11816.268749999999</v>
      </c>
    </row>
    <row r="426" spans="1:19" x14ac:dyDescent="0.25">
      <c r="A426">
        <v>800008714</v>
      </c>
      <c r="B426" t="s">
        <v>7185</v>
      </c>
      <c r="C426" t="s">
        <v>7862</v>
      </c>
      <c r="D426" t="s">
        <v>7863</v>
      </c>
      <c r="E426">
        <v>413</v>
      </c>
      <c r="F426">
        <v>1.5680000000000001</v>
      </c>
      <c r="G426" t="s">
        <v>7509</v>
      </c>
      <c r="H426">
        <v>0</v>
      </c>
      <c r="I426" t="s">
        <v>7805</v>
      </c>
      <c r="J426">
        <v>0</v>
      </c>
      <c r="K426">
        <v>1</v>
      </c>
      <c r="L426" s="189">
        <v>45373</v>
      </c>
      <c r="M426" t="s">
        <v>8200</v>
      </c>
      <c r="N426" t="s">
        <v>7765</v>
      </c>
      <c r="O426">
        <v>-34.533126799999998</v>
      </c>
      <c r="P426">
        <v>-58.70158</v>
      </c>
      <c r="Q426">
        <v>45357.608067129629</v>
      </c>
      <c r="R426">
        <v>369.40638888889225</v>
      </c>
      <c r="S426">
        <f>VLOOKUP(F426,'VALORES DIST'!$A$3:$B$27,2,TRUE)</f>
        <v>11816.268749999999</v>
      </c>
    </row>
    <row r="427" spans="1:19" x14ac:dyDescent="0.25">
      <c r="A427">
        <v>900014507</v>
      </c>
      <c r="B427" t="s">
        <v>7001</v>
      </c>
      <c r="C427" t="s">
        <v>7980</v>
      </c>
      <c r="D427" t="s">
        <v>7981</v>
      </c>
      <c r="E427">
        <v>204</v>
      </c>
      <c r="F427">
        <v>0.63919999999999999</v>
      </c>
      <c r="G427" t="s">
        <v>7509</v>
      </c>
      <c r="H427">
        <v>0</v>
      </c>
      <c r="I427" t="s">
        <v>7805</v>
      </c>
      <c r="J427">
        <v>0</v>
      </c>
      <c r="K427">
        <v>1</v>
      </c>
      <c r="L427" s="189">
        <v>45373</v>
      </c>
      <c r="M427" t="s">
        <v>8200</v>
      </c>
      <c r="N427" t="s">
        <v>7765</v>
      </c>
      <c r="O427">
        <v>-34.447528599999998</v>
      </c>
      <c r="P427">
        <v>-58.867781800000003</v>
      </c>
      <c r="Q427">
        <v>45362.441168981481</v>
      </c>
      <c r="R427">
        <v>253.41194444446592</v>
      </c>
      <c r="S427">
        <f>VLOOKUP(F427,'VALORES DIST'!$A$3:$B$27,2,TRUE)</f>
        <v>11816.268749999999</v>
      </c>
    </row>
    <row r="428" spans="1:19" x14ac:dyDescent="0.25">
      <c r="A428">
        <v>800008756</v>
      </c>
      <c r="B428" t="s">
        <v>7185</v>
      </c>
      <c r="C428" t="s">
        <v>7862</v>
      </c>
      <c r="D428" t="s">
        <v>7863</v>
      </c>
      <c r="E428">
        <v>372</v>
      </c>
      <c r="F428">
        <v>1.4552</v>
      </c>
      <c r="G428" t="s">
        <v>7509</v>
      </c>
      <c r="H428">
        <v>0</v>
      </c>
      <c r="I428" t="s">
        <v>7805</v>
      </c>
      <c r="J428">
        <v>0</v>
      </c>
      <c r="K428">
        <v>1</v>
      </c>
      <c r="L428" s="189">
        <v>45373</v>
      </c>
      <c r="M428" t="s">
        <v>8200</v>
      </c>
      <c r="N428" t="s">
        <v>7765</v>
      </c>
      <c r="O428">
        <v>-34.533126799999998</v>
      </c>
      <c r="P428">
        <v>-58.70158</v>
      </c>
      <c r="Q428">
        <v>45371.420648148145</v>
      </c>
      <c r="R428">
        <v>37.904444444517139</v>
      </c>
      <c r="S428">
        <f>VLOOKUP(F428,'VALORES DIST'!$A$3:$B$27,2,TRUE)</f>
        <v>11816.268749999999</v>
      </c>
    </row>
    <row r="429" spans="1:19" x14ac:dyDescent="0.25">
      <c r="A429">
        <v>900014399</v>
      </c>
      <c r="B429" t="s">
        <v>7110</v>
      </c>
      <c r="C429" t="s">
        <v>8050</v>
      </c>
      <c r="D429" t="s">
        <v>8051</v>
      </c>
      <c r="E429">
        <v>342</v>
      </c>
      <c r="F429">
        <v>1.496</v>
      </c>
      <c r="G429" t="s">
        <v>7509</v>
      </c>
      <c r="H429">
        <v>0</v>
      </c>
      <c r="I429" t="s">
        <v>7805</v>
      </c>
      <c r="J429">
        <v>0</v>
      </c>
      <c r="K429">
        <v>3</v>
      </c>
      <c r="L429" s="189">
        <v>45373</v>
      </c>
      <c r="M429" t="s">
        <v>8200</v>
      </c>
      <c r="N429" t="s">
        <v>7765</v>
      </c>
      <c r="O429">
        <v>-34.633532500000001</v>
      </c>
      <c r="P429">
        <v>-58.766650800000001</v>
      </c>
      <c r="Q429">
        <v>45351.418495370373</v>
      </c>
      <c r="R429">
        <v>517.9561111110379</v>
      </c>
      <c r="S429">
        <f>VLOOKUP(F429,'VALORES DIST'!$A$3:$B$27,2,TRUE)</f>
        <v>11816.268749999999</v>
      </c>
    </row>
    <row r="430" spans="1:19" x14ac:dyDescent="0.25">
      <c r="A430" t="s">
        <v>8208</v>
      </c>
      <c r="B430" t="s">
        <v>3117</v>
      </c>
      <c r="C430" t="s">
        <v>8068</v>
      </c>
      <c r="D430" t="s">
        <v>7794</v>
      </c>
      <c r="E430">
        <v>37</v>
      </c>
      <c r="F430">
        <v>2.3999000000000001</v>
      </c>
      <c r="G430" t="s">
        <v>3117</v>
      </c>
      <c r="H430" t="s">
        <v>8209</v>
      </c>
      <c r="I430">
        <v>0</v>
      </c>
      <c r="J430">
        <v>0</v>
      </c>
      <c r="K430">
        <v>1</v>
      </c>
      <c r="L430" s="189">
        <v>45374</v>
      </c>
      <c r="M430" t="s">
        <v>8200</v>
      </c>
      <c r="N430" t="s">
        <v>7551</v>
      </c>
      <c r="O430">
        <v>-346290028</v>
      </c>
      <c r="P430">
        <v>-584337594</v>
      </c>
      <c r="S430">
        <f>VLOOKUP(F430,'VALORES DIST'!$A$3:$B$27,2,TRUE)</f>
        <v>11816.268749999999</v>
      </c>
    </row>
    <row r="431" spans="1:19" x14ac:dyDescent="0.25">
      <c r="A431">
        <v>800008752</v>
      </c>
      <c r="B431" t="s">
        <v>7186</v>
      </c>
      <c r="C431" t="s">
        <v>7847</v>
      </c>
      <c r="D431" t="s">
        <v>7848</v>
      </c>
      <c r="E431">
        <v>92</v>
      </c>
      <c r="F431">
        <v>0.9</v>
      </c>
      <c r="G431" t="s">
        <v>7509</v>
      </c>
      <c r="H431">
        <v>0</v>
      </c>
      <c r="I431" t="s">
        <v>7805</v>
      </c>
      <c r="J431">
        <v>0</v>
      </c>
      <c r="K431">
        <v>3</v>
      </c>
      <c r="L431" s="189">
        <v>45376</v>
      </c>
      <c r="M431" t="s">
        <v>8200</v>
      </c>
      <c r="N431" t="s">
        <v>7765</v>
      </c>
      <c r="O431">
        <v>-34.722945199999998</v>
      </c>
      <c r="P431">
        <v>-58.258703699999998</v>
      </c>
      <c r="Q431">
        <v>45371.420636574076</v>
      </c>
      <c r="R431">
        <v>109.90472222218524</v>
      </c>
      <c r="S431">
        <f>VLOOKUP(F431,'VALORES DIST'!$A$3:$B$27,2,TRUE)</f>
        <v>11816.268749999999</v>
      </c>
    </row>
    <row r="432" spans="1:19" x14ac:dyDescent="0.25">
      <c r="A432">
        <v>900014577</v>
      </c>
      <c r="B432" t="s">
        <v>7233</v>
      </c>
      <c r="C432" t="s">
        <v>7882</v>
      </c>
      <c r="D432" t="s">
        <v>7883</v>
      </c>
      <c r="E432">
        <v>47</v>
      </c>
      <c r="F432">
        <v>1.3120000000000001</v>
      </c>
      <c r="G432" t="s">
        <v>7509</v>
      </c>
      <c r="H432">
        <v>0</v>
      </c>
      <c r="I432" t="s">
        <v>7805</v>
      </c>
      <c r="J432">
        <v>0</v>
      </c>
      <c r="K432">
        <v>3</v>
      </c>
      <c r="L432" s="189">
        <v>45376</v>
      </c>
      <c r="M432" t="s">
        <v>8200</v>
      </c>
      <c r="N432" t="s">
        <v>7765</v>
      </c>
      <c r="O432">
        <v>-34.801153499999998</v>
      </c>
      <c r="P432">
        <v>-58.274911299999999</v>
      </c>
      <c r="Q432">
        <v>45371.420613425929</v>
      </c>
      <c r="R432">
        <v>109.90527777769604</v>
      </c>
      <c r="S432">
        <f>VLOOKUP(F432,'VALORES DIST'!$A$3:$B$27,2,TRUE)</f>
        <v>11816.268749999999</v>
      </c>
    </row>
    <row r="433" spans="1:19" x14ac:dyDescent="0.25">
      <c r="A433">
        <v>50500000745</v>
      </c>
      <c r="B433" t="s">
        <v>7200</v>
      </c>
      <c r="C433" t="s">
        <v>7923</v>
      </c>
      <c r="D433" t="s">
        <v>7848</v>
      </c>
      <c r="E433">
        <v>66</v>
      </c>
      <c r="F433">
        <v>6.6000000000000003E-2</v>
      </c>
      <c r="G433" t="s">
        <v>7509</v>
      </c>
      <c r="H433">
        <v>0</v>
      </c>
      <c r="I433" t="s">
        <v>7805</v>
      </c>
      <c r="J433">
        <v>0</v>
      </c>
      <c r="K433">
        <v>3</v>
      </c>
      <c r="L433" s="189">
        <v>45376</v>
      </c>
      <c r="M433" t="s">
        <v>8200</v>
      </c>
      <c r="N433" t="s">
        <v>7765</v>
      </c>
      <c r="O433">
        <v>-34.758042199999998</v>
      </c>
      <c r="P433">
        <v>-58.279608000000003</v>
      </c>
      <c r="Q433">
        <v>45362.441238425927</v>
      </c>
      <c r="R433">
        <v>325.41027777775889</v>
      </c>
      <c r="S433">
        <f>VLOOKUP(F433,'VALORES DIST'!$A$3:$B$27,2,TRUE)</f>
        <v>11816.268749999999</v>
      </c>
    </row>
    <row r="434" spans="1:19" x14ac:dyDescent="0.25">
      <c r="A434">
        <v>800008716</v>
      </c>
      <c r="B434" t="s">
        <v>7186</v>
      </c>
      <c r="C434" t="s">
        <v>7847</v>
      </c>
      <c r="D434" t="s">
        <v>7848</v>
      </c>
      <c r="E434">
        <v>391</v>
      </c>
      <c r="F434">
        <v>1.45</v>
      </c>
      <c r="G434" t="s">
        <v>7509</v>
      </c>
      <c r="H434">
        <v>0</v>
      </c>
      <c r="I434" t="s">
        <v>7805</v>
      </c>
      <c r="J434">
        <v>0</v>
      </c>
      <c r="K434">
        <v>3</v>
      </c>
      <c r="L434" s="189">
        <v>45376</v>
      </c>
      <c r="M434" t="s">
        <v>8200</v>
      </c>
      <c r="N434" t="s">
        <v>7765</v>
      </c>
      <c r="O434">
        <v>-34.722945199999998</v>
      </c>
      <c r="P434">
        <v>-58.258703699999998</v>
      </c>
      <c r="Q434">
        <v>45357.608078703706</v>
      </c>
      <c r="R434">
        <v>441.40611111104954</v>
      </c>
      <c r="S434">
        <f>VLOOKUP(F434,'VALORES DIST'!$A$3:$B$27,2,TRUE)</f>
        <v>11816.268749999999</v>
      </c>
    </row>
    <row r="435" spans="1:19" x14ac:dyDescent="0.25">
      <c r="A435">
        <v>800008717</v>
      </c>
      <c r="B435" t="s">
        <v>7186</v>
      </c>
      <c r="C435" t="s">
        <v>7847</v>
      </c>
      <c r="D435" t="s">
        <v>7848</v>
      </c>
      <c r="E435">
        <v>48</v>
      </c>
      <c r="F435">
        <v>4.8000000000000001E-2</v>
      </c>
      <c r="G435" t="s">
        <v>7509</v>
      </c>
      <c r="H435">
        <v>0</v>
      </c>
      <c r="I435" t="s">
        <v>7805</v>
      </c>
      <c r="J435">
        <v>0</v>
      </c>
      <c r="K435">
        <v>3</v>
      </c>
      <c r="L435" s="189">
        <v>45376</v>
      </c>
      <c r="M435" t="s">
        <v>8200</v>
      </c>
      <c r="N435" t="s">
        <v>7765</v>
      </c>
      <c r="O435">
        <v>-34.722945199999998</v>
      </c>
      <c r="P435">
        <v>-58.258703699999998</v>
      </c>
      <c r="Q435">
        <v>45357.608090277776</v>
      </c>
      <c r="R435">
        <v>441.40583333338145</v>
      </c>
      <c r="S435">
        <f>VLOOKUP(F435,'VALORES DIST'!$A$3:$B$27,2,TRUE)</f>
        <v>11816.268749999999</v>
      </c>
    </row>
    <row r="436" spans="1:19" x14ac:dyDescent="0.25">
      <c r="A436">
        <v>800008740</v>
      </c>
      <c r="B436" t="s">
        <v>7186</v>
      </c>
      <c r="C436" t="s">
        <v>7847</v>
      </c>
      <c r="D436" t="s">
        <v>7848</v>
      </c>
      <c r="E436">
        <v>126</v>
      </c>
      <c r="F436">
        <v>1.9390000000000001</v>
      </c>
      <c r="G436" t="s">
        <v>7509</v>
      </c>
      <c r="H436">
        <v>0</v>
      </c>
      <c r="I436" t="s">
        <v>7805</v>
      </c>
      <c r="J436">
        <v>0</v>
      </c>
      <c r="K436">
        <v>3</v>
      </c>
      <c r="L436" s="189">
        <v>45376</v>
      </c>
      <c r="M436" t="s">
        <v>8200</v>
      </c>
      <c r="N436" t="s">
        <v>7765</v>
      </c>
      <c r="O436">
        <v>-34.722945199999998</v>
      </c>
      <c r="P436">
        <v>-58.258703699999998</v>
      </c>
      <c r="Q436">
        <v>45365.348877314813</v>
      </c>
      <c r="R436">
        <v>255.62694444449153</v>
      </c>
      <c r="S436">
        <f>VLOOKUP(F436,'VALORES DIST'!$A$3:$B$27,2,TRUE)</f>
        <v>11816.268749999999</v>
      </c>
    </row>
    <row r="437" spans="1:19" x14ac:dyDescent="0.25">
      <c r="A437">
        <v>50500000748</v>
      </c>
      <c r="B437" t="s">
        <v>7157</v>
      </c>
      <c r="C437" t="s">
        <v>7793</v>
      </c>
      <c r="D437" t="s">
        <v>7794</v>
      </c>
      <c r="E437">
        <v>43</v>
      </c>
      <c r="F437">
        <v>1.1559999999999999</v>
      </c>
      <c r="G437" t="s">
        <v>7509</v>
      </c>
      <c r="H437">
        <v>0</v>
      </c>
      <c r="I437" t="s">
        <v>7795</v>
      </c>
      <c r="J437" t="s">
        <v>7796</v>
      </c>
      <c r="K437">
        <v>1</v>
      </c>
      <c r="L437" s="189">
        <v>45376</v>
      </c>
      <c r="M437" t="s">
        <v>8200</v>
      </c>
      <c r="N437" t="s">
        <v>7765</v>
      </c>
      <c r="O437">
        <v>-34.606275099999998</v>
      </c>
      <c r="P437">
        <v>-58.485909499999998</v>
      </c>
      <c r="Q437">
        <v>45371.420624999999</v>
      </c>
      <c r="R437">
        <v>109.90500000002794</v>
      </c>
      <c r="S437">
        <f>VLOOKUP(F437,'VALORES DIST'!$A$3:$B$27,2,TRUE)</f>
        <v>11816.268749999999</v>
      </c>
    </row>
    <row r="438" spans="1:19" x14ac:dyDescent="0.25">
      <c r="A438">
        <v>900014579</v>
      </c>
      <c r="B438" t="s">
        <v>7220</v>
      </c>
      <c r="C438" t="s">
        <v>8210</v>
      </c>
      <c r="D438" t="s">
        <v>8180</v>
      </c>
      <c r="E438">
        <v>76</v>
      </c>
      <c r="F438">
        <v>0.23599999999999999</v>
      </c>
      <c r="G438" t="s">
        <v>7509</v>
      </c>
      <c r="H438">
        <v>0</v>
      </c>
      <c r="I438" t="s">
        <v>8211</v>
      </c>
      <c r="J438" t="s">
        <v>8212</v>
      </c>
      <c r="K438">
        <v>1</v>
      </c>
      <c r="L438" s="189">
        <v>45376</v>
      </c>
      <c r="M438" t="s">
        <v>8200</v>
      </c>
      <c r="N438" t="s">
        <v>7765</v>
      </c>
      <c r="O438">
        <v>-37.848869800000003</v>
      </c>
      <c r="P438">
        <v>-58.257901500000003</v>
      </c>
      <c r="Q438">
        <v>45371.420613425929</v>
      </c>
      <c r="R438">
        <v>109.90527777769604</v>
      </c>
      <c r="S438">
        <f>VLOOKUP(F438,'VALORES DIST'!$A$3:$B$27,2,TRUE)</f>
        <v>11816.268749999999</v>
      </c>
    </row>
    <row r="439" spans="1:19" x14ac:dyDescent="0.25">
      <c r="A439">
        <v>900014572</v>
      </c>
      <c r="B439" t="s">
        <v>8052</v>
      </c>
      <c r="C439" t="s">
        <v>8053</v>
      </c>
      <c r="D439" t="s">
        <v>8054</v>
      </c>
      <c r="E439">
        <v>8</v>
      </c>
      <c r="F439">
        <v>0.23200000000000001</v>
      </c>
      <c r="G439" t="s">
        <v>7509</v>
      </c>
      <c r="H439">
        <v>0</v>
      </c>
      <c r="I439" t="s">
        <v>8055</v>
      </c>
      <c r="J439" t="s">
        <v>8056</v>
      </c>
      <c r="K439">
        <v>1</v>
      </c>
      <c r="L439" s="189">
        <v>45376</v>
      </c>
      <c r="M439" t="s">
        <v>8200</v>
      </c>
      <c r="N439" t="s">
        <v>7765</v>
      </c>
      <c r="O439">
        <v>-35.810716599999999</v>
      </c>
      <c r="P439">
        <v>-61.898783199999997</v>
      </c>
      <c r="Q439">
        <v>45371.420601851853</v>
      </c>
      <c r="R439">
        <v>109.90555555553874</v>
      </c>
      <c r="S439">
        <f>VLOOKUP(F439,'VALORES DIST'!$A$3:$B$27,2,TRUE)</f>
        <v>11816.268749999999</v>
      </c>
    </row>
    <row r="440" spans="1:19" x14ac:dyDescent="0.25">
      <c r="A440">
        <v>900014569</v>
      </c>
      <c r="B440" t="s">
        <v>7098</v>
      </c>
      <c r="C440" t="s">
        <v>8068</v>
      </c>
      <c r="D440" t="s">
        <v>7794</v>
      </c>
      <c r="E440">
        <v>8</v>
      </c>
      <c r="F440">
        <v>0.24199999999999999</v>
      </c>
      <c r="G440" t="s">
        <v>7509</v>
      </c>
      <c r="H440">
        <v>0</v>
      </c>
      <c r="I440" t="s">
        <v>7805</v>
      </c>
      <c r="J440">
        <v>0</v>
      </c>
      <c r="K440">
        <v>2</v>
      </c>
      <c r="L440" s="189">
        <v>45376</v>
      </c>
      <c r="M440" t="s">
        <v>8200</v>
      </c>
      <c r="N440" t="s">
        <v>7765</v>
      </c>
      <c r="O440">
        <v>-34.681958899999998</v>
      </c>
      <c r="P440">
        <v>-58.483065600000003</v>
      </c>
      <c r="Q440">
        <v>45371.420590277776</v>
      </c>
      <c r="R440">
        <v>109.90583333338144</v>
      </c>
      <c r="S440">
        <f>VLOOKUP(F440,'VALORES DIST'!$A$3:$B$27,2,TRUE)</f>
        <v>11816.268749999999</v>
      </c>
    </row>
    <row r="441" spans="1:19" x14ac:dyDescent="0.25">
      <c r="A441">
        <v>900014574</v>
      </c>
      <c r="B441" t="s">
        <v>6994</v>
      </c>
      <c r="C441" t="s">
        <v>8068</v>
      </c>
      <c r="D441" t="s">
        <v>7794</v>
      </c>
      <c r="E441">
        <v>12</v>
      </c>
      <c r="F441">
        <v>0.36</v>
      </c>
      <c r="G441" t="s">
        <v>7509</v>
      </c>
      <c r="H441">
        <v>0</v>
      </c>
      <c r="I441" t="s">
        <v>7805</v>
      </c>
      <c r="J441">
        <v>0</v>
      </c>
      <c r="K441">
        <v>3</v>
      </c>
      <c r="L441" s="189">
        <v>45376</v>
      </c>
      <c r="M441" t="s">
        <v>8200</v>
      </c>
      <c r="N441" t="s">
        <v>7765</v>
      </c>
      <c r="O441">
        <v>-34.6532968</v>
      </c>
      <c r="P441">
        <v>-58.416824499999997</v>
      </c>
      <c r="Q441">
        <v>45371.420601851853</v>
      </c>
      <c r="R441">
        <v>109.90555555553874</v>
      </c>
      <c r="S441">
        <f>VLOOKUP(F441,'VALORES DIST'!$A$3:$B$27,2,TRUE)</f>
        <v>11816.268749999999</v>
      </c>
    </row>
    <row r="442" spans="1:19" x14ac:dyDescent="0.25">
      <c r="A442">
        <v>900014573</v>
      </c>
      <c r="B442" t="s">
        <v>7429</v>
      </c>
      <c r="C442" t="s">
        <v>8068</v>
      </c>
      <c r="D442" t="s">
        <v>8213</v>
      </c>
      <c r="E442">
        <v>71</v>
      </c>
      <c r="F442">
        <v>2.1059999999999999</v>
      </c>
      <c r="G442" t="s">
        <v>7509</v>
      </c>
      <c r="H442">
        <v>0</v>
      </c>
      <c r="I442" t="s">
        <v>7831</v>
      </c>
      <c r="J442" t="s">
        <v>7832</v>
      </c>
      <c r="K442">
        <v>1</v>
      </c>
      <c r="L442" s="189">
        <v>45376</v>
      </c>
      <c r="M442" t="s">
        <v>8200</v>
      </c>
      <c r="N442" t="s">
        <v>7765</v>
      </c>
      <c r="O442">
        <v>-32.941121099999997</v>
      </c>
      <c r="P442">
        <v>-68.825131099999993</v>
      </c>
      <c r="Q442">
        <v>45371.420601851853</v>
      </c>
      <c r="R442">
        <v>109.90555555553874</v>
      </c>
      <c r="S442">
        <f>VLOOKUP(F442,'VALORES DIST'!$A$3:$B$27,2,TRUE)</f>
        <v>11816.268749999999</v>
      </c>
    </row>
    <row r="443" spans="1:19" x14ac:dyDescent="0.25">
      <c r="A443">
        <v>900014566</v>
      </c>
      <c r="B443" t="s">
        <v>6967</v>
      </c>
      <c r="C443" t="s">
        <v>8068</v>
      </c>
      <c r="D443" t="s">
        <v>7794</v>
      </c>
      <c r="E443">
        <v>6</v>
      </c>
      <c r="F443">
        <v>0.14799999999999999</v>
      </c>
      <c r="G443" t="s">
        <v>7509</v>
      </c>
      <c r="H443">
        <v>0</v>
      </c>
      <c r="I443" t="s">
        <v>7828</v>
      </c>
      <c r="J443" t="s">
        <v>8214</v>
      </c>
      <c r="K443">
        <v>1</v>
      </c>
      <c r="L443" s="189">
        <v>45376</v>
      </c>
      <c r="M443" t="s">
        <v>8200</v>
      </c>
      <c r="N443" t="s">
        <v>7765</v>
      </c>
      <c r="O443">
        <v>-34.629065799999999</v>
      </c>
      <c r="P443">
        <v>-58.433648955000002</v>
      </c>
      <c r="Q443">
        <v>45371.420590277776</v>
      </c>
      <c r="R443">
        <v>109.90583333338144</v>
      </c>
      <c r="S443">
        <f>VLOOKUP(F443,'VALORES DIST'!$A$3:$B$27,2,TRUE)</f>
        <v>11816.268749999999</v>
      </c>
    </row>
    <row r="444" spans="1:19" x14ac:dyDescent="0.25">
      <c r="A444">
        <v>900014575</v>
      </c>
      <c r="B444" t="s">
        <v>7430</v>
      </c>
      <c r="C444" t="s">
        <v>8068</v>
      </c>
      <c r="D444" t="s">
        <v>7794</v>
      </c>
      <c r="E444">
        <v>148</v>
      </c>
      <c r="F444">
        <v>1.0384</v>
      </c>
      <c r="G444" t="s">
        <v>7509</v>
      </c>
      <c r="H444">
        <v>0</v>
      </c>
      <c r="I444" t="s">
        <v>8215</v>
      </c>
      <c r="J444" t="s">
        <v>8216</v>
      </c>
      <c r="K444">
        <v>1</v>
      </c>
      <c r="L444" s="189">
        <v>45376</v>
      </c>
      <c r="M444" t="s">
        <v>8200</v>
      </c>
      <c r="N444" t="s">
        <v>7765</v>
      </c>
      <c r="O444">
        <v>-38.877534199999999</v>
      </c>
      <c r="P444">
        <v>-62.075187200000002</v>
      </c>
      <c r="Q444">
        <v>45371.420601851853</v>
      </c>
      <c r="R444">
        <v>109.90555555553874</v>
      </c>
      <c r="S444">
        <f>VLOOKUP(F444,'VALORES DIST'!$A$3:$B$27,2,TRUE)</f>
        <v>11816.268749999999</v>
      </c>
    </row>
    <row r="445" spans="1:19" x14ac:dyDescent="0.25">
      <c r="A445">
        <v>900014578</v>
      </c>
      <c r="B445" t="s">
        <v>7211</v>
      </c>
      <c r="C445" t="s">
        <v>8068</v>
      </c>
      <c r="D445" t="s">
        <v>7838</v>
      </c>
      <c r="E445">
        <v>382</v>
      </c>
      <c r="F445">
        <v>0.94240000000000002</v>
      </c>
      <c r="G445" t="s">
        <v>7509</v>
      </c>
      <c r="H445">
        <v>0</v>
      </c>
      <c r="I445" t="s">
        <v>7839</v>
      </c>
      <c r="J445" t="s">
        <v>7840</v>
      </c>
      <c r="K445">
        <v>1</v>
      </c>
      <c r="L445" s="189">
        <v>45376</v>
      </c>
      <c r="M445" t="s">
        <v>8200</v>
      </c>
      <c r="N445" t="s">
        <v>7765</v>
      </c>
      <c r="O445">
        <v>-27.7833574</v>
      </c>
      <c r="P445">
        <v>-64.264167</v>
      </c>
      <c r="Q445">
        <v>45371.420613425929</v>
      </c>
      <c r="R445">
        <v>109.90527777769604</v>
      </c>
      <c r="S445">
        <f>VLOOKUP(F445,'VALORES DIST'!$A$3:$B$27,2,TRUE)</f>
        <v>11816.268749999999</v>
      </c>
    </row>
    <row r="446" spans="1:19" x14ac:dyDescent="0.25">
      <c r="A446">
        <v>900014570</v>
      </c>
      <c r="B446" t="s">
        <v>7323</v>
      </c>
      <c r="C446" t="s">
        <v>8217</v>
      </c>
      <c r="D446" t="s">
        <v>7794</v>
      </c>
      <c r="E446">
        <v>714</v>
      </c>
      <c r="F446">
        <v>2.36</v>
      </c>
      <c r="G446" t="s">
        <v>7509</v>
      </c>
      <c r="H446">
        <v>0</v>
      </c>
      <c r="I446" t="s">
        <v>7805</v>
      </c>
      <c r="J446">
        <v>0</v>
      </c>
      <c r="K446">
        <v>1</v>
      </c>
      <c r="L446" s="189">
        <v>45377</v>
      </c>
      <c r="M446" t="s">
        <v>8200</v>
      </c>
      <c r="N446" t="s">
        <v>7765</v>
      </c>
      <c r="O446">
        <v>-34.603684399999999</v>
      </c>
      <c r="P446">
        <v>-58.381559099999997</v>
      </c>
      <c r="Q446">
        <v>45371.420590277776</v>
      </c>
      <c r="R446">
        <v>133.90583333338145</v>
      </c>
      <c r="S446">
        <f>VLOOKUP(F446,'VALORES DIST'!$A$3:$B$27,2,TRUE)</f>
        <v>11816.268749999999</v>
      </c>
    </row>
    <row r="447" spans="1:19" x14ac:dyDescent="0.25">
      <c r="A447">
        <v>900014571</v>
      </c>
      <c r="B447" t="s">
        <v>7323</v>
      </c>
      <c r="C447" t="s">
        <v>8217</v>
      </c>
      <c r="D447" t="s">
        <v>7794</v>
      </c>
      <c r="E447">
        <v>1272</v>
      </c>
      <c r="F447">
        <v>2.9020000000000001</v>
      </c>
      <c r="G447" t="s">
        <v>7509</v>
      </c>
      <c r="H447">
        <v>0</v>
      </c>
      <c r="I447" t="s">
        <v>7805</v>
      </c>
      <c r="J447">
        <v>0</v>
      </c>
      <c r="K447">
        <v>1</v>
      </c>
      <c r="L447" s="189">
        <v>45377</v>
      </c>
      <c r="M447" t="s">
        <v>8200</v>
      </c>
      <c r="N447" t="s">
        <v>7765</v>
      </c>
      <c r="O447">
        <v>-34.603684399999999</v>
      </c>
      <c r="P447">
        <v>-58.381559099999997</v>
      </c>
      <c r="Q447">
        <v>45371.420601851853</v>
      </c>
      <c r="R447">
        <v>133.90555555553874</v>
      </c>
      <c r="S447">
        <f>VLOOKUP(F447,'VALORES DIST'!$A$3:$B$27,2,TRUE)</f>
        <v>11816.268749999999</v>
      </c>
    </row>
    <row r="448" spans="1:19" x14ac:dyDescent="0.25">
      <c r="A448">
        <v>800008753</v>
      </c>
      <c r="B448" t="s">
        <v>7183</v>
      </c>
      <c r="C448" t="s">
        <v>7844</v>
      </c>
      <c r="D448" t="s">
        <v>7794</v>
      </c>
      <c r="E448">
        <v>182</v>
      </c>
      <c r="F448">
        <v>1.5711999999999999</v>
      </c>
      <c r="G448" t="s">
        <v>7509</v>
      </c>
      <c r="H448">
        <v>0</v>
      </c>
      <c r="I448" t="s">
        <v>7805</v>
      </c>
      <c r="J448">
        <v>0</v>
      </c>
      <c r="K448">
        <v>1</v>
      </c>
      <c r="L448" s="189">
        <v>45377</v>
      </c>
      <c r="M448" t="s">
        <v>8200</v>
      </c>
      <c r="N448" t="s">
        <v>7765</v>
      </c>
      <c r="O448">
        <v>-34.598365299999998</v>
      </c>
      <c r="P448">
        <v>-58.440120899999997</v>
      </c>
      <c r="Q448">
        <v>45371.420636574076</v>
      </c>
      <c r="R448">
        <v>133.90472222218523</v>
      </c>
      <c r="S448">
        <f>VLOOKUP(F448,'VALORES DIST'!$A$3:$B$27,2,TRUE)</f>
        <v>11816.268749999999</v>
      </c>
    </row>
    <row r="449" spans="1:19" x14ac:dyDescent="0.25">
      <c r="A449">
        <v>900014564</v>
      </c>
      <c r="B449" t="s">
        <v>7056</v>
      </c>
      <c r="C449" t="s">
        <v>7810</v>
      </c>
      <c r="D449" t="s">
        <v>7794</v>
      </c>
      <c r="E449">
        <v>24</v>
      </c>
      <c r="F449">
        <v>0.61199999999999999</v>
      </c>
      <c r="G449" t="s">
        <v>7509</v>
      </c>
      <c r="H449">
        <v>0</v>
      </c>
      <c r="I449" t="s">
        <v>7805</v>
      </c>
      <c r="J449">
        <v>0</v>
      </c>
      <c r="K449">
        <v>1</v>
      </c>
      <c r="L449" s="189">
        <v>45377</v>
      </c>
      <c r="M449" t="s">
        <v>8200</v>
      </c>
      <c r="N449" t="s">
        <v>7765</v>
      </c>
      <c r="O449">
        <v>-34.604430800000003</v>
      </c>
      <c r="P449">
        <v>-58.401197199999999</v>
      </c>
      <c r="Q449">
        <v>45371.420590277776</v>
      </c>
      <c r="R449">
        <v>133.90583333338145</v>
      </c>
      <c r="S449">
        <f>VLOOKUP(F449,'VALORES DIST'!$A$3:$B$27,2,TRUE)</f>
        <v>11816.268749999999</v>
      </c>
    </row>
    <row r="450" spans="1:19" x14ac:dyDescent="0.25">
      <c r="A450">
        <v>900014565</v>
      </c>
      <c r="B450" t="s">
        <v>7077</v>
      </c>
      <c r="C450" t="s">
        <v>8218</v>
      </c>
      <c r="D450" t="s">
        <v>7794</v>
      </c>
      <c r="E450">
        <v>20</v>
      </c>
      <c r="F450">
        <v>0.62</v>
      </c>
      <c r="G450" t="s">
        <v>7509</v>
      </c>
      <c r="H450">
        <v>0</v>
      </c>
      <c r="I450" t="s">
        <v>7805</v>
      </c>
      <c r="J450">
        <v>0</v>
      </c>
      <c r="K450">
        <v>3</v>
      </c>
      <c r="L450" s="189">
        <v>45377</v>
      </c>
      <c r="M450" t="s">
        <v>8200</v>
      </c>
      <c r="N450" t="s">
        <v>7765</v>
      </c>
      <c r="O450">
        <v>-34.599570200000002</v>
      </c>
      <c r="P450">
        <v>-58.427944099999998</v>
      </c>
      <c r="Q450">
        <v>45371.420590277776</v>
      </c>
      <c r="R450">
        <v>133.90583333338145</v>
      </c>
      <c r="S450">
        <f>VLOOKUP(F450,'VALORES DIST'!$A$3:$B$27,2,TRUE)</f>
        <v>11816.268749999999</v>
      </c>
    </row>
    <row r="451" spans="1:19" x14ac:dyDescent="0.25">
      <c r="A451">
        <v>900014511</v>
      </c>
      <c r="B451" t="s">
        <v>7077</v>
      </c>
      <c r="C451" t="s">
        <v>8218</v>
      </c>
      <c r="D451" t="s">
        <v>7794</v>
      </c>
      <c r="E451">
        <v>34</v>
      </c>
      <c r="F451">
        <v>1.036</v>
      </c>
      <c r="G451" t="s">
        <v>7509</v>
      </c>
      <c r="H451">
        <v>0</v>
      </c>
      <c r="I451" t="s">
        <v>7805</v>
      </c>
      <c r="J451">
        <v>0</v>
      </c>
      <c r="K451">
        <v>3</v>
      </c>
      <c r="L451" s="189">
        <v>45377</v>
      </c>
      <c r="M451" t="s">
        <v>8200</v>
      </c>
      <c r="N451" t="s">
        <v>7765</v>
      </c>
      <c r="O451">
        <v>-34.599570200000002</v>
      </c>
      <c r="P451">
        <v>-58.427944099999998</v>
      </c>
      <c r="Q451">
        <v>45362.441180555557</v>
      </c>
      <c r="R451">
        <v>349.4116666666232</v>
      </c>
      <c r="S451">
        <f>VLOOKUP(F451,'VALORES DIST'!$A$3:$B$27,2,TRUE)</f>
        <v>11816.268749999999</v>
      </c>
    </row>
    <row r="452" spans="1:19" x14ac:dyDescent="0.25">
      <c r="A452">
        <v>900014576</v>
      </c>
      <c r="B452" t="s">
        <v>7064</v>
      </c>
      <c r="C452" t="s">
        <v>7965</v>
      </c>
      <c r="D452" t="s">
        <v>7894</v>
      </c>
      <c r="E452">
        <v>326</v>
      </c>
      <c r="F452">
        <v>9.01</v>
      </c>
      <c r="G452" t="s">
        <v>7509</v>
      </c>
      <c r="H452">
        <v>0</v>
      </c>
      <c r="I452" t="s">
        <v>7966</v>
      </c>
      <c r="J452" t="s">
        <v>7967</v>
      </c>
      <c r="K452">
        <v>1</v>
      </c>
      <c r="L452" s="189">
        <v>45377</v>
      </c>
      <c r="M452" t="s">
        <v>8200</v>
      </c>
      <c r="N452" t="s">
        <v>7765</v>
      </c>
      <c r="O452">
        <v>-26.829931800000001</v>
      </c>
      <c r="P452">
        <v>-65.205920399999997</v>
      </c>
      <c r="Q452">
        <v>45371.420613425929</v>
      </c>
      <c r="R452">
        <v>133.90527777769603</v>
      </c>
      <c r="S452">
        <f>VLOOKUP(F452,'VALORES DIST'!$A$3:$B$27,2,TRUE)</f>
        <v>76807.331250000003</v>
      </c>
    </row>
    <row r="453" spans="1:19" x14ac:dyDescent="0.25">
      <c r="A453">
        <v>900014568</v>
      </c>
      <c r="B453" t="s">
        <v>7106</v>
      </c>
      <c r="C453" t="s">
        <v>8219</v>
      </c>
      <c r="D453" t="s">
        <v>8220</v>
      </c>
      <c r="E453">
        <v>286</v>
      </c>
      <c r="F453">
        <v>0.63439999999999996</v>
      </c>
      <c r="G453" t="s">
        <v>7509</v>
      </c>
      <c r="H453">
        <v>0</v>
      </c>
      <c r="I453" t="s">
        <v>8221</v>
      </c>
      <c r="J453" t="s">
        <v>8222</v>
      </c>
      <c r="K453">
        <v>1</v>
      </c>
      <c r="L453" s="189">
        <v>45377</v>
      </c>
      <c r="M453" t="s">
        <v>8200</v>
      </c>
      <c r="N453" t="s">
        <v>7765</v>
      </c>
      <c r="O453">
        <v>-39.029321799999998</v>
      </c>
      <c r="P453">
        <v>-67.569226900000004</v>
      </c>
      <c r="Q453">
        <v>45371.420590277776</v>
      </c>
      <c r="R453">
        <v>133.90583333338145</v>
      </c>
      <c r="S453">
        <f>VLOOKUP(F453,'VALORES DIST'!$A$3:$B$27,2,TRUE)</f>
        <v>11816.268749999999</v>
      </c>
    </row>
    <row r="454" spans="1:19" x14ac:dyDescent="0.25">
      <c r="A454">
        <v>354</v>
      </c>
      <c r="B454" t="s">
        <v>6888</v>
      </c>
      <c r="C454" t="s">
        <v>7824</v>
      </c>
      <c r="D454" t="s">
        <v>7794</v>
      </c>
      <c r="E454">
        <v>68</v>
      </c>
      <c r="F454">
        <v>2.04</v>
      </c>
      <c r="G454" t="s">
        <v>6888</v>
      </c>
      <c r="H454">
        <v>0</v>
      </c>
      <c r="I454" t="s">
        <v>7805</v>
      </c>
      <c r="J454">
        <v>0</v>
      </c>
      <c r="K454">
        <v>1</v>
      </c>
      <c r="L454" s="189">
        <v>45377</v>
      </c>
      <c r="M454" t="s">
        <v>8200</v>
      </c>
      <c r="N454" t="s">
        <v>7765</v>
      </c>
      <c r="O454">
        <v>-34.603684399999999</v>
      </c>
      <c r="P454">
        <v>-58.381559099999997</v>
      </c>
      <c r="S454">
        <f>VLOOKUP(F454,'VALORES DIST'!$A$3:$B$27,2,TRUE)</f>
        <v>11816.268749999999</v>
      </c>
    </row>
    <row r="455" spans="1:19" x14ac:dyDescent="0.25">
      <c r="A455">
        <v>30056</v>
      </c>
      <c r="B455" t="s">
        <v>7556</v>
      </c>
      <c r="C455" t="s">
        <v>7968</v>
      </c>
      <c r="D455" t="s">
        <v>7861</v>
      </c>
      <c r="E455">
        <v>138</v>
      </c>
      <c r="F455">
        <v>13.11</v>
      </c>
      <c r="G455" t="s">
        <v>7556</v>
      </c>
      <c r="H455">
        <v>0</v>
      </c>
      <c r="I455" t="s">
        <v>7825</v>
      </c>
      <c r="J455">
        <v>0</v>
      </c>
      <c r="K455">
        <v>1</v>
      </c>
      <c r="L455" s="189">
        <v>45378</v>
      </c>
      <c r="M455" t="s">
        <v>8200</v>
      </c>
      <c r="N455" t="s">
        <v>7765</v>
      </c>
      <c r="O455">
        <v>-345757521</v>
      </c>
      <c r="P455">
        <v>-585370965</v>
      </c>
      <c r="S455">
        <f>VLOOKUP(F455,'VALORES DIST'!$A$3:$B$27,2,TRUE)</f>
        <v>106349.58749999999</v>
      </c>
    </row>
    <row r="456" spans="1:19" x14ac:dyDescent="0.25">
      <c r="A456">
        <v>100000003</v>
      </c>
      <c r="B456" t="s">
        <v>3117</v>
      </c>
      <c r="C456" t="s">
        <v>8068</v>
      </c>
      <c r="D456" t="s">
        <v>7794</v>
      </c>
      <c r="E456">
        <v>37</v>
      </c>
      <c r="F456">
        <v>2.3999000000000001</v>
      </c>
      <c r="G456" t="s">
        <v>3117</v>
      </c>
      <c r="H456" t="s">
        <v>8223</v>
      </c>
      <c r="I456" t="s">
        <v>7825</v>
      </c>
      <c r="J456">
        <v>0</v>
      </c>
      <c r="K456">
        <v>1</v>
      </c>
      <c r="L456" s="189">
        <v>45385</v>
      </c>
      <c r="M456" t="s">
        <v>8200</v>
      </c>
      <c r="N456" t="s">
        <v>7765</v>
      </c>
      <c r="O456">
        <v>-346290028</v>
      </c>
      <c r="P456">
        <v>-584337594</v>
      </c>
      <c r="S456">
        <f>VLOOKUP(F456,'VALORES DIST'!$A$3:$B$27,2,TRUE)</f>
        <v>11816.268749999999</v>
      </c>
    </row>
    <row r="457" spans="1:19" x14ac:dyDescent="0.25">
      <c r="A457">
        <v>359</v>
      </c>
      <c r="B457" t="s">
        <v>6888</v>
      </c>
      <c r="C457" t="s">
        <v>7824</v>
      </c>
      <c r="D457" t="s">
        <v>7794</v>
      </c>
      <c r="E457">
        <v>72</v>
      </c>
      <c r="F457">
        <v>2.16</v>
      </c>
      <c r="G457" t="s">
        <v>6888</v>
      </c>
      <c r="I457" t="s">
        <v>7825</v>
      </c>
      <c r="J457">
        <v>0</v>
      </c>
      <c r="K457">
        <v>1</v>
      </c>
      <c r="L457" s="189">
        <v>45385</v>
      </c>
      <c r="M457" t="s">
        <v>8200</v>
      </c>
      <c r="N457" t="s">
        <v>7765</v>
      </c>
      <c r="O457">
        <v>-34.603684399999999</v>
      </c>
      <c r="P457">
        <v>-58.381559099999997</v>
      </c>
      <c r="S457">
        <f>VLOOKUP(F457,'VALORES DIST'!$A$3:$B$27,2,TRUE)</f>
        <v>11816.268749999999</v>
      </c>
    </row>
    <row r="458" spans="1:19" x14ac:dyDescent="0.25">
      <c r="A458">
        <v>360</v>
      </c>
      <c r="B458" t="s">
        <v>6888</v>
      </c>
      <c r="C458" t="s">
        <v>7824</v>
      </c>
      <c r="D458" t="s">
        <v>7794</v>
      </c>
      <c r="E458">
        <v>48</v>
      </c>
      <c r="F458">
        <v>1.44</v>
      </c>
      <c r="G458" t="s">
        <v>6888</v>
      </c>
      <c r="I458" t="s">
        <v>7825</v>
      </c>
      <c r="J458">
        <v>0</v>
      </c>
      <c r="K458">
        <v>1</v>
      </c>
      <c r="L458" s="189">
        <v>45385</v>
      </c>
      <c r="M458" t="s">
        <v>8200</v>
      </c>
      <c r="N458" t="s">
        <v>7765</v>
      </c>
      <c r="O458">
        <v>-34.603684399999999</v>
      </c>
      <c r="P458">
        <v>-58.381559099999997</v>
      </c>
      <c r="S458">
        <f>VLOOKUP(F458,'VALORES DIST'!$A$3:$B$27,2,TRUE)</f>
        <v>11816.268749999999</v>
      </c>
    </row>
    <row r="459" spans="1:19" x14ac:dyDescent="0.25">
      <c r="A459">
        <v>959</v>
      </c>
      <c r="B459" t="s">
        <v>3982</v>
      </c>
      <c r="C459" t="s">
        <v>7974</v>
      </c>
      <c r="D459" t="s">
        <v>7975</v>
      </c>
      <c r="E459">
        <v>46</v>
      </c>
      <c r="F459">
        <v>5.3419999999999996</v>
      </c>
      <c r="G459" t="s">
        <v>3982</v>
      </c>
      <c r="H459">
        <v>0</v>
      </c>
      <c r="I459" t="s">
        <v>7825</v>
      </c>
      <c r="J459">
        <v>0</v>
      </c>
      <c r="K459">
        <v>1</v>
      </c>
      <c r="L459" s="189">
        <v>45387</v>
      </c>
      <c r="M459" t="s">
        <v>8200</v>
      </c>
      <c r="N459" t="s">
        <v>7765</v>
      </c>
      <c r="O459">
        <v>-34.653543200000001</v>
      </c>
      <c r="P459">
        <v>-58.5321322</v>
      </c>
      <c r="S459">
        <f>VLOOKUP(F459,'VALORES DIST'!$A$3:$B$27,2,TRUE)</f>
        <v>45297.28125</v>
      </c>
    </row>
    <row r="460" spans="1:19" x14ac:dyDescent="0.25">
      <c r="A460">
        <v>960</v>
      </c>
      <c r="B460" t="s">
        <v>3982</v>
      </c>
      <c r="C460" t="s">
        <v>7974</v>
      </c>
      <c r="D460" t="s">
        <v>7975</v>
      </c>
      <c r="E460">
        <v>17</v>
      </c>
      <c r="F460">
        <v>2.0840000000000001</v>
      </c>
      <c r="G460" t="s">
        <v>3982</v>
      </c>
      <c r="H460">
        <v>0</v>
      </c>
      <c r="J460">
        <v>0</v>
      </c>
      <c r="K460">
        <v>1</v>
      </c>
      <c r="L460" s="189">
        <v>45387</v>
      </c>
      <c r="M460" t="s">
        <v>8200</v>
      </c>
      <c r="N460" t="s">
        <v>7765</v>
      </c>
      <c r="O460">
        <v>-34.653543200000001</v>
      </c>
      <c r="P460">
        <v>-58.5321322</v>
      </c>
      <c r="S460">
        <f>VLOOKUP(F460,'VALORES DIST'!$A$3:$B$27,2,TRUE)</f>
        <v>11816.268749999999</v>
      </c>
    </row>
    <row r="461" spans="1:19" x14ac:dyDescent="0.25">
      <c r="A461">
        <v>961</v>
      </c>
      <c r="B461" t="s">
        <v>3982</v>
      </c>
      <c r="C461" t="s">
        <v>7974</v>
      </c>
      <c r="D461" t="s">
        <v>7975</v>
      </c>
      <c r="E461">
        <v>13</v>
      </c>
      <c r="F461">
        <v>0.77900000000000003</v>
      </c>
      <c r="G461" t="s">
        <v>3982</v>
      </c>
      <c r="H461">
        <v>0</v>
      </c>
      <c r="J461">
        <v>0</v>
      </c>
      <c r="K461">
        <v>1</v>
      </c>
      <c r="L461" s="189">
        <v>45387</v>
      </c>
      <c r="M461" t="s">
        <v>8200</v>
      </c>
      <c r="N461" t="s">
        <v>7765</v>
      </c>
      <c r="O461">
        <v>-34.653543200000001</v>
      </c>
      <c r="P461">
        <v>-58.5321322</v>
      </c>
      <c r="S461">
        <f>VLOOKUP(F461,'VALORES DIST'!$A$3:$B$27,2,TRUE)</f>
        <v>11816.268749999999</v>
      </c>
    </row>
    <row r="462" spans="1:19" x14ac:dyDescent="0.25">
      <c r="A462">
        <v>172801</v>
      </c>
      <c r="B462" t="s">
        <v>7428</v>
      </c>
      <c r="C462" t="s">
        <v>7977</v>
      </c>
      <c r="D462" t="s">
        <v>7794</v>
      </c>
      <c r="E462">
        <v>16</v>
      </c>
      <c r="F462">
        <v>0.5</v>
      </c>
      <c r="G462" t="s">
        <v>7428</v>
      </c>
      <c r="J462">
        <v>0</v>
      </c>
      <c r="K462">
        <v>1</v>
      </c>
      <c r="L462" s="189">
        <v>45392</v>
      </c>
      <c r="M462" t="s">
        <v>8200</v>
      </c>
      <c r="N462" t="s">
        <v>7765</v>
      </c>
      <c r="O462">
        <v>-34.578397199999998</v>
      </c>
      <c r="P462">
        <v>-58.495547600000002</v>
      </c>
      <c r="S462">
        <f>VLOOKUP(F462,'VALORES DIST'!$A$3:$B$27,2,TRUE)</f>
        <v>11816.268749999999</v>
      </c>
    </row>
    <row r="463" spans="1:19" x14ac:dyDescent="0.25">
      <c r="A463">
        <v>363</v>
      </c>
      <c r="B463" t="s">
        <v>6888</v>
      </c>
      <c r="C463" t="s">
        <v>7824</v>
      </c>
      <c r="D463" t="s">
        <v>7794</v>
      </c>
      <c r="E463">
        <v>48</v>
      </c>
      <c r="F463">
        <v>1.44</v>
      </c>
      <c r="G463" t="s">
        <v>6888</v>
      </c>
      <c r="I463" t="s">
        <v>7825</v>
      </c>
      <c r="J463">
        <v>0</v>
      </c>
      <c r="K463">
        <v>1</v>
      </c>
      <c r="L463" s="189">
        <v>45393</v>
      </c>
      <c r="M463" t="s">
        <v>8200</v>
      </c>
      <c r="N463" t="s">
        <v>7765</v>
      </c>
      <c r="S463">
        <f>VLOOKUP(F463,'VALORES DIST'!$A$3:$B$27,2,TRUE)</f>
        <v>11816.268749999999</v>
      </c>
    </row>
    <row r="464" spans="1:19" x14ac:dyDescent="0.25">
      <c r="A464">
        <v>1769</v>
      </c>
      <c r="B464" t="s">
        <v>6888</v>
      </c>
      <c r="C464" t="s">
        <v>7824</v>
      </c>
      <c r="D464" t="s">
        <v>7794</v>
      </c>
      <c r="E464">
        <v>122</v>
      </c>
      <c r="F464">
        <v>3.66</v>
      </c>
      <c r="G464" t="s">
        <v>6888</v>
      </c>
      <c r="I464" t="s">
        <v>7825</v>
      </c>
      <c r="J464">
        <v>0</v>
      </c>
      <c r="K464">
        <v>1</v>
      </c>
      <c r="L464" s="189">
        <v>45393</v>
      </c>
      <c r="M464" t="s">
        <v>8200</v>
      </c>
      <c r="N464" t="s">
        <v>7765</v>
      </c>
      <c r="S464">
        <f>VLOOKUP(F464,'VALORES DIST'!$A$3:$B$27,2,TRUE)</f>
        <v>13787.231250000001</v>
      </c>
    </row>
    <row r="465" spans="1:19" x14ac:dyDescent="0.25">
      <c r="A465">
        <v>800008794</v>
      </c>
      <c r="B465" t="s">
        <v>7184</v>
      </c>
      <c r="C465" t="s">
        <v>7807</v>
      </c>
      <c r="D465" t="s">
        <v>7794</v>
      </c>
      <c r="E465">
        <v>264</v>
      </c>
      <c r="F465">
        <v>2.7839999999999998</v>
      </c>
      <c r="G465" t="s">
        <v>7509</v>
      </c>
      <c r="H465">
        <v>0</v>
      </c>
      <c r="I465" t="s">
        <v>7805</v>
      </c>
      <c r="J465">
        <v>0</v>
      </c>
      <c r="K465">
        <v>1</v>
      </c>
      <c r="L465" s="189">
        <v>45398</v>
      </c>
      <c r="M465" t="s">
        <v>8200</v>
      </c>
      <c r="N465" t="s">
        <v>7765</v>
      </c>
      <c r="O465">
        <v>-34.608005900000002</v>
      </c>
      <c r="P465">
        <v>-58.4625299</v>
      </c>
      <c r="Q465">
        <v>45398</v>
      </c>
      <c r="R465">
        <v>0</v>
      </c>
      <c r="S465">
        <f>VLOOKUP(F465,'VALORES DIST'!$A$3:$B$27,2,TRUE)</f>
        <v>11816.268749999999</v>
      </c>
    </row>
    <row r="466" spans="1:19" x14ac:dyDescent="0.25">
      <c r="A466">
        <v>50100000922</v>
      </c>
      <c r="B466" t="s">
        <v>7399</v>
      </c>
      <c r="C466" t="s">
        <v>8224</v>
      </c>
      <c r="D466" t="s">
        <v>7794</v>
      </c>
      <c r="E466">
        <v>90</v>
      </c>
      <c r="F466">
        <v>2.0459999999999998</v>
      </c>
      <c r="G466" t="s">
        <v>7509</v>
      </c>
      <c r="H466">
        <v>0</v>
      </c>
      <c r="I466" t="s">
        <v>7805</v>
      </c>
      <c r="J466">
        <v>0</v>
      </c>
      <c r="K466">
        <v>1</v>
      </c>
      <c r="L466" s="189">
        <v>45398</v>
      </c>
      <c r="M466" t="s">
        <v>8200</v>
      </c>
      <c r="N466" t="s">
        <v>7765</v>
      </c>
      <c r="O466">
        <v>-34.604406300000001</v>
      </c>
      <c r="P466">
        <v>-58.404429200000003</v>
      </c>
      <c r="Q466">
        <v>45398</v>
      </c>
      <c r="R466">
        <v>0</v>
      </c>
      <c r="S466">
        <f>VLOOKUP(F466,'VALORES DIST'!$A$3:$B$27,2,TRUE)</f>
        <v>11816.268749999999</v>
      </c>
    </row>
    <row r="467" spans="1:19" x14ac:dyDescent="0.25">
      <c r="A467">
        <v>1643</v>
      </c>
      <c r="B467" t="s">
        <v>7852</v>
      </c>
      <c r="C467" t="s">
        <v>7853</v>
      </c>
      <c r="D467" t="s">
        <v>7794</v>
      </c>
      <c r="E467">
        <v>4</v>
      </c>
      <c r="F467">
        <v>6.4</v>
      </c>
      <c r="G467" t="s">
        <v>7509</v>
      </c>
      <c r="H467" t="s">
        <v>8225</v>
      </c>
      <c r="I467" t="s">
        <v>7805</v>
      </c>
      <c r="J467">
        <v>0</v>
      </c>
      <c r="K467">
        <v>1</v>
      </c>
      <c r="L467" s="189">
        <v>45398</v>
      </c>
      <c r="M467" t="s">
        <v>8200</v>
      </c>
      <c r="N467" t="s">
        <v>7765</v>
      </c>
      <c r="O467">
        <v>-34.608005900000002</v>
      </c>
      <c r="P467">
        <v>-58.4625299</v>
      </c>
      <c r="S467">
        <f>VLOOKUP(F467,'VALORES DIST'!$A$3:$B$27,2,TRUE)</f>
        <v>53177.962500000001</v>
      </c>
    </row>
    <row r="468" spans="1:19" x14ac:dyDescent="0.25">
      <c r="A468">
        <v>900014597</v>
      </c>
      <c r="B468" t="s">
        <v>6968</v>
      </c>
      <c r="C468" t="s">
        <v>7874</v>
      </c>
      <c r="D468" t="s">
        <v>7794</v>
      </c>
      <c r="E468">
        <v>822</v>
      </c>
      <c r="F468">
        <v>1.476</v>
      </c>
      <c r="G468" t="s">
        <v>7509</v>
      </c>
      <c r="H468">
        <v>0</v>
      </c>
      <c r="I468" t="s">
        <v>7805</v>
      </c>
      <c r="J468">
        <v>0</v>
      </c>
      <c r="K468">
        <v>1</v>
      </c>
      <c r="L468" s="189">
        <v>45398</v>
      </c>
      <c r="M468" t="s">
        <v>8200</v>
      </c>
      <c r="N468" t="s">
        <v>7765</v>
      </c>
      <c r="O468">
        <v>-34.594501899999997</v>
      </c>
      <c r="P468">
        <v>-58.429039899999999</v>
      </c>
      <c r="Q468">
        <v>45398</v>
      </c>
      <c r="R468">
        <v>0</v>
      </c>
      <c r="S468">
        <f>VLOOKUP(F468,'VALORES DIST'!$A$3:$B$27,2,TRUE)</f>
        <v>11816.268749999999</v>
      </c>
    </row>
    <row r="469" spans="1:19" x14ac:dyDescent="0.25">
      <c r="A469">
        <v>900014599</v>
      </c>
      <c r="B469" t="s">
        <v>7020</v>
      </c>
      <c r="C469" t="s">
        <v>8226</v>
      </c>
      <c r="D469" t="s">
        <v>7801</v>
      </c>
      <c r="E469">
        <v>390</v>
      </c>
      <c r="F469">
        <v>1.1439999999999999</v>
      </c>
      <c r="G469" t="s">
        <v>7509</v>
      </c>
      <c r="H469">
        <v>0</v>
      </c>
      <c r="I469" t="s">
        <v>7850</v>
      </c>
      <c r="J469" t="s">
        <v>7851</v>
      </c>
      <c r="K469">
        <v>1</v>
      </c>
      <c r="L469" s="189">
        <v>45399</v>
      </c>
      <c r="M469" t="s">
        <v>8200</v>
      </c>
      <c r="N469" t="s">
        <v>7765</v>
      </c>
      <c r="O469">
        <v>-32.947254700000002</v>
      </c>
      <c r="P469">
        <v>-60.647675100000001</v>
      </c>
      <c r="Q469">
        <v>45398</v>
      </c>
      <c r="R469">
        <v>24</v>
      </c>
      <c r="S469">
        <f>VLOOKUP(F469,'VALORES DIST'!$A$3:$B$27,2,TRUE)</f>
        <v>11816.268749999999</v>
      </c>
    </row>
    <row r="470" spans="1:19" x14ac:dyDescent="0.25">
      <c r="A470">
        <v>900014600</v>
      </c>
      <c r="B470" t="s">
        <v>7020</v>
      </c>
      <c r="C470" t="s">
        <v>8226</v>
      </c>
      <c r="D470" t="s">
        <v>7801</v>
      </c>
      <c r="E470">
        <v>138</v>
      </c>
      <c r="F470">
        <v>1.1819999999999999</v>
      </c>
      <c r="G470" t="s">
        <v>7509</v>
      </c>
      <c r="H470">
        <v>0</v>
      </c>
      <c r="I470" t="s">
        <v>7850</v>
      </c>
      <c r="J470" t="s">
        <v>7851</v>
      </c>
      <c r="K470">
        <v>1</v>
      </c>
      <c r="L470" s="189">
        <v>45399</v>
      </c>
      <c r="M470" t="s">
        <v>8200</v>
      </c>
      <c r="N470" t="s">
        <v>7765</v>
      </c>
      <c r="O470">
        <v>-32.947254700000002</v>
      </c>
      <c r="P470">
        <v>-60.647675100000001</v>
      </c>
      <c r="Q470">
        <v>45398</v>
      </c>
      <c r="R470">
        <v>24</v>
      </c>
      <c r="S470">
        <f>VLOOKUP(F470,'VALORES DIST'!$A$3:$B$27,2,TRUE)</f>
        <v>11816.268749999999</v>
      </c>
    </row>
    <row r="471" spans="1:19" x14ac:dyDescent="0.25">
      <c r="A471">
        <v>900014601</v>
      </c>
      <c r="B471" t="s">
        <v>8227</v>
      </c>
      <c r="C471" t="s">
        <v>8228</v>
      </c>
      <c r="D471" t="s">
        <v>7801</v>
      </c>
      <c r="E471">
        <v>346</v>
      </c>
      <c r="F471">
        <v>0.65600000000000003</v>
      </c>
      <c r="G471" t="s">
        <v>7509</v>
      </c>
      <c r="H471">
        <v>0</v>
      </c>
      <c r="I471" t="s">
        <v>7907</v>
      </c>
      <c r="J471" t="s">
        <v>7908</v>
      </c>
      <c r="K471">
        <v>1</v>
      </c>
      <c r="L471" s="189">
        <v>45399</v>
      </c>
      <c r="M471" t="s">
        <v>8200</v>
      </c>
      <c r="N471" t="s">
        <v>7765</v>
      </c>
      <c r="Q471">
        <v>45398</v>
      </c>
      <c r="R471">
        <v>24</v>
      </c>
      <c r="S471">
        <f>VLOOKUP(F471,'VALORES DIST'!$A$3:$B$27,2,TRUE)</f>
        <v>11816.268749999999</v>
      </c>
    </row>
    <row r="472" spans="1:19" x14ac:dyDescent="0.25">
      <c r="A472">
        <v>50100000923</v>
      </c>
      <c r="B472" t="s">
        <v>7157</v>
      </c>
      <c r="C472" t="s">
        <v>7793</v>
      </c>
      <c r="D472" t="s">
        <v>7794</v>
      </c>
      <c r="E472">
        <v>118</v>
      </c>
      <c r="F472">
        <v>0.49399999999999999</v>
      </c>
      <c r="G472" t="s">
        <v>7509</v>
      </c>
      <c r="H472">
        <v>0</v>
      </c>
      <c r="I472" t="s">
        <v>7795</v>
      </c>
      <c r="J472" t="s">
        <v>7796</v>
      </c>
      <c r="K472">
        <v>1</v>
      </c>
      <c r="L472" s="189">
        <v>45399</v>
      </c>
      <c r="M472" t="s">
        <v>8200</v>
      </c>
      <c r="N472" t="s">
        <v>7765</v>
      </c>
      <c r="O472">
        <v>-34.606275099999998</v>
      </c>
      <c r="P472">
        <v>-58.485909499999998</v>
      </c>
      <c r="Q472">
        <v>45398</v>
      </c>
      <c r="R472">
        <v>24</v>
      </c>
      <c r="S472">
        <f>VLOOKUP(F472,'VALORES DIST'!$A$3:$B$27,2,TRUE)</f>
        <v>11816.268749999999</v>
      </c>
    </row>
    <row r="473" spans="1:19" x14ac:dyDescent="0.25">
      <c r="A473">
        <v>800008779</v>
      </c>
      <c r="B473" t="s">
        <v>7186</v>
      </c>
      <c r="C473" t="s">
        <v>7847</v>
      </c>
      <c r="D473" t="s">
        <v>7848</v>
      </c>
      <c r="E473">
        <v>67</v>
      </c>
      <c r="F473">
        <v>1.2350000000000001</v>
      </c>
      <c r="G473" t="s">
        <v>7509</v>
      </c>
      <c r="H473">
        <v>0</v>
      </c>
      <c r="I473" t="s">
        <v>7805</v>
      </c>
      <c r="J473">
        <v>0</v>
      </c>
      <c r="K473">
        <v>3</v>
      </c>
      <c r="L473" s="189">
        <v>45399</v>
      </c>
      <c r="M473" t="s">
        <v>8200</v>
      </c>
      <c r="N473" t="s">
        <v>7765</v>
      </c>
      <c r="O473">
        <v>-34.722945199999998</v>
      </c>
      <c r="P473">
        <v>-58.258703699999998</v>
      </c>
      <c r="Q473">
        <v>45398</v>
      </c>
      <c r="R473">
        <v>24</v>
      </c>
      <c r="S473">
        <f>VLOOKUP(F473,'VALORES DIST'!$A$3:$B$27,2,TRUE)</f>
        <v>11816.268749999999</v>
      </c>
    </row>
    <row r="474" spans="1:19" x14ac:dyDescent="0.25">
      <c r="A474">
        <v>900014598</v>
      </c>
      <c r="B474" t="s">
        <v>7410</v>
      </c>
      <c r="C474" t="s">
        <v>8111</v>
      </c>
      <c r="D474" t="s">
        <v>7794</v>
      </c>
      <c r="E474">
        <v>192</v>
      </c>
      <c r="F474">
        <v>0.192</v>
      </c>
      <c r="G474" t="s">
        <v>7509</v>
      </c>
      <c r="H474">
        <v>0</v>
      </c>
      <c r="I474" t="s">
        <v>7805</v>
      </c>
      <c r="J474">
        <v>0</v>
      </c>
      <c r="K474">
        <v>1</v>
      </c>
      <c r="L474" s="189">
        <v>45400</v>
      </c>
      <c r="M474" t="s">
        <v>8200</v>
      </c>
      <c r="O474">
        <v>-34.559193100000002</v>
      </c>
      <c r="P474">
        <v>-58.457759000000003</v>
      </c>
      <c r="Q474">
        <v>45398</v>
      </c>
      <c r="R474">
        <v>48</v>
      </c>
      <c r="S474">
        <f>VLOOKUP(F474,'VALORES DIST'!$A$3:$B$27,2,TRUE)</f>
        <v>11816.268749999999</v>
      </c>
    </row>
    <row r="475" spans="1:19" x14ac:dyDescent="0.25">
      <c r="A475">
        <v>50100000924</v>
      </c>
      <c r="B475" t="s">
        <v>2972</v>
      </c>
      <c r="C475" t="s">
        <v>7960</v>
      </c>
      <c r="D475" t="s">
        <v>7914</v>
      </c>
      <c r="E475">
        <v>96</v>
      </c>
      <c r="F475">
        <v>1.8720000000000001</v>
      </c>
      <c r="G475" t="s">
        <v>7509</v>
      </c>
      <c r="H475">
        <v>0</v>
      </c>
      <c r="I475" t="s">
        <v>7805</v>
      </c>
      <c r="J475">
        <v>0</v>
      </c>
      <c r="K475">
        <v>2</v>
      </c>
      <c r="L475" s="189">
        <v>45400</v>
      </c>
      <c r="M475" t="s">
        <v>8200</v>
      </c>
      <c r="O475">
        <v>-34.5091988</v>
      </c>
      <c r="P475">
        <v>-58.540886299999997</v>
      </c>
      <c r="Q475">
        <v>45398</v>
      </c>
      <c r="R475">
        <v>48</v>
      </c>
      <c r="S475">
        <f>VLOOKUP(F475,'VALORES DIST'!$A$3:$B$27,2,TRUE)</f>
        <v>11816.268749999999</v>
      </c>
    </row>
    <row r="476" spans="1:19" x14ac:dyDescent="0.25">
      <c r="A476">
        <v>800008856</v>
      </c>
      <c r="B476" t="s">
        <v>7184</v>
      </c>
      <c r="C476" t="s">
        <v>7807</v>
      </c>
      <c r="D476" t="s">
        <v>7794</v>
      </c>
      <c r="E476">
        <v>588</v>
      </c>
      <c r="F476">
        <v>5.97</v>
      </c>
      <c r="G476" t="s">
        <v>7509</v>
      </c>
      <c r="H476">
        <v>0</v>
      </c>
      <c r="I476" t="s">
        <v>7805</v>
      </c>
      <c r="J476">
        <v>0</v>
      </c>
      <c r="K476">
        <v>1</v>
      </c>
      <c r="L476" s="189">
        <v>45400</v>
      </c>
      <c r="M476" t="s">
        <v>8200</v>
      </c>
      <c r="O476">
        <v>-34.608005900000002</v>
      </c>
      <c r="P476">
        <v>-58.4625299</v>
      </c>
      <c r="Q476">
        <v>45399</v>
      </c>
      <c r="R476">
        <v>24</v>
      </c>
      <c r="S476">
        <f>VLOOKUP(F476,'VALORES DIST'!$A$3:$B$27,2,TRUE)</f>
        <v>45297.28125</v>
      </c>
    </row>
    <row r="477" spans="1:19" x14ac:dyDescent="0.25">
      <c r="A477">
        <v>4000029875</v>
      </c>
      <c r="B477" t="s">
        <v>7961</v>
      </c>
      <c r="C477" t="s">
        <v>7853</v>
      </c>
      <c r="D477" t="s">
        <v>7794</v>
      </c>
      <c r="E477">
        <v>25</v>
      </c>
      <c r="F477">
        <v>1.8</v>
      </c>
      <c r="G477" t="s">
        <v>7509</v>
      </c>
      <c r="H477">
        <v>0</v>
      </c>
      <c r="I477" t="s">
        <v>7805</v>
      </c>
      <c r="J477">
        <v>0</v>
      </c>
      <c r="K477">
        <v>1</v>
      </c>
      <c r="L477" s="189">
        <v>45401</v>
      </c>
      <c r="M477" t="s">
        <v>8200</v>
      </c>
      <c r="O477">
        <v>-34.608005900000002</v>
      </c>
      <c r="P477">
        <v>-58.4625299</v>
      </c>
      <c r="Q477">
        <v>45400</v>
      </c>
      <c r="R477">
        <v>24</v>
      </c>
      <c r="S477">
        <f>VLOOKUP(F477,'VALORES DIST'!$A$3:$B$27,2,TRUE)</f>
        <v>11816.268749999999</v>
      </c>
    </row>
    <row r="478" spans="1:19" x14ac:dyDescent="0.25">
      <c r="A478">
        <v>900014631</v>
      </c>
      <c r="B478" t="s">
        <v>7056</v>
      </c>
      <c r="C478" t="s">
        <v>7810</v>
      </c>
      <c r="D478" t="s">
        <v>7794</v>
      </c>
      <c r="E478">
        <v>102</v>
      </c>
      <c r="F478">
        <v>2.87</v>
      </c>
      <c r="G478" t="s">
        <v>7509</v>
      </c>
      <c r="H478">
        <v>0</v>
      </c>
      <c r="I478" t="s">
        <v>7805</v>
      </c>
      <c r="J478">
        <v>0</v>
      </c>
      <c r="K478">
        <v>1</v>
      </c>
      <c r="L478" s="189">
        <v>45401</v>
      </c>
      <c r="M478" t="s">
        <v>8200</v>
      </c>
      <c r="O478">
        <v>-34.604430800000003</v>
      </c>
      <c r="P478">
        <v>-58.401197199999999</v>
      </c>
      <c r="Q478">
        <v>45400</v>
      </c>
      <c r="R478">
        <v>24</v>
      </c>
      <c r="S478">
        <f>VLOOKUP(F478,'VALORES DIST'!$A$3:$B$27,2,TRUE)</f>
        <v>11816.268749999999</v>
      </c>
    </row>
    <row r="479" spans="1:19" x14ac:dyDescent="0.25">
      <c r="A479">
        <v>900014621</v>
      </c>
      <c r="B479" t="s">
        <v>3450</v>
      </c>
      <c r="C479" t="s">
        <v>7804</v>
      </c>
      <c r="D479" t="s">
        <v>7794</v>
      </c>
      <c r="E479">
        <v>106</v>
      </c>
      <c r="F479">
        <v>2.7040000000000002</v>
      </c>
      <c r="G479" t="s">
        <v>7509</v>
      </c>
      <c r="H479">
        <v>0</v>
      </c>
      <c r="I479" t="s">
        <v>7805</v>
      </c>
      <c r="J479">
        <v>0</v>
      </c>
      <c r="K479">
        <v>1</v>
      </c>
      <c r="L479" s="189">
        <v>45401</v>
      </c>
      <c r="M479" t="s">
        <v>8200</v>
      </c>
      <c r="O479">
        <v>-34.608005900000002</v>
      </c>
      <c r="P479">
        <v>-58.4625299</v>
      </c>
      <c r="Q479">
        <v>45400</v>
      </c>
      <c r="R479">
        <v>24</v>
      </c>
      <c r="S479">
        <f>VLOOKUP(F479,'VALORES DIST'!$A$3:$B$27,2,TRUE)</f>
        <v>11816.268749999999</v>
      </c>
    </row>
    <row r="480" spans="1:19" x14ac:dyDescent="0.25">
      <c r="A480">
        <v>900014612</v>
      </c>
      <c r="B480" t="s">
        <v>6968</v>
      </c>
      <c r="C480" t="s">
        <v>7874</v>
      </c>
      <c r="D480" t="s">
        <v>7794</v>
      </c>
      <c r="E480">
        <v>88</v>
      </c>
      <c r="F480">
        <v>1.88</v>
      </c>
      <c r="G480" t="s">
        <v>7509</v>
      </c>
      <c r="H480">
        <v>0</v>
      </c>
      <c r="I480" t="s">
        <v>7805</v>
      </c>
      <c r="J480">
        <v>0</v>
      </c>
      <c r="K480">
        <v>1</v>
      </c>
      <c r="L480" s="189">
        <v>45401</v>
      </c>
      <c r="M480" t="s">
        <v>8200</v>
      </c>
      <c r="O480">
        <v>-34.594501899999997</v>
      </c>
      <c r="P480">
        <v>-58.429039899999999</v>
      </c>
      <c r="Q480">
        <v>45400</v>
      </c>
      <c r="R480">
        <v>24</v>
      </c>
      <c r="S480">
        <f>VLOOKUP(F480,'VALORES DIST'!$A$3:$B$27,2,TRUE)</f>
        <v>11816.268749999999</v>
      </c>
    </row>
    <row r="481" spans="1:19" x14ac:dyDescent="0.25">
      <c r="A481">
        <v>900014644</v>
      </c>
      <c r="B481" t="s">
        <v>7288</v>
      </c>
      <c r="C481" t="s">
        <v>8098</v>
      </c>
      <c r="D481" t="s">
        <v>8099</v>
      </c>
      <c r="E481">
        <v>136</v>
      </c>
      <c r="F481">
        <v>3.944</v>
      </c>
      <c r="G481" t="s">
        <v>7509</v>
      </c>
      <c r="H481">
        <v>0</v>
      </c>
      <c r="I481" t="s">
        <v>7805</v>
      </c>
      <c r="J481">
        <v>0</v>
      </c>
      <c r="K481">
        <v>1</v>
      </c>
      <c r="L481" s="189"/>
      <c r="O481">
        <v>-34.574484200000001</v>
      </c>
      <c r="P481">
        <v>-58.507114100000003</v>
      </c>
      <c r="Q481">
        <v>45400</v>
      </c>
      <c r="R481">
        <v>-1089600</v>
      </c>
      <c r="S481">
        <f>VLOOKUP(F481,'VALORES DIST'!$A$3:$B$27,2,TRUE)</f>
        <v>13787.231250000001</v>
      </c>
    </row>
    <row r="482" spans="1:19" x14ac:dyDescent="0.25">
      <c r="A482">
        <v>50500000751</v>
      </c>
      <c r="B482" t="s">
        <v>7170</v>
      </c>
      <c r="C482" t="s">
        <v>8229</v>
      </c>
      <c r="D482" t="s">
        <v>8030</v>
      </c>
      <c r="E482">
        <v>48</v>
      </c>
      <c r="F482">
        <v>1.0740000000000001</v>
      </c>
      <c r="G482" t="s">
        <v>7509</v>
      </c>
      <c r="H482">
        <v>0</v>
      </c>
      <c r="I482" t="s">
        <v>7805</v>
      </c>
      <c r="J482">
        <v>0</v>
      </c>
      <c r="K482">
        <v>2</v>
      </c>
      <c r="L482" s="189">
        <v>45404</v>
      </c>
      <c r="M482" t="s">
        <v>8200</v>
      </c>
      <c r="O482">
        <v>-34.754857299999998</v>
      </c>
      <c r="P482">
        <v>-58.622574200000003</v>
      </c>
      <c r="Q482">
        <v>45400</v>
      </c>
      <c r="R482">
        <v>96</v>
      </c>
      <c r="S482">
        <f>VLOOKUP(F482,'VALORES DIST'!$A$3:$B$27,2,TRUE)</f>
        <v>11816.268749999999</v>
      </c>
    </row>
    <row r="483" spans="1:19" x14ac:dyDescent="0.25">
      <c r="A483">
        <v>900014614</v>
      </c>
      <c r="B483" t="s">
        <v>7160</v>
      </c>
      <c r="C483" t="s">
        <v>7885</v>
      </c>
      <c r="D483" t="s">
        <v>7886</v>
      </c>
      <c r="E483">
        <v>91</v>
      </c>
      <c r="F483">
        <v>0.91400000000000003</v>
      </c>
      <c r="G483" t="s">
        <v>7509</v>
      </c>
      <c r="H483">
        <v>0</v>
      </c>
      <c r="I483" t="s">
        <v>7887</v>
      </c>
      <c r="J483" t="s">
        <v>7888</v>
      </c>
      <c r="K483">
        <v>1</v>
      </c>
      <c r="L483" s="189">
        <v>45404</v>
      </c>
      <c r="M483" t="s">
        <v>8200</v>
      </c>
      <c r="O483">
        <v>-38.938856000000001</v>
      </c>
      <c r="P483">
        <v>-67.990520000000004</v>
      </c>
      <c r="Q483">
        <v>45400</v>
      </c>
      <c r="R483">
        <v>96</v>
      </c>
      <c r="S483">
        <f>VLOOKUP(F483,'VALORES DIST'!$A$3:$B$27,2,TRUE)</f>
        <v>11816.268749999999</v>
      </c>
    </row>
    <row r="484" spans="1:19" x14ac:dyDescent="0.25">
      <c r="A484">
        <v>50500000750</v>
      </c>
      <c r="B484" t="s">
        <v>7181</v>
      </c>
      <c r="C484" t="s">
        <v>8230</v>
      </c>
      <c r="D484" t="s">
        <v>7801</v>
      </c>
      <c r="E484">
        <v>464</v>
      </c>
      <c r="F484">
        <v>1.512</v>
      </c>
      <c r="G484" t="s">
        <v>7509</v>
      </c>
      <c r="H484">
        <v>0</v>
      </c>
      <c r="I484" t="s">
        <v>8231</v>
      </c>
      <c r="J484" t="s">
        <v>8232</v>
      </c>
      <c r="K484">
        <v>1</v>
      </c>
      <c r="L484" s="189">
        <v>45404</v>
      </c>
      <c r="M484" t="s">
        <v>8200</v>
      </c>
      <c r="O484">
        <v>-32.960869299999999</v>
      </c>
      <c r="P484">
        <v>-60.668047600000001</v>
      </c>
      <c r="Q484">
        <v>45400</v>
      </c>
      <c r="R484">
        <v>96</v>
      </c>
      <c r="S484">
        <f>VLOOKUP(F484,'VALORES DIST'!$A$3:$B$27,2,TRUE)</f>
        <v>11816.268749999999</v>
      </c>
    </row>
    <row r="485" spans="1:19" x14ac:dyDescent="0.25">
      <c r="A485">
        <v>900014632</v>
      </c>
      <c r="B485" t="s">
        <v>7064</v>
      </c>
      <c r="C485" t="s">
        <v>7965</v>
      </c>
      <c r="D485" t="s">
        <v>7894</v>
      </c>
      <c r="E485">
        <v>342</v>
      </c>
      <c r="F485">
        <v>3.3540000000000001</v>
      </c>
      <c r="G485" t="s">
        <v>7509</v>
      </c>
      <c r="H485">
        <v>0</v>
      </c>
      <c r="I485" t="s">
        <v>7966</v>
      </c>
      <c r="J485" t="s">
        <v>7967</v>
      </c>
      <c r="K485">
        <v>1</v>
      </c>
      <c r="L485" s="189">
        <v>45404</v>
      </c>
      <c r="M485" t="s">
        <v>8200</v>
      </c>
      <c r="O485">
        <v>-26.829931800000001</v>
      </c>
      <c r="P485">
        <v>-65.205920399999997</v>
      </c>
      <c r="Q485">
        <v>45400</v>
      </c>
      <c r="R485">
        <v>96</v>
      </c>
      <c r="S485">
        <f>VLOOKUP(F485,'VALORES DIST'!$A$3:$B$27,2,TRUE)</f>
        <v>13787.231250000001</v>
      </c>
    </row>
    <row r="486" spans="1:19" x14ac:dyDescent="0.25">
      <c r="A486">
        <v>900014627</v>
      </c>
      <c r="B486" t="s">
        <v>7166</v>
      </c>
      <c r="C486" t="s">
        <v>7943</v>
      </c>
      <c r="D486" t="s">
        <v>7777</v>
      </c>
      <c r="E486">
        <v>30</v>
      </c>
      <c r="F486">
        <v>0.21</v>
      </c>
      <c r="G486" t="s">
        <v>7509</v>
      </c>
      <c r="H486">
        <v>0</v>
      </c>
      <c r="I486" t="s">
        <v>7944</v>
      </c>
      <c r="J486" t="s">
        <v>7945</v>
      </c>
      <c r="K486">
        <v>1</v>
      </c>
      <c r="L486" s="189">
        <v>45404</v>
      </c>
      <c r="M486" t="s">
        <v>8200</v>
      </c>
      <c r="O486">
        <v>-31.535107400000001</v>
      </c>
      <c r="P486">
        <v>-68.538594099999997</v>
      </c>
      <c r="Q486">
        <v>45400</v>
      </c>
      <c r="R486">
        <v>96</v>
      </c>
      <c r="S486">
        <f>VLOOKUP(F486,'VALORES DIST'!$A$3:$B$27,2,TRUE)</f>
        <v>11816.268749999999</v>
      </c>
    </row>
    <row r="487" spans="1:19" x14ac:dyDescent="0.25">
      <c r="A487">
        <v>900014626</v>
      </c>
      <c r="B487" t="s">
        <v>7082</v>
      </c>
      <c r="C487" t="s">
        <v>8023</v>
      </c>
      <c r="D487" t="s">
        <v>8024</v>
      </c>
      <c r="E487">
        <v>22</v>
      </c>
      <c r="F487">
        <v>0.20100000000000001</v>
      </c>
      <c r="G487" t="s">
        <v>7509</v>
      </c>
      <c r="H487">
        <v>0</v>
      </c>
      <c r="I487" t="s">
        <v>8025</v>
      </c>
      <c r="J487" t="s">
        <v>8026</v>
      </c>
      <c r="K487">
        <v>1</v>
      </c>
      <c r="L487" s="189">
        <v>45404</v>
      </c>
      <c r="M487" t="s">
        <v>8200</v>
      </c>
      <c r="O487">
        <v>-33.808848099999999</v>
      </c>
      <c r="P487">
        <v>-59.502746100000003</v>
      </c>
      <c r="Q487">
        <v>45400</v>
      </c>
      <c r="R487">
        <v>96</v>
      </c>
      <c r="S487">
        <f>VLOOKUP(F487,'VALORES DIST'!$A$3:$B$27,2,TRUE)</f>
        <v>11816.268749999999</v>
      </c>
    </row>
    <row r="488" spans="1:19" x14ac:dyDescent="0.25">
      <c r="A488">
        <v>900014625</v>
      </c>
      <c r="B488" t="s">
        <v>6930</v>
      </c>
      <c r="C488" t="s">
        <v>7800</v>
      </c>
      <c r="D488" t="s">
        <v>7801</v>
      </c>
      <c r="E488">
        <v>46</v>
      </c>
      <c r="F488">
        <v>0.19600000000000001</v>
      </c>
      <c r="G488" t="s">
        <v>7509</v>
      </c>
      <c r="H488">
        <v>0</v>
      </c>
      <c r="I488" t="s">
        <v>7802</v>
      </c>
      <c r="J488" t="s">
        <v>7803</v>
      </c>
      <c r="K488">
        <v>1</v>
      </c>
      <c r="L488" s="189">
        <v>45404</v>
      </c>
      <c r="M488" t="s">
        <v>8200</v>
      </c>
      <c r="O488">
        <v>-32.945973500000001</v>
      </c>
      <c r="P488">
        <v>-60.647028599999999</v>
      </c>
      <c r="Q488">
        <v>45400</v>
      </c>
      <c r="R488">
        <v>96</v>
      </c>
      <c r="S488">
        <f>VLOOKUP(F488,'VALORES DIST'!$A$3:$B$27,2,TRUE)</f>
        <v>11816.268749999999</v>
      </c>
    </row>
    <row r="489" spans="1:19" x14ac:dyDescent="0.25">
      <c r="A489">
        <v>900014624</v>
      </c>
      <c r="B489" t="s">
        <v>7054</v>
      </c>
      <c r="C489" t="s">
        <v>8233</v>
      </c>
      <c r="D489" t="s">
        <v>7838</v>
      </c>
      <c r="E489">
        <v>118</v>
      </c>
      <c r="F489">
        <v>0.88300000000000001</v>
      </c>
      <c r="G489" t="s">
        <v>7509</v>
      </c>
      <c r="H489">
        <v>0</v>
      </c>
      <c r="I489" t="s">
        <v>7839</v>
      </c>
      <c r="J489" t="s">
        <v>7840</v>
      </c>
      <c r="K489">
        <v>3</v>
      </c>
      <c r="L489" s="189">
        <v>45404</v>
      </c>
      <c r="M489" t="s">
        <v>8200</v>
      </c>
      <c r="O489">
        <v>-27.7885925</v>
      </c>
      <c r="P489">
        <v>-64.259622100000001</v>
      </c>
      <c r="Q489">
        <v>45400</v>
      </c>
      <c r="R489">
        <v>96</v>
      </c>
      <c r="S489">
        <f>VLOOKUP(F489,'VALORES DIST'!$A$3:$B$27,2,TRUE)</f>
        <v>11816.268749999999</v>
      </c>
    </row>
    <row r="490" spans="1:19" x14ac:dyDescent="0.25">
      <c r="A490">
        <v>900014623</v>
      </c>
      <c r="B490" t="s">
        <v>7430</v>
      </c>
      <c r="C490" t="s">
        <v>8234</v>
      </c>
      <c r="D490" t="s">
        <v>8215</v>
      </c>
      <c r="E490">
        <v>217</v>
      </c>
      <c r="F490">
        <v>0.82299999999999995</v>
      </c>
      <c r="G490" t="s">
        <v>7509</v>
      </c>
      <c r="H490">
        <v>0</v>
      </c>
      <c r="I490" t="s">
        <v>8215</v>
      </c>
      <c r="J490" t="s">
        <v>8216</v>
      </c>
      <c r="K490">
        <v>1</v>
      </c>
      <c r="L490" s="189">
        <v>45404</v>
      </c>
      <c r="M490" t="s">
        <v>8200</v>
      </c>
      <c r="O490">
        <v>-38.877534199999999</v>
      </c>
      <c r="P490">
        <v>-62.075187200000002</v>
      </c>
      <c r="Q490">
        <v>45400</v>
      </c>
      <c r="R490">
        <v>96</v>
      </c>
      <c r="S490">
        <f>VLOOKUP(F490,'VALORES DIST'!$A$3:$B$27,2,TRUE)</f>
        <v>11816.268749999999</v>
      </c>
    </row>
    <row r="491" spans="1:19" x14ac:dyDescent="0.25">
      <c r="A491">
        <v>900014622</v>
      </c>
      <c r="B491" t="s">
        <v>7021</v>
      </c>
      <c r="C491" t="s">
        <v>8235</v>
      </c>
      <c r="D491" t="s">
        <v>7931</v>
      </c>
      <c r="E491">
        <v>364</v>
      </c>
      <c r="F491">
        <v>0.86799999999999999</v>
      </c>
      <c r="G491" t="s">
        <v>7509</v>
      </c>
      <c r="H491">
        <v>0</v>
      </c>
      <c r="I491" t="s">
        <v>7941</v>
      </c>
      <c r="J491" t="s">
        <v>7942</v>
      </c>
      <c r="K491">
        <v>1</v>
      </c>
      <c r="L491" s="189">
        <v>45404</v>
      </c>
      <c r="M491" t="s">
        <v>8200</v>
      </c>
      <c r="O491">
        <v>-31.620484999999999</v>
      </c>
      <c r="P491">
        <v>-60.698459900000003</v>
      </c>
      <c r="Q491">
        <v>45400</v>
      </c>
      <c r="R491">
        <v>96</v>
      </c>
      <c r="S491">
        <f>VLOOKUP(F491,'VALORES DIST'!$A$3:$B$27,2,TRUE)</f>
        <v>11816.268749999999</v>
      </c>
    </row>
    <row r="492" spans="1:19" x14ac:dyDescent="0.25">
      <c r="A492">
        <v>900014620</v>
      </c>
      <c r="B492" t="s">
        <v>7019</v>
      </c>
      <c r="C492" t="s">
        <v>7930</v>
      </c>
      <c r="D492" t="s">
        <v>7931</v>
      </c>
      <c r="E492">
        <v>12</v>
      </c>
      <c r="F492">
        <v>0.89800000000000002</v>
      </c>
      <c r="G492" t="s">
        <v>7509</v>
      </c>
      <c r="H492">
        <v>0</v>
      </c>
      <c r="I492" t="s">
        <v>7932</v>
      </c>
      <c r="J492" t="s">
        <v>7933</v>
      </c>
      <c r="K492">
        <v>1</v>
      </c>
      <c r="L492" s="189">
        <v>45404</v>
      </c>
      <c r="M492" t="s">
        <v>8200</v>
      </c>
      <c r="O492">
        <v>-31.650077199999998</v>
      </c>
      <c r="P492">
        <v>-60.707554899999998</v>
      </c>
      <c r="Q492">
        <v>45400</v>
      </c>
      <c r="R492">
        <v>96</v>
      </c>
      <c r="S492">
        <f>VLOOKUP(F492,'VALORES DIST'!$A$3:$B$27,2,TRUE)</f>
        <v>11816.268749999999</v>
      </c>
    </row>
    <row r="493" spans="1:19" x14ac:dyDescent="0.25">
      <c r="A493">
        <v>900014619</v>
      </c>
      <c r="B493" t="s">
        <v>7019</v>
      </c>
      <c r="C493" t="s">
        <v>7930</v>
      </c>
      <c r="D493" t="s">
        <v>7931</v>
      </c>
      <c r="E493">
        <v>201</v>
      </c>
      <c r="F493">
        <v>1.22</v>
      </c>
      <c r="G493" t="s">
        <v>7509</v>
      </c>
      <c r="H493">
        <v>0</v>
      </c>
      <c r="I493" t="s">
        <v>7932</v>
      </c>
      <c r="J493" t="s">
        <v>7933</v>
      </c>
      <c r="K493">
        <v>1</v>
      </c>
      <c r="L493" s="189">
        <v>45404</v>
      </c>
      <c r="M493" t="s">
        <v>8200</v>
      </c>
      <c r="O493">
        <v>-31.650077199999998</v>
      </c>
      <c r="P493">
        <v>-60.707554899999998</v>
      </c>
      <c r="Q493">
        <v>45400</v>
      </c>
      <c r="R493">
        <v>96</v>
      </c>
      <c r="S493">
        <f>VLOOKUP(F493,'VALORES DIST'!$A$3:$B$27,2,TRUE)</f>
        <v>11816.268749999999</v>
      </c>
    </row>
    <row r="494" spans="1:19" x14ac:dyDescent="0.25">
      <c r="A494">
        <v>900014617</v>
      </c>
      <c r="B494" t="s">
        <v>7267</v>
      </c>
      <c r="C494" t="s">
        <v>8236</v>
      </c>
      <c r="D494" t="s">
        <v>7801</v>
      </c>
      <c r="E494">
        <v>240</v>
      </c>
      <c r="F494">
        <v>0.94199999999999995</v>
      </c>
      <c r="G494" t="s">
        <v>7509</v>
      </c>
      <c r="H494">
        <v>0</v>
      </c>
      <c r="I494" t="s">
        <v>8231</v>
      </c>
      <c r="J494" t="s">
        <v>8237</v>
      </c>
      <c r="K494">
        <v>1</v>
      </c>
      <c r="L494" s="189">
        <v>45404</v>
      </c>
      <c r="M494" t="s">
        <v>8200</v>
      </c>
      <c r="O494">
        <v>-31.610657799999998</v>
      </c>
      <c r="P494">
        <v>-60.697293999999999</v>
      </c>
      <c r="Q494">
        <v>45400</v>
      </c>
      <c r="R494">
        <v>96</v>
      </c>
      <c r="S494">
        <f>VLOOKUP(F494,'VALORES DIST'!$A$3:$B$27,2,TRUE)</f>
        <v>11816.268749999999</v>
      </c>
    </row>
    <row r="495" spans="1:19" x14ac:dyDescent="0.25">
      <c r="A495">
        <v>900014616</v>
      </c>
      <c r="B495" t="s">
        <v>7267</v>
      </c>
      <c r="C495" t="s">
        <v>8236</v>
      </c>
      <c r="D495" t="s">
        <v>7801</v>
      </c>
      <c r="E495">
        <v>484</v>
      </c>
      <c r="F495">
        <v>0.94679999999999997</v>
      </c>
      <c r="G495" t="s">
        <v>7509</v>
      </c>
      <c r="H495">
        <v>0</v>
      </c>
      <c r="I495" t="s">
        <v>8231</v>
      </c>
      <c r="J495" t="s">
        <v>8237</v>
      </c>
      <c r="K495">
        <v>1</v>
      </c>
      <c r="L495" s="189">
        <v>45404</v>
      </c>
      <c r="M495" t="s">
        <v>8200</v>
      </c>
      <c r="O495">
        <v>-31.610657799999998</v>
      </c>
      <c r="P495">
        <v>-60.697293999999999</v>
      </c>
      <c r="Q495">
        <v>45400</v>
      </c>
      <c r="R495">
        <v>96</v>
      </c>
      <c r="S495">
        <f>VLOOKUP(F495,'VALORES DIST'!$A$3:$B$27,2,TRUE)</f>
        <v>11816.268749999999</v>
      </c>
    </row>
    <row r="496" spans="1:19" x14ac:dyDescent="0.25">
      <c r="A496">
        <v>100000014</v>
      </c>
      <c r="B496" t="s">
        <v>3117</v>
      </c>
      <c r="C496" t="s">
        <v>8068</v>
      </c>
      <c r="D496" t="s">
        <v>7794</v>
      </c>
      <c r="H496">
        <v>0</v>
      </c>
      <c r="I496">
        <v>0</v>
      </c>
      <c r="J496">
        <v>0</v>
      </c>
      <c r="K496">
        <v>1</v>
      </c>
      <c r="L496" s="189">
        <v>45404</v>
      </c>
      <c r="M496" t="s">
        <v>8200</v>
      </c>
      <c r="O496">
        <v>-346290028</v>
      </c>
      <c r="P496">
        <v>-584337594</v>
      </c>
      <c r="S496">
        <f>VLOOKUP(F496,'VALORES DIST'!$A$3:$B$27,2,TRUE)</f>
        <v>11816.268749999999</v>
      </c>
    </row>
    <row r="497" spans="1:19" x14ac:dyDescent="0.25">
      <c r="A497">
        <v>100000013</v>
      </c>
      <c r="B497" t="s">
        <v>3117</v>
      </c>
      <c r="C497" t="s">
        <v>8068</v>
      </c>
      <c r="D497" t="s">
        <v>7794</v>
      </c>
      <c r="H497">
        <v>0</v>
      </c>
      <c r="I497">
        <v>0</v>
      </c>
      <c r="J497">
        <v>0</v>
      </c>
      <c r="K497">
        <v>1</v>
      </c>
      <c r="L497" s="189">
        <v>45404</v>
      </c>
      <c r="M497" t="s">
        <v>8200</v>
      </c>
      <c r="O497">
        <v>-346290028</v>
      </c>
      <c r="P497">
        <v>-584337594</v>
      </c>
      <c r="S497">
        <f>VLOOKUP(F497,'VALORES DIST'!$A$3:$B$27,2,TRUE)</f>
        <v>11816.268749999999</v>
      </c>
    </row>
    <row r="498" spans="1:19" x14ac:dyDescent="0.25">
      <c r="A498">
        <v>900014615</v>
      </c>
      <c r="B498" t="s">
        <v>7323</v>
      </c>
      <c r="C498" t="s">
        <v>8217</v>
      </c>
      <c r="D498" t="s">
        <v>7794</v>
      </c>
      <c r="E498">
        <v>158</v>
      </c>
      <c r="F498">
        <v>0.6</v>
      </c>
      <c r="G498" t="s">
        <v>7509</v>
      </c>
      <c r="H498">
        <v>0</v>
      </c>
      <c r="I498" t="s">
        <v>7805</v>
      </c>
      <c r="J498">
        <v>0</v>
      </c>
      <c r="K498">
        <v>1</v>
      </c>
      <c r="L498" s="189">
        <v>45405</v>
      </c>
      <c r="M498" t="s">
        <v>8200</v>
      </c>
      <c r="O498">
        <v>-34.603684399999999</v>
      </c>
      <c r="P498">
        <v>-58.381559099999997</v>
      </c>
      <c r="Q498">
        <v>45400</v>
      </c>
      <c r="R498">
        <v>120</v>
      </c>
      <c r="S498">
        <f>VLOOKUP(F498,'VALORES DIST'!$A$3:$B$27,2,TRUE)</f>
        <v>11816.268749999999</v>
      </c>
    </row>
    <row r="499" spans="1:19" x14ac:dyDescent="0.25">
      <c r="A499">
        <v>900014634</v>
      </c>
      <c r="B499" t="s">
        <v>8238</v>
      </c>
      <c r="C499" t="s">
        <v>8239</v>
      </c>
      <c r="D499" t="s">
        <v>7993</v>
      </c>
      <c r="E499">
        <v>236</v>
      </c>
      <c r="F499">
        <v>1.452</v>
      </c>
      <c r="G499" t="s">
        <v>7509</v>
      </c>
      <c r="H499" t="s">
        <v>8240</v>
      </c>
      <c r="I499" t="s">
        <v>7787</v>
      </c>
      <c r="J499" t="s">
        <v>7788</v>
      </c>
      <c r="K499">
        <v>2</v>
      </c>
      <c r="L499" s="189">
        <v>45405</v>
      </c>
      <c r="M499" t="s">
        <v>8200</v>
      </c>
      <c r="Q499">
        <v>45400</v>
      </c>
      <c r="R499">
        <v>120</v>
      </c>
      <c r="S499">
        <f>VLOOKUP(F499,'VALORES DIST'!$A$3:$B$27,2,TRUE)</f>
        <v>11816.268749999999</v>
      </c>
    </row>
    <row r="500" spans="1:19" x14ac:dyDescent="0.25">
      <c r="A500">
        <v>900014633</v>
      </c>
      <c r="B500" t="s">
        <v>8238</v>
      </c>
      <c r="C500" t="s">
        <v>8239</v>
      </c>
      <c r="D500" t="s">
        <v>7993</v>
      </c>
      <c r="E500">
        <v>442</v>
      </c>
      <c r="F500">
        <v>0.99399999999999999</v>
      </c>
      <c r="G500" t="s">
        <v>7509</v>
      </c>
      <c r="H500" t="s">
        <v>8240</v>
      </c>
      <c r="I500" t="s">
        <v>7787</v>
      </c>
      <c r="J500" t="s">
        <v>7788</v>
      </c>
      <c r="K500">
        <v>2</v>
      </c>
      <c r="L500" s="189">
        <v>45405</v>
      </c>
      <c r="M500" t="s">
        <v>8200</v>
      </c>
      <c r="Q500">
        <v>45400</v>
      </c>
      <c r="R500">
        <v>120</v>
      </c>
      <c r="S500">
        <f>VLOOKUP(F500,'VALORES DIST'!$A$3:$B$27,2,TRUE)</f>
        <v>11816.268749999999</v>
      </c>
    </row>
    <row r="501" spans="1:19" x14ac:dyDescent="0.25">
      <c r="A501">
        <v>900014630</v>
      </c>
      <c r="B501" t="s">
        <v>7050</v>
      </c>
      <c r="C501" t="s">
        <v>7951</v>
      </c>
      <c r="D501" t="s">
        <v>7952</v>
      </c>
      <c r="E501">
        <v>2</v>
      </c>
      <c r="F501">
        <v>0.04</v>
      </c>
      <c r="G501" t="s">
        <v>7509</v>
      </c>
      <c r="H501">
        <v>0</v>
      </c>
      <c r="I501" t="s">
        <v>7953</v>
      </c>
      <c r="J501" t="s">
        <v>7954</v>
      </c>
      <c r="K501">
        <v>1</v>
      </c>
      <c r="L501" s="189">
        <v>45405</v>
      </c>
      <c r="M501" t="s">
        <v>8200</v>
      </c>
      <c r="O501">
        <v>-34.590153000000001</v>
      </c>
      <c r="P501">
        <v>-60.9453022</v>
      </c>
      <c r="Q501">
        <v>45400</v>
      </c>
      <c r="R501">
        <v>120</v>
      </c>
      <c r="S501">
        <f>VLOOKUP(F501,'VALORES DIST'!$A$3:$B$27,2,TRUE)</f>
        <v>11816.268749999999</v>
      </c>
    </row>
    <row r="502" spans="1:19" x14ac:dyDescent="0.25">
      <c r="A502">
        <v>900014629</v>
      </c>
      <c r="B502" t="s">
        <v>7050</v>
      </c>
      <c r="C502" t="s">
        <v>7951</v>
      </c>
      <c r="D502" t="s">
        <v>7952</v>
      </c>
      <c r="E502">
        <v>213</v>
      </c>
      <c r="F502">
        <v>0.62119999999999997</v>
      </c>
      <c r="G502" t="s">
        <v>7509</v>
      </c>
      <c r="H502">
        <v>0</v>
      </c>
      <c r="I502" t="s">
        <v>7953</v>
      </c>
      <c r="J502" t="s">
        <v>7954</v>
      </c>
      <c r="K502">
        <v>1</v>
      </c>
      <c r="L502" s="189">
        <v>45405</v>
      </c>
      <c r="M502" t="s">
        <v>8200</v>
      </c>
      <c r="O502">
        <v>-34.590153000000001</v>
      </c>
      <c r="P502">
        <v>-60.9453022</v>
      </c>
      <c r="Q502">
        <v>45400</v>
      </c>
      <c r="R502">
        <v>120</v>
      </c>
      <c r="S502">
        <f>VLOOKUP(F502,'VALORES DIST'!$A$3:$B$27,2,TRUE)</f>
        <v>11816.268749999999</v>
      </c>
    </row>
    <row r="503" spans="1:19" x14ac:dyDescent="0.25">
      <c r="A503">
        <v>900014628</v>
      </c>
      <c r="B503" t="s">
        <v>7050</v>
      </c>
      <c r="C503" t="s">
        <v>7951</v>
      </c>
      <c r="D503" t="s">
        <v>7952</v>
      </c>
      <c r="E503">
        <v>209</v>
      </c>
      <c r="F503">
        <v>1.667</v>
      </c>
      <c r="G503" t="s">
        <v>7509</v>
      </c>
      <c r="H503">
        <v>0</v>
      </c>
      <c r="I503" t="s">
        <v>7953</v>
      </c>
      <c r="J503" t="s">
        <v>7954</v>
      </c>
      <c r="K503">
        <v>1</v>
      </c>
      <c r="L503" s="189">
        <v>45405</v>
      </c>
      <c r="M503" t="s">
        <v>8200</v>
      </c>
      <c r="O503">
        <v>-34.590153000000001</v>
      </c>
      <c r="P503">
        <v>-60.9453022</v>
      </c>
      <c r="Q503">
        <v>45400</v>
      </c>
      <c r="R503">
        <v>120</v>
      </c>
      <c r="S503">
        <f>VLOOKUP(F503,'VALORES DIST'!$A$3:$B$27,2,TRUE)</f>
        <v>11816.268749999999</v>
      </c>
    </row>
    <row r="504" spans="1:19" x14ac:dyDescent="0.25">
      <c r="A504">
        <v>900014618</v>
      </c>
      <c r="B504" t="s">
        <v>8241</v>
      </c>
      <c r="C504" t="s">
        <v>8053</v>
      </c>
      <c r="D504" t="s">
        <v>8054</v>
      </c>
      <c r="E504">
        <v>26</v>
      </c>
      <c r="F504">
        <v>0.76200000000000001</v>
      </c>
      <c r="G504" t="s">
        <v>7509</v>
      </c>
      <c r="H504">
        <v>0</v>
      </c>
      <c r="I504" t="s">
        <v>8055</v>
      </c>
      <c r="J504" t="s">
        <v>8056</v>
      </c>
      <c r="K504">
        <v>1</v>
      </c>
      <c r="L504" s="189">
        <v>45405</v>
      </c>
      <c r="M504" t="s">
        <v>8200</v>
      </c>
      <c r="O504">
        <v>-35.810716599999999</v>
      </c>
      <c r="P504">
        <v>-61.898783199999997</v>
      </c>
      <c r="Q504">
        <v>45400</v>
      </c>
      <c r="R504">
        <v>120</v>
      </c>
      <c r="S504">
        <f>VLOOKUP(F504,'VALORES DIST'!$A$3:$B$27,2,TRUE)</f>
        <v>11816.268749999999</v>
      </c>
    </row>
    <row r="505" spans="1:19" x14ac:dyDescent="0.25">
      <c r="A505">
        <v>900014613</v>
      </c>
      <c r="B505" t="s">
        <v>7309</v>
      </c>
      <c r="C505" t="s">
        <v>8242</v>
      </c>
      <c r="D505" t="s">
        <v>7998</v>
      </c>
      <c r="E505">
        <v>65</v>
      </c>
      <c r="F505">
        <v>0.91100000000000003</v>
      </c>
      <c r="G505" t="s">
        <v>7509</v>
      </c>
      <c r="H505">
        <v>0</v>
      </c>
      <c r="I505" t="s">
        <v>8243</v>
      </c>
      <c r="J505">
        <v>0</v>
      </c>
      <c r="K505">
        <v>1</v>
      </c>
      <c r="L505" s="189">
        <v>45405</v>
      </c>
      <c r="M505" t="s">
        <v>8200</v>
      </c>
      <c r="O505">
        <v>-34.915106899999998</v>
      </c>
      <c r="P505">
        <v>-57.942231900000003</v>
      </c>
      <c r="Q505">
        <v>45400</v>
      </c>
      <c r="R505">
        <v>120</v>
      </c>
      <c r="S505">
        <f>VLOOKUP(F505,'VALORES DIST'!$A$3:$B$27,2,TRUE)</f>
        <v>11816.268749999999</v>
      </c>
    </row>
    <row r="506" spans="1:19" x14ac:dyDescent="0.25">
      <c r="A506">
        <v>900014611</v>
      </c>
      <c r="B506" t="s">
        <v>7003</v>
      </c>
      <c r="C506" t="s">
        <v>7916</v>
      </c>
      <c r="D506" t="s">
        <v>7917</v>
      </c>
      <c r="E506">
        <v>40</v>
      </c>
      <c r="F506">
        <v>0.26</v>
      </c>
      <c r="G506" t="s">
        <v>7509</v>
      </c>
      <c r="H506">
        <v>0</v>
      </c>
      <c r="I506" t="s">
        <v>7918</v>
      </c>
      <c r="J506" t="s">
        <v>7919</v>
      </c>
      <c r="K506">
        <v>1</v>
      </c>
      <c r="L506" s="189">
        <v>45405</v>
      </c>
      <c r="M506" t="s">
        <v>8200</v>
      </c>
      <c r="O506">
        <v>-34.866941199999999</v>
      </c>
      <c r="P506">
        <v>-58.042709700000003</v>
      </c>
      <c r="Q506">
        <v>45400</v>
      </c>
      <c r="R506">
        <v>120</v>
      </c>
      <c r="S506">
        <f>VLOOKUP(F506,'VALORES DIST'!$A$3:$B$27,2,TRUE)</f>
        <v>11816.268749999999</v>
      </c>
    </row>
    <row r="507" spans="1:19" x14ac:dyDescent="0.25">
      <c r="A507">
        <v>900014610</v>
      </c>
      <c r="B507" t="s">
        <v>7003</v>
      </c>
      <c r="C507" t="s">
        <v>7916</v>
      </c>
      <c r="D507" t="s">
        <v>7917</v>
      </c>
      <c r="E507">
        <v>400</v>
      </c>
      <c r="F507">
        <v>0.90639999999999998</v>
      </c>
      <c r="G507" t="s">
        <v>7509</v>
      </c>
      <c r="H507">
        <v>0</v>
      </c>
      <c r="I507" t="s">
        <v>7918</v>
      </c>
      <c r="J507" t="s">
        <v>7919</v>
      </c>
      <c r="K507">
        <v>1</v>
      </c>
      <c r="L507" s="189">
        <v>45405</v>
      </c>
      <c r="M507" t="s">
        <v>8200</v>
      </c>
      <c r="O507">
        <v>-34.866941199999999</v>
      </c>
      <c r="P507">
        <v>-58.042709700000003</v>
      </c>
      <c r="Q507">
        <v>45400</v>
      </c>
      <c r="R507">
        <v>120</v>
      </c>
      <c r="S507">
        <f>VLOOKUP(F507,'VALORES DIST'!$A$3:$B$27,2,TRUE)</f>
        <v>11816.268749999999</v>
      </c>
    </row>
    <row r="508" spans="1:19" x14ac:dyDescent="0.25">
      <c r="A508">
        <v>900014609</v>
      </c>
      <c r="B508" t="s">
        <v>7003</v>
      </c>
      <c r="C508" t="s">
        <v>7916</v>
      </c>
      <c r="D508" t="s">
        <v>7917</v>
      </c>
      <c r="E508">
        <v>286</v>
      </c>
      <c r="F508">
        <v>1.6459999999999999</v>
      </c>
      <c r="G508" t="s">
        <v>7509</v>
      </c>
      <c r="H508">
        <v>0</v>
      </c>
      <c r="I508" t="s">
        <v>7918</v>
      </c>
      <c r="J508" t="s">
        <v>7919</v>
      </c>
      <c r="K508">
        <v>1</v>
      </c>
      <c r="L508" s="189">
        <v>45405</v>
      </c>
      <c r="M508" t="s">
        <v>8200</v>
      </c>
      <c r="O508">
        <v>-34.866941199999999</v>
      </c>
      <c r="P508">
        <v>-58.042709700000003</v>
      </c>
      <c r="Q508">
        <v>45400</v>
      </c>
      <c r="R508">
        <v>120</v>
      </c>
      <c r="S508">
        <f>VLOOKUP(F508,'VALORES DIST'!$A$3:$B$27,2,TRUE)</f>
        <v>11816.268749999999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99"/>
  <sheetViews>
    <sheetView workbookViewId="0">
      <selection activeCell="J16" sqref="J16"/>
    </sheetView>
  </sheetViews>
  <sheetFormatPr baseColWidth="10" defaultColWidth="14.42578125" defaultRowHeight="15" customHeight="1" x14ac:dyDescent="0.25"/>
  <cols>
    <col min="1" max="1" width="32.7109375" bestFit="1" customWidth="1"/>
    <col min="2" max="2" width="14.42578125" style="116" bestFit="1" customWidth="1"/>
    <col min="3" max="4" width="10.7109375" customWidth="1"/>
    <col min="5" max="5" width="25.85546875" bestFit="1" customWidth="1"/>
    <col min="6" max="26" width="10.7109375" customWidth="1"/>
  </cols>
  <sheetData>
    <row r="1" spans="1:2" ht="18.75" x14ac:dyDescent="0.3">
      <c r="A1" s="91" t="s">
        <v>7431</v>
      </c>
      <c r="B1" s="204" t="s">
        <v>7432</v>
      </c>
    </row>
    <row r="2" spans="1:2" x14ac:dyDescent="0.25">
      <c r="A2" s="15" t="s">
        <v>7433</v>
      </c>
      <c r="B2" s="204">
        <v>210000</v>
      </c>
    </row>
    <row r="3" spans="1:2" x14ac:dyDescent="0.25">
      <c r="A3" s="15" t="s">
        <v>7434</v>
      </c>
      <c r="B3" s="204">
        <v>105000</v>
      </c>
    </row>
    <row r="4" spans="1:2" x14ac:dyDescent="0.25">
      <c r="A4" s="15" t="s">
        <v>7435</v>
      </c>
      <c r="B4" s="204">
        <v>95000</v>
      </c>
    </row>
    <row r="5" spans="1:2" x14ac:dyDescent="0.25">
      <c r="A5" s="15" t="s">
        <v>7436</v>
      </c>
      <c r="B5" s="204">
        <v>210000</v>
      </c>
    </row>
    <row r="6" spans="1:2" x14ac:dyDescent="0.25">
      <c r="A6" s="15" t="s">
        <v>7437</v>
      </c>
      <c r="B6" s="204">
        <v>420000</v>
      </c>
    </row>
    <row r="7" spans="1:2" x14ac:dyDescent="0.25">
      <c r="A7" s="15" t="s">
        <v>7438</v>
      </c>
      <c r="B7" s="204">
        <v>630000</v>
      </c>
    </row>
    <row r="8" spans="1:2" x14ac:dyDescent="0.25">
      <c r="A8" s="15" t="s">
        <v>7439</v>
      </c>
      <c r="B8" s="204">
        <v>840000</v>
      </c>
    </row>
    <row r="9" spans="1:2" x14ac:dyDescent="0.25">
      <c r="A9" s="15" t="s">
        <v>7440</v>
      </c>
      <c r="B9" s="204">
        <v>95000</v>
      </c>
    </row>
    <row r="10" spans="1:2" x14ac:dyDescent="0.25">
      <c r="A10" s="15" t="s">
        <v>7441</v>
      </c>
      <c r="B10" s="204">
        <v>210000</v>
      </c>
    </row>
    <row r="11" spans="1:2" x14ac:dyDescent="0.25">
      <c r="A11" s="15" t="s">
        <v>7442</v>
      </c>
      <c r="B11" s="204">
        <v>160000</v>
      </c>
    </row>
    <row r="12" spans="1:2" x14ac:dyDescent="0.25">
      <c r="A12" s="15" t="s">
        <v>7443</v>
      </c>
      <c r="B12" s="204">
        <v>210000</v>
      </c>
    </row>
    <row r="13" spans="1:2" x14ac:dyDescent="0.25">
      <c r="A13" s="15" t="s">
        <v>7444</v>
      </c>
      <c r="B13" s="204">
        <v>210000</v>
      </c>
    </row>
    <row r="14" spans="1:2" ht="15" customHeight="1" x14ac:dyDescent="0.25">
      <c r="A14" t="s">
        <v>7671</v>
      </c>
      <c r="B14" s="116">
        <v>315000</v>
      </c>
    </row>
    <row r="15" spans="1:2" ht="15" customHeight="1" x14ac:dyDescent="0.25">
      <c r="A15" t="s">
        <v>7673</v>
      </c>
      <c r="B15" s="116">
        <v>420000</v>
      </c>
    </row>
    <row r="16" spans="1:2" ht="15" customHeight="1" x14ac:dyDescent="0.25">
      <c r="A16" s="206" t="s">
        <v>7713</v>
      </c>
      <c r="B16" s="116">
        <v>6300</v>
      </c>
    </row>
    <row r="17" spans="1:2" ht="15" customHeight="1" x14ac:dyDescent="0.25">
      <c r="A17" s="206" t="s">
        <v>7714</v>
      </c>
      <c r="B17" s="116">
        <v>840000</v>
      </c>
    </row>
    <row r="18" spans="1:2" ht="15" customHeight="1" x14ac:dyDescent="0.25">
      <c r="A18" s="206" t="s">
        <v>7715</v>
      </c>
      <c r="B18" s="116">
        <v>1050000</v>
      </c>
    </row>
    <row r="19" spans="1:2" ht="15" customHeight="1" x14ac:dyDescent="0.25">
      <c r="A19" s="206" t="s">
        <v>7716</v>
      </c>
      <c r="B19" s="116">
        <v>1260000</v>
      </c>
    </row>
    <row r="20" spans="1:2" ht="15.75" customHeight="1" x14ac:dyDescent="0.25">
      <c r="A20" s="206" t="s">
        <v>7717</v>
      </c>
      <c r="B20" s="116">
        <v>1470000</v>
      </c>
    </row>
    <row r="21" spans="1:2" ht="15.75" customHeight="1" x14ac:dyDescent="0.25">
      <c r="A21" t="s">
        <v>7719</v>
      </c>
      <c r="B21" s="204">
        <v>160000</v>
      </c>
    </row>
    <row r="22" spans="1:2" ht="15.75" customHeight="1" x14ac:dyDescent="0.25">
      <c r="A22" s="206" t="s">
        <v>7720</v>
      </c>
      <c r="B22" s="116">
        <v>210000</v>
      </c>
    </row>
    <row r="23" spans="1:2" ht="15.75" customHeight="1" x14ac:dyDescent="0.25">
      <c r="A23" s="206" t="s">
        <v>7721</v>
      </c>
      <c r="B23" s="116">
        <v>210000</v>
      </c>
    </row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7B80-B128-4651-90DB-169D004BC991}">
  <dimension ref="A1:F178"/>
  <sheetViews>
    <sheetView tabSelected="1" topLeftCell="A52" workbookViewId="0">
      <selection activeCell="N180" sqref="N180"/>
    </sheetView>
  </sheetViews>
  <sheetFormatPr baseColWidth="10" defaultRowHeight="15" x14ac:dyDescent="0.25"/>
  <cols>
    <col min="2" max="2" width="51.7109375" bestFit="1" customWidth="1"/>
    <col min="3" max="3" width="25" bestFit="1" customWidth="1"/>
    <col min="5" max="5" width="9.28515625" customWidth="1"/>
  </cols>
  <sheetData>
    <row r="1" spans="1:6" x14ac:dyDescent="0.25">
      <c r="A1" t="s">
        <v>0</v>
      </c>
      <c r="B1" t="s">
        <v>8409</v>
      </c>
      <c r="C1" t="s">
        <v>7431</v>
      </c>
      <c r="D1" t="s">
        <v>8247</v>
      </c>
      <c r="E1" t="s">
        <v>1116</v>
      </c>
      <c r="F1" t="s">
        <v>7458</v>
      </c>
    </row>
    <row r="2" spans="1:6" x14ac:dyDescent="0.25">
      <c r="A2" s="246">
        <v>45323</v>
      </c>
      <c r="B2" s="248" t="s">
        <v>8285</v>
      </c>
      <c r="C2" s="247" t="s">
        <v>8286</v>
      </c>
      <c r="D2" s="248">
        <v>320000</v>
      </c>
      <c r="E2" s="248">
        <v>12800</v>
      </c>
      <c r="F2" s="208"/>
    </row>
    <row r="3" spans="1:6" x14ac:dyDescent="0.25">
      <c r="A3" s="246">
        <v>45323</v>
      </c>
      <c r="B3" s="248" t="s">
        <v>8287</v>
      </c>
      <c r="C3" s="248" t="s">
        <v>7442</v>
      </c>
      <c r="D3" s="248">
        <v>130000</v>
      </c>
      <c r="E3" s="248">
        <v>7000</v>
      </c>
      <c r="F3" s="208"/>
    </row>
    <row r="4" spans="1:6" x14ac:dyDescent="0.25">
      <c r="A4" s="246">
        <v>45323</v>
      </c>
      <c r="B4" s="248" t="s">
        <v>8288</v>
      </c>
      <c r="C4" s="248" t="s">
        <v>7441</v>
      </c>
      <c r="D4" s="248">
        <v>150000</v>
      </c>
      <c r="E4" s="248">
        <v>6000</v>
      </c>
      <c r="F4" s="208"/>
    </row>
    <row r="5" spans="1:6" x14ac:dyDescent="0.25">
      <c r="A5" s="246">
        <v>45323</v>
      </c>
      <c r="B5" s="248" t="s">
        <v>8288</v>
      </c>
      <c r="C5" s="248" t="s">
        <v>7441</v>
      </c>
      <c r="D5" s="248">
        <v>150000</v>
      </c>
      <c r="E5" s="248">
        <v>6000</v>
      </c>
      <c r="F5" s="208"/>
    </row>
    <row r="6" spans="1:6" x14ac:dyDescent="0.25">
      <c r="A6" s="246">
        <v>45323</v>
      </c>
      <c r="B6" s="248" t="s">
        <v>8289</v>
      </c>
      <c r="C6" s="247" t="s">
        <v>8278</v>
      </c>
      <c r="D6" s="248">
        <v>130000</v>
      </c>
      <c r="E6" s="248">
        <v>23500</v>
      </c>
      <c r="F6" s="208"/>
    </row>
    <row r="7" spans="1:6" x14ac:dyDescent="0.25">
      <c r="A7" s="246">
        <v>45323</v>
      </c>
      <c r="B7" s="248" t="s">
        <v>8289</v>
      </c>
      <c r="C7" s="247" t="s">
        <v>8278</v>
      </c>
      <c r="D7" s="248">
        <v>130000</v>
      </c>
      <c r="E7" s="248">
        <v>23500</v>
      </c>
      <c r="F7" s="208"/>
    </row>
    <row r="8" spans="1:6" x14ac:dyDescent="0.25">
      <c r="A8" s="246">
        <v>45324</v>
      </c>
      <c r="B8" s="248" t="s">
        <v>8290</v>
      </c>
      <c r="C8" s="248">
        <v>40</v>
      </c>
      <c r="D8" s="248">
        <v>160000</v>
      </c>
      <c r="E8" s="248">
        <v>17000</v>
      </c>
      <c r="F8" s="208"/>
    </row>
    <row r="9" spans="1:6" x14ac:dyDescent="0.25">
      <c r="A9" s="246">
        <v>45324</v>
      </c>
      <c r="B9" s="248" t="s">
        <v>8290</v>
      </c>
      <c r="C9" s="248">
        <v>40</v>
      </c>
      <c r="D9" s="248">
        <v>160000</v>
      </c>
      <c r="E9" s="248">
        <v>17000</v>
      </c>
      <c r="F9" s="208"/>
    </row>
    <row r="10" spans="1:6" x14ac:dyDescent="0.25">
      <c r="A10" s="246">
        <v>45324</v>
      </c>
      <c r="B10" s="247" t="s">
        <v>8291</v>
      </c>
      <c r="C10" s="248">
        <v>40</v>
      </c>
      <c r="D10" s="248">
        <v>160000</v>
      </c>
      <c r="E10" s="248">
        <v>17000</v>
      </c>
      <c r="F10" s="208"/>
    </row>
    <row r="11" spans="1:6" x14ac:dyDescent="0.25">
      <c r="A11" s="246">
        <v>45327</v>
      </c>
      <c r="B11" s="248" t="s">
        <v>8292</v>
      </c>
      <c r="C11" s="248" t="s">
        <v>7441</v>
      </c>
      <c r="D11" s="248">
        <v>160000</v>
      </c>
      <c r="E11" s="248">
        <v>6000</v>
      </c>
      <c r="F11" s="208"/>
    </row>
    <row r="12" spans="1:6" x14ac:dyDescent="0.25">
      <c r="A12" s="246">
        <v>45327</v>
      </c>
      <c r="B12" s="248" t="s">
        <v>8292</v>
      </c>
      <c r="C12" s="248" t="s">
        <v>7441</v>
      </c>
      <c r="D12" s="248">
        <v>160000</v>
      </c>
      <c r="E12" s="248">
        <v>6000</v>
      </c>
      <c r="F12" s="208"/>
    </row>
    <row r="13" spans="1:6" x14ac:dyDescent="0.25">
      <c r="A13" s="246">
        <v>45327</v>
      </c>
      <c r="B13" s="248" t="s">
        <v>8293</v>
      </c>
      <c r="C13" s="248" t="s">
        <v>7441</v>
      </c>
      <c r="D13" s="248">
        <v>225000</v>
      </c>
      <c r="E13" s="248">
        <v>6000</v>
      </c>
      <c r="F13" s="208"/>
    </row>
    <row r="14" spans="1:6" x14ac:dyDescent="0.25">
      <c r="A14" s="246">
        <v>45327</v>
      </c>
      <c r="B14" s="248" t="s">
        <v>8294</v>
      </c>
      <c r="C14" s="248" t="s">
        <v>8276</v>
      </c>
      <c r="D14" s="248">
        <v>450000</v>
      </c>
      <c r="E14" s="248">
        <v>23000</v>
      </c>
      <c r="F14" s="208"/>
    </row>
    <row r="15" spans="1:6" x14ac:dyDescent="0.25">
      <c r="A15" s="246">
        <v>45328</v>
      </c>
      <c r="B15" s="247" t="s">
        <v>8295</v>
      </c>
      <c r="C15" s="247" t="s">
        <v>7441</v>
      </c>
      <c r="D15" s="248">
        <v>160000</v>
      </c>
      <c r="E15" s="248">
        <v>5600</v>
      </c>
      <c r="F15" s="208"/>
    </row>
    <row r="16" spans="1:6" x14ac:dyDescent="0.25">
      <c r="A16" s="246">
        <v>45328</v>
      </c>
      <c r="B16" s="247" t="s">
        <v>8296</v>
      </c>
      <c r="C16" s="247" t="s">
        <v>7441</v>
      </c>
      <c r="D16" s="248">
        <v>225000</v>
      </c>
      <c r="E16" s="248">
        <v>5600</v>
      </c>
      <c r="F16" s="208"/>
    </row>
    <row r="17" spans="1:6" x14ac:dyDescent="0.25">
      <c r="A17" s="246">
        <v>45328</v>
      </c>
      <c r="B17" s="248" t="s">
        <v>8297</v>
      </c>
      <c r="C17" s="248" t="s">
        <v>8278</v>
      </c>
      <c r="D17" s="248">
        <v>13000</v>
      </c>
      <c r="E17" s="248">
        <v>23500</v>
      </c>
      <c r="F17" s="208"/>
    </row>
    <row r="18" spans="1:6" x14ac:dyDescent="0.25">
      <c r="A18" s="246">
        <v>45329</v>
      </c>
      <c r="B18" s="247" t="s">
        <v>8298</v>
      </c>
      <c r="C18" s="248" t="s">
        <v>8299</v>
      </c>
      <c r="D18" s="248">
        <v>95000</v>
      </c>
      <c r="E18" s="248"/>
      <c r="F18" s="208"/>
    </row>
    <row r="19" spans="1:6" x14ac:dyDescent="0.25">
      <c r="A19" s="246">
        <v>45329</v>
      </c>
      <c r="B19" s="247" t="s">
        <v>8298</v>
      </c>
      <c r="C19" s="248" t="s">
        <v>8299</v>
      </c>
      <c r="D19" s="248">
        <v>95000</v>
      </c>
      <c r="E19" s="248"/>
      <c r="F19" s="208"/>
    </row>
    <row r="20" spans="1:6" x14ac:dyDescent="0.25">
      <c r="A20" s="246">
        <v>45329</v>
      </c>
      <c r="B20" s="247" t="s">
        <v>8300</v>
      </c>
      <c r="C20" s="247" t="s">
        <v>8280</v>
      </c>
      <c r="D20" s="248">
        <v>130000</v>
      </c>
      <c r="E20" s="248">
        <v>5500</v>
      </c>
      <c r="F20" s="208"/>
    </row>
    <row r="21" spans="1:6" x14ac:dyDescent="0.25">
      <c r="A21" s="246">
        <v>45329</v>
      </c>
      <c r="B21" s="247" t="s">
        <v>8301</v>
      </c>
      <c r="C21" s="247" t="s">
        <v>8280</v>
      </c>
      <c r="D21" s="248">
        <v>130000</v>
      </c>
      <c r="E21" s="248">
        <v>5500</v>
      </c>
      <c r="F21" s="208"/>
    </row>
    <row r="22" spans="1:6" x14ac:dyDescent="0.25">
      <c r="A22" s="246">
        <v>45330</v>
      </c>
      <c r="B22" s="247" t="s">
        <v>8302</v>
      </c>
      <c r="C22" s="248" t="s">
        <v>7441</v>
      </c>
      <c r="D22" s="248">
        <v>160000</v>
      </c>
      <c r="E22" s="248">
        <v>8800</v>
      </c>
      <c r="F22" s="249" t="s">
        <v>7465</v>
      </c>
    </row>
    <row r="23" spans="1:6" x14ac:dyDescent="0.25">
      <c r="A23" s="246">
        <v>45330</v>
      </c>
      <c r="B23" s="248" t="s">
        <v>8303</v>
      </c>
      <c r="C23" s="248" t="s">
        <v>8278</v>
      </c>
      <c r="D23" s="248">
        <v>130000</v>
      </c>
      <c r="E23" s="248">
        <v>23500</v>
      </c>
      <c r="F23" s="249" t="s">
        <v>7470</v>
      </c>
    </row>
    <row r="24" spans="1:6" x14ac:dyDescent="0.25">
      <c r="A24" s="246">
        <v>45330</v>
      </c>
      <c r="B24" s="248" t="s">
        <v>8304</v>
      </c>
      <c r="C24" s="248" t="s">
        <v>8278</v>
      </c>
      <c r="D24" s="248">
        <v>130000</v>
      </c>
      <c r="E24" s="248">
        <v>23500</v>
      </c>
      <c r="F24" s="249" t="s">
        <v>7474</v>
      </c>
    </row>
    <row r="25" spans="1:6" x14ac:dyDescent="0.25">
      <c r="A25" s="246">
        <v>45330</v>
      </c>
      <c r="B25" s="247" t="s">
        <v>8305</v>
      </c>
      <c r="C25" s="247" t="s">
        <v>8278</v>
      </c>
      <c r="D25" s="248">
        <v>130000</v>
      </c>
      <c r="E25" s="248">
        <v>23500</v>
      </c>
      <c r="F25" s="249" t="s">
        <v>7478</v>
      </c>
    </row>
    <row r="26" spans="1:6" x14ac:dyDescent="0.25">
      <c r="A26" s="246">
        <v>45330</v>
      </c>
      <c r="B26" s="247" t="s">
        <v>8305</v>
      </c>
      <c r="C26" s="247" t="s">
        <v>8278</v>
      </c>
      <c r="D26" s="248">
        <v>130000</v>
      </c>
      <c r="E26" s="248">
        <v>23500</v>
      </c>
      <c r="F26" s="249" t="s">
        <v>7465</v>
      </c>
    </row>
    <row r="27" spans="1:6" x14ac:dyDescent="0.25">
      <c r="A27" s="246">
        <v>45331</v>
      </c>
      <c r="B27" s="248" t="s">
        <v>8306</v>
      </c>
      <c r="C27" s="247" t="s">
        <v>8278</v>
      </c>
      <c r="D27" s="248">
        <v>130000</v>
      </c>
      <c r="E27" s="248">
        <v>23500</v>
      </c>
      <c r="F27" s="249" t="s">
        <v>7478</v>
      </c>
    </row>
    <row r="28" spans="1:6" x14ac:dyDescent="0.25">
      <c r="A28" s="246">
        <v>45336</v>
      </c>
      <c r="B28" s="247" t="s">
        <v>8300</v>
      </c>
      <c r="C28" s="247" t="s">
        <v>8276</v>
      </c>
      <c r="D28" s="248">
        <v>420000</v>
      </c>
      <c r="E28" s="248">
        <v>12000</v>
      </c>
      <c r="F28" s="249" t="s">
        <v>7470</v>
      </c>
    </row>
    <row r="29" spans="1:6" x14ac:dyDescent="0.25">
      <c r="A29" s="246">
        <v>45336</v>
      </c>
      <c r="B29" s="247" t="s">
        <v>8301</v>
      </c>
      <c r="C29" s="247" t="s">
        <v>8276</v>
      </c>
      <c r="D29" s="248">
        <v>420000</v>
      </c>
      <c r="E29" s="248">
        <v>12000</v>
      </c>
      <c r="F29" s="249" t="s">
        <v>7474</v>
      </c>
    </row>
    <row r="30" spans="1:6" x14ac:dyDescent="0.25">
      <c r="A30" s="246">
        <v>45337</v>
      </c>
      <c r="B30" s="247" t="s">
        <v>8307</v>
      </c>
      <c r="C30" s="247" t="s">
        <v>7441</v>
      </c>
      <c r="D30" s="248">
        <v>210000</v>
      </c>
      <c r="E30" s="248">
        <v>6400</v>
      </c>
      <c r="F30" s="249" t="s">
        <v>7505</v>
      </c>
    </row>
    <row r="31" spans="1:6" x14ac:dyDescent="0.25">
      <c r="A31" s="246">
        <v>45337</v>
      </c>
      <c r="B31" s="247" t="s">
        <v>8307</v>
      </c>
      <c r="C31" s="247" t="s">
        <v>8281</v>
      </c>
      <c r="D31" s="248">
        <v>420000</v>
      </c>
      <c r="E31" s="248">
        <v>12000</v>
      </c>
      <c r="F31" s="249" t="s">
        <v>7474</v>
      </c>
    </row>
    <row r="32" spans="1:6" x14ac:dyDescent="0.25">
      <c r="A32" s="246">
        <v>45338</v>
      </c>
      <c r="B32" s="248" t="s">
        <v>8308</v>
      </c>
      <c r="C32" s="247" t="s">
        <v>8278</v>
      </c>
      <c r="D32" s="248">
        <v>130000</v>
      </c>
      <c r="E32" s="248">
        <v>23500</v>
      </c>
      <c r="F32" s="208" t="s">
        <v>7490</v>
      </c>
    </row>
    <row r="33" spans="1:6" x14ac:dyDescent="0.25">
      <c r="A33" s="246">
        <v>45338</v>
      </c>
      <c r="B33" s="248" t="s">
        <v>8309</v>
      </c>
      <c r="C33" s="247" t="s">
        <v>8278</v>
      </c>
      <c r="D33" s="248">
        <v>130000</v>
      </c>
      <c r="E33" s="248">
        <v>23500</v>
      </c>
      <c r="F33" s="208" t="s">
        <v>7490</v>
      </c>
    </row>
    <row r="34" spans="1:6" x14ac:dyDescent="0.25">
      <c r="A34" s="246">
        <v>45341</v>
      </c>
      <c r="B34" s="248" t="s">
        <v>8310</v>
      </c>
      <c r="C34" s="248" t="s">
        <v>7441</v>
      </c>
      <c r="D34" s="248">
        <v>225000</v>
      </c>
      <c r="E34" s="248">
        <v>6400</v>
      </c>
      <c r="F34" s="208" t="s">
        <v>7505</v>
      </c>
    </row>
    <row r="35" spans="1:6" x14ac:dyDescent="0.25">
      <c r="A35" s="246">
        <v>45341</v>
      </c>
      <c r="B35" s="248" t="s">
        <v>8310</v>
      </c>
      <c r="C35" s="248" t="s">
        <v>7441</v>
      </c>
      <c r="D35" s="248">
        <v>225000</v>
      </c>
      <c r="E35" s="248">
        <v>6400</v>
      </c>
      <c r="F35" s="208" t="s">
        <v>7470</v>
      </c>
    </row>
    <row r="36" spans="1:6" x14ac:dyDescent="0.25">
      <c r="A36" s="246">
        <v>45341</v>
      </c>
      <c r="B36" s="248" t="s">
        <v>8311</v>
      </c>
      <c r="C36" s="247" t="s">
        <v>8278</v>
      </c>
      <c r="D36" s="248">
        <v>130000</v>
      </c>
      <c r="E36" s="248">
        <v>23500</v>
      </c>
      <c r="F36" s="208" t="s">
        <v>7478</v>
      </c>
    </row>
    <row r="37" spans="1:6" x14ac:dyDescent="0.25">
      <c r="A37" s="246">
        <v>45342</v>
      </c>
      <c r="B37" s="247" t="s">
        <v>8312</v>
      </c>
      <c r="C37" s="247" t="s">
        <v>7441</v>
      </c>
      <c r="D37" s="248">
        <v>150000</v>
      </c>
      <c r="E37" s="248">
        <v>14000</v>
      </c>
      <c r="F37" s="249" t="s">
        <v>7505</v>
      </c>
    </row>
    <row r="38" spans="1:6" hidden="1" x14ac:dyDescent="0.25">
      <c r="A38" s="246">
        <v>45311</v>
      </c>
      <c r="B38" s="247" t="s">
        <v>8313</v>
      </c>
      <c r="C38" s="247" t="s">
        <v>7441</v>
      </c>
      <c r="D38" s="248">
        <v>160000</v>
      </c>
      <c r="E38" s="248">
        <v>14000</v>
      </c>
      <c r="F38" s="249" t="s">
        <v>7470</v>
      </c>
    </row>
    <row r="39" spans="1:6" hidden="1" x14ac:dyDescent="0.25">
      <c r="A39" s="246">
        <v>45311</v>
      </c>
      <c r="B39" s="247" t="s">
        <v>8314</v>
      </c>
      <c r="C39" s="247" t="s">
        <v>7441</v>
      </c>
      <c r="D39" s="248">
        <v>210000</v>
      </c>
      <c r="E39" s="248">
        <v>6400</v>
      </c>
      <c r="F39" s="249" t="s">
        <v>7474</v>
      </c>
    </row>
    <row r="40" spans="1:6" x14ac:dyDescent="0.25">
      <c r="A40" s="246">
        <v>45342</v>
      </c>
      <c r="B40" s="247" t="s">
        <v>8315</v>
      </c>
      <c r="C40" s="248">
        <v>40</v>
      </c>
      <c r="D40" s="248">
        <v>210000</v>
      </c>
      <c r="E40" s="248">
        <v>19000</v>
      </c>
      <c r="F40" s="249" t="s">
        <v>7490</v>
      </c>
    </row>
    <row r="41" spans="1:6" x14ac:dyDescent="0.25">
      <c r="A41" s="246">
        <v>45342</v>
      </c>
      <c r="B41" s="247" t="s">
        <v>8315</v>
      </c>
      <c r="C41" s="248">
        <v>40</v>
      </c>
      <c r="D41" s="248">
        <v>210000</v>
      </c>
      <c r="E41" s="248">
        <v>19000</v>
      </c>
      <c r="F41" s="249" t="s">
        <v>7478</v>
      </c>
    </row>
    <row r="42" spans="1:6" x14ac:dyDescent="0.25">
      <c r="A42" s="246">
        <v>45344</v>
      </c>
      <c r="B42" s="248" t="s">
        <v>8316</v>
      </c>
      <c r="C42" s="248" t="s">
        <v>8283</v>
      </c>
      <c r="D42" s="248">
        <v>480000</v>
      </c>
      <c r="E42" s="248">
        <v>11700</v>
      </c>
      <c r="F42" s="208" t="s">
        <v>7505</v>
      </c>
    </row>
    <row r="43" spans="1:6" x14ac:dyDescent="0.25">
      <c r="A43" s="246">
        <v>45344</v>
      </c>
      <c r="B43" s="248" t="s">
        <v>8317</v>
      </c>
      <c r="C43" s="248" t="s">
        <v>8279</v>
      </c>
      <c r="D43" s="248">
        <v>210000</v>
      </c>
      <c r="E43" s="248">
        <v>18400</v>
      </c>
      <c r="F43" s="208" t="s">
        <v>7474</v>
      </c>
    </row>
    <row r="44" spans="1:6" x14ac:dyDescent="0.25">
      <c r="A44" s="246">
        <v>45344</v>
      </c>
      <c r="B44" s="248" t="s">
        <v>8317</v>
      </c>
      <c r="C44" s="248" t="s">
        <v>8279</v>
      </c>
      <c r="D44" s="248">
        <v>210000</v>
      </c>
      <c r="E44" s="248">
        <v>18400</v>
      </c>
      <c r="F44" s="208" t="s">
        <v>7465</v>
      </c>
    </row>
    <row r="45" spans="1:6" x14ac:dyDescent="0.25">
      <c r="A45" s="246">
        <v>45344</v>
      </c>
      <c r="B45" s="248" t="s">
        <v>8317</v>
      </c>
      <c r="C45" s="248" t="s">
        <v>8279</v>
      </c>
      <c r="D45" s="248">
        <v>210000</v>
      </c>
      <c r="E45" s="248">
        <v>18400</v>
      </c>
      <c r="F45" s="208" t="s">
        <v>7505</v>
      </c>
    </row>
    <row r="46" spans="1:6" x14ac:dyDescent="0.25">
      <c r="A46" s="246">
        <v>45344</v>
      </c>
      <c r="B46" s="248" t="s">
        <v>8318</v>
      </c>
      <c r="C46" s="247" t="s">
        <v>7441</v>
      </c>
      <c r="D46" s="248">
        <v>160000</v>
      </c>
      <c r="E46" s="248">
        <v>5600</v>
      </c>
      <c r="F46" s="249" t="s">
        <v>7478</v>
      </c>
    </row>
    <row r="47" spans="1:6" x14ac:dyDescent="0.25">
      <c r="A47" s="246">
        <v>45344</v>
      </c>
      <c r="B47" s="248" t="s">
        <v>8318</v>
      </c>
      <c r="C47" s="247" t="s">
        <v>7441</v>
      </c>
      <c r="D47" s="248">
        <v>160000</v>
      </c>
      <c r="E47" s="248">
        <v>5600</v>
      </c>
      <c r="F47" s="249" t="s">
        <v>7490</v>
      </c>
    </row>
    <row r="48" spans="1:6" x14ac:dyDescent="0.25">
      <c r="A48" s="246">
        <v>45345</v>
      </c>
      <c r="B48" s="247" t="s">
        <v>8319</v>
      </c>
      <c r="C48" s="247" t="s">
        <v>8277</v>
      </c>
      <c r="D48" s="248">
        <v>195000</v>
      </c>
      <c r="E48" s="248">
        <v>23900</v>
      </c>
      <c r="F48" s="249" t="s">
        <v>7505</v>
      </c>
    </row>
    <row r="49" spans="1:6" x14ac:dyDescent="0.25">
      <c r="A49" s="246">
        <v>45345</v>
      </c>
      <c r="B49" s="248" t="s">
        <v>8320</v>
      </c>
      <c r="C49" s="248">
        <v>40</v>
      </c>
      <c r="D49" s="248">
        <v>21000</v>
      </c>
      <c r="E49" s="248">
        <v>19000</v>
      </c>
      <c r="F49" s="249" t="s">
        <v>7490</v>
      </c>
    </row>
    <row r="50" spans="1:6" x14ac:dyDescent="0.25">
      <c r="A50" s="246">
        <v>45345</v>
      </c>
      <c r="B50" s="247" t="s">
        <v>8321</v>
      </c>
      <c r="C50" s="248">
        <v>40</v>
      </c>
      <c r="D50" s="248">
        <v>160000</v>
      </c>
      <c r="E50" s="248">
        <v>16500</v>
      </c>
      <c r="F50" s="249" t="s">
        <v>7470</v>
      </c>
    </row>
    <row r="51" spans="1:6" x14ac:dyDescent="0.25">
      <c r="A51" s="246">
        <v>45345</v>
      </c>
      <c r="B51" s="247" t="s">
        <v>8322</v>
      </c>
      <c r="C51" s="247" t="s">
        <v>7441</v>
      </c>
      <c r="D51" s="248">
        <v>160000</v>
      </c>
      <c r="E51" s="248">
        <v>5600</v>
      </c>
      <c r="F51" s="249" t="s">
        <v>7474</v>
      </c>
    </row>
    <row r="52" spans="1:6" x14ac:dyDescent="0.25">
      <c r="A52" s="246">
        <v>45345</v>
      </c>
      <c r="B52" s="247" t="s">
        <v>8322</v>
      </c>
      <c r="C52" s="247" t="s">
        <v>7441</v>
      </c>
      <c r="D52" s="248">
        <v>160000</v>
      </c>
      <c r="E52" s="248">
        <v>5600</v>
      </c>
      <c r="F52" s="249" t="s">
        <v>7465</v>
      </c>
    </row>
    <row r="53" spans="1:6" x14ac:dyDescent="0.25">
      <c r="A53" s="246">
        <v>45348</v>
      </c>
      <c r="B53" s="247" t="s">
        <v>8323</v>
      </c>
      <c r="C53" s="247" t="s">
        <v>7442</v>
      </c>
      <c r="D53" s="248">
        <v>105000</v>
      </c>
      <c r="E53" s="248">
        <v>3200</v>
      </c>
      <c r="F53" s="249" t="s">
        <v>7512</v>
      </c>
    </row>
    <row r="54" spans="1:6" x14ac:dyDescent="0.25">
      <c r="A54" s="246">
        <v>45348</v>
      </c>
      <c r="B54" s="247" t="s">
        <v>8324</v>
      </c>
      <c r="C54" s="247" t="s">
        <v>8277</v>
      </c>
      <c r="D54" s="248">
        <v>315000</v>
      </c>
      <c r="E54" s="248">
        <v>30500</v>
      </c>
      <c r="F54" s="249" t="s">
        <v>7490</v>
      </c>
    </row>
    <row r="55" spans="1:6" x14ac:dyDescent="0.25">
      <c r="A55" s="246">
        <v>45348</v>
      </c>
      <c r="B55" s="247" t="s">
        <v>8325</v>
      </c>
      <c r="C55" s="247" t="s">
        <v>7441</v>
      </c>
      <c r="D55" s="248">
        <v>160000</v>
      </c>
      <c r="E55" s="248">
        <v>16500</v>
      </c>
      <c r="F55" s="249" t="s">
        <v>7465</v>
      </c>
    </row>
    <row r="56" spans="1:6" x14ac:dyDescent="0.25">
      <c r="A56" s="246">
        <v>45348</v>
      </c>
      <c r="B56" s="247" t="s">
        <v>8325</v>
      </c>
      <c r="C56" s="247" t="s">
        <v>7441</v>
      </c>
      <c r="D56" s="248">
        <v>160000</v>
      </c>
      <c r="E56" s="248">
        <v>16500</v>
      </c>
      <c r="F56" s="249" t="s">
        <v>7470</v>
      </c>
    </row>
    <row r="57" spans="1:6" x14ac:dyDescent="0.25">
      <c r="A57" s="246">
        <v>45348</v>
      </c>
      <c r="B57" s="247" t="s">
        <v>8326</v>
      </c>
      <c r="C57" s="247" t="s">
        <v>8280</v>
      </c>
      <c r="D57" s="248">
        <v>130000</v>
      </c>
      <c r="E57" s="248">
        <v>5600</v>
      </c>
      <c r="F57" s="249" t="s">
        <v>7490</v>
      </c>
    </row>
    <row r="58" spans="1:6" x14ac:dyDescent="0.25">
      <c r="A58" s="246">
        <v>45349</v>
      </c>
      <c r="B58" s="247" t="s">
        <v>8326</v>
      </c>
      <c r="C58" s="248">
        <v>40</v>
      </c>
      <c r="D58" s="248">
        <v>160000</v>
      </c>
      <c r="E58" s="248">
        <v>13500</v>
      </c>
      <c r="F58" s="249" t="s">
        <v>7470</v>
      </c>
    </row>
    <row r="59" spans="1:6" x14ac:dyDescent="0.25">
      <c r="A59" s="246">
        <v>45349</v>
      </c>
      <c r="B59" s="247" t="s">
        <v>8326</v>
      </c>
      <c r="C59" s="248">
        <v>40</v>
      </c>
      <c r="D59" s="248">
        <v>160000</v>
      </c>
      <c r="E59" s="248">
        <v>13500</v>
      </c>
      <c r="F59" s="249" t="s">
        <v>7505</v>
      </c>
    </row>
    <row r="60" spans="1:6" x14ac:dyDescent="0.25">
      <c r="A60" s="246">
        <v>45349</v>
      </c>
      <c r="B60" s="247" t="s">
        <v>8327</v>
      </c>
      <c r="C60" s="247" t="s">
        <v>8328</v>
      </c>
      <c r="D60" s="248">
        <v>240000</v>
      </c>
      <c r="E60" s="248">
        <v>285000</v>
      </c>
      <c r="F60" s="249" t="s">
        <v>7490</v>
      </c>
    </row>
    <row r="61" spans="1:6" x14ac:dyDescent="0.25">
      <c r="A61" s="246">
        <v>45349</v>
      </c>
      <c r="B61" s="247" t="s">
        <v>8329</v>
      </c>
      <c r="C61" s="247">
        <v>40</v>
      </c>
      <c r="D61" s="248">
        <v>160000</v>
      </c>
      <c r="E61" s="248">
        <v>16500</v>
      </c>
      <c r="F61" s="249" t="s">
        <v>7465</v>
      </c>
    </row>
    <row r="62" spans="1:6" x14ac:dyDescent="0.25">
      <c r="A62" s="246">
        <v>45350</v>
      </c>
      <c r="B62" s="247" t="s">
        <v>8330</v>
      </c>
      <c r="C62" s="247" t="s">
        <v>7441</v>
      </c>
      <c r="D62" s="248">
        <v>160000</v>
      </c>
      <c r="E62" s="248">
        <v>16500</v>
      </c>
      <c r="F62" s="249" t="s">
        <v>7505</v>
      </c>
    </row>
    <row r="63" spans="1:6" x14ac:dyDescent="0.25">
      <c r="A63" s="246">
        <v>45350</v>
      </c>
      <c r="B63" s="247" t="s">
        <v>8330</v>
      </c>
      <c r="C63" s="247" t="s">
        <v>7441</v>
      </c>
      <c r="D63" s="248">
        <v>160000</v>
      </c>
      <c r="E63" s="248">
        <v>16500</v>
      </c>
      <c r="F63" s="249" t="s">
        <v>7465</v>
      </c>
    </row>
    <row r="64" spans="1:6" x14ac:dyDescent="0.25">
      <c r="A64" s="246">
        <v>45350</v>
      </c>
      <c r="B64" s="248" t="s">
        <v>8331</v>
      </c>
      <c r="C64" s="248" t="s">
        <v>8332</v>
      </c>
      <c r="D64" s="248">
        <v>420000</v>
      </c>
      <c r="E64" s="248">
        <v>12000</v>
      </c>
      <c r="F64" s="208" t="s">
        <v>7494</v>
      </c>
    </row>
    <row r="65" spans="1:6" x14ac:dyDescent="0.25">
      <c r="A65" s="246">
        <v>45351</v>
      </c>
      <c r="B65" s="248" t="s">
        <v>8333</v>
      </c>
      <c r="C65" s="248" t="s">
        <v>7442</v>
      </c>
      <c r="D65" s="248">
        <v>130000</v>
      </c>
      <c r="E65" s="248">
        <v>6500</v>
      </c>
      <c r="F65" s="208" t="s">
        <v>7494</v>
      </c>
    </row>
    <row r="66" spans="1:6" hidden="1" x14ac:dyDescent="0.25">
      <c r="A66" s="246">
        <v>45320</v>
      </c>
      <c r="B66" s="248" t="s">
        <v>8334</v>
      </c>
      <c r="C66" s="247" t="s">
        <v>8278</v>
      </c>
      <c r="D66" s="248">
        <v>130000</v>
      </c>
      <c r="E66" s="248">
        <v>23500</v>
      </c>
      <c r="F66" s="208" t="s">
        <v>7465</v>
      </c>
    </row>
    <row r="67" spans="1:6" hidden="1" x14ac:dyDescent="0.25">
      <c r="A67" s="246">
        <v>45320</v>
      </c>
      <c r="B67" s="248" t="s">
        <v>8334</v>
      </c>
      <c r="C67" s="247" t="s">
        <v>8278</v>
      </c>
      <c r="D67" s="248">
        <v>130000</v>
      </c>
      <c r="E67" s="248">
        <v>23500</v>
      </c>
      <c r="F67" s="208" t="s">
        <v>7505</v>
      </c>
    </row>
    <row r="68" spans="1:6" hidden="1" x14ac:dyDescent="0.25">
      <c r="A68" s="246">
        <v>45320</v>
      </c>
      <c r="B68" s="248" t="s">
        <v>8334</v>
      </c>
      <c r="C68" s="247" t="s">
        <v>8278</v>
      </c>
      <c r="D68" s="248">
        <v>130000</v>
      </c>
      <c r="E68" s="248">
        <v>23500</v>
      </c>
      <c r="F68" s="208" t="s">
        <v>7470</v>
      </c>
    </row>
    <row r="69" spans="1:6" hidden="1" x14ac:dyDescent="0.25">
      <c r="A69" s="246">
        <v>45352</v>
      </c>
      <c r="B69" s="248" t="s">
        <v>8335</v>
      </c>
      <c r="C69" s="248" t="s">
        <v>7441</v>
      </c>
      <c r="D69" s="248">
        <v>245000</v>
      </c>
      <c r="E69" s="248">
        <v>6500</v>
      </c>
      <c r="F69" s="208" t="s">
        <v>7505</v>
      </c>
    </row>
    <row r="70" spans="1:6" hidden="1" x14ac:dyDescent="0.25">
      <c r="A70" s="246">
        <v>45352</v>
      </c>
      <c r="B70" s="248" t="s">
        <v>8336</v>
      </c>
      <c r="C70" s="248" t="s">
        <v>7441</v>
      </c>
      <c r="D70" s="248">
        <v>265000</v>
      </c>
      <c r="E70" s="248">
        <v>7500</v>
      </c>
      <c r="F70" s="208" t="s">
        <v>7494</v>
      </c>
    </row>
    <row r="71" spans="1:6" hidden="1" x14ac:dyDescent="0.25">
      <c r="A71" s="246">
        <v>45352</v>
      </c>
      <c r="B71" s="247" t="s">
        <v>8337</v>
      </c>
      <c r="C71" s="247" t="s">
        <v>7441</v>
      </c>
      <c r="D71" s="248">
        <v>225000</v>
      </c>
      <c r="E71" s="248">
        <v>13500</v>
      </c>
      <c r="F71" s="249" t="s">
        <v>7465</v>
      </c>
    </row>
    <row r="72" spans="1:6" hidden="1" x14ac:dyDescent="0.25">
      <c r="A72" s="246">
        <v>45355</v>
      </c>
      <c r="B72" s="247" t="s">
        <v>8338</v>
      </c>
      <c r="C72" s="247" t="s">
        <v>8281</v>
      </c>
      <c r="D72" s="248">
        <v>490000</v>
      </c>
      <c r="E72" s="248">
        <v>5600</v>
      </c>
      <c r="F72" s="249" t="s">
        <v>7478</v>
      </c>
    </row>
    <row r="73" spans="1:6" hidden="1" x14ac:dyDescent="0.25">
      <c r="A73" s="246">
        <v>45356</v>
      </c>
      <c r="B73" s="247" t="s">
        <v>8338</v>
      </c>
      <c r="C73" s="247" t="s">
        <v>7441</v>
      </c>
      <c r="D73" s="248">
        <v>245000</v>
      </c>
      <c r="E73" s="248">
        <v>5600</v>
      </c>
      <c r="F73" s="249" t="s">
        <v>7478</v>
      </c>
    </row>
    <row r="74" spans="1:6" hidden="1" x14ac:dyDescent="0.25">
      <c r="A74" s="246">
        <v>45356</v>
      </c>
      <c r="B74" s="247" t="s">
        <v>8339</v>
      </c>
      <c r="C74" s="247" t="s">
        <v>8279</v>
      </c>
      <c r="D74" s="248">
        <v>225000</v>
      </c>
      <c r="E74" s="248">
        <v>18400</v>
      </c>
      <c r="F74" s="249" t="s">
        <v>7474</v>
      </c>
    </row>
    <row r="75" spans="1:6" hidden="1" x14ac:dyDescent="0.25">
      <c r="A75" s="246">
        <v>45356</v>
      </c>
      <c r="B75" s="247" t="s">
        <v>8339</v>
      </c>
      <c r="C75" s="247" t="s">
        <v>8279</v>
      </c>
      <c r="D75" s="248">
        <v>225000</v>
      </c>
      <c r="E75" s="248">
        <v>18400</v>
      </c>
      <c r="F75" s="249" t="s">
        <v>7465</v>
      </c>
    </row>
    <row r="76" spans="1:6" hidden="1" x14ac:dyDescent="0.25">
      <c r="A76" s="246">
        <v>45356</v>
      </c>
      <c r="B76" s="247" t="s">
        <v>8339</v>
      </c>
      <c r="C76" s="247" t="s">
        <v>8340</v>
      </c>
      <c r="D76" s="248">
        <v>337500</v>
      </c>
      <c r="E76" s="248">
        <v>30300</v>
      </c>
      <c r="F76" s="249" t="s">
        <v>7505</v>
      </c>
    </row>
    <row r="77" spans="1:6" hidden="1" x14ac:dyDescent="0.25">
      <c r="A77" s="246">
        <v>45357</v>
      </c>
      <c r="B77" s="247" t="s">
        <v>8341</v>
      </c>
      <c r="C77" s="248">
        <v>40</v>
      </c>
      <c r="D77" s="248">
        <v>265000</v>
      </c>
      <c r="E77" s="248">
        <v>18500</v>
      </c>
      <c r="F77" s="249" t="s">
        <v>7505</v>
      </c>
    </row>
    <row r="78" spans="1:6" hidden="1" x14ac:dyDescent="0.25">
      <c r="A78" s="246">
        <v>45357</v>
      </c>
      <c r="B78" s="247" t="s">
        <v>8341</v>
      </c>
      <c r="C78" s="248">
        <v>40</v>
      </c>
      <c r="D78" s="248">
        <v>265000</v>
      </c>
      <c r="E78" s="248">
        <v>18500</v>
      </c>
      <c r="F78" s="249" t="s">
        <v>7474</v>
      </c>
    </row>
    <row r="79" spans="1:6" hidden="1" x14ac:dyDescent="0.25">
      <c r="A79" s="246">
        <v>45357</v>
      </c>
      <c r="B79" s="247" t="s">
        <v>8341</v>
      </c>
      <c r="C79" s="248">
        <v>40</v>
      </c>
      <c r="D79" s="248">
        <v>265000</v>
      </c>
      <c r="E79" s="248">
        <v>18500</v>
      </c>
      <c r="F79" s="249" t="s">
        <v>7465</v>
      </c>
    </row>
    <row r="80" spans="1:6" hidden="1" x14ac:dyDescent="0.25">
      <c r="A80" s="246">
        <v>45357</v>
      </c>
      <c r="B80" s="247" t="s">
        <v>8342</v>
      </c>
      <c r="C80" s="248">
        <v>40</v>
      </c>
      <c r="D80" s="248">
        <v>265000</v>
      </c>
      <c r="E80" s="248">
        <v>18500</v>
      </c>
      <c r="F80" s="249" t="s">
        <v>7470</v>
      </c>
    </row>
    <row r="81" spans="1:6" hidden="1" x14ac:dyDescent="0.25">
      <c r="A81" s="246">
        <v>45358</v>
      </c>
      <c r="B81" s="247" t="s">
        <v>8342</v>
      </c>
      <c r="C81" s="248">
        <v>40</v>
      </c>
      <c r="D81" s="248">
        <v>265000</v>
      </c>
      <c r="E81" s="248">
        <v>18500</v>
      </c>
      <c r="F81" s="249" t="s">
        <v>7505</v>
      </c>
    </row>
    <row r="82" spans="1:6" hidden="1" x14ac:dyDescent="0.25">
      <c r="A82" s="246">
        <v>45358</v>
      </c>
      <c r="B82" s="247" t="s">
        <v>8342</v>
      </c>
      <c r="C82" s="248">
        <v>40</v>
      </c>
      <c r="D82" s="248">
        <v>265000</v>
      </c>
      <c r="E82" s="248">
        <v>18500</v>
      </c>
      <c r="F82" s="249" t="s">
        <v>7465</v>
      </c>
    </row>
    <row r="83" spans="1:6" hidden="1" x14ac:dyDescent="0.25">
      <c r="A83" s="246">
        <v>45358</v>
      </c>
      <c r="B83" s="247" t="s">
        <v>8342</v>
      </c>
      <c r="C83" s="248">
        <v>40</v>
      </c>
      <c r="D83" s="248">
        <v>265000</v>
      </c>
      <c r="E83" s="248">
        <v>18500</v>
      </c>
      <c r="F83" s="249" t="s">
        <v>7474</v>
      </c>
    </row>
    <row r="84" spans="1:6" hidden="1" x14ac:dyDescent="0.25">
      <c r="A84" s="246">
        <v>45359</v>
      </c>
      <c r="B84" s="247" t="s">
        <v>8343</v>
      </c>
      <c r="C84" s="247" t="s">
        <v>8276</v>
      </c>
      <c r="D84" s="248">
        <v>450000</v>
      </c>
      <c r="E84" s="248">
        <v>21000</v>
      </c>
      <c r="F84" s="249" t="s">
        <v>7465</v>
      </c>
    </row>
    <row r="85" spans="1:6" hidden="1" x14ac:dyDescent="0.25">
      <c r="A85" s="246">
        <v>45359</v>
      </c>
      <c r="B85" s="247" t="s">
        <v>8344</v>
      </c>
      <c r="C85" s="248">
        <v>40</v>
      </c>
      <c r="D85" s="248">
        <v>225000</v>
      </c>
      <c r="E85" s="248">
        <v>16500</v>
      </c>
      <c r="F85" s="249" t="s">
        <v>7478</v>
      </c>
    </row>
    <row r="86" spans="1:6" hidden="1" x14ac:dyDescent="0.25">
      <c r="A86" s="246">
        <v>45359</v>
      </c>
      <c r="B86" s="247" t="s">
        <v>8344</v>
      </c>
      <c r="C86" s="247" t="s">
        <v>8284</v>
      </c>
      <c r="D86" s="248">
        <v>337500</v>
      </c>
      <c r="E86" s="248">
        <v>16500</v>
      </c>
      <c r="F86" s="249" t="s">
        <v>7505</v>
      </c>
    </row>
    <row r="87" spans="1:6" hidden="1" x14ac:dyDescent="0.25">
      <c r="A87" s="246">
        <v>45359</v>
      </c>
      <c r="B87" s="247" t="s">
        <v>8345</v>
      </c>
      <c r="C87" s="248">
        <v>40</v>
      </c>
      <c r="D87" s="248">
        <v>225000</v>
      </c>
      <c r="E87" s="248">
        <v>16500</v>
      </c>
      <c r="F87" s="249" t="s">
        <v>7470</v>
      </c>
    </row>
    <row r="88" spans="1:6" hidden="1" x14ac:dyDescent="0.25">
      <c r="A88" s="246">
        <v>45359</v>
      </c>
      <c r="B88" s="247" t="s">
        <v>8346</v>
      </c>
      <c r="C88" s="247" t="s">
        <v>8278</v>
      </c>
      <c r="D88" s="248">
        <v>190000</v>
      </c>
      <c r="E88" s="248">
        <v>23500</v>
      </c>
      <c r="F88" s="249" t="s">
        <v>7465</v>
      </c>
    </row>
    <row r="89" spans="1:6" hidden="1" x14ac:dyDescent="0.25">
      <c r="A89" s="246">
        <v>45362</v>
      </c>
      <c r="B89" s="247" t="s">
        <v>8347</v>
      </c>
      <c r="C89" s="247" t="s">
        <v>8278</v>
      </c>
      <c r="D89" s="248">
        <v>190000</v>
      </c>
      <c r="E89" s="248">
        <v>23500</v>
      </c>
      <c r="F89" s="249" t="s">
        <v>7465</v>
      </c>
    </row>
    <row r="90" spans="1:6" hidden="1" x14ac:dyDescent="0.25">
      <c r="A90" s="246">
        <v>45362</v>
      </c>
      <c r="B90" s="247" t="s">
        <v>8348</v>
      </c>
      <c r="C90" s="247" t="s">
        <v>7441</v>
      </c>
      <c r="D90" s="248">
        <v>225000</v>
      </c>
      <c r="E90" s="248">
        <v>16500</v>
      </c>
      <c r="F90" s="249" t="s">
        <v>7478</v>
      </c>
    </row>
    <row r="91" spans="1:6" hidden="1" x14ac:dyDescent="0.25">
      <c r="A91" s="246">
        <v>45362</v>
      </c>
      <c r="B91" s="247" t="s">
        <v>8348</v>
      </c>
      <c r="C91" s="247" t="s">
        <v>7441</v>
      </c>
      <c r="D91" s="248">
        <v>225000</v>
      </c>
      <c r="E91" s="248">
        <v>16500</v>
      </c>
      <c r="F91" s="249" t="s">
        <v>7470</v>
      </c>
    </row>
    <row r="92" spans="1:6" hidden="1" x14ac:dyDescent="0.25">
      <c r="A92" s="246">
        <v>45363</v>
      </c>
      <c r="B92" s="247" t="s">
        <v>8349</v>
      </c>
      <c r="C92" s="247" t="s">
        <v>8276</v>
      </c>
      <c r="D92" s="248">
        <v>450000</v>
      </c>
      <c r="E92" s="248">
        <v>20000</v>
      </c>
      <c r="F92" s="249" t="s">
        <v>7505</v>
      </c>
    </row>
    <row r="93" spans="1:6" hidden="1" x14ac:dyDescent="0.25">
      <c r="A93" s="246">
        <v>45363</v>
      </c>
      <c r="B93" s="247" t="s">
        <v>8349</v>
      </c>
      <c r="C93" s="247" t="s">
        <v>8277</v>
      </c>
      <c r="D93" s="248">
        <v>337500</v>
      </c>
      <c r="E93" s="248">
        <v>20000</v>
      </c>
      <c r="F93" s="249" t="s">
        <v>7478</v>
      </c>
    </row>
    <row r="94" spans="1:6" hidden="1" x14ac:dyDescent="0.25">
      <c r="A94" s="246">
        <v>45363</v>
      </c>
      <c r="B94" s="247" t="s">
        <v>8350</v>
      </c>
      <c r="C94" s="247" t="s">
        <v>8277</v>
      </c>
      <c r="D94" s="248">
        <v>337500</v>
      </c>
      <c r="E94" s="248">
        <v>15000</v>
      </c>
      <c r="F94" s="249" t="s">
        <v>7474</v>
      </c>
    </row>
    <row r="95" spans="1:6" hidden="1" x14ac:dyDescent="0.25">
      <c r="A95" s="246">
        <v>45363</v>
      </c>
      <c r="B95" s="247" t="s">
        <v>8350</v>
      </c>
      <c r="C95" s="247" t="s">
        <v>8277</v>
      </c>
      <c r="D95" s="248">
        <v>337500</v>
      </c>
      <c r="E95" s="248">
        <v>15000</v>
      </c>
      <c r="F95" s="249" t="s">
        <v>7470</v>
      </c>
    </row>
    <row r="96" spans="1:6" hidden="1" x14ac:dyDescent="0.25">
      <c r="A96" s="246">
        <v>45364</v>
      </c>
      <c r="B96" s="247" t="s">
        <v>8351</v>
      </c>
      <c r="C96" s="247" t="s">
        <v>8278</v>
      </c>
      <c r="D96" s="248">
        <v>190000</v>
      </c>
      <c r="E96" s="248">
        <v>23500</v>
      </c>
      <c r="F96" s="249" t="s">
        <v>7465</v>
      </c>
    </row>
    <row r="97" spans="1:6" hidden="1" x14ac:dyDescent="0.25">
      <c r="A97" s="246">
        <v>45364</v>
      </c>
      <c r="B97" s="247" t="s">
        <v>8352</v>
      </c>
      <c r="C97" s="247" t="s">
        <v>8278</v>
      </c>
      <c r="D97" s="248">
        <v>190000</v>
      </c>
      <c r="E97" s="248">
        <v>23500</v>
      </c>
      <c r="F97" s="249" t="s">
        <v>7505</v>
      </c>
    </row>
    <row r="98" spans="1:6" hidden="1" x14ac:dyDescent="0.25">
      <c r="A98" s="246">
        <v>45364</v>
      </c>
      <c r="B98" s="247" t="s">
        <v>8352</v>
      </c>
      <c r="C98" s="247" t="s">
        <v>8278</v>
      </c>
      <c r="D98" s="248">
        <v>190000</v>
      </c>
      <c r="E98" s="248">
        <v>23500</v>
      </c>
      <c r="F98" s="249" t="s">
        <v>7478</v>
      </c>
    </row>
    <row r="99" spans="1:6" hidden="1" x14ac:dyDescent="0.25">
      <c r="A99" s="246">
        <v>45364</v>
      </c>
      <c r="B99" s="247" t="s">
        <v>8353</v>
      </c>
      <c r="C99" s="247" t="s">
        <v>7441</v>
      </c>
      <c r="D99" s="248">
        <v>245000</v>
      </c>
      <c r="E99" s="248">
        <v>5600</v>
      </c>
      <c r="F99" s="249" t="s">
        <v>7474</v>
      </c>
    </row>
    <row r="100" spans="1:6" hidden="1" x14ac:dyDescent="0.25">
      <c r="A100" s="246">
        <v>45364</v>
      </c>
      <c r="B100" s="247" t="s">
        <v>8353</v>
      </c>
      <c r="C100" s="247" t="s">
        <v>8281</v>
      </c>
      <c r="D100" s="248">
        <v>490000</v>
      </c>
      <c r="E100" s="248">
        <v>5600</v>
      </c>
      <c r="F100" s="249" t="s">
        <v>7474</v>
      </c>
    </row>
    <row r="101" spans="1:6" hidden="1" x14ac:dyDescent="0.25">
      <c r="A101" s="246">
        <v>45365</v>
      </c>
      <c r="B101" s="247" t="s">
        <v>8354</v>
      </c>
      <c r="C101" s="247" t="s">
        <v>8277</v>
      </c>
      <c r="D101" s="248">
        <v>285000</v>
      </c>
      <c r="E101" s="248">
        <v>14500</v>
      </c>
      <c r="F101" s="249" t="s">
        <v>7470</v>
      </c>
    </row>
    <row r="102" spans="1:6" hidden="1" x14ac:dyDescent="0.25">
      <c r="A102" s="246">
        <v>45365</v>
      </c>
      <c r="B102" s="247" t="s">
        <v>8354</v>
      </c>
      <c r="C102" s="247" t="s">
        <v>8277</v>
      </c>
      <c r="D102" s="248">
        <v>285000</v>
      </c>
      <c r="E102" s="248">
        <v>14500</v>
      </c>
      <c r="F102" s="249" t="s">
        <v>7505</v>
      </c>
    </row>
    <row r="103" spans="1:6" hidden="1" x14ac:dyDescent="0.25">
      <c r="A103" s="246">
        <v>45365</v>
      </c>
      <c r="B103" s="247" t="s">
        <v>8354</v>
      </c>
      <c r="C103" s="247" t="s">
        <v>8282</v>
      </c>
      <c r="D103" s="248">
        <v>380000</v>
      </c>
      <c r="E103" s="248">
        <v>14500</v>
      </c>
      <c r="F103" s="249" t="s">
        <v>7465</v>
      </c>
    </row>
    <row r="104" spans="1:6" hidden="1" x14ac:dyDescent="0.25">
      <c r="A104" s="246">
        <v>45365</v>
      </c>
      <c r="B104" s="247" t="s">
        <v>8354</v>
      </c>
      <c r="C104" s="247" t="s">
        <v>8279</v>
      </c>
      <c r="D104" s="248">
        <v>190000</v>
      </c>
      <c r="E104" s="248">
        <v>10800</v>
      </c>
      <c r="F104" s="249" t="s">
        <v>7478</v>
      </c>
    </row>
    <row r="105" spans="1:6" hidden="1" x14ac:dyDescent="0.25">
      <c r="A105" s="246">
        <v>45365</v>
      </c>
      <c r="B105" s="247" t="s">
        <v>8353</v>
      </c>
      <c r="C105" s="247" t="s">
        <v>7441</v>
      </c>
      <c r="D105" s="248">
        <v>245000</v>
      </c>
      <c r="E105" s="248">
        <v>5600</v>
      </c>
      <c r="F105" s="249" t="s">
        <v>7474</v>
      </c>
    </row>
    <row r="106" spans="1:6" hidden="1" x14ac:dyDescent="0.25">
      <c r="A106" s="246">
        <v>45365</v>
      </c>
      <c r="B106" s="247" t="s">
        <v>8353</v>
      </c>
      <c r="C106" s="247" t="s">
        <v>8281</v>
      </c>
      <c r="D106" s="248">
        <v>490000</v>
      </c>
      <c r="E106" s="248">
        <v>5600</v>
      </c>
      <c r="F106" s="249" t="s">
        <v>7474</v>
      </c>
    </row>
    <row r="107" spans="1:6" hidden="1" x14ac:dyDescent="0.25">
      <c r="A107" s="246">
        <v>45366</v>
      </c>
      <c r="B107" s="247" t="s">
        <v>8355</v>
      </c>
      <c r="C107" s="247" t="s">
        <v>8356</v>
      </c>
      <c r="D107" s="248">
        <v>307500</v>
      </c>
      <c r="E107" s="248">
        <v>11000</v>
      </c>
      <c r="F107" s="249" t="s">
        <v>7474</v>
      </c>
    </row>
    <row r="108" spans="1:6" hidden="1" x14ac:dyDescent="0.25">
      <c r="A108" s="246">
        <v>45366</v>
      </c>
      <c r="B108" s="247" t="s">
        <v>8357</v>
      </c>
      <c r="C108" s="247" t="s">
        <v>8284</v>
      </c>
      <c r="D108" s="248">
        <v>337500</v>
      </c>
      <c r="E108" s="248">
        <v>22000</v>
      </c>
      <c r="F108" s="249" t="s">
        <v>7465</v>
      </c>
    </row>
    <row r="109" spans="1:6" hidden="1" x14ac:dyDescent="0.25">
      <c r="A109" s="246">
        <v>45366</v>
      </c>
      <c r="B109" s="247" t="s">
        <v>8358</v>
      </c>
      <c r="C109" s="247" t="s">
        <v>8284</v>
      </c>
      <c r="D109" s="248">
        <v>337500</v>
      </c>
      <c r="E109" s="248">
        <v>26500</v>
      </c>
      <c r="F109" s="249" t="s">
        <v>7505</v>
      </c>
    </row>
    <row r="110" spans="1:6" hidden="1" x14ac:dyDescent="0.25">
      <c r="A110" s="246">
        <v>45366</v>
      </c>
      <c r="B110" s="247" t="s">
        <v>8359</v>
      </c>
      <c r="C110" s="247" t="s">
        <v>8278</v>
      </c>
      <c r="D110" s="248">
        <v>190000</v>
      </c>
      <c r="E110" s="248">
        <v>23500</v>
      </c>
      <c r="F110" s="249" t="s">
        <v>7470</v>
      </c>
    </row>
    <row r="111" spans="1:6" hidden="1" x14ac:dyDescent="0.25">
      <c r="A111" s="246">
        <v>45366</v>
      </c>
      <c r="B111" s="247" t="s">
        <v>8360</v>
      </c>
      <c r="C111" s="247" t="s">
        <v>8278</v>
      </c>
      <c r="D111" s="248">
        <v>190000</v>
      </c>
      <c r="E111" s="248">
        <v>23500</v>
      </c>
      <c r="F111" s="249" t="s">
        <v>7478</v>
      </c>
    </row>
    <row r="112" spans="1:6" hidden="1" x14ac:dyDescent="0.25">
      <c r="A112" s="246">
        <v>45369</v>
      </c>
      <c r="B112" s="247" t="s">
        <v>8361</v>
      </c>
      <c r="C112" s="248">
        <v>40</v>
      </c>
      <c r="D112" s="248">
        <v>245000</v>
      </c>
      <c r="E112" s="248">
        <v>9200</v>
      </c>
      <c r="F112" s="249" t="s">
        <v>7470</v>
      </c>
    </row>
    <row r="113" spans="1:6" hidden="1" x14ac:dyDescent="0.25">
      <c r="A113" s="246">
        <v>45369</v>
      </c>
      <c r="B113" s="248" t="s">
        <v>8362</v>
      </c>
      <c r="C113" s="248" t="s">
        <v>8283</v>
      </c>
      <c r="D113" s="248">
        <v>585000</v>
      </c>
      <c r="E113" s="248">
        <v>22000</v>
      </c>
      <c r="F113" s="248" t="s">
        <v>7505</v>
      </c>
    </row>
    <row r="114" spans="1:6" hidden="1" x14ac:dyDescent="0.25">
      <c r="A114" s="246">
        <v>45369</v>
      </c>
      <c r="B114" s="248" t="s">
        <v>8363</v>
      </c>
      <c r="C114" s="248" t="s">
        <v>8279</v>
      </c>
      <c r="D114" s="248">
        <v>245000</v>
      </c>
      <c r="E114" s="248">
        <v>8900</v>
      </c>
      <c r="F114" s="208" t="s">
        <v>7478</v>
      </c>
    </row>
    <row r="115" spans="1:6" hidden="1" x14ac:dyDescent="0.25">
      <c r="A115" s="246">
        <v>45369</v>
      </c>
      <c r="B115" s="248" t="s">
        <v>8364</v>
      </c>
      <c r="C115" s="248" t="s">
        <v>8279</v>
      </c>
      <c r="D115" s="248">
        <v>265000</v>
      </c>
      <c r="E115" s="248">
        <v>13000</v>
      </c>
      <c r="F115" s="208" t="s">
        <v>7474</v>
      </c>
    </row>
    <row r="116" spans="1:6" hidden="1" x14ac:dyDescent="0.25">
      <c r="A116" s="246">
        <v>45369</v>
      </c>
      <c r="B116" s="248" t="s">
        <v>8365</v>
      </c>
      <c r="C116" s="248" t="s">
        <v>8279</v>
      </c>
      <c r="D116" s="248">
        <v>265000</v>
      </c>
      <c r="E116" s="248">
        <v>13000</v>
      </c>
      <c r="F116" s="208" t="s">
        <v>7505</v>
      </c>
    </row>
    <row r="117" spans="1:6" hidden="1" x14ac:dyDescent="0.25">
      <c r="A117" s="246">
        <v>45369</v>
      </c>
      <c r="B117" s="247" t="s">
        <v>8366</v>
      </c>
      <c r="C117" s="247" t="s">
        <v>8278</v>
      </c>
      <c r="D117" s="248">
        <v>190000</v>
      </c>
      <c r="E117" s="248">
        <v>23500</v>
      </c>
      <c r="F117" s="249" t="s">
        <v>7505</v>
      </c>
    </row>
    <row r="118" spans="1:6" hidden="1" x14ac:dyDescent="0.25">
      <c r="A118" s="246">
        <v>45370</v>
      </c>
      <c r="B118" s="247" t="s">
        <v>8367</v>
      </c>
      <c r="C118" s="248">
        <v>40</v>
      </c>
      <c r="D118" s="248">
        <v>245000</v>
      </c>
      <c r="E118" s="248">
        <v>16500</v>
      </c>
      <c r="F118" s="249" t="s">
        <v>7474</v>
      </c>
    </row>
    <row r="119" spans="1:6" hidden="1" x14ac:dyDescent="0.25">
      <c r="A119" s="246">
        <v>45370</v>
      </c>
      <c r="B119" s="247" t="s">
        <v>8368</v>
      </c>
      <c r="C119" s="248">
        <v>40</v>
      </c>
      <c r="D119" s="248">
        <v>245000</v>
      </c>
      <c r="E119" s="248">
        <v>16500</v>
      </c>
      <c r="F119" s="249" t="s">
        <v>7465</v>
      </c>
    </row>
    <row r="120" spans="1:6" hidden="1" x14ac:dyDescent="0.25">
      <c r="A120" s="246">
        <v>45370</v>
      </c>
      <c r="B120" s="247" t="s">
        <v>8369</v>
      </c>
      <c r="C120" s="248">
        <v>40</v>
      </c>
      <c r="D120" s="248">
        <v>265000</v>
      </c>
      <c r="E120" s="248">
        <v>9200</v>
      </c>
      <c r="F120" s="249" t="s">
        <v>7478</v>
      </c>
    </row>
    <row r="121" spans="1:6" hidden="1" x14ac:dyDescent="0.25">
      <c r="A121" s="246">
        <v>45370</v>
      </c>
      <c r="B121" s="247" t="s">
        <v>8370</v>
      </c>
      <c r="C121" s="247" t="s">
        <v>7441</v>
      </c>
      <c r="D121" s="248">
        <v>265000</v>
      </c>
      <c r="E121" s="248">
        <v>9200</v>
      </c>
      <c r="F121" s="249" t="s">
        <v>7470</v>
      </c>
    </row>
    <row r="122" spans="1:6" hidden="1" x14ac:dyDescent="0.25">
      <c r="A122" s="246">
        <v>45371</v>
      </c>
      <c r="B122" s="247" t="s">
        <v>8371</v>
      </c>
      <c r="C122" s="247" t="s">
        <v>8279</v>
      </c>
      <c r="D122" s="248">
        <v>245000</v>
      </c>
      <c r="E122" s="248">
        <v>16500</v>
      </c>
      <c r="F122" s="249" t="s">
        <v>7505</v>
      </c>
    </row>
    <row r="123" spans="1:6" hidden="1" x14ac:dyDescent="0.25">
      <c r="A123" s="246">
        <v>45371</v>
      </c>
      <c r="B123" s="247" t="s">
        <v>8371</v>
      </c>
      <c r="C123" s="247" t="s">
        <v>8279</v>
      </c>
      <c r="D123" s="248">
        <v>245000</v>
      </c>
      <c r="E123" s="248">
        <v>16500</v>
      </c>
      <c r="F123" s="249" t="s">
        <v>7465</v>
      </c>
    </row>
    <row r="124" spans="1:6" hidden="1" x14ac:dyDescent="0.25">
      <c r="A124" s="246">
        <v>45371</v>
      </c>
      <c r="B124" s="247" t="s">
        <v>8372</v>
      </c>
      <c r="C124" s="247" t="s">
        <v>7441</v>
      </c>
      <c r="D124" s="248">
        <v>265000</v>
      </c>
      <c r="E124" s="248">
        <v>9200</v>
      </c>
      <c r="F124" s="249" t="s">
        <v>7656</v>
      </c>
    </row>
    <row r="125" spans="1:6" hidden="1" x14ac:dyDescent="0.25">
      <c r="A125" s="246">
        <v>45372</v>
      </c>
      <c r="B125" s="247" t="s">
        <v>8373</v>
      </c>
      <c r="C125" s="247" t="s">
        <v>7441</v>
      </c>
      <c r="D125" s="248">
        <v>265000</v>
      </c>
      <c r="E125" s="248">
        <v>13000</v>
      </c>
      <c r="F125" s="249" t="s">
        <v>7656</v>
      </c>
    </row>
    <row r="126" spans="1:6" hidden="1" x14ac:dyDescent="0.25">
      <c r="A126" s="246">
        <v>45372</v>
      </c>
      <c r="B126" s="247" t="s">
        <v>8373</v>
      </c>
      <c r="C126" s="247" t="s">
        <v>8281</v>
      </c>
      <c r="D126" s="248">
        <v>530000</v>
      </c>
      <c r="E126" s="248">
        <v>17000</v>
      </c>
      <c r="F126" s="249" t="s">
        <v>7474</v>
      </c>
    </row>
    <row r="127" spans="1:6" hidden="1" x14ac:dyDescent="0.25">
      <c r="A127" s="246">
        <v>45372</v>
      </c>
      <c r="B127" s="247" t="s">
        <v>8374</v>
      </c>
      <c r="C127" s="247" t="s">
        <v>8276</v>
      </c>
      <c r="D127" s="248">
        <v>410000</v>
      </c>
      <c r="E127" s="248">
        <v>16000</v>
      </c>
      <c r="F127" s="249" t="s">
        <v>7470</v>
      </c>
    </row>
    <row r="128" spans="1:6" hidden="1" x14ac:dyDescent="0.25">
      <c r="A128" s="246">
        <v>45373</v>
      </c>
      <c r="B128" s="247" t="s">
        <v>8375</v>
      </c>
      <c r="C128" s="247" t="s">
        <v>8279</v>
      </c>
      <c r="D128" s="248">
        <v>265000</v>
      </c>
      <c r="E128" s="248">
        <v>19000</v>
      </c>
      <c r="F128" s="249" t="s">
        <v>7478</v>
      </c>
    </row>
    <row r="129" spans="1:6" hidden="1" x14ac:dyDescent="0.25">
      <c r="A129" s="246">
        <v>45373</v>
      </c>
      <c r="B129" s="247" t="s">
        <v>8375</v>
      </c>
      <c r="C129" s="247" t="s">
        <v>8279</v>
      </c>
      <c r="D129" s="248">
        <v>265000</v>
      </c>
      <c r="E129" s="248">
        <v>19000</v>
      </c>
      <c r="F129" s="249" t="s">
        <v>7465</v>
      </c>
    </row>
    <row r="130" spans="1:6" hidden="1" x14ac:dyDescent="0.25">
      <c r="A130" s="246">
        <v>45376</v>
      </c>
      <c r="B130" s="247" t="s">
        <v>8375</v>
      </c>
      <c r="C130" s="247" t="s">
        <v>8279</v>
      </c>
      <c r="D130" s="248">
        <v>265000</v>
      </c>
      <c r="E130" s="248">
        <v>19000</v>
      </c>
      <c r="F130" s="249" t="s">
        <v>7465</v>
      </c>
    </row>
    <row r="131" spans="1:6" hidden="1" x14ac:dyDescent="0.25">
      <c r="A131" s="246">
        <v>45376</v>
      </c>
      <c r="B131" s="247" t="s">
        <v>8376</v>
      </c>
      <c r="C131" s="247" t="s">
        <v>8283</v>
      </c>
      <c r="D131" s="248">
        <v>585000</v>
      </c>
      <c r="E131" s="248">
        <v>16500</v>
      </c>
      <c r="F131" s="208" t="s">
        <v>7465</v>
      </c>
    </row>
    <row r="132" spans="1:6" hidden="1" x14ac:dyDescent="0.25">
      <c r="A132" s="246">
        <v>45376</v>
      </c>
      <c r="B132" s="247" t="s">
        <v>8376</v>
      </c>
      <c r="C132" s="247" t="s">
        <v>8283</v>
      </c>
      <c r="D132" s="248">
        <v>585000</v>
      </c>
      <c r="E132" s="248">
        <v>16500</v>
      </c>
      <c r="F132" s="249" t="s">
        <v>7478</v>
      </c>
    </row>
    <row r="133" spans="1:6" hidden="1" x14ac:dyDescent="0.25">
      <c r="A133" s="246">
        <v>45376</v>
      </c>
      <c r="B133" s="248" t="s">
        <v>8377</v>
      </c>
      <c r="C133" s="247" t="s">
        <v>8278</v>
      </c>
      <c r="D133" s="248">
        <v>190000</v>
      </c>
      <c r="E133" s="248">
        <v>23500</v>
      </c>
      <c r="F133" s="208" t="s">
        <v>7465</v>
      </c>
    </row>
    <row r="134" spans="1:6" hidden="1" x14ac:dyDescent="0.25">
      <c r="A134" s="246">
        <v>45376</v>
      </c>
      <c r="B134" s="248" t="s">
        <v>8377</v>
      </c>
      <c r="C134" s="247" t="s">
        <v>8278</v>
      </c>
      <c r="D134" s="248">
        <v>190000</v>
      </c>
      <c r="E134" s="248">
        <v>23500</v>
      </c>
      <c r="F134" s="208" t="s">
        <v>7478</v>
      </c>
    </row>
    <row r="135" spans="1:6" hidden="1" x14ac:dyDescent="0.25">
      <c r="A135" s="246">
        <v>45377</v>
      </c>
      <c r="B135" s="248" t="s">
        <v>8378</v>
      </c>
      <c r="C135" s="248" t="s">
        <v>8277</v>
      </c>
      <c r="D135" s="248">
        <v>397500</v>
      </c>
      <c r="E135" s="248">
        <v>17000</v>
      </c>
      <c r="F135" s="208" t="s">
        <v>7656</v>
      </c>
    </row>
    <row r="136" spans="1:6" hidden="1" x14ac:dyDescent="0.25">
      <c r="A136" s="246">
        <v>45377</v>
      </c>
      <c r="B136" s="248" t="s">
        <v>8379</v>
      </c>
      <c r="C136" s="247" t="s">
        <v>8278</v>
      </c>
      <c r="D136" s="248">
        <v>190000</v>
      </c>
      <c r="E136" s="248">
        <v>23500</v>
      </c>
      <c r="F136" s="208" t="s">
        <v>7470</v>
      </c>
    </row>
    <row r="137" spans="1:6" hidden="1" x14ac:dyDescent="0.25">
      <c r="A137" s="246">
        <v>45377</v>
      </c>
      <c r="B137" s="248" t="s">
        <v>8379</v>
      </c>
      <c r="C137" s="247" t="s">
        <v>8278</v>
      </c>
      <c r="D137" s="248">
        <v>190000</v>
      </c>
      <c r="E137" s="248">
        <v>23500</v>
      </c>
      <c r="F137" s="208" t="s">
        <v>7478</v>
      </c>
    </row>
    <row r="138" spans="1:6" hidden="1" x14ac:dyDescent="0.25">
      <c r="A138" s="246">
        <v>45378</v>
      </c>
      <c r="B138" s="248" t="s">
        <v>8380</v>
      </c>
      <c r="C138" s="248" t="s">
        <v>8276</v>
      </c>
      <c r="D138" s="248">
        <v>490000</v>
      </c>
      <c r="E138" s="248">
        <v>15000</v>
      </c>
      <c r="F138" s="208" t="s">
        <v>7465</v>
      </c>
    </row>
    <row r="139" spans="1:6" x14ac:dyDescent="0.25">
      <c r="A139" s="246">
        <v>45349</v>
      </c>
      <c r="B139" s="248" t="s">
        <v>8381</v>
      </c>
      <c r="C139" s="248" t="s">
        <v>8279</v>
      </c>
      <c r="D139" s="248">
        <v>225000</v>
      </c>
      <c r="E139" s="248">
        <v>5800</v>
      </c>
      <c r="F139" s="249" t="s">
        <v>7465</v>
      </c>
    </row>
    <row r="140" spans="1:6" hidden="1" x14ac:dyDescent="0.25">
      <c r="A140" s="246">
        <v>45378</v>
      </c>
      <c r="B140" s="247" t="s">
        <v>8382</v>
      </c>
      <c r="C140" s="247" t="s">
        <v>8278</v>
      </c>
      <c r="D140" s="248">
        <v>190000</v>
      </c>
      <c r="E140" s="248">
        <v>23500</v>
      </c>
      <c r="F140" s="249" t="s">
        <v>7656</v>
      </c>
    </row>
    <row r="141" spans="1:6" hidden="1" x14ac:dyDescent="0.25">
      <c r="A141" s="246">
        <v>45378</v>
      </c>
      <c r="B141" s="247" t="s">
        <v>8383</v>
      </c>
      <c r="C141" s="247" t="s">
        <v>8278</v>
      </c>
      <c r="D141" s="248">
        <v>19000</v>
      </c>
      <c r="E141" s="248">
        <v>23500</v>
      </c>
      <c r="F141" s="249" t="s">
        <v>7470</v>
      </c>
    </row>
    <row r="142" spans="1:6" hidden="1" x14ac:dyDescent="0.25">
      <c r="A142" s="246">
        <v>45378</v>
      </c>
      <c r="B142" s="247" t="s">
        <v>8383</v>
      </c>
      <c r="C142" s="247" t="s">
        <v>8278</v>
      </c>
      <c r="D142" s="248">
        <v>19000</v>
      </c>
      <c r="E142" s="248">
        <v>23500</v>
      </c>
      <c r="F142" s="249" t="s">
        <v>7478</v>
      </c>
    </row>
    <row r="143" spans="1:6" hidden="1" x14ac:dyDescent="0.25">
      <c r="A143" s="246">
        <v>45378</v>
      </c>
      <c r="B143" s="247" t="s">
        <v>8383</v>
      </c>
      <c r="C143" s="247" t="s">
        <v>8278</v>
      </c>
      <c r="D143" s="248">
        <v>19000</v>
      </c>
      <c r="E143" s="248">
        <v>23500</v>
      </c>
      <c r="F143" s="249" t="s">
        <v>7505</v>
      </c>
    </row>
    <row r="144" spans="1:6" hidden="1" x14ac:dyDescent="0.25">
      <c r="A144" s="246">
        <v>45385</v>
      </c>
      <c r="B144" s="248" t="s">
        <v>8384</v>
      </c>
      <c r="C144" s="248" t="s">
        <v>7441</v>
      </c>
      <c r="D144" s="248">
        <v>245000</v>
      </c>
      <c r="E144" s="248">
        <v>5600</v>
      </c>
      <c r="F144" s="208" t="s">
        <v>7470</v>
      </c>
    </row>
    <row r="145" spans="1:6" hidden="1" x14ac:dyDescent="0.25">
      <c r="A145" s="246">
        <v>45385</v>
      </c>
      <c r="B145" s="248" t="s">
        <v>8384</v>
      </c>
      <c r="C145" s="248" t="s">
        <v>8276</v>
      </c>
      <c r="D145" s="248">
        <v>490000</v>
      </c>
      <c r="E145" s="248">
        <v>11200</v>
      </c>
      <c r="F145" s="208" t="s">
        <v>7505</v>
      </c>
    </row>
    <row r="146" spans="1:6" hidden="1" x14ac:dyDescent="0.25">
      <c r="A146" s="246">
        <v>45385</v>
      </c>
      <c r="B146" s="247" t="s">
        <v>8385</v>
      </c>
      <c r="C146" s="247" t="s">
        <v>8279</v>
      </c>
      <c r="D146" s="248">
        <v>32000</v>
      </c>
      <c r="E146" s="248">
        <v>18400</v>
      </c>
      <c r="F146" s="249" t="s">
        <v>7474</v>
      </c>
    </row>
    <row r="147" spans="1:6" hidden="1" x14ac:dyDescent="0.25">
      <c r="A147" s="246">
        <v>45385</v>
      </c>
      <c r="B147" s="247" t="s">
        <v>8385</v>
      </c>
      <c r="C147" s="247" t="s">
        <v>8279</v>
      </c>
      <c r="D147" s="248">
        <v>32000</v>
      </c>
      <c r="E147" s="248">
        <v>18400</v>
      </c>
      <c r="F147" s="249" t="s">
        <v>7465</v>
      </c>
    </row>
    <row r="148" spans="1:6" hidden="1" x14ac:dyDescent="0.25">
      <c r="A148" s="246">
        <v>45386</v>
      </c>
      <c r="B148" s="247" t="s">
        <v>8385</v>
      </c>
      <c r="C148" s="247" t="s">
        <v>8279</v>
      </c>
      <c r="D148" s="248">
        <v>32000</v>
      </c>
      <c r="E148" s="248">
        <v>18400</v>
      </c>
      <c r="F148" s="249" t="s">
        <v>7478</v>
      </c>
    </row>
    <row r="149" spans="1:6" hidden="1" x14ac:dyDescent="0.25">
      <c r="A149" s="246">
        <v>45386</v>
      </c>
      <c r="B149" s="247" t="s">
        <v>8385</v>
      </c>
      <c r="C149" s="247" t="s">
        <v>8279</v>
      </c>
      <c r="D149" s="248">
        <v>32000</v>
      </c>
      <c r="E149" s="248">
        <v>18400</v>
      </c>
      <c r="F149" s="249" t="s">
        <v>7465</v>
      </c>
    </row>
    <row r="150" spans="1:6" hidden="1" x14ac:dyDescent="0.25">
      <c r="A150" s="246">
        <v>45386</v>
      </c>
      <c r="B150" s="247" t="s">
        <v>8386</v>
      </c>
      <c r="C150" s="247" t="s">
        <v>7441</v>
      </c>
      <c r="D150" s="248">
        <v>245000</v>
      </c>
      <c r="E150" s="248">
        <v>5600</v>
      </c>
      <c r="F150" s="249" t="s">
        <v>7656</v>
      </c>
    </row>
    <row r="151" spans="1:6" hidden="1" x14ac:dyDescent="0.25">
      <c r="A151" s="246">
        <v>45386</v>
      </c>
      <c r="B151" s="247" t="s">
        <v>8386</v>
      </c>
      <c r="C151" s="247" t="s">
        <v>7441</v>
      </c>
      <c r="D151" s="248">
        <v>245000</v>
      </c>
      <c r="E151" s="248">
        <v>5600</v>
      </c>
      <c r="F151" s="249" t="s">
        <v>7474</v>
      </c>
    </row>
    <row r="152" spans="1:6" hidden="1" x14ac:dyDescent="0.25">
      <c r="A152" s="246">
        <v>45387</v>
      </c>
      <c r="B152" s="247" t="s">
        <v>8387</v>
      </c>
      <c r="C152" s="247" t="s">
        <v>8276</v>
      </c>
      <c r="D152" s="248">
        <v>490000</v>
      </c>
      <c r="E152" s="248">
        <v>29500</v>
      </c>
      <c r="F152" s="249" t="s">
        <v>7656</v>
      </c>
    </row>
    <row r="153" spans="1:6" hidden="1" x14ac:dyDescent="0.25">
      <c r="A153" s="246">
        <v>45387</v>
      </c>
      <c r="B153" s="247" t="s">
        <v>8387</v>
      </c>
      <c r="C153" s="247" t="s">
        <v>8276</v>
      </c>
      <c r="D153" s="248">
        <v>490000</v>
      </c>
      <c r="E153" s="248">
        <v>29500</v>
      </c>
      <c r="F153" s="249" t="s">
        <v>7465</v>
      </c>
    </row>
    <row r="154" spans="1:6" hidden="1" x14ac:dyDescent="0.25">
      <c r="A154" s="246">
        <v>45390</v>
      </c>
      <c r="B154" s="247" t="s">
        <v>8388</v>
      </c>
      <c r="C154" s="247" t="s">
        <v>8279</v>
      </c>
      <c r="D154" s="248">
        <v>265000</v>
      </c>
      <c r="E154" s="248">
        <v>18500</v>
      </c>
      <c r="F154" s="249" t="s">
        <v>7656</v>
      </c>
    </row>
    <row r="155" spans="1:6" hidden="1" x14ac:dyDescent="0.25">
      <c r="A155" s="246">
        <v>45390</v>
      </c>
      <c r="B155" s="247" t="s">
        <v>8389</v>
      </c>
      <c r="C155" s="247" t="s">
        <v>8279</v>
      </c>
      <c r="D155" s="248">
        <v>265000</v>
      </c>
      <c r="E155" s="248">
        <v>18500</v>
      </c>
      <c r="F155" s="249" t="s">
        <v>7465</v>
      </c>
    </row>
    <row r="156" spans="1:6" hidden="1" x14ac:dyDescent="0.25">
      <c r="A156" s="246">
        <v>45390</v>
      </c>
      <c r="B156" s="247" t="s">
        <v>8390</v>
      </c>
      <c r="C156" s="247" t="s">
        <v>7442</v>
      </c>
      <c r="D156" s="248">
        <v>155000</v>
      </c>
      <c r="E156" s="248">
        <v>6500</v>
      </c>
      <c r="F156" s="249" t="s">
        <v>7494</v>
      </c>
    </row>
    <row r="157" spans="1:6" hidden="1" x14ac:dyDescent="0.25">
      <c r="A157" s="246">
        <v>45390</v>
      </c>
      <c r="B157" s="247" t="s">
        <v>8391</v>
      </c>
      <c r="C157" s="248">
        <v>40</v>
      </c>
      <c r="D157" s="248">
        <v>245000</v>
      </c>
      <c r="E157" s="248">
        <v>14100</v>
      </c>
      <c r="F157" s="249" t="s">
        <v>7505</v>
      </c>
    </row>
    <row r="158" spans="1:6" hidden="1" x14ac:dyDescent="0.25">
      <c r="A158" s="246">
        <v>45390</v>
      </c>
      <c r="B158" s="247" t="s">
        <v>8392</v>
      </c>
      <c r="C158" s="247" t="s">
        <v>7441</v>
      </c>
      <c r="D158" s="248">
        <v>225000</v>
      </c>
      <c r="E158" s="248">
        <v>13500</v>
      </c>
      <c r="F158" s="249" t="s">
        <v>7470</v>
      </c>
    </row>
    <row r="159" spans="1:6" hidden="1" x14ac:dyDescent="0.25">
      <c r="A159" s="246">
        <v>45390</v>
      </c>
      <c r="B159" s="247" t="s">
        <v>8393</v>
      </c>
      <c r="C159" s="247" t="s">
        <v>7442</v>
      </c>
      <c r="D159" s="248">
        <v>190000</v>
      </c>
      <c r="E159" s="248">
        <v>7000</v>
      </c>
      <c r="F159" s="249" t="s">
        <v>7494</v>
      </c>
    </row>
    <row r="160" spans="1:6" hidden="1" x14ac:dyDescent="0.25">
      <c r="A160" s="246">
        <v>45391</v>
      </c>
      <c r="B160" s="248" t="s">
        <v>8394</v>
      </c>
      <c r="C160" s="248" t="s">
        <v>7442</v>
      </c>
      <c r="D160" s="248">
        <v>190000</v>
      </c>
      <c r="E160" s="248">
        <v>6200</v>
      </c>
      <c r="F160" s="208" t="s">
        <v>7470</v>
      </c>
    </row>
    <row r="161" spans="1:6" hidden="1" x14ac:dyDescent="0.25">
      <c r="A161" s="246">
        <v>45391</v>
      </c>
      <c r="B161" s="248" t="s">
        <v>8395</v>
      </c>
      <c r="C161" s="248">
        <v>40</v>
      </c>
      <c r="D161" s="248">
        <v>225000</v>
      </c>
      <c r="E161" s="248">
        <v>12500</v>
      </c>
      <c r="F161" s="208" t="s">
        <v>7465</v>
      </c>
    </row>
    <row r="162" spans="1:6" hidden="1" x14ac:dyDescent="0.25">
      <c r="A162" s="246">
        <v>45391</v>
      </c>
      <c r="B162" s="248" t="s">
        <v>8396</v>
      </c>
      <c r="C162" s="248">
        <v>40</v>
      </c>
      <c r="D162" s="248">
        <v>265000</v>
      </c>
      <c r="E162" s="248">
        <v>18500</v>
      </c>
      <c r="F162" s="208" t="s">
        <v>7474</v>
      </c>
    </row>
    <row r="163" spans="1:6" hidden="1" x14ac:dyDescent="0.25">
      <c r="A163" s="246">
        <v>45391</v>
      </c>
      <c r="B163" s="248" t="s">
        <v>8396</v>
      </c>
      <c r="C163" s="248">
        <v>40</v>
      </c>
      <c r="D163" s="248">
        <v>265000</v>
      </c>
      <c r="E163" s="248">
        <v>18500</v>
      </c>
      <c r="F163" s="208" t="s">
        <v>7656</v>
      </c>
    </row>
    <row r="164" spans="1:6" hidden="1" x14ac:dyDescent="0.25">
      <c r="A164" s="246">
        <v>45391</v>
      </c>
      <c r="B164" s="248" t="s">
        <v>8397</v>
      </c>
      <c r="C164" s="248">
        <v>40</v>
      </c>
      <c r="D164" s="248">
        <v>245000</v>
      </c>
      <c r="E164" s="248">
        <v>19000</v>
      </c>
      <c r="F164" s="208" t="s">
        <v>7505</v>
      </c>
    </row>
    <row r="165" spans="1:6" hidden="1" x14ac:dyDescent="0.25">
      <c r="A165" s="246">
        <v>45392</v>
      </c>
      <c r="B165" s="248" t="s">
        <v>8398</v>
      </c>
      <c r="C165" s="248">
        <v>40</v>
      </c>
      <c r="D165" s="248">
        <v>225000</v>
      </c>
      <c r="E165" s="248">
        <v>18500</v>
      </c>
      <c r="F165" s="208" t="s">
        <v>7474</v>
      </c>
    </row>
    <row r="166" spans="1:6" hidden="1" x14ac:dyDescent="0.25">
      <c r="A166" s="246">
        <v>45392</v>
      </c>
      <c r="B166" s="248" t="s">
        <v>8398</v>
      </c>
      <c r="C166" s="248">
        <v>40</v>
      </c>
      <c r="D166" s="248">
        <v>225000</v>
      </c>
      <c r="E166" s="248">
        <v>18500</v>
      </c>
      <c r="F166" s="208" t="s">
        <v>7656</v>
      </c>
    </row>
    <row r="167" spans="1:6" hidden="1" x14ac:dyDescent="0.25">
      <c r="A167" s="246">
        <v>45392</v>
      </c>
      <c r="B167" s="248" t="s">
        <v>8399</v>
      </c>
      <c r="C167" s="248">
        <v>40</v>
      </c>
      <c r="D167" s="248">
        <v>265000</v>
      </c>
      <c r="E167" s="248">
        <v>19000</v>
      </c>
      <c r="F167" s="208" t="s">
        <v>7465</v>
      </c>
    </row>
    <row r="168" spans="1:6" hidden="1" x14ac:dyDescent="0.25">
      <c r="A168" s="246">
        <v>45392</v>
      </c>
      <c r="B168" s="248" t="s">
        <v>8400</v>
      </c>
      <c r="C168" s="248">
        <v>40</v>
      </c>
      <c r="D168" s="248">
        <v>265000</v>
      </c>
      <c r="E168" s="248">
        <v>19000</v>
      </c>
      <c r="F168" s="208" t="s">
        <v>7478</v>
      </c>
    </row>
    <row r="169" spans="1:6" hidden="1" x14ac:dyDescent="0.25">
      <c r="A169" s="246">
        <v>45392</v>
      </c>
      <c r="B169" s="248" t="s">
        <v>8401</v>
      </c>
      <c r="C169" s="248" t="s">
        <v>8277</v>
      </c>
      <c r="D169" s="248">
        <v>367500</v>
      </c>
      <c r="E169" s="248">
        <v>14500</v>
      </c>
      <c r="F169" s="208" t="s">
        <v>7505</v>
      </c>
    </row>
    <row r="170" spans="1:6" hidden="1" x14ac:dyDescent="0.25">
      <c r="A170" s="246">
        <v>45392</v>
      </c>
      <c r="B170" s="248" t="s">
        <v>8402</v>
      </c>
      <c r="C170" s="248" t="s">
        <v>7441</v>
      </c>
      <c r="D170" s="248">
        <v>265000</v>
      </c>
      <c r="E170" s="248">
        <v>13000</v>
      </c>
      <c r="F170" s="208" t="s">
        <v>7470</v>
      </c>
    </row>
    <row r="171" spans="1:6" hidden="1" x14ac:dyDescent="0.25">
      <c r="A171" s="246">
        <v>45392</v>
      </c>
      <c r="B171" s="248" t="s">
        <v>8402</v>
      </c>
      <c r="C171" s="248" t="s">
        <v>7442</v>
      </c>
      <c r="D171" s="248">
        <v>190000</v>
      </c>
      <c r="E171" s="248">
        <v>9000</v>
      </c>
      <c r="F171" s="208" t="s">
        <v>7494</v>
      </c>
    </row>
    <row r="172" spans="1:6" hidden="1" x14ac:dyDescent="0.25">
      <c r="A172" s="246">
        <v>45393</v>
      </c>
      <c r="B172" s="248" t="s">
        <v>8403</v>
      </c>
      <c r="C172" s="248" t="s">
        <v>7441</v>
      </c>
      <c r="D172" s="248">
        <v>225000</v>
      </c>
      <c r="E172" s="248">
        <v>11000</v>
      </c>
      <c r="F172" s="208" t="s">
        <v>7470</v>
      </c>
    </row>
    <row r="173" spans="1:6" hidden="1" x14ac:dyDescent="0.25">
      <c r="A173" s="246">
        <v>45393</v>
      </c>
      <c r="B173" s="247" t="s">
        <v>8404</v>
      </c>
      <c r="C173" s="247" t="s">
        <v>8276</v>
      </c>
      <c r="D173" s="248">
        <v>530000</v>
      </c>
      <c r="E173" s="248">
        <v>24700</v>
      </c>
      <c r="F173" s="249" t="s">
        <v>7478</v>
      </c>
    </row>
    <row r="174" spans="1:6" hidden="1" x14ac:dyDescent="0.25">
      <c r="A174" s="246">
        <v>45393</v>
      </c>
      <c r="B174" s="247" t="s">
        <v>8405</v>
      </c>
      <c r="C174" s="248">
        <v>40</v>
      </c>
      <c r="D174" s="248">
        <v>225000</v>
      </c>
      <c r="E174" s="248">
        <v>16500</v>
      </c>
      <c r="F174" s="249" t="s">
        <v>7465</v>
      </c>
    </row>
    <row r="175" spans="1:6" hidden="1" x14ac:dyDescent="0.25">
      <c r="A175" s="246">
        <v>45393</v>
      </c>
      <c r="B175" s="247" t="s">
        <v>8406</v>
      </c>
      <c r="C175" s="248">
        <v>40</v>
      </c>
      <c r="D175" s="248">
        <v>245000</v>
      </c>
      <c r="E175" s="248">
        <v>16500</v>
      </c>
      <c r="F175" s="249" t="s">
        <v>7474</v>
      </c>
    </row>
    <row r="176" spans="1:6" hidden="1" x14ac:dyDescent="0.25">
      <c r="A176" s="246">
        <v>45393</v>
      </c>
      <c r="B176" s="247" t="s">
        <v>8406</v>
      </c>
      <c r="C176" s="248">
        <v>40</v>
      </c>
      <c r="D176" s="248">
        <v>245000</v>
      </c>
      <c r="E176" s="248">
        <v>16500</v>
      </c>
      <c r="F176" s="249" t="s">
        <v>7656</v>
      </c>
    </row>
    <row r="177" spans="1:6" hidden="1" x14ac:dyDescent="0.25">
      <c r="A177" s="246">
        <v>45394</v>
      </c>
      <c r="B177" s="247" t="s">
        <v>8407</v>
      </c>
      <c r="C177" s="248">
        <v>40</v>
      </c>
      <c r="D177" s="248">
        <v>225000</v>
      </c>
      <c r="E177" s="247">
        <v>23500</v>
      </c>
      <c r="F177" s="249" t="s">
        <v>7474</v>
      </c>
    </row>
    <row r="178" spans="1:6" hidden="1" x14ac:dyDescent="0.25">
      <c r="A178" s="246">
        <v>45394</v>
      </c>
      <c r="B178" s="247" t="s">
        <v>8408</v>
      </c>
      <c r="C178" s="247" t="s">
        <v>8277</v>
      </c>
      <c r="D178" s="248">
        <v>397500</v>
      </c>
      <c r="E178" s="248">
        <v>19900</v>
      </c>
      <c r="F178" s="249" t="s">
        <v>7656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DFB14-D89F-4EA9-93DC-8A335E76C28E}">
  <dimension ref="A1:F27"/>
  <sheetViews>
    <sheetView workbookViewId="0">
      <selection activeCell="A3" sqref="A3"/>
    </sheetView>
  </sheetViews>
  <sheetFormatPr baseColWidth="10" defaultRowHeight="15" x14ac:dyDescent="0.25"/>
  <cols>
    <col min="1" max="1" width="6" bestFit="1" customWidth="1"/>
    <col min="2" max="2" width="11.140625" bestFit="1" customWidth="1"/>
    <col min="6" max="6" width="11.140625" bestFit="1" customWidth="1"/>
  </cols>
  <sheetData>
    <row r="1" spans="1:6" x14ac:dyDescent="0.25">
      <c r="A1" s="239"/>
      <c r="B1" s="239" t="s">
        <v>8245</v>
      </c>
      <c r="D1" s="238" t="s">
        <v>8244</v>
      </c>
      <c r="E1" s="239"/>
      <c r="F1" s="239" t="s">
        <v>8273</v>
      </c>
    </row>
    <row r="2" spans="1:6" x14ac:dyDescent="0.25">
      <c r="A2" s="240"/>
      <c r="B2" s="241" t="s">
        <v>8247</v>
      </c>
      <c r="D2" s="240" t="s">
        <v>8246</v>
      </c>
      <c r="E2" s="240"/>
      <c r="F2" s="241" t="s">
        <v>8247</v>
      </c>
    </row>
    <row r="3" spans="1:6" x14ac:dyDescent="0.25">
      <c r="A3" s="242">
        <v>0</v>
      </c>
      <c r="B3" s="243">
        <v>11816.268749999999</v>
      </c>
      <c r="D3" s="242" t="s">
        <v>8248</v>
      </c>
      <c r="E3" s="242">
        <v>0</v>
      </c>
      <c r="F3" s="243">
        <v>15361.149374999999</v>
      </c>
    </row>
    <row r="4" spans="1:6" x14ac:dyDescent="0.25">
      <c r="A4" s="242">
        <v>0.51</v>
      </c>
      <c r="B4" s="243">
        <v>11816.268749999999</v>
      </c>
      <c r="D4" s="242" t="s">
        <v>8249</v>
      </c>
      <c r="E4" s="242">
        <v>0.51</v>
      </c>
      <c r="F4" s="243">
        <v>15361.149374999999</v>
      </c>
    </row>
    <row r="5" spans="1:6" x14ac:dyDescent="0.25">
      <c r="A5" s="242">
        <v>1.01</v>
      </c>
      <c r="B5" s="243">
        <v>11816.268749999999</v>
      </c>
      <c r="D5" s="242" t="s">
        <v>8250</v>
      </c>
      <c r="E5" s="242">
        <v>1.01</v>
      </c>
      <c r="F5" s="243">
        <v>15361.149374999999</v>
      </c>
    </row>
    <row r="6" spans="1:6" x14ac:dyDescent="0.25">
      <c r="A6" s="242">
        <v>3.01</v>
      </c>
      <c r="B6" s="244">
        <v>13787.231250000001</v>
      </c>
      <c r="D6" s="242" t="s">
        <v>8251</v>
      </c>
      <c r="E6" s="242">
        <v>3.01</v>
      </c>
      <c r="F6" s="244">
        <v>17923.400625000002</v>
      </c>
    </row>
    <row r="7" spans="1:6" x14ac:dyDescent="0.25">
      <c r="A7" s="242">
        <v>5.01</v>
      </c>
      <c r="B7" s="244">
        <v>45297.28125</v>
      </c>
      <c r="D7" s="242" t="s">
        <v>8252</v>
      </c>
      <c r="E7" s="242">
        <v>5.01</v>
      </c>
      <c r="F7" s="244">
        <v>58886.465624999997</v>
      </c>
    </row>
    <row r="8" spans="1:6" x14ac:dyDescent="0.25">
      <c r="A8" s="242">
        <v>6.01</v>
      </c>
      <c r="B8" s="244">
        <v>53177.962500000001</v>
      </c>
      <c r="D8" s="242" t="s">
        <v>8253</v>
      </c>
      <c r="E8" s="242">
        <v>6.01</v>
      </c>
      <c r="F8" s="244">
        <v>69131.351250000007</v>
      </c>
    </row>
    <row r="9" spans="1:6" x14ac:dyDescent="0.25">
      <c r="A9" s="242">
        <v>7.01</v>
      </c>
      <c r="B9" s="244">
        <v>61052.306250000001</v>
      </c>
      <c r="D9" s="242" t="s">
        <v>8254</v>
      </c>
      <c r="E9" s="242">
        <v>7.01</v>
      </c>
      <c r="F9" s="244">
        <v>79367.998124999998</v>
      </c>
    </row>
    <row r="10" spans="1:6" x14ac:dyDescent="0.25">
      <c r="A10" s="242">
        <v>8.01</v>
      </c>
      <c r="B10" s="244">
        <v>68932.987500000003</v>
      </c>
      <c r="D10" s="242" t="s">
        <v>8255</v>
      </c>
      <c r="E10" s="242">
        <v>8.01</v>
      </c>
      <c r="F10" s="244">
        <v>89612.883750000008</v>
      </c>
    </row>
    <row r="11" spans="1:6" x14ac:dyDescent="0.25">
      <c r="A11" s="242">
        <v>9.01</v>
      </c>
      <c r="B11" s="244">
        <v>76807.331250000003</v>
      </c>
      <c r="D11" s="242" t="s">
        <v>8256</v>
      </c>
      <c r="E11" s="242">
        <v>9.01</v>
      </c>
      <c r="F11" s="244">
        <v>99849.530624999999</v>
      </c>
    </row>
    <row r="12" spans="1:6" x14ac:dyDescent="0.25">
      <c r="A12" s="242">
        <v>10.01</v>
      </c>
      <c r="B12" s="244">
        <v>86655.806249999994</v>
      </c>
      <c r="D12" s="242" t="s">
        <v>8257</v>
      </c>
      <c r="E12" s="242">
        <v>10.01</v>
      </c>
      <c r="F12" s="244">
        <v>112652.54812499999</v>
      </c>
    </row>
    <row r="13" spans="1:6" x14ac:dyDescent="0.25">
      <c r="A13" s="242">
        <v>11.01</v>
      </c>
      <c r="B13" s="244">
        <v>96504.28125</v>
      </c>
      <c r="D13" s="242" t="s">
        <v>8258</v>
      </c>
      <c r="E13" s="242">
        <v>11.01</v>
      </c>
      <c r="F13" s="244">
        <v>125455.565625</v>
      </c>
    </row>
    <row r="14" spans="1:6" x14ac:dyDescent="0.25">
      <c r="A14" s="242">
        <v>12.01</v>
      </c>
      <c r="B14" s="244">
        <v>101428.51875</v>
      </c>
      <c r="D14" s="242" t="s">
        <v>8259</v>
      </c>
      <c r="E14" s="242">
        <v>12.01</v>
      </c>
      <c r="F14" s="244">
        <v>131857.074375</v>
      </c>
    </row>
    <row r="15" spans="1:6" x14ac:dyDescent="0.25">
      <c r="A15" s="242">
        <v>13.01</v>
      </c>
      <c r="B15" s="244">
        <v>106349.58749999999</v>
      </c>
      <c r="D15" s="242" t="s">
        <v>8260</v>
      </c>
      <c r="E15" s="242">
        <v>13.01</v>
      </c>
      <c r="F15" s="244">
        <v>138254.46375</v>
      </c>
    </row>
    <row r="16" spans="1:6" x14ac:dyDescent="0.25">
      <c r="A16" s="242">
        <v>14.01</v>
      </c>
      <c r="B16" s="244">
        <v>115215.75</v>
      </c>
      <c r="D16" s="242" t="s">
        <v>8261</v>
      </c>
      <c r="E16" s="242">
        <v>14.01</v>
      </c>
      <c r="F16" s="244">
        <v>149780.47500000001</v>
      </c>
    </row>
    <row r="17" spans="1:6" x14ac:dyDescent="0.25">
      <c r="A17" s="242">
        <v>15.01</v>
      </c>
      <c r="B17" s="244">
        <v>124078.74374999999</v>
      </c>
      <c r="D17" s="242" t="s">
        <v>8262</v>
      </c>
      <c r="E17" s="242">
        <v>15.01</v>
      </c>
      <c r="F17" s="244">
        <v>161302.36687500001</v>
      </c>
    </row>
    <row r="18" spans="1:6" x14ac:dyDescent="0.25">
      <c r="A18" s="242">
        <v>16.009999999999998</v>
      </c>
      <c r="B18" s="244">
        <v>129985.29375</v>
      </c>
      <c r="D18" s="242" t="s">
        <v>8263</v>
      </c>
      <c r="E18" s="242">
        <v>16.009999999999998</v>
      </c>
      <c r="F18" s="244">
        <v>168980.88187499999</v>
      </c>
    </row>
    <row r="19" spans="1:6" x14ac:dyDescent="0.25">
      <c r="A19" s="242">
        <v>17.009999999999998</v>
      </c>
      <c r="B19" s="244">
        <v>135891.84375</v>
      </c>
      <c r="D19" s="242" t="s">
        <v>8264</v>
      </c>
      <c r="E19" s="242">
        <v>17.009999999999998</v>
      </c>
      <c r="F19" s="244">
        <v>176659.39687500001</v>
      </c>
    </row>
    <row r="20" spans="1:6" x14ac:dyDescent="0.25">
      <c r="A20" s="242">
        <v>18.009999999999998</v>
      </c>
      <c r="B20" s="244">
        <v>142783.875</v>
      </c>
      <c r="D20" s="242" t="s">
        <v>8265</v>
      </c>
      <c r="E20" s="242">
        <v>18.009999999999998</v>
      </c>
      <c r="F20" s="244">
        <v>185619.03750000001</v>
      </c>
    </row>
    <row r="21" spans="1:6" x14ac:dyDescent="0.25">
      <c r="A21" s="242">
        <v>19.009999999999998</v>
      </c>
      <c r="B21" s="244">
        <v>149682.24374999999</v>
      </c>
      <c r="D21" s="242" t="s">
        <v>8266</v>
      </c>
      <c r="E21" s="242">
        <v>19.009999999999998</v>
      </c>
      <c r="F21" s="244">
        <v>194586.916875</v>
      </c>
    </row>
    <row r="22" spans="1:6" x14ac:dyDescent="0.25">
      <c r="A22" s="242">
        <v>20.009999999999998</v>
      </c>
      <c r="B22" s="244">
        <v>161495.34375</v>
      </c>
      <c r="D22" s="242" t="s">
        <v>8267</v>
      </c>
      <c r="E22" s="242">
        <v>20.009999999999998</v>
      </c>
      <c r="F22" s="244">
        <v>209943.94687499999</v>
      </c>
    </row>
    <row r="23" spans="1:6" x14ac:dyDescent="0.25">
      <c r="A23" s="242">
        <v>25.01</v>
      </c>
      <c r="B23" s="244">
        <v>173311.61249999999</v>
      </c>
      <c r="D23" s="242" t="s">
        <v>8268</v>
      </c>
      <c r="E23" s="242">
        <v>25.01</v>
      </c>
      <c r="F23" s="244">
        <v>225305.09624999997</v>
      </c>
    </row>
    <row r="24" spans="1:6" x14ac:dyDescent="0.25">
      <c r="A24" s="242">
        <v>30.01</v>
      </c>
      <c r="B24" s="244">
        <v>184145.56875000001</v>
      </c>
      <c r="D24" s="242" t="s">
        <v>8269</v>
      </c>
      <c r="E24" s="242">
        <v>30.01</v>
      </c>
      <c r="F24" s="244">
        <v>239389.239375</v>
      </c>
    </row>
    <row r="25" spans="1:6" x14ac:dyDescent="0.25">
      <c r="A25" s="242">
        <v>35.01</v>
      </c>
      <c r="B25" s="244">
        <v>194979.52499999999</v>
      </c>
      <c r="D25" s="242" t="s">
        <v>8270</v>
      </c>
      <c r="E25" s="242">
        <v>35.01</v>
      </c>
      <c r="F25" s="244">
        <v>253473.38250000001</v>
      </c>
    </row>
    <row r="26" spans="1:6" x14ac:dyDescent="0.25">
      <c r="A26" s="242">
        <v>40.01</v>
      </c>
      <c r="B26" s="244">
        <v>205810.3125</v>
      </c>
      <c r="D26" s="242" t="s">
        <v>8271</v>
      </c>
      <c r="E26" s="242">
        <v>40.01</v>
      </c>
      <c r="F26" s="244">
        <v>267553.40625</v>
      </c>
    </row>
    <row r="27" spans="1:6" ht="15.75" thickBot="1" x14ac:dyDescent="0.3">
      <c r="A27" s="242">
        <v>50.01</v>
      </c>
      <c r="B27" s="245">
        <v>246183.35625000001</v>
      </c>
      <c r="D27" s="242" t="s">
        <v>8272</v>
      </c>
      <c r="E27" s="242">
        <v>50.01</v>
      </c>
      <c r="F27" s="245">
        <v>320038.36312500003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7F759-0ECC-4172-A42D-8DE749C406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GASTOS</vt:lpstr>
      <vt:lpstr>VIAJES</vt:lpstr>
      <vt:lpstr>INGRESOS</vt:lpstr>
      <vt:lpstr>INGRESO X AREA</vt:lpstr>
      <vt:lpstr>CATEGORIZACION</vt:lpstr>
      <vt:lpstr>DATOS_DISTRIBUCION</vt:lpstr>
      <vt:lpstr>HOJA DE RUTA (3)</vt:lpstr>
      <vt:lpstr>VALORES VIAJES</vt:lpstr>
      <vt:lpstr>LOGISTICA COBRADA</vt:lpstr>
      <vt:lpstr>VALORES DIST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Eze</dc:creator>
  <cp:keywords/>
  <dc:description/>
  <cp:lastModifiedBy>Ezequiel Jan</cp:lastModifiedBy>
  <cp:revision/>
  <dcterms:created xsi:type="dcterms:W3CDTF">2023-11-10T15:42:40Z</dcterms:created>
  <dcterms:modified xsi:type="dcterms:W3CDTF">2024-04-22T19:23:03Z</dcterms:modified>
  <cp:category/>
  <cp:contentStatus/>
</cp:coreProperties>
</file>