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2.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ezekiel.soremekun/Downloads/"/>
    </mc:Choice>
  </mc:AlternateContent>
  <xr:revisionPtr revIDLastSave="0" documentId="13_ncr:1_{0F057722-ABD5-9346-9CF7-792643343500}" xr6:coauthVersionLast="47" xr6:coauthVersionMax="47" xr10:uidLastSave="{00000000-0000-0000-0000-000000000000}"/>
  <bookViews>
    <workbookView xWindow="0" yWindow="500" windowWidth="35840" windowHeight="21900" activeTab="2" xr2:uid="{00000000-000D-0000-FFFF-FFFF00000000}"/>
  </bookViews>
  <sheets>
    <sheet name="Focused_Paper_Analysis" sheetId="1" r:id="rId1"/>
    <sheet name="Paper Stats" sheetId="2" r:id="rId2"/>
    <sheet name="Meta Analysi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5" i="3" l="1"/>
  <c r="D4" i="3"/>
  <c r="D14" i="3" s="1"/>
  <c r="D20" i="3" s="1"/>
  <c r="D10" i="3" s="1"/>
  <c r="D3" i="3" s="1"/>
  <c r="D15" i="3" s="1"/>
  <c r="D25" i="3" s="1"/>
  <c r="D26" i="3" s="1"/>
  <c r="D5" i="3" s="1"/>
  <c r="D19" i="3" s="1"/>
  <c r="D27" i="3" s="1"/>
  <c r="E82" i="2"/>
  <c r="E64" i="2"/>
  <c r="E46" i="2"/>
  <c r="E40" i="2"/>
  <c r="E30" i="2"/>
  <c r="C17" i="2"/>
  <c r="B17" i="2"/>
  <c r="C16" i="2"/>
  <c r="B16" i="2"/>
  <c r="C15" i="2"/>
  <c r="B15" i="2"/>
  <c r="C14" i="2"/>
  <c r="C18" i="2" s="1"/>
  <c r="B14" i="2"/>
  <c r="B18" i="2" s="1"/>
  <c r="C9" i="2"/>
  <c r="B9" i="2"/>
  <c r="C8" i="2"/>
  <c r="B8" i="2"/>
  <c r="C7" i="2"/>
  <c r="B7" i="2"/>
  <c r="C6" i="2"/>
  <c r="B6" i="2"/>
  <c r="C5" i="2"/>
  <c r="B5" i="2"/>
  <c r="C4" i="2"/>
  <c r="B4" i="2"/>
  <c r="C3" i="2"/>
  <c r="B3" i="2"/>
  <c r="C2" i="2"/>
  <c r="C10" i="2" s="1"/>
  <c r="B2" i="2"/>
  <c r="B10" i="2" s="1"/>
  <c r="A296" i="1"/>
  <c r="B296" i="1" s="1"/>
  <c r="A295" i="1"/>
  <c r="B295" i="1" s="1"/>
  <c r="B311" i="1" s="1"/>
  <c r="A294" i="1"/>
  <c r="B294" i="1" s="1"/>
  <c r="A293" i="1"/>
  <c r="B293" i="1" s="1"/>
  <c r="B302" i="1" s="1"/>
  <c r="A292" i="1"/>
  <c r="B292" i="1" s="1"/>
  <c r="A291" i="1"/>
  <c r="B291" i="1" s="1"/>
  <c r="B310" i="1" s="1"/>
  <c r="A290" i="1"/>
  <c r="B290" i="1" s="1"/>
  <c r="A289" i="1"/>
  <c r="B289" i="1" s="1"/>
  <c r="B284" i="1"/>
  <c r="B283" i="1"/>
  <c r="B282" i="1"/>
  <c r="A281" i="1"/>
  <c r="B281" i="1" s="1"/>
  <c r="A280" i="1"/>
  <c r="B280" i="1" s="1"/>
  <c r="A279" i="1"/>
  <c r="B279" i="1" s="1"/>
  <c r="A278" i="1"/>
  <c r="B278" i="1" s="1"/>
  <c r="A277" i="1"/>
  <c r="B277" i="1" s="1"/>
  <c r="A276" i="1"/>
  <c r="B276" i="1" s="1"/>
  <c r="A275" i="1"/>
  <c r="B275" i="1" s="1"/>
  <c r="A274" i="1"/>
  <c r="B274" i="1" s="1"/>
  <c r="A273" i="1"/>
  <c r="B273" i="1" s="1"/>
  <c r="A272" i="1"/>
  <c r="B272" i="1" s="1"/>
  <c r="A271" i="1"/>
  <c r="B271" i="1" s="1"/>
  <c r="A270" i="1"/>
  <c r="B270" i="1" s="1"/>
  <c r="A269" i="1"/>
  <c r="B269" i="1" s="1"/>
  <c r="A268" i="1"/>
  <c r="B268" i="1" s="1"/>
  <c r="A267" i="1"/>
  <c r="B267" i="1" s="1"/>
  <c r="A266" i="1"/>
  <c r="B266" i="1" s="1"/>
  <c r="A265" i="1"/>
  <c r="B265" i="1" s="1"/>
  <c r="A264" i="1"/>
  <c r="B264" i="1" s="1"/>
  <c r="A263" i="1"/>
  <c r="B263" i="1" s="1"/>
  <c r="A262" i="1"/>
  <c r="B262" i="1" s="1"/>
  <c r="A261" i="1"/>
  <c r="B261" i="1" s="1"/>
  <c r="A260" i="1"/>
  <c r="B260" i="1" s="1"/>
  <c r="A259" i="1"/>
  <c r="B259" i="1" s="1"/>
  <c r="A258" i="1"/>
  <c r="B258" i="1" s="1"/>
  <c r="A257" i="1"/>
  <c r="B257" i="1" s="1"/>
  <c r="K256" i="1"/>
  <c r="A256" i="1"/>
  <c r="B256" i="1" s="1"/>
  <c r="K255" i="1"/>
  <c r="A255" i="1"/>
  <c r="B255" i="1" s="1"/>
  <c r="K254" i="1"/>
  <c r="A254" i="1"/>
  <c r="B254" i="1" s="1"/>
  <c r="K253" i="1"/>
  <c r="A253" i="1"/>
  <c r="B253" i="1" s="1"/>
  <c r="K252" i="1"/>
  <c r="A252" i="1"/>
  <c r="B252" i="1" s="1"/>
  <c r="K251" i="1"/>
  <c r="A251" i="1"/>
  <c r="B251" i="1" s="1"/>
  <c r="K250" i="1"/>
  <c r="A250" i="1"/>
  <c r="B250" i="1" s="1"/>
  <c r="K249" i="1"/>
  <c r="A249" i="1"/>
  <c r="B249" i="1" s="1"/>
  <c r="A248" i="1"/>
  <c r="B248" i="1" s="1"/>
  <c r="A247" i="1"/>
  <c r="B247" i="1" s="1"/>
  <c r="A246" i="1"/>
  <c r="B246" i="1" s="1"/>
  <c r="A245" i="1"/>
  <c r="B245" i="1" s="1"/>
  <c r="A244" i="1"/>
  <c r="B244" i="1" s="1"/>
  <c r="A243" i="1"/>
  <c r="B243" i="1" s="1"/>
  <c r="K242" i="1"/>
  <c r="A242" i="1"/>
  <c r="B242" i="1" s="1"/>
  <c r="K241" i="1"/>
  <c r="A241" i="1"/>
  <c r="B241" i="1" s="1"/>
  <c r="K240" i="1"/>
  <c r="A240" i="1"/>
  <c r="B240" i="1" s="1"/>
  <c r="K239" i="1"/>
  <c r="A239" i="1"/>
  <c r="B239" i="1" s="1"/>
  <c r="A238" i="1"/>
  <c r="B238" i="1" s="1"/>
  <c r="A237" i="1"/>
  <c r="B237" i="1" s="1"/>
  <c r="A236" i="1"/>
  <c r="B236" i="1" s="1"/>
  <c r="K235" i="1"/>
  <c r="A235" i="1"/>
  <c r="B235" i="1" s="1"/>
  <c r="K234" i="1"/>
  <c r="A234" i="1"/>
  <c r="B234" i="1" s="1"/>
  <c r="K233" i="1"/>
  <c r="A233" i="1"/>
  <c r="B233" i="1" s="1"/>
  <c r="K232" i="1"/>
  <c r="A232" i="1"/>
  <c r="B232" i="1" s="1"/>
  <c r="K231" i="1"/>
  <c r="A231" i="1"/>
  <c r="B231" i="1" s="1"/>
  <c r="K230" i="1"/>
  <c r="A230" i="1"/>
  <c r="B230" i="1" s="1"/>
  <c r="K229" i="1"/>
  <c r="A229" i="1"/>
  <c r="B229" i="1" s="1"/>
  <c r="A228" i="1"/>
  <c r="B228" i="1" s="1"/>
  <c r="A227" i="1"/>
  <c r="B227" i="1" s="1"/>
  <c r="A226" i="1"/>
  <c r="B226" i="1" s="1"/>
  <c r="A225" i="1"/>
  <c r="B225" i="1" s="1"/>
  <c r="K224" i="1"/>
  <c r="A224" i="1"/>
  <c r="B224" i="1" s="1"/>
  <c r="K223" i="1"/>
  <c r="A223" i="1"/>
  <c r="B223" i="1" s="1"/>
  <c r="K222" i="1"/>
  <c r="A222" i="1"/>
  <c r="B222" i="1" s="1"/>
  <c r="K221" i="1"/>
  <c r="A221" i="1"/>
  <c r="B221" i="1" s="1"/>
  <c r="K220" i="1"/>
  <c r="A220" i="1"/>
  <c r="B220" i="1" s="1"/>
  <c r="A219" i="1"/>
  <c r="B219" i="1" s="1"/>
  <c r="A218" i="1"/>
  <c r="B218" i="1" s="1"/>
  <c r="A217" i="1"/>
  <c r="B217" i="1" s="1"/>
  <c r="A216" i="1"/>
  <c r="B216" i="1" s="1"/>
  <c r="K215" i="1"/>
  <c r="K214" i="1"/>
  <c r="K213" i="1"/>
  <c r="K212" i="1"/>
  <c r="K211" i="1"/>
  <c r="A209" i="1"/>
  <c r="A208" i="1"/>
  <c r="A207" i="1"/>
  <c r="A206" i="1"/>
  <c r="K205" i="1"/>
  <c r="A205" i="1"/>
  <c r="K204" i="1"/>
  <c r="A204" i="1"/>
  <c r="K203" i="1"/>
  <c r="A203" i="1"/>
  <c r="K202" i="1"/>
  <c r="A202" i="1"/>
  <c r="K201" i="1"/>
  <c r="A201" i="1"/>
  <c r="K200" i="1"/>
  <c r="A200" i="1"/>
  <c r="K199" i="1"/>
  <c r="A199" i="1"/>
  <c r="K198" i="1"/>
  <c r="A198" i="1"/>
  <c r="A197" i="1"/>
  <c r="L211" i="1" l="1" a="1"/>
  <c r="L213" i="1" s="1"/>
  <c r="L229" i="1" a="1"/>
  <c r="L236" i="1" s="1"/>
  <c r="L220" i="1" a="1"/>
  <c r="L225" i="1" s="1"/>
  <c r="G197" i="1" a="1"/>
  <c r="G210" i="1" s="1"/>
  <c r="L239" i="1" a="1"/>
  <c r="L243" i="1" s="1"/>
  <c r="L198" i="1" a="1"/>
  <c r="L198" i="1" s="1"/>
  <c r="H197" i="1" a="1"/>
  <c r="H197" i="1" s="1"/>
  <c r="L249" i="1" a="1"/>
  <c r="L257" i="1" s="1"/>
  <c r="B197" i="1" a="1"/>
  <c r="B206" i="1" s="1"/>
  <c r="C197" i="1" a="1"/>
  <c r="C207" i="1" s="1"/>
  <c r="D197" i="1" a="1"/>
  <c r="D208" i="1" s="1"/>
  <c r="E197" i="1" a="1"/>
  <c r="E209" i="1" s="1"/>
  <c r="F197" i="1" a="1"/>
  <c r="F210" i="1" s="1"/>
  <c r="B285" i="1"/>
  <c r="B297" i="1"/>
  <c r="B308" i="1"/>
  <c r="B301" i="1"/>
  <c r="B309" i="1"/>
  <c r="B303" i="1"/>
  <c r="L235" i="1" l="1"/>
  <c r="L212" i="1"/>
  <c r="L211" i="1"/>
  <c r="L214" i="1"/>
  <c r="L216" i="1"/>
  <c r="L239" i="1"/>
  <c r="L222" i="1"/>
  <c r="L234" i="1"/>
  <c r="L231" i="1"/>
  <c r="L230" i="1"/>
  <c r="L229" i="1"/>
  <c r="L215" i="1"/>
  <c r="L205" i="1"/>
  <c r="L206" i="1"/>
  <c r="H206" i="1"/>
  <c r="H202" i="1"/>
  <c r="L202" i="1"/>
  <c r="L240" i="1"/>
  <c r="L242" i="1"/>
  <c r="G208" i="1"/>
  <c r="G207" i="1"/>
  <c r="G205" i="1"/>
  <c r="G197" i="1"/>
  <c r="G201" i="1"/>
  <c r="L204" i="1"/>
  <c r="G204" i="1"/>
  <c r="L201" i="1"/>
  <c r="L203" i="1"/>
  <c r="G199" i="1"/>
  <c r="H209" i="1"/>
  <c r="H203" i="1"/>
  <c r="G202" i="1"/>
  <c r="G200" i="1"/>
  <c r="L241" i="1"/>
  <c r="L223" i="1"/>
  <c r="L221" i="1"/>
  <c r="L220" i="1"/>
  <c r="L233" i="1"/>
  <c r="L232" i="1"/>
  <c r="L224" i="1"/>
  <c r="L200" i="1"/>
  <c r="L251" i="1"/>
  <c r="G198" i="1"/>
  <c r="E197" i="1"/>
  <c r="C204" i="1"/>
  <c r="D203" i="1"/>
  <c r="E206" i="1"/>
  <c r="D207" i="1"/>
  <c r="F204" i="1"/>
  <c r="C198" i="1"/>
  <c r="H201" i="1"/>
  <c r="L253" i="1"/>
  <c r="F199" i="1"/>
  <c r="E198" i="1"/>
  <c r="H200" i="1"/>
  <c r="F198" i="1"/>
  <c r="H210" i="1"/>
  <c r="H204" i="1"/>
  <c r="C208" i="1"/>
  <c r="G209" i="1"/>
  <c r="H207" i="1"/>
  <c r="G203" i="1"/>
  <c r="L252" i="1"/>
  <c r="B207" i="1"/>
  <c r="L199" i="1"/>
  <c r="B203" i="1"/>
  <c r="D205" i="1"/>
  <c r="B209" i="1"/>
  <c r="H205" i="1"/>
  <c r="E203" i="1"/>
  <c r="L255" i="1"/>
  <c r="D201" i="1"/>
  <c r="L256" i="1"/>
  <c r="E210" i="1"/>
  <c r="D204" i="1"/>
  <c r="D209" i="1"/>
  <c r="D206" i="1"/>
  <c r="G206" i="1"/>
  <c r="F202" i="1"/>
  <c r="L249" i="1"/>
  <c r="H199" i="1"/>
  <c r="E204" i="1"/>
  <c r="B197" i="1"/>
  <c r="D199" i="1"/>
  <c r="F200" i="1"/>
  <c r="H198" i="1"/>
  <c r="D198" i="1"/>
  <c r="D202" i="1"/>
  <c r="L254" i="1"/>
  <c r="D197" i="1"/>
  <c r="L250" i="1"/>
  <c r="D210" i="1"/>
  <c r="H208" i="1"/>
  <c r="B201" i="1"/>
  <c r="E202" i="1"/>
  <c r="F209" i="1"/>
  <c r="F205" i="1"/>
  <c r="D200" i="1"/>
  <c r="C197" i="1"/>
  <c r="C199" i="1"/>
  <c r="C210" i="1"/>
  <c r="C200" i="1"/>
  <c r="E208" i="1"/>
  <c r="C202" i="1"/>
  <c r="E201" i="1"/>
  <c r="B198" i="1"/>
  <c r="C201" i="1"/>
  <c r="B200" i="1"/>
  <c r="B210" i="1"/>
  <c r="C206" i="1"/>
  <c r="F208" i="1"/>
  <c r="F197" i="1"/>
  <c r="E199" i="1"/>
  <c r="B205" i="1"/>
  <c r="E207" i="1"/>
  <c r="F206" i="1"/>
  <c r="E205" i="1"/>
  <c r="F203" i="1"/>
  <c r="F201" i="1"/>
  <c r="C209" i="1"/>
  <c r="F207" i="1"/>
  <c r="C205" i="1"/>
  <c r="E200" i="1"/>
  <c r="B208" i="1"/>
  <c r="B204" i="1"/>
  <c r="C203" i="1"/>
  <c r="B199" i="1"/>
  <c r="B202" i="1"/>
  <c r="B312" i="1"/>
  <c r="B304" i="1"/>
  <c r="B212" i="1" l="1"/>
  <c r="B213" i="1" s="1"/>
</calcChain>
</file>

<file path=xl/sharedStrings.xml><?xml version="1.0" encoding="utf-8"?>
<sst xmlns="http://schemas.openxmlformats.org/spreadsheetml/2006/main" count="1636" uniqueCount="835">
  <si>
    <t>CATEGORY</t>
  </si>
  <si>
    <t>Publicly</t>
  </si>
  <si>
    <t xml:space="preserve">Type of </t>
  </si>
  <si>
    <t>Type of Datasets</t>
  </si>
  <si>
    <t>Fair learning/Formalization</t>
  </si>
  <si>
    <t>Pipeline/Processing</t>
  </si>
  <si>
    <t>Core SE Technique</t>
  </si>
  <si>
    <t xml:space="preserve">Automation level or </t>
  </si>
  <si>
    <t>Filename</t>
  </si>
  <si>
    <t>Authors [Ref]</t>
  </si>
  <si>
    <t>Paper Title</t>
  </si>
  <si>
    <t>Year</t>
  </si>
  <si>
    <t>Venue (Abbr.)</t>
  </si>
  <si>
    <t>Venue</t>
  </si>
  <si>
    <t>#domains</t>
  </si>
  <si>
    <t>Domain(s)</t>
  </si>
  <si>
    <t>Available?</t>
  </si>
  <si>
    <t>#subj_model</t>
  </si>
  <si>
    <t>subj_model</t>
  </si>
  <si>
    <t>(Un)Structured</t>
  </si>
  <si>
    <t>#datasets</t>
  </si>
  <si>
    <t>Datasets</t>
  </si>
  <si>
    <t>#FairMetrics</t>
  </si>
  <si>
    <t>Fairness Metric</t>
  </si>
  <si>
    <t>#Bias</t>
  </si>
  <si>
    <t>Bias (sensitive attributes)</t>
  </si>
  <si>
    <t>Testing/Analysis/Repair/</t>
  </si>
  <si>
    <r>
      <rPr>
        <sz val="10"/>
        <color theme="1"/>
        <rFont val="Arial"/>
        <family val="2"/>
      </rPr>
      <t xml:space="preserve"> </t>
    </r>
    <r>
      <rPr>
        <b/>
        <sz val="10"/>
        <color theme="1"/>
        <rFont val="Arial"/>
        <family val="2"/>
      </rPr>
      <t>Stage</t>
    </r>
    <r>
      <rPr>
        <sz val="10"/>
        <color theme="1"/>
        <rFont val="Arial"/>
        <family val="2"/>
      </rPr>
      <t xml:space="preserve"> (Pre|In|Post)</t>
    </r>
  </si>
  <si>
    <t>Type</t>
  </si>
  <si>
    <t>Black/Whitebox</t>
  </si>
  <si>
    <t>Problem</t>
  </si>
  <si>
    <t>Main Idea</t>
  </si>
  <si>
    <t>Detailed Solution</t>
  </si>
  <si>
    <t>Main Findings</t>
  </si>
  <si>
    <t>Critic?</t>
  </si>
  <si>
    <t>Strength?</t>
  </si>
  <si>
    <t>SURVEYS</t>
  </si>
  <si>
    <t>1906.10742(1).pdf</t>
  </si>
  <si>
    <t>Zhang et al.</t>
  </si>
  <si>
    <t>Machine learning testing: Survey, landscapes and horizons</t>
  </si>
  <si>
    <t>TSE</t>
  </si>
  <si>
    <t>2106.11410.pdf</t>
  </si>
  <si>
    <t xml:space="preserve">Field et al. </t>
  </si>
  <si>
    <t>A Survey of Race, Racism, and Anti-Racism in NLP</t>
  </si>
  <si>
    <t>ACL</t>
  </si>
  <si>
    <t>2005.14050.pdf</t>
  </si>
  <si>
    <t>Blodgett et al.</t>
  </si>
  <si>
    <t>Language (Technology) is Power: A Critical Survey of" Bias" in NLP</t>
  </si>
  <si>
    <t>Fairness_AI_review.pdf</t>
  </si>
  <si>
    <t>Mehrabi et al.</t>
  </si>
  <si>
    <t>A survey on bias and fairness in machine learning</t>
  </si>
  <si>
    <t>CSUR</t>
  </si>
  <si>
    <t xml:space="preserve">ACM Computing Surveys (CSUR) </t>
  </si>
  <si>
    <t>2010.04053.pdf</t>
  </si>
  <si>
    <t>Caton and Hass</t>
  </si>
  <si>
    <t>Fairness in Machine Learning: A Survey</t>
  </si>
  <si>
    <t>arXiv</t>
  </si>
  <si>
    <t>Arxiv</t>
  </si>
  <si>
    <t>1710.03184.pdf</t>
  </si>
  <si>
    <t>Gajane and Pechenizkiy</t>
  </si>
  <si>
    <t>On Formalizing Fairness in Prediction with Machine Learning</t>
  </si>
  <si>
    <t>2010.09553.pdf</t>
  </si>
  <si>
    <t>Makhlouf et al.</t>
  </si>
  <si>
    <t>Survey on Causal-based Machine Learning Fairness Notions</t>
  </si>
  <si>
    <t>SSRN-id3527034.pdf</t>
  </si>
  <si>
    <t>Rea, Stephen</t>
  </si>
  <si>
    <t>A Survey of Fair and Responsible Machine Learning and Artificial Intelligence: 
Implications of Consumer Financial Services</t>
  </si>
  <si>
    <t>SSRN</t>
  </si>
  <si>
    <t>2103.14000.pdf</t>
  </si>
  <si>
    <t xml:space="preserve">Zehlike et al. </t>
  </si>
  <si>
    <t>Fairness in Ranking: A Survey</t>
  </si>
  <si>
    <t>BookChapter_XueruZhang_MingyanLiu.pdf</t>
  </si>
  <si>
    <t>Zhang and Liu</t>
  </si>
  <si>
    <t>Fairness in learning-based sequential decision algorithms: A survey</t>
  </si>
  <si>
    <t>HRLC</t>
  </si>
  <si>
    <t>Handbook of Reinforcement Learning and Control</t>
  </si>
  <si>
    <t>3298689.3346964.pdf</t>
  </si>
  <si>
    <t>Ekstrand et al.</t>
  </si>
  <si>
    <t>Fairness and discrimination in recommendation and retrieval</t>
  </si>
  <si>
    <t>RecSys</t>
  </si>
  <si>
    <t>RecSys (ACM Conference on Recommender Systems)</t>
  </si>
  <si>
    <t>2107.07919.pdf</t>
  </si>
  <si>
    <t>Fabbrizzi et al.</t>
  </si>
  <si>
    <t>A Survey on Bias in Visual Datasets</t>
  </si>
  <si>
    <t>3287560.3287600(1).pdf</t>
  </si>
  <si>
    <t>Hutchinson and Mitchell</t>
  </si>
  <si>
    <t>50 years of test (un) fairness: Lessons for machine learning</t>
  </si>
  <si>
    <t>Facct</t>
  </si>
  <si>
    <t>FAT</t>
  </si>
  <si>
    <t>widm.1356.pdf</t>
  </si>
  <si>
    <t>Ntoutsi et al.</t>
  </si>
  <si>
    <t>Bias in data-driven artificial intelligence systems—An introductory survey</t>
  </si>
  <si>
    <t>DMKD</t>
  </si>
  <si>
    <t>Wiley Interdisciplinary Reviews: Data Mining and Knowledge Discovery</t>
  </si>
  <si>
    <t>3466132.3466134.pdf</t>
  </si>
  <si>
    <t>Srinivasan and Chander</t>
  </si>
  <si>
    <t>Biases in AI Systems</t>
  </si>
  <si>
    <t>CACM</t>
  </si>
  <si>
    <t>Communications of the ACM</t>
  </si>
  <si>
    <t>2105.01984.pdf</t>
  </si>
  <si>
    <t>Martínez-Fernández et al.</t>
  </si>
  <si>
    <t>Software Engineering for AI-Based Systems: A Survey</t>
  </si>
  <si>
    <t>arxiv</t>
  </si>
  <si>
    <t>2012.07919.pdf</t>
  </si>
  <si>
    <t>Görkem Giray</t>
  </si>
  <si>
    <t>A Software Engineering Perspective on Engineering Machine Learning Systems: 
State of the Art and Challenges</t>
  </si>
  <si>
    <t>JSS</t>
  </si>
  <si>
    <t xml:space="preserve">Braiek et al. </t>
  </si>
  <si>
    <t>On Testing Machine Learning Programs</t>
  </si>
  <si>
    <t>Riccio et al.</t>
  </si>
  <si>
    <t>Testing Machine Learning based Systems: A Systematic Mapping</t>
  </si>
  <si>
    <t xml:space="preserve">EMSE </t>
  </si>
  <si>
    <t>SE</t>
  </si>
  <si>
    <t>FSE2021__Fairea.pdf</t>
  </si>
  <si>
    <t>Hort et al.</t>
  </si>
  <si>
    <t>Fairea: A Model Behaviour Mutation Approach to Benchmarking Bias Mitigation Methods</t>
  </si>
  <si>
    <t>FSE</t>
  </si>
  <si>
    <t>SE, Mitigation, Benchmarking, Empirical</t>
  </si>
  <si>
    <t>?</t>
  </si>
  <si>
    <t>Structured</t>
  </si>
  <si>
    <t>Adult Census Income, COMPAS, German Credit Data (German)</t>
  </si>
  <si>
    <t>Group Fairness</t>
  </si>
  <si>
    <t>gender, race</t>
  </si>
  <si>
    <t xml:space="preserve">Mitigation </t>
  </si>
  <si>
    <t>automatic</t>
  </si>
  <si>
    <t>black</t>
  </si>
  <si>
    <t xml:space="preserve"> SE trade-off between accuracy and fairness</t>
  </si>
  <si>
    <t>novel model behaviour mutation approach to automatically benchmarking and quantifying the fairness-accuracy trade-off achieved by bias mitigation methods for ML software; establish a trade-off baseline; propose a  quantitative approach that can automatically evaluate and compare the fairness-accuracy trade-offs of software bias mitigation methods;</t>
  </si>
  <si>
    <t xml:space="preserve">model behaviour mutation for benchmarking;  benchmarking ML bias mitigation methods; </t>
  </si>
  <si>
    <t>bias mitigation methods have a poor effectiveness in 49% of the cases, 15% of the mitigation cases have worse fairness-accuracy trade-offs than the baseline established by Fairea; 34% of the cases have a decrease in accuracy and an increase in bias</t>
  </si>
  <si>
    <t>3368089.3409704.pdf</t>
  </si>
  <si>
    <t>Biswas and Rajan.</t>
  </si>
  <si>
    <t>Do the Machine Learning Models on a Crowd Sourced Platform Exhibit Bias</t>
  </si>
  <si>
    <t>German Credit, Adult Census Income, Bank Marketing, Home Credit, Titanic ML</t>
  </si>
  <si>
    <t>Group Fairness, Individual</t>
  </si>
  <si>
    <t xml:space="preserve">gender, race, age, </t>
  </si>
  <si>
    <t>"we are not aware how much fairness issues exist in ML models from practice. Do the models exhibit bias? If yes, what are the different bias types and what are the model constructs related to the bias? Also, is there a pattern of fairness measures when different mitigation algorithms are applied? "</t>
  </si>
  <si>
    <t>empirical evaluation of fairness and mitigations on real-world machine learning models.</t>
  </si>
  <si>
    <t>an empirical study on ML models to understand fairness characteristics (in problem)</t>
  </si>
  <si>
    <t xml:space="preserve">model optimization techniques result in inducing unfairness; some fairness control mechanisms in machine learning libraries are not documented; bias mitigation algorithm also exhibit common patterns such as mitigation in the post-processing is often costly (in terms of performance) and mitigation in the pre-processing stage is preferred in most cases; </t>
  </si>
  <si>
    <t>issta_2021.pdf</t>
  </si>
  <si>
    <t>Efficient White-Box Fairness Testing through Gradient Search</t>
  </si>
  <si>
    <t>ISSTA</t>
  </si>
  <si>
    <t>SE, testing, Mitigation (Retraining)</t>
  </si>
  <si>
    <t>German Credit, Adult Census Income, Bank Marketing</t>
  </si>
  <si>
    <t>Individual</t>
  </si>
  <si>
    <t>Testing, Mitigation</t>
  </si>
  <si>
    <t>white</t>
  </si>
  <si>
    <t>how to detect, evaluate and improve individual fairness of a model,</t>
  </si>
  <si>
    <t>we propose a scalable and efficient approach called Efficient Individual Discriminatory Instances Generator (EIDIG) to systematically generate test cases that violate the individual fairness for differentiable models (e.g., DNNs); we propose a framework EIDIG for efficiently discovering individual fairness violation.</t>
  </si>
  <si>
    <t>gradient descent, EIDIG generates individual discriminatory instances in two sequential phases (i.e., a global generation phase and a local generation phase).</t>
  </si>
  <si>
    <t>EIDIG generates 19.11% more individual discriminatory instances with a speedup of 121.49% when compared with the state-of-the-art method and mitigates individual discrimination by 80.03% with a limited accuracy loss after retraining</t>
  </si>
  <si>
    <t>1807.00468(1).pdf</t>
  </si>
  <si>
    <t>Udeshi et al.</t>
  </si>
  <si>
    <t>Automated directed fairness testing</t>
  </si>
  <si>
    <t>ASE</t>
  </si>
  <si>
    <t>YES</t>
  </si>
  <si>
    <t>Adult Census Income</t>
  </si>
  <si>
    <t>gender</t>
  </si>
  <si>
    <t>how can we automatically validate the fairness of arbitrary machine-learning models?</t>
  </si>
  <si>
    <t>directed test generation strategy to rapidly generate discriminatory inputs in machine-learning models. The key insight behind Aeqitas is to exploit the robustness property of common machine learning models and use it to systematically direct the test generation process.</t>
  </si>
  <si>
    <t>three novel strategies to employ probabilistic search over the input space with the objective of uncovering fairness violation. Our Aeqitas approach leverages inherent robustness property in common machine-learning models to design and implement scalable test generation methodologies.</t>
  </si>
  <si>
    <t>In our evaluation, Aeqitas generates up to 70% discriminatory inputs (w.r.t. the total number of inputs generated) and leverages these inputs to improve the fairness up to 94%.</t>
  </si>
  <si>
    <t>Jie_M_Zhang.pdf</t>
  </si>
  <si>
    <t>Zhang and Harman</t>
  </si>
  <si>
    <t>“Ignorance and Prejudice” in Software Fairness</t>
  </si>
  <si>
    <t>ICSE</t>
  </si>
  <si>
    <t>SE, Empirical</t>
  </si>
  <si>
    <t xml:space="preserve">German Credit, Adult Census Income, Bank Marketing, COMPAS, Medical Survey 2015 </t>
  </si>
  <si>
    <t>Analysis</t>
  </si>
  <si>
    <t>N/A</t>
  </si>
  <si>
    <t>how key aspect of any machine learning system (feature set and training data) affect fairness</t>
  </si>
  <si>
    <t>We find that enlarging the feature set plays a significant role in fairness (with an average effect rate of 38%). Importantly, and contrary to widely-held beliefs that greater fairness often corresponds to lower accuracy, our findings reveal that an enlarged feature set has both higher accuracy and fairness. Perhaps also surprisingly, we find that a larger training data does not help to improve fairness. Our results suggest a larger training data set has more unfairness than a smaller one when feature sets are insufficient; an important cautionary finding for practising software engineers.</t>
  </si>
  <si>
    <t>286034941.pdf</t>
  </si>
  <si>
    <t>White-box fairness testing through adversarial sampling</t>
  </si>
  <si>
    <t>SE, Testing</t>
  </si>
  <si>
    <t>DNN</t>
  </si>
  <si>
    <t xml:space="preserve">Testing </t>
  </si>
  <si>
    <t>how to search individual discriminatory instances of DNN.</t>
  </si>
  <si>
    <t>our approach only employs lightweight procedures like gradient computation and clustering</t>
  </si>
  <si>
    <t>2107.08176.pdf</t>
  </si>
  <si>
    <t>Automatic Fairness Testing of Neural Classifiers through Adversarial Sampling</t>
  </si>
  <si>
    <t>DNN, LSTM, GRU</t>
  </si>
  <si>
    <t>Both (Text)</t>
  </si>
  <si>
    <t>German Credit, Adult Census Income, Bank Marketing, Wiki Comment, Jigsaw Comments</t>
  </si>
  <si>
    <t>gender, race, age, country, ethnic, religion</t>
  </si>
  <si>
    <t>3377811.3380400.pdf</t>
  </si>
  <si>
    <t>Tian et al.</t>
  </si>
  <si>
    <t>Testing DNN Image Classifier for Confusion &amp; Bias Errors</t>
  </si>
  <si>
    <t>Unstructured (Image)</t>
  </si>
  <si>
    <t>COCO, COCO gender, imSitu, CIFAR-100, Robust CIFAR-10, ImageNet</t>
  </si>
  <si>
    <t>gender, class label</t>
  </si>
  <si>
    <t>how to detects confusion and bias errors in classification models, especially class-level violations.</t>
  </si>
  <si>
    <t>We present an approach to testing image classifier robustness based on class property violations.</t>
  </si>
  <si>
    <t xml:space="preserve">We developed a testing technique (DeepInspect) to automatically detect classbased confusion and bias errors in DNN-driven image classification software. </t>
  </si>
  <si>
    <t>We evaluated our implementation, DeepInspect, on several popular image classifiers with precision up to 100% (avg. 72.6%) for confusion errors, and up to 84.3% (avg. 66.8%) for bias errors. DeepInspect found hundreds of classification mistakes in widely used models, many exposing errors indicating confusion or bias</t>
  </si>
  <si>
    <t>3338906.3338937.pdf</t>
  </si>
  <si>
    <t>Aggarwal et al.</t>
  </si>
  <si>
    <t>Black box fairness testing of machine learning models</t>
  </si>
  <si>
    <t>Decision Tree, Random Forest, Multi Layer Perceptron</t>
  </si>
  <si>
    <t>German Credit, Adult Census Income, Bank Marketing, US Executions, Fraud Detection, Raw Car Rentals</t>
  </si>
  <si>
    <t xml:space="preserve"> how to detecting the presence of individual discrimination in ML models.</t>
  </si>
  <si>
    <t xml:space="preserve">We propose a methodology for auto-generation of test inputs, for the task of detecting individual discrimination. </t>
  </si>
  <si>
    <t xml:space="preserve">Our approach combines two well-established techniques - symbolic execution and local explainability for effective test case generation. </t>
  </si>
  <si>
    <t>We empirically show that our approach to generate test cases is very effective as compared to the best-known benchmark systems that we examine</t>
  </si>
  <si>
    <t>3236024.3264590(2).pdf</t>
  </si>
  <si>
    <t xml:space="preserve">Angell et al. </t>
  </si>
  <si>
    <t>Themis: Automatically Testing Software for Discrimination</t>
  </si>
  <si>
    <t>SE, formalization, testing</t>
  </si>
  <si>
    <t>fairness-aware logistic regression, 2X fairness-aware decision tree, fairness-aware naive Bayes classifier, logistic regression, 2X decision tree, naive Bayes classifier</t>
  </si>
  <si>
    <t>German Credit, Adult Census Income</t>
  </si>
  <si>
    <t>causal fairness</t>
  </si>
  <si>
    <t>Formalization, Testing</t>
  </si>
  <si>
    <t>how to formally define software fairness testing and a causality-based measure of discrimination</t>
  </si>
  <si>
    <t>We have further described Themis, an approach and its open-source implementation for measuring discrimination in software and for generating efficient test suites to perform these measurements</t>
  </si>
  <si>
    <t>Our evaluation demonstrates that discrimination in software is common, even when fairness is an explicit design goal, and that fairness testing is critical to measuring discrimination. Further, we formally prove soundness of our approach and show that Themis effectively measures discriminations and produces efficient test suites to do so.</t>
  </si>
  <si>
    <t>3236024.3264838(1).pdf</t>
  </si>
  <si>
    <t>Brun and Meliou</t>
  </si>
  <si>
    <t>Software Fairness</t>
  </si>
  <si>
    <t>Themis.pdf</t>
  </si>
  <si>
    <t>Galhotra et al.</t>
  </si>
  <si>
    <t>Fairness Testing: Testing Software for Discrimination</t>
  </si>
  <si>
    <t>2105.12195.pdf</t>
  </si>
  <si>
    <t>Chakraborty et al..</t>
  </si>
  <si>
    <t>Bias in Machine Learning Software: Why? How? What to Do?</t>
  </si>
  <si>
    <t>SE, testing, debugging, mitigation</t>
  </si>
  <si>
    <t>logistic regression (LSR), random forest (RF), and support vector machine (SVM)</t>
  </si>
  <si>
    <t>German Credit, Adult Census Income, COMPAS, Bank Marketing, Default Credit, Heart Health, Home Credit, Student Performance, MEPS</t>
  </si>
  <si>
    <t>Group Fairness, Individual, Intersectional bias [RQ5]</t>
  </si>
  <si>
    <t>Debugging, Testing, Mitigation</t>
  </si>
  <si>
    <t>how to check if the root causes of bias are the prior decisions about (a) what data was selected and (b) the labels assigned to those examples</t>
  </si>
  <si>
    <t xml:space="preserve">The insight we offer here is that the root causes of bias might be the prior decisions that generated the training data. we propose Fair-SMOTE algorithm removes biased labels; and rebalances internal distributions so that, based on sensitive attribute, examples are equal in positive and negative classes. </t>
  </si>
  <si>
    <t xml:space="preserve">This “Fair-SMOTE” tactic uses situation testing [6, 7] to find biased labels. Also, it balances frequencies of sensitive attributes and class labels (whereas the older SMOTE algorithm [8] just balances the class labels). </t>
  </si>
  <si>
    <t>On testing, this method was just as effective at reducing bias as prior approaches. Further, models generated via Fair-SMOTE achieve higher performance (measured in terms of recall and F1) than other state-of-the-art fairness improvement algorithms</t>
  </si>
  <si>
    <t>fairness-definitions.pdf</t>
  </si>
  <si>
    <t>Verma and Rubin</t>
  </si>
  <si>
    <t>Fairness Definitions Explained</t>
  </si>
  <si>
    <t>FairWare</t>
  </si>
  <si>
    <t xml:space="preserve">SE, formalization </t>
  </si>
  <si>
    <t>German Credit</t>
  </si>
  <si>
    <t>20+</t>
  </si>
  <si>
    <t>Formalization</t>
  </si>
  <si>
    <t>how to define software fairness (metrics)</t>
  </si>
  <si>
    <t>Fairway.pdf</t>
  </si>
  <si>
    <t>Chakraborty et al.</t>
  </si>
  <si>
    <t>Fairway: A Way to Build Fair ML Software</t>
  </si>
  <si>
    <t>logistic regression</t>
  </si>
  <si>
    <t>German Credit, Adult Census Income, COMPAS, Default Credit, Heart Health</t>
  </si>
  <si>
    <t>detect and explain how a machine learning model acquires bias from training data</t>
  </si>
  <si>
    <t>we propose “Fairway” a combination of pre-processing and in-processing method; Following the motivation of Chen et al, we evaluate the original labels of the training data and identify biased data points which can eventually make the machine learning model biased. Then following the idea of Berk et al, we apply multiobjective optimization approach to keep the model performance same while making it fair. The combination of these two approaches makes Fairway a handy tool for bias detection and mitigation</t>
  </si>
  <si>
    <t>In this work, we a) explain how ground truth bias in training data affects machine learning model fairness and how to find that bias in AI software, b) propose a method Fairway which combines preprocessing and in-processing approach to remove ethical bias from training data and trained model.</t>
  </si>
  <si>
    <t>Our results show that we can find bias and mitigate bias in a learned model, without much damaging the predictive performance of that model. We propose that (1) testing for bias and (2) bias mitigation should be a routine part of the machine learning software development life cycle</t>
  </si>
  <si>
    <t>2106.06054.pdf</t>
  </si>
  <si>
    <t>Biswas and Rajan</t>
  </si>
  <si>
    <t>Fair Preprocessing: Towards Understanding Compositional Fairness of Data Transformers in Machine Learning Pipeline</t>
  </si>
  <si>
    <t>SE, Empirical, Benchmarking</t>
  </si>
  <si>
    <t>N/A [preprocessing stages]</t>
  </si>
  <si>
    <t>Group Fairness, Individual, causal fairness: local fairness [wrt data pipeline], global fairness [wrt data pipeline]</t>
  </si>
  <si>
    <t>What are the fairness impacts of the preprocessing stages in machine learning pipeline? How to measure the unfairness caused by a specific transformation made in the data preprocessing stage. No study has been conducted to measure the fairness of the preprocessing stages and show how it impacts the overall fairness of the pipeline</t>
  </si>
  <si>
    <t>Our key idea is to leverage causal reasoning and observe fairness impact of a stage on prediction; we introduced the causal method of fairness to reason about the fairness impact of data preprocessing stages in ML pipeline.</t>
  </si>
  <si>
    <t>We leveraged existing metrics to define the fairness measures of the stages. Then we conducted a detailed fairness evaluation of the preprocessing stages in 37 pipelines collected from three different sources.</t>
  </si>
  <si>
    <t>Our results show that certain data transformers are causing the model to exhibit unfairness. We identified a number of fairness patterns in several categories of data transformers. Finally, we showed how the local fairness of a preprocessing stage composes in the global fairness of the pipeline. We used the fairness composition to choose appropriate downstream transformer that mitigates unfairness in the machine learning pipeline</t>
  </si>
  <si>
    <t>3377811.3380420.pdf</t>
  </si>
  <si>
    <t>Sun et al.</t>
  </si>
  <si>
    <t>Automatic testing and improvement of machine translation</t>
  </si>
  <si>
    <t xml:space="preserve">SE + NLP, Testing, Mitigation (repairing) </t>
  </si>
  <si>
    <t>NLP: machine translation: Google Translate and Transformer</t>
  </si>
  <si>
    <t>Unstructured (Text)</t>
  </si>
  <si>
    <t>News Commentary</t>
  </si>
  <si>
    <t xml:space="preserve">[Not-fairness-specific] Individual </t>
  </si>
  <si>
    <t>country|language</t>
  </si>
  <si>
    <t>Testing, Mitigation (Repair)</t>
  </si>
  <si>
    <t>grey, black</t>
  </si>
  <si>
    <t>how to detect and test inconsistency in machine translation</t>
  </si>
  <si>
    <t>TransRepair combines mutation with metamorphic testing to detect inconsistency bugs (without access to human oracles).</t>
  </si>
  <si>
    <t>TransRepair is a fully automatic approach for testing and repairing the consistency of machine translation systems. It then adopts probability-reference or cross-reference to post-process the translations, in a grey-box or black-box manner, to repair the inconsistencies.</t>
  </si>
  <si>
    <t>Evaluation on two state-of-the-art translators Google Translate and Transformer, indicates that TransRepair has a high precision (99%) on generating input pairs with consistent translations. Google Translate and Transformer have approximately 36% and 40% inconsistency bugs. Black-box repair fixes 28% and 19% bugs on average for Google Translate and Transformer. Grey-box repair fixes 30% bugs on average for Transformer. Manual inspection indicates that the translations repaired by our approach improve consistency in 87% of cases (degrading it in 2%), and that our repairs have better translation acceptability in 27% of the cases (worse in 8%).</t>
  </si>
  <si>
    <t>2010.02542(5).pdf</t>
  </si>
  <si>
    <t>Soremekun et al.</t>
  </si>
  <si>
    <t>Astraea: Grammar-based Fairness Testing</t>
  </si>
  <si>
    <t>SE, NLP, Testing, Mitigation (data augmentation &amp; retraining), Debugging</t>
  </si>
  <si>
    <t xml:space="preserve">DNN, rule-based, pattern analysis, naive bayes, Transfer Learning, RNN, RNN (LSTM), RNN (Stacked LSTMs) </t>
  </si>
  <si>
    <t>MLM, CoRef, SA</t>
  </si>
  <si>
    <t>gender, race, occupation, religion</t>
  </si>
  <si>
    <t>how to perform fairness testing without existing datasets</t>
  </si>
  <si>
    <t>ASTRAEA, the first grammar-based framework to automatically discover and diagnose fairness violations in NLP software; We propose a grammar-based fairness testing approach (called ASTRAEA) which leverages context-free grammars to generate discriminatory inputs that reveal fairness violations in software systems.</t>
  </si>
  <si>
    <t>In this paper, we conceptualize, design and implement ASTRAEA, a grammar-based methodology to automatically discover and diagnose fairness violations in a variety of NLP tasks. ASTRAEA also generates tests that systematically augment the training data based on the diagnosis results, in order to improve the model’s software fairness.  Using probabilistic grammars, ASTRAEA also provides fault diagnosis by isolating the cause of observed software bias. ASTRAEA’s diagnoses facilitate the improvement of ML fairness;</t>
  </si>
  <si>
    <t>ASTRAEA was evaluated on 18 software systems that provide three major natural language processing (NLP) services. In our evaluation, ASTRAEA generated fairness violations at a rate of about 18%. ASTRAEA generated over 573K discriminatory test cases and found over 102K fairness violations. Furthermore, ASTRAEA improves software fairness by about 76% via model-retraining, on average.</t>
  </si>
  <si>
    <t>3468264.3468614.pdf</t>
  </si>
  <si>
    <t>Cito et al.</t>
  </si>
  <si>
    <t>Explaining mispredictions of machine learning models using rule induction</t>
  </si>
  <si>
    <t>SE, Debugging, Mitigation (data augmentation &amp; retraining, supress/filter output, model selection, ),</t>
  </si>
  <si>
    <t>Undisclosed, XGBoost, Naive Bayes</t>
  </si>
  <si>
    <t>Both (Text, code)</t>
  </si>
  <si>
    <t>Cervical Cancer, Heart Failure, Bug2Commit, Diff Review, Code AutoComplete, Oncall Recommendation</t>
  </si>
  <si>
    <t>[Not-fairness-specific]  Group Fairness, Individual</t>
  </si>
  <si>
    <t>Debugging, Mitigation</t>
  </si>
  <si>
    <t xml:space="preserve">how to isolate the cause of mispredictions in ML models </t>
  </si>
  <si>
    <t>we propose a technique that aims to facilitate the debugging process of trained statistical models; We introduce the model misprediction diagnosis problem for improving the accuracy of machine learning models, adding to the emerging literature on model debugging</t>
  </si>
  <si>
    <t>Given an ML model and a labeled data set, our method produces an interpretable characterization of the data on which the model performs particularly poorly. The output of our technique can be useful for understanding limitations of the training data or the model itself; it can also be useful for ensembling if there are multiple models with different strengths.</t>
  </si>
  <si>
    <t>We evaluate our approach through case studies and illustrate how it can be used to improve the accuracy of predictive models used for software engineering tasks within Facebook. We also compare our algorithm against related rule induction techniques to illustrate its advantages in the context of explaining mispredictions of machine learning models.</t>
  </si>
  <si>
    <t xml:space="preserve">Morales et al. </t>
  </si>
  <si>
    <t>Coverage-Guided Fairness Testing</t>
  </si>
  <si>
    <t>ICIS</t>
  </si>
  <si>
    <t>International Conference on Intelligence Science</t>
  </si>
  <si>
    <t>(race, gender or nationality)</t>
  </si>
  <si>
    <t>Previous work tested for discrimination randomly, which has resulted in variations in the results for each test execution. These varying results indicate that, for each test execution, there is discrimination that is not found. Even though it is nearly impossible to find all discrimination unless we check all possible combinations in the system, it is important to detect as much discrimination as possible</t>
  </si>
  <si>
    <t>We propose a Coverage-Guided Fairness Testing (CGFT) that leverages combinatorial testing to generate an evenly-distributed test suite</t>
  </si>
  <si>
    <t>Improving Machine Translation Systems via Isotopic Replacement</t>
  </si>
  <si>
    <t>precise control of the impact of word replacement remains an outstanding issue in  approaches testing machine translation</t>
  </si>
  <si>
    <t>we propose CAT, a novelword-replacementbased approach, whose basic idea is to identify word replacement with controlled impact (referred to as isotopic replacement).</t>
  </si>
  <si>
    <t>To achieve this purpose, we use a neural-based language model to encode the sentence context, and design a neural-network-based algorithm to evaluate context-aware semantic similarity between two words. Furthermore, similar to TransRepair, a state-of-the-art word-replacement-based approach, CAT also provides automatic fixing of revealed bugs without model retraining.</t>
  </si>
  <si>
    <t>Our evaluation on Google Translate and Transformer indicates that CAT achieves significant improvements over TransRepair. In particular, 1) CAT detects seven more types of bugs than TransRepair; 2) CAT detects 129% more translation bugs than TransRepair; 3) CAT repairs twice more bugs than TransRepair, many of which may bring serious consequences if left unfixed; and 4) CAT has better efficiency than TransRepair in input generation (0.01s v.s. 0.41s) and comparable efficiency with TransRepair in bug repair (1.92s v.s. 1.34s).</t>
  </si>
  <si>
    <t>Rajan et al.</t>
  </si>
  <si>
    <t>AequeVox: Automated Fairness Testing of Speech Recognition Systems</t>
  </si>
  <si>
    <t>FASE</t>
  </si>
  <si>
    <t>SE + NLP, Testing, Debugging</t>
  </si>
  <si>
    <t>NLP: Google Cloud, Microsoft Azure and IBM Watson</t>
  </si>
  <si>
    <t>Unstructured (Speech)</t>
  </si>
  <si>
    <t>Speech Accent Archive, the Ryerson Audio-Visual Database of Emotional Speech and Song (RAVDESS), Multi speaker Corpora of the English Accents in the British Isles (Midlands), Nigerian English speech dataset</t>
  </si>
  <si>
    <t>accents, gender, country</t>
  </si>
  <si>
    <t>Debugging, Testing</t>
  </si>
  <si>
    <t>how to ensure that that Automatic Speech Recognition (ASR) systems are equitable to different subgroups of the population; we investigate whether speech from one group is more robustly recognised as compared to another group</t>
  </si>
  <si>
    <t xml:space="preserve">AequeVox simulates different environments to assess the effectiveness of ASR systems for different populations. </t>
  </si>
  <si>
    <t>In addition, we investigate whether the chosen simulations are comprehensible to humans. We further propose a fault localization technique capable of identifying words that are not robust to these varying environments. Both components of AequeVox are able to operate in the absence of ground truth data.</t>
  </si>
  <si>
    <t>Our experiments reveal that non-native English, female and Nigerian English speakers generate 109%, 528.5% and 156.9% more errors, on average than native English, male and UK Midlands speakers, respectively. Our user study also reveals that 82.9% of the simulations (employed through speech transformations) had a comprehensibility rating above seven (out of ten), with the lowest rating being 6.78. This further validates the fairness violations discovered by AequeVox. Finally, we show that the non-robust words, as predicted by the fault localization technique embodied in AequeVox, show 223.8% more errors than the predicted robust words across all ASRs.</t>
  </si>
  <si>
    <t>Asyrofi et al.</t>
  </si>
  <si>
    <t>BiasFinder: Metamorphic Test Generation to Uncover Bias for Sentiment Analysis Systems</t>
  </si>
  <si>
    <t xml:space="preserve">TSE </t>
  </si>
  <si>
    <t>SE + NLP,  Testing</t>
  </si>
  <si>
    <t xml:space="preserve">NLP (sentiment analysis): BERT-base-cased, RoBERTa-base, AlBERT-base-v2, Muppet-RoBERTa-base, ELECTRA-base </t>
  </si>
  <si>
    <t>IMDB, Twitter ( sentiment analysis)</t>
  </si>
  <si>
    <t>gender, occupation, country</t>
  </si>
  <si>
    <t>Existing studies on revealing bias in SA systems rely on the production of sentences from a small set of short, predefined templates</t>
  </si>
  <si>
    <t>we present BiasFinder, an approach to discover biased predictions in SA systems via metamorphic testing.</t>
  </si>
  <si>
    <t>A key feature of BiasFinder is the automatic curation of suitable templates based on the pieces of text from a large corpus, using various Natural Language Processing (NLP) techniques to identify words that describe demographic characteristics. Next, BiasFinder instantiates new text from these templates by filling in placeholders with words associated with a class of a characteristic (e.g., gender-specific words such as female names, “she”, “her”). These texts are used to tease out bias in an SA system. BiasFinder identifies a bias-uncovering test case (BTC) when it detects that the SA system exhibits demographic bias for a pair of texts, i.e., it predicts a different sentiment for texts that differ only in words associated with a different class (e.g., male vs. female) of a target characteristic (e.g., gender).</t>
  </si>
  <si>
    <t>The results show that BiasFinder can generate more BTCs, and an annotation study demonstrates that human annotators consistently consider that BiasFinder can generate more fluent text mutants.</t>
  </si>
  <si>
    <t xml:space="preserve">Tizpaz-Niari et al. </t>
  </si>
  <si>
    <t>Fairness-aware Configuration of Machine Learning Libraries</t>
  </si>
  <si>
    <t>SE, Empirical, Debugging, Mitigation (param. config)</t>
  </si>
  <si>
    <t>Logistic regression (LR), Random forest (RF), Support vector machine (SVM), Decision tree (DT), Discriminant analysis (DA)</t>
  </si>
  <si>
    <t>German Credit, Adult Census Income, COMPAS, Bank Marketing</t>
  </si>
  <si>
    <t>how to understand understand the fairness implications of algorithmic configurations;  To what extent can hyperparameters influence the biases present in the input dataset? Can we assist developers in identifying, explaining, and exploiting the hyperparameter space towards improved fairness? Can hyperparameters amplify or  suppress discrimination present in the input dataset? How can we help programmers in detecting, understanding, and exploiting the role of hyperparameters to improve the fairness?</t>
  </si>
  <si>
    <t>This paper investigates the parameter space of machine learning (ML) algorithms in aggravating or mitigating fairness bugs, using search based testing and statistical debugging</t>
  </si>
  <si>
    <t>We design and implement three dynamic search algorithms (independently random, black-box evolutionary, and gray-box evolutionary) to find configurations that simultaneously maximize and minimize group-based fairness with a constraint on the prediction accuracy. Then, we leverage statistical learning methods [21, 33] to explain what parameters distinguish low-bias configurations from high-bias ones. Finally, we show that Parfait-ML can effectively aid ML users to find a configuration that mitigates bias without degrading the prediction accuracy.</t>
  </si>
  <si>
    <t>Hyperparameter configurations with high fairness help software engineers mitigate bias, while configurations with low fairness help ML developers understand and document potentially unfair combinations of hyperparameters.</t>
  </si>
  <si>
    <t xml:space="preserve">Zheng et al. </t>
  </si>
  <si>
    <t>NeuronFair: Interpretable White-Box Fairness Testing through Biased Neuron Identification</t>
  </si>
  <si>
    <t>SE, Testing, Mitigation, Analysis</t>
  </si>
  <si>
    <t xml:space="preserve">FCN, CNN </t>
  </si>
  <si>
    <t>Both (image)</t>
  </si>
  <si>
    <t>German Credit, Adult Census Income, Bank Marketing, COMPAs, MEPS, ClbA-IN, LFW-IN</t>
  </si>
  <si>
    <t>Testing, Mitigation, Analysis</t>
  </si>
  <si>
    <t>existing fairness testing methods are still limited in three aspects: interpretability, performance, and generalizability.</t>
  </si>
  <si>
    <t>we propose a combination of neuron activation analysis and adversarial attacks. To  overcome the challenges, we propose NeuronFair, a new DNN fairness testing framework that differs from previous work in several key aspects: (1) interpretable - it quantitatively interprets DNNs’ fairness violations for the biased decision; (2) effective - it uses the interpretation results to guide the generation of more diverse instances in less time; (3) generic - it can handle both structured and unstructured data</t>
  </si>
  <si>
    <t>First, we determine the main neurons that cause discrimination, called biased neurons. Then, we search for discriminatory instances with the optimization object of increasing the ActDiff values of biased neurons. Because the optimization from the biased neuron shortens the derivation path, it reduces the probability of the gradient vanishing and time cost. Moreover, we can produce more diverse instances through the dynamic combination of biased neurons. All in all, we leverage the interpretation results to optimize gradient guidance, which is beneficial to the generation effectiveness</t>
  </si>
  <si>
    <t>on structured datasets, it generates much more instances (∼×5.84) and saves more time (with an average speedup of 534.56%) compared with the state-of-the-art methods. Besides, the instances of NeuronFair can also be leveraged to improve the fairness of the biased DNNs, which helps build more fair and trustworthy deep learning systems</t>
  </si>
  <si>
    <t>Black et al.</t>
  </si>
  <si>
    <t>Fliptest: fairness testing via optimal transport</t>
  </si>
  <si>
    <t>SE, Testing, Debugging</t>
  </si>
  <si>
    <t>NO</t>
  </si>
  <si>
    <t>Logistic regression, SVM (binary classifier)</t>
  </si>
  <si>
    <t>Chicago Strategic Subject List (SSL), Lipton, Law School</t>
  </si>
  <si>
    <t>Age, race, Narcotics Arrests, Gang Affiliation, hair length, work experience, LSAT, GPA</t>
  </si>
  <si>
    <t>had an individual been of a different protected status, would the model have treated them differently?</t>
  </si>
  <si>
    <t>we present FlipTest, a black-box, efficient, and interpretable fairness testing approach; FlipTest leverages optimal transport to match individuals in different protected groups, creating similar pairs of in-distribution samples, rather than relying on causal information to answer this question. We leverage the optimal transport mapping to gather two main pieces of information from a model: who may experience discrimination, and which features may be associated with this effect.</t>
  </si>
  <si>
    <t>We show how to use these instances to detect discrimination by constructing a flipset: the set of individuals whose classifier output changes post-translation, which corresponds to the set of people who may be harmed because of their group membership. To shed light on why the model treats a given subgroup differently, FlipTest produces a transparency report: a ranking of features that are most associated with the model’s behavior on the flipset</t>
  </si>
  <si>
    <t>Evaluating the approach on three case studies, we show that this provides a computationally inexpensive way to identify subgroups that may be harmed by model discrimination, including in cases where the model satisfies group fairness criteria</t>
  </si>
  <si>
    <t xml:space="preserve">Kim et al. </t>
  </si>
  <si>
    <t>Multiaccuracy: Black-box post-processing for fairness in classification</t>
  </si>
  <si>
    <t>AAAI</t>
  </si>
  <si>
    <t>SE, Auditing, Analysis, Mitigation (retraining)</t>
  </si>
  <si>
    <t xml:space="preserve"> LFW (CelebA), PPB, Adult Census Income, UK Biobank</t>
  </si>
  <si>
    <t>Group Fairness, intersectional bias</t>
  </si>
  <si>
    <t xml:space="preserve">gender, race, </t>
  </si>
  <si>
    <t>Auditing, Analysis, Mitigation (retraining)</t>
  </si>
  <si>
    <t>our goal is to audit f0 to determine whether the predictor satisfies a strong notion of subgroup fairness, multiaccuracy which requires that predictions be unbiased, not just overall, but on every identifiable subpopulation. If auditing reveals that the predictor does not satisfy multiaccuracy, we aim to post-process f0 to produce a new classifier f that is multiaccurate, without adversely affecting the subpopulations where f0 was already accurate.</t>
  </si>
  <si>
    <t>We develop a rigorous framework of multiaccuracy auditing and post-processing to ensure accurate predictions across identifiable subgroups.</t>
  </si>
  <si>
    <t>Our algorithm, Multiaccuracy Boost, works in any setting where we have black-box access to a predictor and a relatively small set of labeled data for auditing; importantly, this black-box framework allows for improved fairness and accountability of predictions, even when the predictor is minimally transparent.</t>
  </si>
  <si>
    <t xml:space="preserve"> We prove that Multiaccuracy Boost converges efficiently and show that if the initial model is accurate on an identifiable subgroup, then the post-processed model will be also. We experimentally demonstrate the effectiveness of the approach to improve the accuracy among minority subgroups in diverse applications (image classification, finance, population health). Interestingly, Multiaccuracy Boost can improve subpopulation accuracy (e.g. for “black women”) even when the sensitive features (e.g. “race”, “gender”) are not given to the algorithm explicitly.</t>
  </si>
  <si>
    <t>Cabrera et al.</t>
  </si>
  <si>
    <t>FairVis: Visual analytics for discovering intersectional bias in machine learning</t>
  </si>
  <si>
    <t>VAST</t>
  </si>
  <si>
    <t>SE, Auditing, Analysis (Visualization)</t>
  </si>
  <si>
    <t>DNN, binary classifier</t>
  </si>
  <si>
    <t>COMPAS, Adult Census Income</t>
  </si>
  <si>
    <t>gender, marital-status, relationship, race</t>
  </si>
  <si>
    <t xml:space="preserve">Auditing, Analysis </t>
  </si>
  <si>
    <t>Discovering which biases a machine learning model has introduced is a great challenge, due to the numerous definitions of fairness and the large number of potentially impacted subgroups</t>
  </si>
  <si>
    <t>We present FAIRVIS, a mixed-initiative visual analytics system that integrates a novel subgroup discovery technique for users to audit the fairness of machine learning models</t>
  </si>
  <si>
    <t>Through FAIRVIS, users can apply domain knowledge to generate and investigate known subgroups, and explore suggested and similar subgroups. FAIRVIS’s coordinated views enable users to explore a high-level overview of subgroup performance and subsequently drill down into detailed investigation of specific subgroups</t>
  </si>
  <si>
    <t>We show how FAIRVIS helps to discover biases in two real datasets used in predicting income and recidivism. As a visual analytics system devoted to discovering bias in machine learning, FAIRVIS demonstrates how interactive visualization may help data scientists and the general public understand and create more equitable algorithmic systems.</t>
  </si>
  <si>
    <t>Li et al.</t>
  </si>
  <si>
    <t>Training Data Debugging for the Fairness of Machine Learning Software</t>
  </si>
  <si>
    <t xml:space="preserve">SE, Debugging  </t>
  </si>
  <si>
    <t xml:space="preserve">Logistic Regression,  </t>
  </si>
  <si>
    <t>COMPAS, Adult Census Income, MEPS15, MEPS16, Default Credit, Heart Health, German Credit, Bank Marketing, Student Performance</t>
  </si>
  <si>
    <t>gender, race, age</t>
  </si>
  <si>
    <t>Debugging</t>
  </si>
  <si>
    <t>how to debug feature values in training data; how to find the root cause of unfairness as biased features in training data</t>
  </si>
  <si>
    <t xml:space="preserve">We propose a novel method called linear-regression based Training Data Debugging (LTDD), to debug feature values in training data, i.e., (a) identify which features and which parts of them are biased, and (b) exclude the biased parts of such features to recover as much valuable and unbiased information as possible to build fair ML software. </t>
  </si>
  <si>
    <t>We conduct an extensive study on nine data sets and three classifiers to evaluate the effect of our method LTDD compared with four baseline methods. Experimental results show that (a) LTDD can better improve the fairness of ML software with less or comparable damage to the performance, and (b) LTDD is more actionable for fairness improvement in realistic scenarios.</t>
  </si>
  <si>
    <t>Fan et al.</t>
  </si>
  <si>
    <t>Explanation-Guided Fairness Testing through Genetic Algorithm</t>
  </si>
  <si>
    <t>Testing</t>
  </si>
  <si>
    <t xml:space="preserve">A plethora of research has proposed diverse methods for individual fairness testing. However, they are suffering from three major limitations, i.e., low efficiency, low effectiveness, and model specificity. </t>
  </si>
  <si>
    <t xml:space="preserve">This work proposes ExpGA, an explanation-guided fairness testing approach through a genetic algorithm (GA). </t>
  </si>
  <si>
    <t xml:space="preserve">ExpGA employs the explanation results generated by interpretable methods to collect high-quality initial seeds, which are prone to derive discriminatory samples by slightly modifying feature values. ExpGA then adopts GA to search discriminatory sample candidates by optimizing a fitness value. Benefiting from this combination of explanation results and GA, ExpGA is both efficient and effective to detect discriminatory individuals. Moreover, ExpGA only requires prediction probabilities of the tested model, resulting in a better generalization capability to various models. </t>
  </si>
  <si>
    <t>Experiments on multiple real-world benchmarks, including tabular and text datasets, show that ExpGA presents higher efficiency and effectiveness than four state-of-the-art approaches.</t>
  </si>
  <si>
    <t xml:space="preserve">Gao et al. </t>
  </si>
  <si>
    <t>FairNeuron: Improving Deep Neural Network Fairness with Adversary Games on Selective Neurons</t>
  </si>
  <si>
    <t>SE, Mitigation, Analysis</t>
  </si>
  <si>
    <t>Mitigation (repair), Analysis</t>
  </si>
  <si>
    <t>model fairness and accuracy in many cases are contradictory goals to optimize.</t>
  </si>
  <si>
    <t>To solve this issue, there has been a number of work trying to improve model fairness by using an adversarial game in model level. This approach introduces an adversary that evaluates the fairness of a model besides its prediction accuracy on the main task, and performs joint-optimization to achieve a balanced result.</t>
  </si>
  <si>
    <t xml:space="preserve"> In this paper, we noticed that when performing backward propagation based training, such contradictory phenomenon has shown on individual neuron level. Based on this observation, we propose FairNeuron, a DNN model automatic repairing tool, to mitigate fairness concerns and balance the accuracy-fairness trade-oﬀ without introducing another model. It works on detecting neurons with contradictory optimization directions from accuracy and fairness training goals, and achieving a trade-oﬀ by selective dropout.</t>
  </si>
  <si>
    <t>Comparing with state-of-the-art methods, our approach is lightweight, making it scalable and more efficient. Our evaluation on 3 datasets shows that FairNeuron can eﬀectively improve all models’ fairness while maintaining a stable utility.</t>
  </si>
  <si>
    <t>SE Extended</t>
  </si>
  <si>
    <t>fairrej.pdf</t>
  </si>
  <si>
    <t>Finkelstein et al.</t>
  </si>
  <si>
    <t>A search based approach to fairness analysis in requirement assignments
to aid negotiation, mediation and decision making.</t>
  </si>
  <si>
    <t>RE</t>
  </si>
  <si>
    <t>Requirements</t>
  </si>
  <si>
    <t>The Secret to Better AI and Better Software (Is Requirements Engineering)</t>
  </si>
  <si>
    <t>IEEE_Software</t>
  </si>
  <si>
    <t>IEEE Software</t>
  </si>
  <si>
    <t>Does mitigating ML's impact disparity require treatment disparity?</t>
  </si>
  <si>
    <t>NeurIPS</t>
  </si>
  <si>
    <t>NIPS</t>
  </si>
  <si>
    <t>Bridging Machine Learning and Mechanism Design towards Algorithmic Fairness</t>
  </si>
  <si>
    <t>facct</t>
  </si>
  <si>
    <t>Design</t>
  </si>
  <si>
    <t>Designing fair ranking schemes</t>
  </si>
  <si>
    <t>ICMD</t>
  </si>
  <si>
    <t>ICMD: International Conference on Management of Data.</t>
  </si>
  <si>
    <t>Hussain.pdf</t>
  </si>
  <si>
    <t>Integrating Social Values into Software Design Patterns</t>
  </si>
  <si>
    <t>iwc-gendermag-2016.pdf</t>
  </si>
  <si>
    <t>Burnett et al.</t>
  </si>
  <si>
    <t>GenderMag: A method for evaluating software’s gender inclusiveness</t>
  </si>
  <si>
    <t>IWC</t>
  </si>
  <si>
    <t>Interacting with Computers</t>
  </si>
  <si>
    <t>1510.02377.pdf</t>
  </si>
  <si>
    <t>Tramer et al.</t>
  </si>
  <si>
    <t>FairTest: Discovering unwarranted associations in data-driven applications</t>
  </si>
  <si>
    <t>EuroS&amp;P</t>
  </si>
  <si>
    <t>2020-CheckList-ACL.pdf</t>
  </si>
  <si>
    <t>Ribeiro et al.</t>
  </si>
  <si>
    <t>Beyond accuracy: Behavioral testing of NLP models with CheckList</t>
  </si>
  <si>
    <t>2007.02893(1).pdf</t>
  </si>
  <si>
    <t>Making Fair ML Software using Trustworthy Explanation</t>
  </si>
  <si>
    <t>Aydemir.pdf</t>
  </si>
  <si>
    <t>A roadmap for ethics-aware software engineering</t>
  </si>
  <si>
    <t>08738152.pdf</t>
  </si>
  <si>
    <t>Think your artificial intelligence software is fair? Think again</t>
  </si>
  <si>
    <t>Genetic programming approaches to learning fair classifiers</t>
  </si>
  <si>
    <t>GECCO</t>
  </si>
  <si>
    <t>GECCO: Genetic and Evolutionary Computation Conference</t>
  </si>
  <si>
    <t>Fairness-aware programming</t>
  </si>
  <si>
    <t>Fairness_Testing_Deep_Reinforcement_Learning.pdf</t>
  </si>
  <si>
    <t xml:space="preserve">Xie and Wu </t>
  </si>
  <si>
    <t>Fairness Testing of Machine Learning Models Using Deep Reinforcement Learning</t>
  </si>
  <si>
    <t>TrustCom</t>
  </si>
  <si>
    <t>Fare: Diagnostics for fair ranking using pairwise error metrics</t>
  </si>
  <si>
    <t>WWW</t>
  </si>
  <si>
    <t>1906.06439.pdf</t>
  </si>
  <si>
    <t>Image Counterfactual Sensitivity Analysis for Detecting Unintended Bias</t>
  </si>
  <si>
    <t>FATE</t>
  </si>
  <si>
    <t>CVPR Workshop FATE/CV</t>
  </si>
  <si>
    <t>CV, facial analysis</t>
  </si>
  <si>
    <t>CelebA</t>
  </si>
  <si>
    <t>smile</t>
  </si>
  <si>
    <t>testing</t>
  </si>
  <si>
    <t>GANs</t>
  </si>
  <si>
    <t>VERIFICATION</t>
  </si>
  <si>
    <t>FairSquare.pdf</t>
  </si>
  <si>
    <t>Albarghouthi et al.</t>
  </si>
  <si>
    <t>FairSquare: Probabilistic Verification of Program Fairness</t>
  </si>
  <si>
    <t>OOPSLA</t>
  </si>
  <si>
    <t>income</t>
  </si>
  <si>
    <t>Adult (census income)</t>
  </si>
  <si>
    <t>group</t>
  </si>
  <si>
    <t>verification, formalization of fairness as 
probabilistic properties</t>
  </si>
  <si>
    <t>verifying/certifying that a program 
meets a given fairness property</t>
  </si>
  <si>
    <t xml:space="preserve">- encode fairness as probabilistic program properties
- verifying probabilistic properties via SMT solvers
</t>
  </si>
  <si>
    <t>automating fairness verification by reducing it to a set 
of  weighted-volume-computation problems and
 applying  SMT solvers to verify</t>
  </si>
  <si>
    <t>FairSquare can verify
 fairness properties that 
other tools cannot</t>
  </si>
  <si>
    <t>MLCheck</t>
  </si>
  <si>
    <t>Sharma et al.</t>
  </si>
  <si>
    <t>MLCheck– Property-Driven Testing of Machine Learning Models</t>
  </si>
  <si>
    <t>income, credit</t>
  </si>
  <si>
    <t>Adult (census income), German credit</t>
  </si>
  <si>
    <t>individual</t>
  </si>
  <si>
    <t xml:space="preserve">Testing, verification, property specification </t>
  </si>
  <si>
    <t xml:space="preserve">black </t>
  </si>
  <si>
    <t>property validation for ML</t>
  </si>
  <si>
    <t>property specification language, property based testing, 
verification based testing, SMT solvers, train (shadow) 
white-box model for verification/SMT checks</t>
  </si>
  <si>
    <t>(1) property specficiation, (2) shadow white box model 
training, (3) verification/SMT check of property on 
trained white box model, (4) test gneration as SMT 
counter-examples</t>
  </si>
  <si>
    <t>outperforms state 
of the art (SG and
 AEQUITAS)</t>
  </si>
  <si>
    <t>3368089.3409740.pdf</t>
  </si>
  <si>
    <t xml:space="preserve">Liu et al. </t>
  </si>
  <si>
    <t>Towards automated verification of smart contract fairness</t>
  </si>
  <si>
    <t>3360544.pdf</t>
  </si>
  <si>
    <t>BASTANI et al.</t>
  </si>
  <si>
    <t>Probabilistic Verification of Fairness Properties via Concentration</t>
  </si>
  <si>
    <t>10061760(1).pdf</t>
  </si>
  <si>
    <t>Repairing Decision-Making Programs Under Uncertainty</t>
  </si>
  <si>
    <t>CAV</t>
  </si>
  <si>
    <t>International Conference on Computer Aided Verification</t>
  </si>
  <si>
    <t>2783258.2783311.pdf</t>
  </si>
  <si>
    <t>Feldman et al.</t>
  </si>
  <si>
    <t>Certifying and Removing Disparate Impact</t>
  </si>
  <si>
    <t>KDD</t>
  </si>
  <si>
    <t xml:space="preserve">SIGKDD </t>
  </si>
  <si>
    <t>10172840.pdf</t>
  </si>
  <si>
    <t>Metevier et al.</t>
  </si>
  <si>
    <t>Offline contextual bandits with high probability fairness guarantees</t>
  </si>
  <si>
    <t>3287560.3287586.pdf</t>
  </si>
  <si>
    <t>Celis et al.</t>
  </si>
  <si>
    <t>Classification with fairness constraints: A meta-algorithm with provable guarantees</t>
  </si>
  <si>
    <t>Pingchuan_Ma.pdf</t>
  </si>
  <si>
    <t>Ma et al.</t>
  </si>
  <si>
    <t>Metamorphic Testing and Certified Mitigation of Fairness Violations in NLP
Models</t>
  </si>
  <si>
    <t>IJCAI</t>
  </si>
  <si>
    <t>george-john20a.pdf</t>
  </si>
  <si>
    <t>John et al.</t>
  </si>
  <si>
    <t>Verifying individual fairness in machine learning models</t>
  </si>
  <si>
    <t>PMLR</t>
  </si>
  <si>
    <t>1810.01943(2).pdf</t>
  </si>
  <si>
    <t>Bellamy et al.</t>
  </si>
  <si>
    <t>AI Fairness 360: An extensible toolkit for detecting, understanding, and 
mitigating unwanted algorithmic bias</t>
  </si>
  <si>
    <t>IBM_Journal_of_R_&amp;_D</t>
  </si>
  <si>
    <t>IBM Journal of R &amp; D</t>
  </si>
  <si>
    <t>Fairness in the Eyes of the Data: Certifying Machine-Learning Models</t>
  </si>
  <si>
    <t>AAAI-678.GhoshB.pdf</t>
  </si>
  <si>
    <t>Ghosh et al.</t>
  </si>
  <si>
    <t>Justicia: A Stochastic SAT Approach to Formally Verify Fairness</t>
  </si>
  <si>
    <t>EMPIRICAL STUDIES</t>
  </si>
  <si>
    <t>3178876.3186138.pdf</t>
  </si>
  <si>
    <t xml:space="preserve">Grgic-Hlaca et al. </t>
  </si>
  <si>
    <t>Human Perceptions of Fairness in Algorithmic Decision Making: A Case Study of Criminal Risk Prediction</t>
  </si>
  <si>
    <t>human survey</t>
  </si>
  <si>
    <t>2010.03058.pdf</t>
  </si>
  <si>
    <t xml:space="preserve">Hooker et al. </t>
  </si>
  <si>
    <t>CHARACTERISING BIAS IN COMPRESSED MODELS</t>
  </si>
  <si>
    <t xml:space="preserve"> arXiv </t>
  </si>
  <si>
    <t>3351095.3372831.pdf</t>
  </si>
  <si>
    <t xml:space="preserve">Harrison et al. </t>
  </si>
  <si>
    <t>An empirical study on the perceived fairness of realistic, imperfect machine learning models</t>
  </si>
  <si>
    <t>3287560.3287592.pdf</t>
  </si>
  <si>
    <t>Kearns et al.</t>
  </si>
  <si>
    <t>An empirical study of rich subgroup fairness for machine learning</t>
  </si>
  <si>
    <t>FATECV-2019_paper_9.pdf</t>
  </si>
  <si>
    <t>Predictive Inequity in Object Detection</t>
  </si>
  <si>
    <t>CV, obj detection</t>
  </si>
  <si>
    <t>BDD100K, MS COCO</t>
  </si>
  <si>
    <t>pedestrian, (Fitzpatrick) skin tone</t>
  </si>
  <si>
    <t>analysis</t>
  </si>
  <si>
    <t>manual</t>
  </si>
  <si>
    <t>empirical</t>
  </si>
  <si>
    <t>FATECV-2019_paper_4.pdf</t>
  </si>
  <si>
    <t>Does Object Recognition Work for Everyone?</t>
  </si>
  <si>
    <t>CV, Object Recognition 
(household items)</t>
  </si>
  <si>
    <t>COCO, ImageNet, Open
Images, World Population</t>
  </si>
  <si>
    <t>geographica diversity, 
income level,</t>
  </si>
  <si>
    <t>investigates whether current object
-recognition systems work well for 
people across countries and 
income levels.</t>
  </si>
  <si>
    <t>Age and gender bias in pedestrian detection algorithms</t>
  </si>
  <si>
    <t>CV, pedestrian detection</t>
  </si>
  <si>
    <t>(Extended) INRIA 
Person Dataset</t>
  </si>
  <si>
    <t>Age and gender</t>
  </si>
  <si>
    <t>FATECV-2019_paper_13.pdf</t>
  </si>
  <si>
    <t>Balanced Datasets Are Not Enough:
Estimating and Mitigating Gender Bias in Deep Image Representations</t>
  </si>
  <si>
    <t>CV, Image Representations</t>
  </si>
  <si>
    <t>COCO (objects), and 
imSitu dataset (actions),</t>
  </si>
  <si>
    <t xml:space="preserve">gender bias </t>
  </si>
  <si>
    <t>repair, (Fair learning)</t>
  </si>
  <si>
    <t>Bias amplification by trained 
model between gender and labels</t>
  </si>
  <si>
    <t>empirical, Adversarial Debiasing 
via feature space pruning</t>
  </si>
  <si>
    <t>feature space pruning of the association 
btn gender and labels in trained models; 
data/model leakage</t>
  </si>
  <si>
    <t>An Empirical Study of the Trade-Offs Between Interpretability and Fairness</t>
  </si>
  <si>
    <t>3287560.3287589(1).pdf</t>
  </si>
  <si>
    <t>Friedler et al.</t>
  </si>
  <si>
    <t>A comparative study of fairness-enhancing interventions in machine learning.</t>
  </si>
  <si>
    <t>chouldechova18a.pdf</t>
  </si>
  <si>
    <t>A case study of algorithm-assisted decision making in child maltreatment 
hotline screening decisions</t>
  </si>
  <si>
    <t>Jieyu_Zhao.pdf</t>
  </si>
  <si>
    <t>Men Also Like Shopping: Reducing Gender Bias Amplification using 
Corpus-level Constraints</t>
  </si>
  <si>
    <t>EMNLP</t>
  </si>
  <si>
    <t>CV, visual semantic role labeling 
(vSRL) and multilabel object 
classification (MLC)</t>
  </si>
  <si>
    <t>imSitu and MS-COCO</t>
  </si>
  <si>
    <t xml:space="preserve">group </t>
  </si>
  <si>
    <t>analysis, fair learning</t>
  </si>
  <si>
    <t xml:space="preserve">white </t>
  </si>
  <si>
    <t>bias amplification in vSRL and MLC</t>
  </si>
  <si>
    <t xml:space="preserve">study data and models associated with multilabel object 
classification and visual semantic role labeling; corpus 
level constraints for mitigaiag bias (amplification) </t>
  </si>
  <si>
    <t xml:space="preserve"> novel constrained inference framework, 
(RBA) for Reducing Bias Amplification and
 mitigate the role of bias amplification 
when training models on biased corpora</t>
  </si>
  <si>
    <t>Wang_CVPR_2020_paper.pdf</t>
  </si>
  <si>
    <t>Towards Fairness in Visual Recognition: Effective 
Strategies for Bias Mitigation</t>
  </si>
  <si>
    <t>CVPR</t>
  </si>
  <si>
    <t>CV, attribute classification, 
facial recognition</t>
  </si>
  <si>
    <t>systematic comparison of mitigation techniques; visual 
recognition benchmark for studying bias mitigation; 
inference-time Reducing Bias Amplification method;
domain-independent training technique to mitigate gender bias</t>
  </si>
  <si>
    <t>The landscape and gaps in open source fairness toolkits</t>
  </si>
  <si>
    <t>CHI</t>
  </si>
  <si>
    <t>Improving fairness in machine learning systems: What do industry practitioners need?</t>
  </si>
  <si>
    <t>chi</t>
  </si>
  <si>
    <t>gender-chi20.pdf</t>
  </si>
  <si>
    <t>Cryan et al.</t>
  </si>
  <si>
    <t>Detecting Gender Stereotypes: Lexicon vs. Supervised Learning Methods</t>
  </si>
  <si>
    <t>Human Comprehension of Fairness in Machine Learning</t>
  </si>
  <si>
    <t>AAAI_AIES</t>
  </si>
  <si>
    <t>AAAI AIES</t>
  </si>
  <si>
    <t>Human perceptions of fairness in algorithmic decision making: A case study of criminal risk prediction</t>
  </si>
  <si>
    <t>Measuring Group Advantage: A Comparative Study of Fair Ranking Metrics</t>
  </si>
  <si>
    <t>Fairness in Online Jobs:{A} Case Study on TaskRabbit and Google</t>
  </si>
  <si>
    <t>EDBT</t>
  </si>
  <si>
    <t>Yet Another Predictive Model? Fair Predictions of Students' Learning Outcomes in an Online Math 
Learning Platform</t>
  </si>
  <si>
    <t>LAK</t>
  </si>
  <si>
    <t>Reflexive Design for Fairness and Other Human Values in Formal Models</t>
  </si>
  <si>
    <t>Are My Deep Learning Systems Fair? An Empirical Study of Fixed-Seed Training</t>
  </si>
  <si>
    <t>DATASETS &amp; BIAS</t>
  </si>
  <si>
    <t>buolamwini18a.pdf</t>
  </si>
  <si>
    <t>Gender Shades: Intersectional Accuracy Disparities in Commercial 
Gender Classification</t>
  </si>
  <si>
    <t>IJB-A and Adience.</t>
  </si>
  <si>
    <t>group, error rate</t>
  </si>
  <si>
    <t>gender and race</t>
  </si>
  <si>
    <t>evaluate bias present in automated 
facial analysis algorithms/datasets 
w.r.t. phenotypic subgroups.</t>
  </si>
  <si>
    <t>new balanced and skin type dataset, evaluation on 3 
commercial gender classification systems</t>
  </si>
  <si>
    <t>show that darker-
skinned females 
are the most 
misclassifi_x000C_ed group</t>
  </si>
  <si>
    <t>Balanced datasets are not enough: Estimating and mitigating gender bias in deep image representations</t>
  </si>
  <si>
    <t>ICCV</t>
  </si>
  <si>
    <t>Proceedings of the IEEE/CVF International Conference on Computer Vision</t>
  </si>
  <si>
    <t>Fairness GAN: Generating datasets with fairness properties using a generative adversarial network</t>
  </si>
  <si>
    <t>MobilityMirror: Bias-adjusted transportation datasets</t>
  </si>
  <si>
    <t>BSDUC</t>
  </si>
  <si>
    <t>Workshop on Big Social Data and Urban Computing. Springer</t>
  </si>
  <si>
    <t>2021.acl-long.81.pdf</t>
  </si>
  <si>
    <t>Stereotyping Norwegian Salmon: An Inventory of Pitfalls in Fairness Benchmark Datasets</t>
  </si>
  <si>
    <t>Datasheets for Datasets</t>
  </si>
  <si>
    <t xml:space="preserve">Communications of the ACM </t>
  </si>
  <si>
    <t>madaan18a.pdf</t>
  </si>
  <si>
    <t>Analyze, Detect and Remove Gender Stereotyping from Bollywood Movies</t>
  </si>
  <si>
    <t>NLP, movies</t>
  </si>
  <si>
    <t>Wikipedia Bollywood movie data</t>
  </si>
  <si>
    <t>analysis, repair via debiasing</t>
  </si>
  <si>
    <t>bias in bollywood movie data</t>
  </si>
  <si>
    <t>knowledge graph, word embeddings, graph centrality, 
deep image analytics</t>
  </si>
  <si>
    <t>Kamiran-Calders2012_Article_DataPreprocessingTechniquesFor.pdf</t>
  </si>
  <si>
    <t>Kamiran and Calders</t>
  </si>
  <si>
    <t>Data preprocessing techniques for classification without discrimination</t>
  </si>
  <si>
    <t>KAIS</t>
  </si>
  <si>
    <t>CV_ECCV2020Workshop</t>
  </si>
  <si>
    <t>Fair Face Recognition Using Data Balancing, Enhancement and Fusion</t>
  </si>
  <si>
    <t>ECCV_Workshops</t>
  </si>
  <si>
    <t>ECCV Workshops</t>
  </si>
  <si>
    <t>CV, Face Recognition</t>
  </si>
  <si>
    <t>reannotated IJB-C</t>
  </si>
  <si>
    <t>group, FPR, FNR</t>
  </si>
  <si>
    <t>gender and skin color (race)</t>
  </si>
  <si>
    <t>Fair learning</t>
  </si>
  <si>
    <t>multiple preprocessing + data 
resampling + data enhancement
 + multi-model fusion</t>
  </si>
  <si>
    <t>face detection, face preprocess, 
train module and inference module</t>
  </si>
  <si>
    <t>Learning Not to Learn: Training Deep Neural Networks with Biased Data</t>
  </si>
  <si>
    <t xml:space="preserve">CVPR  </t>
  </si>
  <si>
    <t>fair learning</t>
  </si>
  <si>
    <t>Fairness through causal awareness: Learning latent-variable models for biased data</t>
  </si>
  <si>
    <t>COVID-19 Brings Data Equity Challenges to the Fore</t>
  </si>
  <si>
    <t>DGRP</t>
  </si>
  <si>
    <t xml:space="preserve">Digital Government: Research and Practice </t>
  </si>
  <si>
    <t>Transparency, fairness, data protection, neutrality: Data management challenges in the face of 
new regulation</t>
  </si>
  <si>
    <t>JDIQ</t>
  </si>
  <si>
    <t>Data, responsibly: Fairness, neutrality and transparency in data analysis</t>
  </si>
  <si>
    <t>ICEDT</t>
  </si>
  <si>
    <t>ICEDT International Conference on Extending Database Technology</t>
  </si>
  <si>
    <t>Diversity in big data: A review</t>
  </si>
  <si>
    <t>Big Data</t>
  </si>
  <si>
    <t>Stoyanovich, Julia.</t>
  </si>
  <si>
    <t>TransFAT: translating fairness, accountability and transparency into data science practice</t>
  </si>
  <si>
    <t>CEUR_Workshop</t>
  </si>
  <si>
    <t xml:space="preserve"> CEUR Workshop Proceedings</t>
  </si>
  <si>
    <t>FAIR-DB: FunctionAl DependencIes to discoveR Data Bias.</t>
  </si>
  <si>
    <t>EDBT/ICDT</t>
  </si>
  <si>
    <t>Health-Based Proxy Discrimination, Artificial Intelligence, and Big Data</t>
  </si>
  <si>
    <t>Artificial Intelligence, and Big Data (March 3, 2021). Houston Journal of Health Law and Policy (2021).</t>
  </si>
  <si>
    <t>Parametrised data sampling for fairness optimisation</t>
  </si>
  <si>
    <t>KDD_XAI</t>
  </si>
  <si>
    <t>KDD XAI</t>
  </si>
  <si>
    <t>Dealing with bias and fairness in data science systems: A practical hands-on tutorial</t>
  </si>
  <si>
    <t>Database Repair Meets Algorithmic Fairness</t>
  </si>
  <si>
    <t>SIGMOD_Record</t>
  </si>
  <si>
    <t>SIGMOD Record</t>
  </si>
  <si>
    <t>Fairness through causal awareness: Learning causal latent-variable models for biased data</t>
  </si>
  <si>
    <t>Data management for causal algorithmic fairness</t>
  </si>
  <si>
    <t>Data Engineering</t>
  </si>
  <si>
    <t>Fairprep: Promoting data to a first-class citizen in studies on fairness-enhancing interventions</t>
  </si>
  <si>
    <t>No computation without representation: Avoiding data and algorithm biases through diversity</t>
  </si>
  <si>
    <t>Detecting discriminatory risk through data annotation based on Bayesian inferences</t>
  </si>
  <si>
    <t>Ensuring Fairness Beyond the Training Data</t>
  </si>
  <si>
    <t xml:space="preserve">Sap et al. </t>
  </si>
  <si>
    <t>Social Bias Frames: Reasoning about Social and Power Implications of Language</t>
  </si>
  <si>
    <t>Interventional fairness: Causal database repair for algorithmic fairness</t>
  </si>
  <si>
    <t>Data augmentation for discrimination prevention and bias disambiguation</t>
  </si>
  <si>
    <t>TOOLS</t>
  </si>
  <si>
    <t>2012.09951.pdf</t>
  </si>
  <si>
    <t>Johnson et al.</t>
  </si>
  <si>
    <t>Fairkit, Fairkit, on the Wall, Who's the Fairest of Them All? Supporting 
Data Scientists in Training Fair Models</t>
  </si>
  <si>
    <t>1706.02409.pdf</t>
  </si>
  <si>
    <t xml:space="preserve">Berk et al. </t>
  </si>
  <si>
    <t>A Convex Framework for Fair Regression</t>
  </si>
  <si>
    <t>2102.06166.pdf</t>
  </si>
  <si>
    <t xml:space="preserve">Aggarwal et al. </t>
  </si>
  <si>
    <t>Testing Framework for Black-box AI Models</t>
  </si>
  <si>
    <t>ICSE-C</t>
  </si>
  <si>
    <t>Liang and Acuna</t>
  </si>
  <si>
    <t>Artificial mental phenomena: Psychophysics as a framework to detect perception biases in AI models</t>
  </si>
  <si>
    <t xml:space="preserve">Wu et al. </t>
  </si>
  <si>
    <t>Pc-fairness: A unified framework for measuring causality-based fairness</t>
  </si>
  <si>
    <t>BiasRV.pdf</t>
  </si>
  <si>
    <t>Yang et al.</t>
  </si>
  <si>
    <t>BiasRV: Uncovering Biased Sentiment Predictions at Runtime</t>
  </si>
  <si>
    <t>FSE (Demo)</t>
  </si>
  <si>
    <t>Sokol et al.</t>
  </si>
  <si>
    <t>FAT Forensics: A Python Toolbox for Implementing and Deploying Fairness, Accountability and Transparency Algorithms in Predictive Systems</t>
  </si>
  <si>
    <t>JOSS</t>
  </si>
  <si>
    <t>Journal of Open Source Software</t>
  </si>
  <si>
    <t xml:space="preserve">Bird et al. </t>
  </si>
  <si>
    <t>Fairlearn: A toolkit for assessing and improving fairness in AI</t>
  </si>
  <si>
    <t>MS_Tech_Report</t>
  </si>
  <si>
    <t>MS Tech Report</t>
  </si>
  <si>
    <t>A Conceptual Framework for Evaluating Fairness in Search</t>
  </si>
  <si>
    <t>Towards a Unified Framework for Fair and Stable Graph Representation Learning</t>
  </si>
  <si>
    <t>MEASURES OF FAIRNESS FOR NEW YORK CITY'S SUPERVISED RELEASE RISK ASSESSMENT
 TOOL</t>
  </si>
  <si>
    <t>HRDAG</t>
  </si>
  <si>
    <t>Human Rights Data Analytics Group</t>
  </si>
  <si>
    <t>Farnad et al.</t>
  </si>
  <si>
    <t>A Unifying Framework for Fairness-Aware Influence Maximization</t>
  </si>
  <si>
    <t>Scientific_data</t>
  </si>
  <si>
    <t>Scientific data</t>
  </si>
  <si>
    <t>Fairness-aware Design</t>
  </si>
  <si>
    <t>fetch.phpmediaieee_icdm_ws.pdf</t>
  </si>
  <si>
    <t>Calders et al.</t>
  </si>
  <si>
    <t>Building classifiers with independency constraints</t>
  </si>
  <si>
    <t>ICDM</t>
  </si>
  <si>
    <t>Calders-Verwer2010_Article_ThreeNaiveBayesApproachesForDi</t>
  </si>
  <si>
    <t>Calders and Verwer</t>
  </si>
  <si>
    <t>Three naive Bayes approaches for discrimination-free classification.</t>
  </si>
  <si>
    <t>DMKDFD</t>
  </si>
  <si>
    <t>NIPS-2017-optimized-pre-processing-for-discrimination-prevention-Paper.pdf</t>
  </si>
  <si>
    <t>Calmon et al.</t>
  </si>
  <si>
    <t>Optimized pre-processing for discrimination prevention.</t>
  </si>
  <si>
    <t>3097983.3098095.pdf</t>
  </si>
  <si>
    <t>Corbett-Davies et al.</t>
  </si>
  <si>
    <t>Algorithmic decision making and the cost of fairness</t>
  </si>
  <si>
    <t>10.1.1.182.6067.pdf</t>
  </si>
  <si>
    <t>Classifying without discriminating</t>
  </si>
  <si>
    <t>CCCT</t>
  </si>
  <si>
    <t>Discrimination_Aware_Decision_Tree_Learning.pdf</t>
  </si>
  <si>
    <t>Kamiran et al.</t>
  </si>
  <si>
    <t>Discrimination aware decision tree learning</t>
  </si>
  <si>
    <t>10.1.1.722.3030.pdf</t>
  </si>
  <si>
    <t>Decision theory for discrimination-aware classification</t>
  </si>
  <si>
    <t>Kamishima2012_Chapter_Fairness-AwareClassifierWithPr.pdf</t>
  </si>
  <si>
    <t xml:space="preserve">Kamishima et al. </t>
  </si>
  <si>
    <t>Fairness-aware classifier with prejudice remover regularizer</t>
  </si>
  <si>
    <t>ECML_PKDD</t>
  </si>
  <si>
    <t>ECML PKDD</t>
  </si>
  <si>
    <t>1-s2.0-S0020025517309830-main.pdf</t>
  </si>
  <si>
    <t>Exploiting reject option in classification for social discrimination control</t>
  </si>
  <si>
    <t>Inf_Science</t>
  </si>
  <si>
    <t>Inf. Science</t>
  </si>
  <si>
    <t>kearns18a.pdf</t>
  </si>
  <si>
    <t>Preventing Fairness Gerrymandering: Auditing and Learning for Subgroup Fairness</t>
  </si>
  <si>
    <t>1709.02012.pdf</t>
  </si>
  <si>
    <t xml:space="preserve">Pleiss et al. </t>
  </si>
  <si>
    <t>On fairness and calibration</t>
  </si>
  <si>
    <t>zafar17a.pdf</t>
  </si>
  <si>
    <t>Zafar et al.</t>
  </si>
  <si>
    <t>Fairness constraints: Mechanisms for fair classification</t>
  </si>
  <si>
    <t>AISTATS</t>
  </si>
  <si>
    <t>zemel13.pdf</t>
  </si>
  <si>
    <t>Zemel et al.</t>
  </si>
  <si>
    <t>Learning fair representations</t>
  </si>
  <si>
    <t>ICML</t>
  </si>
  <si>
    <t xml:space="preserve">Agarwal et al. </t>
  </si>
  <si>
    <t>A reductions approach to fair classification.</t>
  </si>
  <si>
    <t>Offline contextual bandits with high probability fairness guarantees.</t>
  </si>
  <si>
    <t>Thomas et al.</t>
  </si>
  <si>
    <t>Preventing Undesirable Behavior of Intelligent Machines</t>
  </si>
  <si>
    <t>Science</t>
  </si>
  <si>
    <t>3278721.3278779(1).pdf</t>
  </si>
  <si>
    <t>Mitigating unwanted biases with adversarial learning</t>
  </si>
  <si>
    <t>AIES</t>
  </si>
  <si>
    <t>Handling_Conditional_Discrimination.pdf</t>
  </si>
  <si>
    <t>Žliobaite et al.</t>
  </si>
  <si>
    <t>Handling conditional discrimination</t>
  </si>
  <si>
    <t>Years</t>
  </si>
  <si>
    <t>#Publications</t>
  </si>
  <si>
    <t>Validation</t>
  </si>
  <si>
    <t>Verification</t>
  </si>
  <si>
    <t>Empirical Studies</t>
  </si>
  <si>
    <t>Bias(-aware) Dataset</t>
  </si>
  <si>
    <t>Tools</t>
  </si>
  <si>
    <t xml:space="preserve">Years </t>
  </si>
  <si>
    <t>Total</t>
  </si>
  <si>
    <t>#Publications (SE)</t>
  </si>
  <si>
    <t>Both</t>
  </si>
  <si>
    <t>Unstructured</t>
  </si>
  <si>
    <t>Image</t>
  </si>
  <si>
    <t>Text</t>
  </si>
  <si>
    <t>Code</t>
  </si>
  <si>
    <t>Speech</t>
  </si>
  <si>
    <t>Domain of Venue</t>
  </si>
  <si>
    <t>#Venues</t>
  </si>
  <si>
    <t>AI/ML</t>
  </si>
  <si>
    <t>SE/PL/Security</t>
  </si>
  <si>
    <t>Big data, KD &amp; Data Mining</t>
  </si>
  <si>
    <t>Human Factors, Usability</t>
  </si>
  <si>
    <t>Fairness-targets</t>
  </si>
  <si>
    <t>CV</t>
  </si>
  <si>
    <t>NLP</t>
  </si>
  <si>
    <t>Other</t>
  </si>
  <si>
    <t>Type of Venue</t>
  </si>
  <si>
    <t>Journal</t>
  </si>
  <si>
    <t>Conference</t>
  </si>
  <si>
    <t>Workshop</t>
  </si>
  <si>
    <t>Freq.</t>
  </si>
  <si>
    <t>Area</t>
  </si>
  <si>
    <t>Freq</t>
  </si>
  <si>
    <t>Categories</t>
  </si>
  <si>
    <t>Testing &amp; Mitigation</t>
  </si>
  <si>
    <t>Data and Datasets</t>
  </si>
  <si>
    <t>NIPS/NeurIPS</t>
  </si>
  <si>
    <t xml:space="preserve">Empirical studies </t>
  </si>
  <si>
    <t>KDD / SIGKDD</t>
  </si>
  <si>
    <t>Tooling</t>
  </si>
  <si>
    <t>CVF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</si>
</sst>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b/>
      <sz val="10"/>
      <color theme="1"/>
      <name val="Arial"/>
      <family val="2"/>
      <scheme val="minor"/>
    </font>
    <font>
      <sz val="10"/>
      <color theme="1"/>
      <name val="Arial"/>
      <family val="2"/>
      <scheme val="minor"/>
    </font>
    <font>
      <i/>
      <sz val="10"/>
      <color theme="1"/>
      <name val="Arial"/>
      <family val="2"/>
      <scheme val="minor"/>
    </font>
    <font>
      <sz val="10"/>
      <color rgb="FF000000"/>
      <name val="&quot;Arial&quot;"/>
    </font>
    <font>
      <sz val="10"/>
      <color theme="1"/>
      <name val="Arial"/>
      <family val="2"/>
    </font>
    <font>
      <sz val="10"/>
      <color theme="1"/>
      <name val="Arial"/>
      <family val="2"/>
      <scheme val="minor"/>
    </font>
    <font>
      <sz val="10"/>
      <color rgb="FF222222"/>
      <name val="Arial"/>
      <family val="2"/>
    </font>
    <font>
      <i/>
      <sz val="10"/>
      <color rgb="FF222222"/>
      <name val="Arial"/>
      <family val="2"/>
    </font>
    <font>
      <b/>
      <sz val="10"/>
      <color theme="1"/>
      <name val="Arial"/>
      <family val="2"/>
    </font>
    <font>
      <b/>
      <sz val="11"/>
      <color theme="1"/>
      <name val="Arial"/>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3">
    <xf numFmtId="0" fontId="0" fillId="0" borderId="0" xfId="0" applyFont="1" applyAlignment="1"/>
    <xf numFmtId="0" fontId="1" fillId="0" borderId="0" xfId="0" applyFont="1" applyAlignment="1"/>
    <xf numFmtId="0" fontId="2" fillId="0" borderId="0" xfId="0" applyFont="1" applyAlignment="1"/>
    <xf numFmtId="0" fontId="2" fillId="0" borderId="0" xfId="0" applyFont="1"/>
    <xf numFmtId="0" fontId="3" fillId="0" borderId="0" xfId="0" applyFont="1" applyAlignment="1"/>
    <xf numFmtId="0" fontId="4" fillId="0" borderId="0" xfId="0" applyFont="1" applyAlignment="1"/>
    <xf numFmtId="0" fontId="2" fillId="0" borderId="0" xfId="0" applyFont="1" applyAlignment="1">
      <alignment horizontal="left"/>
    </xf>
    <xf numFmtId="0" fontId="5" fillId="0" borderId="0" xfId="0" applyFont="1" applyAlignment="1"/>
    <xf numFmtId="0" fontId="6" fillId="0" borderId="0" xfId="0" applyFont="1" applyAlignment="1"/>
    <xf numFmtId="0" fontId="5" fillId="0" borderId="0" xfId="0" applyFont="1" applyAlignment="1"/>
    <xf numFmtId="0" fontId="2" fillId="0" borderId="0" xfId="0" applyFont="1"/>
    <xf numFmtId="0" fontId="5" fillId="0" borderId="0" xfId="0" applyFont="1" applyAlignment="1"/>
    <xf numFmtId="0" fontId="7" fillId="2" borderId="0" xfId="0" applyFont="1" applyFill="1" applyAlignment="1">
      <alignment horizontal="left"/>
    </xf>
    <xf numFmtId="0" fontId="1" fillId="0" borderId="0" xfId="0" applyFont="1" applyAlignment="1">
      <alignment horizontal="left"/>
    </xf>
    <xf numFmtId="0" fontId="8" fillId="2" borderId="0" xfId="0" applyFont="1" applyFill="1" applyAlignment="1">
      <alignment horizontal="left"/>
    </xf>
    <xf numFmtId="0" fontId="9" fillId="0" borderId="0" xfId="0" applyFont="1" applyAlignment="1"/>
    <xf numFmtId="0" fontId="9" fillId="0" borderId="0" xfId="0" applyFont="1" applyAlignment="1"/>
    <xf numFmtId="0" fontId="10" fillId="0" borderId="0" xfId="0" applyFont="1"/>
    <xf numFmtId="10" fontId="2" fillId="0" borderId="0" xfId="0" applyNumberFormat="1" applyFont="1"/>
    <xf numFmtId="0" fontId="1" fillId="0" borderId="0" xfId="0" applyFont="1"/>
    <xf numFmtId="0" fontId="1" fillId="0" borderId="0" xfId="0" applyFont="1" applyAlignment="1"/>
    <xf numFmtId="0" fontId="2" fillId="0" borderId="0" xfId="0" applyFont="1" applyAlignme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spPr>
            <a:solidFill>
              <a:srgbClr val="4285F4"/>
            </a:solidFill>
            <a:ln cmpd="sng">
              <a:solidFill>
                <a:srgbClr val="000000"/>
              </a:solidFill>
            </a:ln>
          </c:spPr>
          <c:invertIfNegative val="1"/>
          <c:cat>
            <c:numRef>
              <c:f>Focused_Paper_Analysis!$A$198:$A$209</c:f>
              <c:numCache>
                <c:formatCode>General</c:formatCode>
                <c:ptCount val="12"/>
                <c:pt idx="0">
                  <c:v>2010</c:v>
                </c:pt>
                <c:pt idx="1">
                  <c:v>2011</c:v>
                </c:pt>
                <c:pt idx="2">
                  <c:v>2012</c:v>
                </c:pt>
                <c:pt idx="3">
                  <c:v>2013</c:v>
                </c:pt>
                <c:pt idx="4">
                  <c:v>2015</c:v>
                </c:pt>
                <c:pt idx="5">
                  <c:v>2016</c:v>
                </c:pt>
                <c:pt idx="6">
                  <c:v>2017</c:v>
                </c:pt>
                <c:pt idx="7">
                  <c:v>2018</c:v>
                </c:pt>
                <c:pt idx="8">
                  <c:v>2019</c:v>
                </c:pt>
                <c:pt idx="9">
                  <c:v>2020</c:v>
                </c:pt>
                <c:pt idx="10">
                  <c:v>2021</c:v>
                </c:pt>
                <c:pt idx="11">
                  <c:v>2022</c:v>
                </c:pt>
              </c:numCache>
            </c:numRef>
          </c:cat>
          <c:val>
            <c:numRef>
              <c:f>Focused_Paper_Analysis!$B$198:$B$209</c:f>
              <c:numCache>
                <c:formatCode>General</c:formatCode>
                <c:ptCount val="12"/>
                <c:pt idx="0">
                  <c:v>2</c:v>
                </c:pt>
                <c:pt idx="1">
                  <c:v>1</c:v>
                </c:pt>
                <c:pt idx="2">
                  <c:v>3</c:v>
                </c:pt>
                <c:pt idx="3">
                  <c:v>1</c:v>
                </c:pt>
                <c:pt idx="4">
                  <c:v>1</c:v>
                </c:pt>
                <c:pt idx="5">
                  <c:v>2</c:v>
                </c:pt>
                <c:pt idx="6">
                  <c:v>12</c:v>
                </c:pt>
                <c:pt idx="7">
                  <c:v>18</c:v>
                </c:pt>
                <c:pt idx="8">
                  <c:v>40</c:v>
                </c:pt>
                <c:pt idx="9">
                  <c:v>40</c:v>
                </c:pt>
                <c:pt idx="10">
                  <c:v>34</c:v>
                </c:pt>
                <c:pt idx="11">
                  <c:v>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F34-8D44-9D9E-C6FF2F597E0E}"/>
            </c:ext>
          </c:extLst>
        </c:ser>
        <c:dLbls>
          <c:showLegendKey val="0"/>
          <c:showVal val="0"/>
          <c:showCatName val="0"/>
          <c:showSerName val="0"/>
          <c:showPercent val="0"/>
          <c:showBubbleSize val="0"/>
        </c:dLbls>
        <c:gapWidth val="150"/>
        <c:axId val="2094627563"/>
        <c:axId val="1981264759"/>
      </c:barChart>
      <c:catAx>
        <c:axId val="2094627563"/>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Years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1981264759"/>
        <c:crosses val="autoZero"/>
        <c:auto val="1"/>
        <c:lblAlgn val="ctr"/>
        <c:lblOffset val="100"/>
        <c:noMultiLvlLbl val="1"/>
      </c:catAx>
      <c:valAx>
        <c:axId val="19812647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2094627563"/>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Empirical Studies</a:t>
            </a:r>
          </a:p>
        </c:rich>
      </c:tx>
      <c:overlay val="0"/>
    </c:title>
    <c:autoTitleDeleted val="0"/>
    <c:plotArea>
      <c:layout/>
      <c:barChart>
        <c:barDir val="col"/>
        <c:grouping val="clustered"/>
        <c:varyColors val="1"/>
        <c:ser>
          <c:idx val="0"/>
          <c:order val="0"/>
          <c:tx>
            <c:strRef>
              <c:f>Focused_Paper_Analysis!$L$219</c:f>
              <c:strCache>
                <c:ptCount val="1"/>
                <c:pt idx="0">
                  <c:v>#Publications</c:v>
                </c:pt>
              </c:strCache>
            </c:strRef>
          </c:tx>
          <c:spPr>
            <a:solidFill>
              <a:srgbClr val="4285F4"/>
            </a:solidFill>
            <a:ln cmpd="sng">
              <a:solidFill>
                <a:srgbClr val="000000"/>
              </a:solidFill>
            </a:ln>
          </c:spPr>
          <c:invertIfNegative val="1"/>
          <c:cat>
            <c:numRef>
              <c:f>Focused_Paper_Analysis!$K$220:$K$224</c:f>
              <c:numCache>
                <c:formatCode>General</c:formatCode>
                <c:ptCount val="5"/>
                <c:pt idx="0">
                  <c:v>2017</c:v>
                </c:pt>
                <c:pt idx="1">
                  <c:v>2018</c:v>
                </c:pt>
                <c:pt idx="2">
                  <c:v>2019</c:v>
                </c:pt>
                <c:pt idx="3">
                  <c:v>2020</c:v>
                </c:pt>
                <c:pt idx="4">
                  <c:v>2021</c:v>
                </c:pt>
              </c:numCache>
            </c:numRef>
          </c:cat>
          <c:val>
            <c:numRef>
              <c:f>Focused_Paper_Analysis!$L$220:$L$224</c:f>
              <c:numCache>
                <c:formatCode>General</c:formatCode>
                <c:ptCount val="5"/>
                <c:pt idx="0">
                  <c:v>1</c:v>
                </c:pt>
                <c:pt idx="1">
                  <c:v>3</c:v>
                </c:pt>
                <c:pt idx="2">
                  <c:v>7</c:v>
                </c:pt>
                <c:pt idx="3">
                  <c:v>6</c:v>
                </c:pt>
                <c:pt idx="4">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0E8-6945-B47E-B5DD1BA5F25A}"/>
            </c:ext>
          </c:extLst>
        </c:ser>
        <c:dLbls>
          <c:showLegendKey val="0"/>
          <c:showVal val="0"/>
          <c:showCatName val="0"/>
          <c:showSerName val="0"/>
          <c:showPercent val="0"/>
          <c:showBubbleSize val="0"/>
        </c:dLbls>
        <c:gapWidth val="150"/>
        <c:axId val="812665868"/>
        <c:axId val="1254306796"/>
      </c:barChart>
      <c:catAx>
        <c:axId val="812665868"/>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Years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1254306796"/>
        <c:crosses val="autoZero"/>
        <c:auto val="1"/>
        <c:lblAlgn val="ctr"/>
        <c:lblOffset val="100"/>
        <c:noMultiLvlLbl val="1"/>
      </c:catAx>
      <c:valAx>
        <c:axId val="12543067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812665868"/>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Biased &amp; Bias-aware Datasets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Focused_Paper_Analysis!$K$228:$K$235</c:f>
              <c:strCache>
                <c:ptCount val="8"/>
                <c:pt idx="0">
                  <c:v>Years </c:v>
                </c:pt>
                <c:pt idx="1">
                  <c:v>2012</c:v>
                </c:pt>
                <c:pt idx="2">
                  <c:v>2016</c:v>
                </c:pt>
                <c:pt idx="3">
                  <c:v>2017</c:v>
                </c:pt>
                <c:pt idx="4">
                  <c:v>2018</c:v>
                </c:pt>
                <c:pt idx="5">
                  <c:v>2019</c:v>
                </c:pt>
                <c:pt idx="6">
                  <c:v>2020</c:v>
                </c:pt>
                <c:pt idx="7">
                  <c:v>2021</c:v>
                </c:pt>
              </c:strCache>
            </c:strRef>
          </c:cat>
          <c:val>
            <c:numRef>
              <c:f>Focused_Paper_Analysis!$L$228:$L$235</c:f>
              <c:numCache>
                <c:formatCode>General</c:formatCode>
                <c:ptCount val="8"/>
                <c:pt idx="0">
                  <c:v>0</c:v>
                </c:pt>
                <c:pt idx="1">
                  <c:v>1</c:v>
                </c:pt>
                <c:pt idx="2">
                  <c:v>1</c:v>
                </c:pt>
                <c:pt idx="3">
                  <c:v>1</c:v>
                </c:pt>
                <c:pt idx="4">
                  <c:v>3</c:v>
                </c:pt>
                <c:pt idx="5">
                  <c:v>11</c:v>
                </c:pt>
                <c:pt idx="6">
                  <c:v>8</c:v>
                </c:pt>
                <c:pt idx="7">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F11-4943-B3B6-F6376ABE1B23}"/>
            </c:ext>
          </c:extLst>
        </c:ser>
        <c:dLbls>
          <c:showLegendKey val="0"/>
          <c:showVal val="0"/>
          <c:showCatName val="0"/>
          <c:showSerName val="0"/>
          <c:showPercent val="0"/>
          <c:showBubbleSize val="0"/>
        </c:dLbls>
        <c:gapWidth val="150"/>
        <c:axId val="1024012877"/>
        <c:axId val="159801805"/>
      </c:barChart>
      <c:catAx>
        <c:axId val="1024012877"/>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Years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159801805"/>
        <c:crosses val="autoZero"/>
        <c:auto val="1"/>
        <c:lblAlgn val="ctr"/>
        <c:lblOffset val="100"/>
        <c:noMultiLvlLbl val="1"/>
      </c:catAx>
      <c:valAx>
        <c:axId val="1598018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1024012877"/>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doughnutChart>
        <c:varyColors val="1"/>
        <c:ser>
          <c:idx val="0"/>
          <c:order val="0"/>
          <c:tx>
            <c:strRef>
              <c:f>Focused_Paper_Analysis!$C$196</c:f>
              <c:strCache>
                <c:ptCount val="1"/>
                <c:pt idx="0">
                  <c:v>Validation</c:v>
                </c:pt>
              </c:strCache>
            </c:strRef>
          </c:tx>
          <c:dPt>
            <c:idx val="0"/>
            <c:bubble3D val="0"/>
            <c:spPr>
              <a:solidFill>
                <a:srgbClr val="4285F4"/>
              </a:solidFill>
            </c:spPr>
            <c:extLst>
              <c:ext xmlns:c16="http://schemas.microsoft.com/office/drawing/2014/chart" uri="{C3380CC4-5D6E-409C-BE32-E72D297353CC}">
                <c16:uniqueId val="{00000001-908A-8542-96D6-F87FD2638795}"/>
              </c:ext>
            </c:extLst>
          </c:dPt>
          <c:dPt>
            <c:idx val="1"/>
            <c:bubble3D val="0"/>
            <c:spPr>
              <a:solidFill>
                <a:srgbClr val="EA4335"/>
              </a:solidFill>
            </c:spPr>
            <c:extLst>
              <c:ext xmlns:c16="http://schemas.microsoft.com/office/drawing/2014/chart" uri="{C3380CC4-5D6E-409C-BE32-E72D297353CC}">
                <c16:uniqueId val="{00000003-908A-8542-96D6-F87FD2638795}"/>
              </c:ext>
            </c:extLst>
          </c:dPt>
          <c:dPt>
            <c:idx val="2"/>
            <c:bubble3D val="0"/>
            <c:spPr>
              <a:solidFill>
                <a:srgbClr val="FBBC04"/>
              </a:solidFill>
            </c:spPr>
            <c:extLst>
              <c:ext xmlns:c16="http://schemas.microsoft.com/office/drawing/2014/chart" uri="{C3380CC4-5D6E-409C-BE32-E72D297353CC}">
                <c16:uniqueId val="{00000005-908A-8542-96D6-F87FD2638795}"/>
              </c:ext>
            </c:extLst>
          </c:dPt>
          <c:dPt>
            <c:idx val="3"/>
            <c:bubble3D val="0"/>
            <c:spPr>
              <a:solidFill>
                <a:srgbClr val="34A853"/>
              </a:solidFill>
            </c:spPr>
            <c:extLst>
              <c:ext xmlns:c16="http://schemas.microsoft.com/office/drawing/2014/chart" uri="{C3380CC4-5D6E-409C-BE32-E72D297353CC}">
                <c16:uniqueId val="{00000007-908A-8542-96D6-F87FD2638795}"/>
              </c:ext>
            </c:extLst>
          </c:dPt>
          <c:dPt>
            <c:idx val="4"/>
            <c:bubble3D val="0"/>
            <c:spPr>
              <a:solidFill>
                <a:srgbClr val="FF6D01"/>
              </a:solidFill>
            </c:spPr>
            <c:extLst>
              <c:ext xmlns:c16="http://schemas.microsoft.com/office/drawing/2014/chart" uri="{C3380CC4-5D6E-409C-BE32-E72D297353CC}">
                <c16:uniqueId val="{00000009-908A-8542-96D6-F87FD2638795}"/>
              </c:ext>
            </c:extLst>
          </c:dPt>
          <c:dPt>
            <c:idx val="5"/>
            <c:bubble3D val="0"/>
            <c:spPr>
              <a:solidFill>
                <a:srgbClr val="46BDC6"/>
              </a:solidFill>
            </c:spPr>
            <c:extLst>
              <c:ext xmlns:c16="http://schemas.microsoft.com/office/drawing/2014/chart" uri="{C3380CC4-5D6E-409C-BE32-E72D297353CC}">
                <c16:uniqueId val="{0000000B-908A-8542-96D6-F87FD2638795}"/>
              </c:ext>
            </c:extLst>
          </c:dPt>
          <c:dPt>
            <c:idx val="6"/>
            <c:bubble3D val="0"/>
            <c:spPr>
              <a:solidFill>
                <a:srgbClr val="7BAAF7"/>
              </a:solidFill>
            </c:spPr>
            <c:extLst>
              <c:ext xmlns:c16="http://schemas.microsoft.com/office/drawing/2014/chart" uri="{C3380CC4-5D6E-409C-BE32-E72D297353CC}">
                <c16:uniqueId val="{0000000D-908A-8542-96D6-F87FD2638795}"/>
              </c:ext>
            </c:extLst>
          </c:dPt>
          <c:dPt>
            <c:idx val="7"/>
            <c:bubble3D val="0"/>
            <c:spPr>
              <a:solidFill>
                <a:srgbClr val="F07B72"/>
              </a:solidFill>
            </c:spPr>
            <c:extLst>
              <c:ext xmlns:c16="http://schemas.microsoft.com/office/drawing/2014/chart" uri="{C3380CC4-5D6E-409C-BE32-E72D297353CC}">
                <c16:uniqueId val="{0000000F-908A-8542-96D6-F87FD2638795}"/>
              </c:ext>
            </c:extLst>
          </c:dPt>
          <c:dPt>
            <c:idx val="8"/>
            <c:bubble3D val="0"/>
            <c:spPr>
              <a:solidFill>
                <a:srgbClr val="FCD04F"/>
              </a:solidFill>
            </c:spPr>
            <c:extLst>
              <c:ext xmlns:c16="http://schemas.microsoft.com/office/drawing/2014/chart" uri="{C3380CC4-5D6E-409C-BE32-E72D297353CC}">
                <c16:uniqueId val="{00000011-908A-8542-96D6-F87FD2638795}"/>
              </c:ext>
            </c:extLst>
          </c:dPt>
          <c:dPt>
            <c:idx val="9"/>
            <c:bubble3D val="0"/>
            <c:spPr>
              <a:solidFill>
                <a:srgbClr val="71C287"/>
              </a:solidFill>
            </c:spPr>
            <c:extLst>
              <c:ext xmlns:c16="http://schemas.microsoft.com/office/drawing/2014/chart" uri="{C3380CC4-5D6E-409C-BE32-E72D297353CC}">
                <c16:uniqueId val="{00000013-908A-8542-96D6-F87FD2638795}"/>
              </c:ext>
            </c:extLst>
          </c:dPt>
          <c:dPt>
            <c:idx val="10"/>
            <c:bubble3D val="0"/>
            <c:spPr>
              <a:solidFill>
                <a:srgbClr val="FF994D"/>
              </a:solidFill>
            </c:spPr>
            <c:extLst>
              <c:ext xmlns:c16="http://schemas.microsoft.com/office/drawing/2014/chart" uri="{C3380CC4-5D6E-409C-BE32-E72D297353CC}">
                <c16:uniqueId val="{00000015-908A-8542-96D6-F87FD2638795}"/>
              </c:ext>
            </c:extLst>
          </c:dPt>
          <c:dPt>
            <c:idx val="11"/>
            <c:bubble3D val="0"/>
            <c:spPr>
              <a:solidFill>
                <a:srgbClr val="7ED1D7"/>
              </a:solidFill>
            </c:spPr>
            <c:extLst>
              <c:ext xmlns:c16="http://schemas.microsoft.com/office/drawing/2014/chart" uri="{C3380CC4-5D6E-409C-BE32-E72D297353CC}">
                <c16:uniqueId val="{00000017-908A-8542-96D6-F87FD2638795}"/>
              </c:ext>
            </c:extLst>
          </c:dPt>
          <c:dPt>
            <c:idx val="12"/>
            <c:bubble3D val="0"/>
            <c:spPr>
              <a:solidFill>
                <a:srgbClr val="B3CEFB"/>
              </a:solidFill>
            </c:spPr>
            <c:extLst>
              <c:ext xmlns:c16="http://schemas.microsoft.com/office/drawing/2014/chart" uri="{C3380CC4-5D6E-409C-BE32-E72D297353CC}">
                <c16:uniqueId val="{00000019-908A-8542-96D6-F87FD2638795}"/>
              </c:ext>
            </c:extLst>
          </c:dPt>
          <c:dPt>
            <c:idx val="13"/>
            <c:bubble3D val="0"/>
            <c:spPr>
              <a:solidFill>
                <a:srgbClr val="F7B4AE"/>
              </a:solidFill>
            </c:spPr>
            <c:extLst>
              <c:ext xmlns:c16="http://schemas.microsoft.com/office/drawing/2014/chart" uri="{C3380CC4-5D6E-409C-BE32-E72D297353CC}">
                <c16:uniqueId val="{0000001B-908A-8542-96D6-F87FD2638795}"/>
              </c:ext>
            </c:extLst>
          </c:dPt>
          <c:cat>
            <c:numRef>
              <c:f>Focused_Paper_Analysis!$A$197:$A$210</c:f>
              <c:numCache>
                <c:formatCode>General</c:formatCode>
                <c:ptCount val="14"/>
                <c:pt idx="0">
                  <c:v>2009</c:v>
                </c:pt>
                <c:pt idx="1">
                  <c:v>2010</c:v>
                </c:pt>
                <c:pt idx="2">
                  <c:v>2011</c:v>
                </c:pt>
                <c:pt idx="3">
                  <c:v>2012</c:v>
                </c:pt>
                <c:pt idx="4">
                  <c:v>2013</c:v>
                </c:pt>
                <c:pt idx="5">
                  <c:v>2015</c:v>
                </c:pt>
                <c:pt idx="6">
                  <c:v>2016</c:v>
                </c:pt>
                <c:pt idx="7">
                  <c:v>2017</c:v>
                </c:pt>
                <c:pt idx="8">
                  <c:v>2018</c:v>
                </c:pt>
                <c:pt idx="9">
                  <c:v>2019</c:v>
                </c:pt>
                <c:pt idx="10">
                  <c:v>2020</c:v>
                </c:pt>
                <c:pt idx="11">
                  <c:v>2021</c:v>
                </c:pt>
                <c:pt idx="12">
                  <c:v>2022</c:v>
                </c:pt>
              </c:numCache>
            </c:numRef>
          </c:cat>
          <c:val>
            <c:numRef>
              <c:f>Focused_Paper_Analysis!$C$197:$C$210</c:f>
              <c:numCache>
                <c:formatCode>General</c:formatCode>
                <c:ptCount val="14"/>
                <c:pt idx="0">
                  <c:v>1</c:v>
                </c:pt>
                <c:pt idx="1">
                  <c:v>0</c:v>
                </c:pt>
                <c:pt idx="2">
                  <c:v>0</c:v>
                </c:pt>
                <c:pt idx="3">
                  <c:v>0</c:v>
                </c:pt>
                <c:pt idx="4">
                  <c:v>0</c:v>
                </c:pt>
                <c:pt idx="5">
                  <c:v>0</c:v>
                </c:pt>
                <c:pt idx="6">
                  <c:v>1</c:v>
                </c:pt>
                <c:pt idx="7">
                  <c:v>2</c:v>
                </c:pt>
                <c:pt idx="8">
                  <c:v>7</c:v>
                </c:pt>
                <c:pt idx="9">
                  <c:v>8</c:v>
                </c:pt>
                <c:pt idx="10">
                  <c:v>10</c:v>
                </c:pt>
                <c:pt idx="11">
                  <c:v>10</c:v>
                </c:pt>
                <c:pt idx="12">
                  <c:v>9</c:v>
                </c:pt>
                <c:pt idx="13">
                  <c:v>0</c:v>
                </c:pt>
              </c:numCache>
            </c:numRef>
          </c:val>
          <c:extLst>
            <c:ext xmlns:c16="http://schemas.microsoft.com/office/drawing/2014/chart" uri="{C3380CC4-5D6E-409C-BE32-E72D297353CC}">
              <c16:uniqueId val="{0000001C-908A-8542-96D6-F87FD2638795}"/>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doughnutChart>
        <c:varyColors val="1"/>
        <c:ser>
          <c:idx val="0"/>
          <c:order val="0"/>
          <c:tx>
            <c:strRef>
              <c:f>'Paper Stats'!$B$1</c:f>
              <c:strCache>
                <c:ptCount val="1"/>
                <c:pt idx="0">
                  <c:v>#Venues</c:v>
                </c:pt>
              </c:strCache>
            </c:strRef>
          </c:tx>
          <c:dPt>
            <c:idx val="0"/>
            <c:bubble3D val="0"/>
            <c:spPr>
              <a:solidFill>
                <a:srgbClr val="4285F4"/>
              </a:solidFill>
            </c:spPr>
            <c:extLst>
              <c:ext xmlns:c16="http://schemas.microsoft.com/office/drawing/2014/chart" uri="{C3380CC4-5D6E-409C-BE32-E72D297353CC}">
                <c16:uniqueId val="{00000001-B7C7-414E-A2C6-8450AAB16A09}"/>
              </c:ext>
            </c:extLst>
          </c:dPt>
          <c:dPt>
            <c:idx val="1"/>
            <c:bubble3D val="0"/>
            <c:spPr>
              <a:solidFill>
                <a:srgbClr val="EA4335"/>
              </a:solidFill>
            </c:spPr>
            <c:extLst>
              <c:ext xmlns:c16="http://schemas.microsoft.com/office/drawing/2014/chart" uri="{C3380CC4-5D6E-409C-BE32-E72D297353CC}">
                <c16:uniqueId val="{00000003-B7C7-414E-A2C6-8450AAB16A09}"/>
              </c:ext>
            </c:extLst>
          </c:dPt>
          <c:dPt>
            <c:idx val="2"/>
            <c:bubble3D val="0"/>
            <c:spPr>
              <a:solidFill>
                <a:srgbClr val="FBBC04"/>
              </a:solidFill>
            </c:spPr>
            <c:extLst>
              <c:ext xmlns:c16="http://schemas.microsoft.com/office/drawing/2014/chart" uri="{C3380CC4-5D6E-409C-BE32-E72D297353CC}">
                <c16:uniqueId val="{00000005-B7C7-414E-A2C6-8450AAB16A09}"/>
              </c:ext>
            </c:extLst>
          </c:dPt>
          <c:dPt>
            <c:idx val="3"/>
            <c:bubble3D val="0"/>
            <c:spPr>
              <a:solidFill>
                <a:srgbClr val="34A853"/>
              </a:solidFill>
            </c:spPr>
            <c:extLst>
              <c:ext xmlns:c16="http://schemas.microsoft.com/office/drawing/2014/chart" uri="{C3380CC4-5D6E-409C-BE32-E72D297353CC}">
                <c16:uniqueId val="{00000007-B7C7-414E-A2C6-8450AAB16A09}"/>
              </c:ext>
            </c:extLst>
          </c:dPt>
          <c:dPt>
            <c:idx val="4"/>
            <c:bubble3D val="0"/>
            <c:spPr>
              <a:solidFill>
                <a:srgbClr val="FF6D01"/>
              </a:solidFill>
            </c:spPr>
            <c:extLst>
              <c:ext xmlns:c16="http://schemas.microsoft.com/office/drawing/2014/chart" uri="{C3380CC4-5D6E-409C-BE32-E72D297353CC}">
                <c16:uniqueId val="{00000009-B7C7-414E-A2C6-8450AAB16A09}"/>
              </c:ext>
            </c:extLst>
          </c:dPt>
          <c:dPt>
            <c:idx val="5"/>
            <c:bubble3D val="0"/>
            <c:spPr>
              <a:solidFill>
                <a:srgbClr val="46BDC6"/>
              </a:solidFill>
            </c:spPr>
            <c:extLst>
              <c:ext xmlns:c16="http://schemas.microsoft.com/office/drawing/2014/chart" uri="{C3380CC4-5D6E-409C-BE32-E72D297353CC}">
                <c16:uniqueId val="{0000000B-B7C7-414E-A2C6-8450AAB16A09}"/>
              </c:ext>
            </c:extLst>
          </c:dPt>
          <c:dPt>
            <c:idx val="6"/>
            <c:bubble3D val="0"/>
            <c:spPr>
              <a:solidFill>
                <a:srgbClr val="7BAAF7"/>
              </a:solidFill>
            </c:spPr>
            <c:extLst>
              <c:ext xmlns:c16="http://schemas.microsoft.com/office/drawing/2014/chart" uri="{C3380CC4-5D6E-409C-BE32-E72D297353CC}">
                <c16:uniqueId val="{0000000D-B7C7-414E-A2C6-8450AAB16A09}"/>
              </c:ext>
            </c:extLst>
          </c:dPt>
          <c:dPt>
            <c:idx val="7"/>
            <c:bubble3D val="0"/>
            <c:spPr>
              <a:solidFill>
                <a:srgbClr val="F07B72"/>
              </a:solidFill>
            </c:spPr>
            <c:extLst>
              <c:ext xmlns:c16="http://schemas.microsoft.com/office/drawing/2014/chart" uri="{C3380CC4-5D6E-409C-BE32-E72D297353CC}">
                <c16:uniqueId val="{0000000F-B7C7-414E-A2C6-8450AAB16A09}"/>
              </c:ext>
            </c:extLst>
          </c:dPt>
          <c:cat>
            <c:strRef>
              <c:f>'Paper Stats'!$A$2:$A$9</c:f>
              <c:strCache>
                <c:ptCount val="8"/>
                <c:pt idx="0">
                  <c:v>AI/ML</c:v>
                </c:pt>
                <c:pt idx="1">
                  <c:v>SE/PL/Security</c:v>
                </c:pt>
                <c:pt idx="2">
                  <c:v>Big data, KD &amp; Data Mining</c:v>
                </c:pt>
                <c:pt idx="3">
                  <c:v>Human Factors, Usability</c:v>
                </c:pt>
                <c:pt idx="4">
                  <c:v>Fairness-targets</c:v>
                </c:pt>
                <c:pt idx="5">
                  <c:v>CV</c:v>
                </c:pt>
                <c:pt idx="6">
                  <c:v>NLP</c:v>
                </c:pt>
                <c:pt idx="7">
                  <c:v>Other</c:v>
                </c:pt>
              </c:strCache>
            </c:strRef>
          </c:cat>
          <c:val>
            <c:numRef>
              <c:f>'Paper Stats'!$B$2:$B$9</c:f>
              <c:numCache>
                <c:formatCode>General</c:formatCode>
                <c:ptCount val="8"/>
                <c:pt idx="0">
                  <c:v>9</c:v>
                </c:pt>
                <c:pt idx="1">
                  <c:v>16</c:v>
                </c:pt>
                <c:pt idx="2">
                  <c:v>15</c:v>
                </c:pt>
                <c:pt idx="3">
                  <c:v>2</c:v>
                </c:pt>
                <c:pt idx="4">
                  <c:v>4</c:v>
                </c:pt>
                <c:pt idx="5">
                  <c:v>3</c:v>
                </c:pt>
                <c:pt idx="6">
                  <c:v>2</c:v>
                </c:pt>
                <c:pt idx="7">
                  <c:v>13</c:v>
                </c:pt>
              </c:numCache>
            </c:numRef>
          </c:val>
          <c:extLst>
            <c:ext xmlns:c16="http://schemas.microsoft.com/office/drawing/2014/chart" uri="{C3380CC4-5D6E-409C-BE32-E72D297353CC}">
              <c16:uniqueId val="{00000010-B7C7-414E-A2C6-8450AAB16A09}"/>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tx>
            <c:strRef>
              <c:f>'Paper Stats'!$B$1</c:f>
              <c:strCache>
                <c:ptCount val="1"/>
                <c:pt idx="0">
                  <c:v>#Venues</c:v>
                </c:pt>
              </c:strCache>
            </c:strRef>
          </c:tx>
          <c:spPr>
            <a:solidFill>
              <a:srgbClr val="4285F4"/>
            </a:solidFill>
            <a:ln cmpd="sng">
              <a:solidFill>
                <a:srgbClr val="000000"/>
              </a:solidFill>
            </a:ln>
          </c:spPr>
          <c:invertIfNegative val="1"/>
          <c:cat>
            <c:strRef>
              <c:f>'Paper Stats'!$A$2:$A$9</c:f>
              <c:strCache>
                <c:ptCount val="8"/>
                <c:pt idx="0">
                  <c:v>AI/ML</c:v>
                </c:pt>
                <c:pt idx="1">
                  <c:v>SE/PL/Security</c:v>
                </c:pt>
                <c:pt idx="2">
                  <c:v>Big data, KD &amp; Data Mining</c:v>
                </c:pt>
                <c:pt idx="3">
                  <c:v>Human Factors, Usability</c:v>
                </c:pt>
                <c:pt idx="4">
                  <c:v>Fairness-targets</c:v>
                </c:pt>
                <c:pt idx="5">
                  <c:v>CV</c:v>
                </c:pt>
                <c:pt idx="6">
                  <c:v>NLP</c:v>
                </c:pt>
                <c:pt idx="7">
                  <c:v>Other</c:v>
                </c:pt>
              </c:strCache>
            </c:strRef>
          </c:cat>
          <c:val>
            <c:numRef>
              <c:f>'Paper Stats'!$B$2:$B$9</c:f>
              <c:numCache>
                <c:formatCode>General</c:formatCode>
                <c:ptCount val="8"/>
                <c:pt idx="0">
                  <c:v>9</c:v>
                </c:pt>
                <c:pt idx="1">
                  <c:v>16</c:v>
                </c:pt>
                <c:pt idx="2">
                  <c:v>15</c:v>
                </c:pt>
                <c:pt idx="3">
                  <c:v>2</c:v>
                </c:pt>
                <c:pt idx="4">
                  <c:v>4</c:v>
                </c:pt>
                <c:pt idx="5">
                  <c:v>3</c:v>
                </c:pt>
                <c:pt idx="6">
                  <c:v>2</c:v>
                </c:pt>
                <c:pt idx="7">
                  <c:v>13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BD3-4D42-AF47-CC8956B38635}"/>
            </c:ext>
          </c:extLst>
        </c:ser>
        <c:ser>
          <c:idx val="1"/>
          <c:order val="1"/>
          <c:tx>
            <c:strRef>
              <c:f>'Paper Stats'!$C$1</c:f>
              <c:strCache>
                <c:ptCount val="1"/>
                <c:pt idx="0">
                  <c:v>#Publications</c:v>
                </c:pt>
              </c:strCache>
            </c:strRef>
          </c:tx>
          <c:spPr>
            <a:solidFill>
              <a:srgbClr val="EA4335"/>
            </a:solidFill>
            <a:ln cmpd="sng">
              <a:solidFill>
                <a:srgbClr val="000000"/>
              </a:solidFill>
            </a:ln>
          </c:spPr>
          <c:invertIfNegative val="1"/>
          <c:cat>
            <c:strRef>
              <c:f>'Paper Stats'!$A$2:$A$9</c:f>
              <c:strCache>
                <c:ptCount val="8"/>
                <c:pt idx="0">
                  <c:v>AI/ML</c:v>
                </c:pt>
                <c:pt idx="1">
                  <c:v>SE/PL/Security</c:v>
                </c:pt>
                <c:pt idx="2">
                  <c:v>Big data, KD &amp; Data Mining</c:v>
                </c:pt>
                <c:pt idx="3">
                  <c:v>Human Factors, Usability</c:v>
                </c:pt>
                <c:pt idx="4">
                  <c:v>Fairness-targets</c:v>
                </c:pt>
                <c:pt idx="5">
                  <c:v>CV</c:v>
                </c:pt>
                <c:pt idx="6">
                  <c:v>NLP</c:v>
                </c:pt>
                <c:pt idx="7">
                  <c:v>Other</c:v>
                </c:pt>
              </c:strCache>
            </c:strRef>
          </c:cat>
          <c:val>
            <c:numRef>
              <c:f>'Paper Stats'!$C$2:$C$9</c:f>
              <c:numCache>
                <c:formatCode>General</c:formatCode>
                <c:ptCount val="8"/>
                <c:pt idx="0">
                  <c:v>17</c:v>
                </c:pt>
                <c:pt idx="1">
                  <c:v>46</c:v>
                </c:pt>
                <c:pt idx="2">
                  <c:v>25</c:v>
                </c:pt>
                <c:pt idx="3">
                  <c:v>4</c:v>
                </c:pt>
                <c:pt idx="4">
                  <c:v>29</c:v>
                </c:pt>
                <c:pt idx="5">
                  <c:v>4</c:v>
                </c:pt>
                <c:pt idx="6">
                  <c:v>6</c:v>
                </c:pt>
                <c:pt idx="7">
                  <c:v>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BD3-4D42-AF47-CC8956B38635}"/>
            </c:ext>
          </c:extLst>
        </c:ser>
        <c:dLbls>
          <c:showLegendKey val="0"/>
          <c:showVal val="0"/>
          <c:showCatName val="0"/>
          <c:showSerName val="0"/>
          <c:showPercent val="0"/>
          <c:showBubbleSize val="0"/>
        </c:dLbls>
        <c:gapWidth val="150"/>
        <c:axId val="375452677"/>
        <c:axId val="1310287650"/>
      </c:barChart>
      <c:catAx>
        <c:axId val="375452677"/>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Domain of Venue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1310287650"/>
        <c:crosses val="autoZero"/>
        <c:auto val="1"/>
        <c:lblAlgn val="ctr"/>
        <c:lblOffset val="100"/>
        <c:noMultiLvlLbl val="1"/>
      </c:catAx>
      <c:valAx>
        <c:axId val="13102876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DE"/>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375452677"/>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doughnutChart>
        <c:varyColors val="1"/>
        <c:ser>
          <c:idx val="0"/>
          <c:order val="0"/>
          <c:tx>
            <c:strRef>
              <c:f>'Paper Stats'!$B$13</c:f>
              <c:strCache>
                <c:ptCount val="1"/>
                <c:pt idx="0">
                  <c:v>#Venues</c:v>
                </c:pt>
              </c:strCache>
            </c:strRef>
          </c:tx>
          <c:dPt>
            <c:idx val="0"/>
            <c:bubble3D val="0"/>
            <c:spPr>
              <a:solidFill>
                <a:srgbClr val="4285F4"/>
              </a:solidFill>
            </c:spPr>
            <c:extLst>
              <c:ext xmlns:c16="http://schemas.microsoft.com/office/drawing/2014/chart" uri="{C3380CC4-5D6E-409C-BE32-E72D297353CC}">
                <c16:uniqueId val="{00000001-4E27-CA4E-91E0-93D2C4C3A867}"/>
              </c:ext>
            </c:extLst>
          </c:dPt>
          <c:dPt>
            <c:idx val="1"/>
            <c:bubble3D val="0"/>
            <c:spPr>
              <a:solidFill>
                <a:srgbClr val="EA4335"/>
              </a:solidFill>
            </c:spPr>
            <c:extLst>
              <c:ext xmlns:c16="http://schemas.microsoft.com/office/drawing/2014/chart" uri="{C3380CC4-5D6E-409C-BE32-E72D297353CC}">
                <c16:uniqueId val="{00000003-4E27-CA4E-91E0-93D2C4C3A867}"/>
              </c:ext>
            </c:extLst>
          </c:dPt>
          <c:dPt>
            <c:idx val="2"/>
            <c:bubble3D val="0"/>
            <c:spPr>
              <a:solidFill>
                <a:srgbClr val="FBBC04"/>
              </a:solidFill>
            </c:spPr>
            <c:extLst>
              <c:ext xmlns:c16="http://schemas.microsoft.com/office/drawing/2014/chart" uri="{C3380CC4-5D6E-409C-BE32-E72D297353CC}">
                <c16:uniqueId val="{00000005-4E27-CA4E-91E0-93D2C4C3A867}"/>
              </c:ext>
            </c:extLst>
          </c:dPt>
          <c:dPt>
            <c:idx val="3"/>
            <c:bubble3D val="0"/>
            <c:spPr>
              <a:solidFill>
                <a:srgbClr val="34A853"/>
              </a:solidFill>
            </c:spPr>
            <c:extLst>
              <c:ext xmlns:c16="http://schemas.microsoft.com/office/drawing/2014/chart" uri="{C3380CC4-5D6E-409C-BE32-E72D297353CC}">
                <c16:uniqueId val="{00000007-4E27-CA4E-91E0-93D2C4C3A867}"/>
              </c:ext>
            </c:extLst>
          </c:dPt>
          <c:cat>
            <c:strRef>
              <c:f>'Paper Stats'!$A$14:$A$17</c:f>
              <c:strCache>
                <c:ptCount val="4"/>
                <c:pt idx="0">
                  <c:v>Journal</c:v>
                </c:pt>
                <c:pt idx="1">
                  <c:v>Conference</c:v>
                </c:pt>
                <c:pt idx="2">
                  <c:v>Workshop</c:v>
                </c:pt>
                <c:pt idx="3">
                  <c:v>Other</c:v>
                </c:pt>
              </c:strCache>
            </c:strRef>
          </c:cat>
          <c:val>
            <c:numRef>
              <c:f>'Paper Stats'!$B$14:$B$17</c:f>
              <c:numCache>
                <c:formatCode>General</c:formatCode>
                <c:ptCount val="4"/>
                <c:pt idx="0">
                  <c:v>18</c:v>
                </c:pt>
                <c:pt idx="1">
                  <c:v>35</c:v>
                </c:pt>
                <c:pt idx="2">
                  <c:v>6</c:v>
                </c:pt>
                <c:pt idx="3">
                  <c:v>5</c:v>
                </c:pt>
              </c:numCache>
            </c:numRef>
          </c:val>
          <c:extLst>
            <c:ext xmlns:c16="http://schemas.microsoft.com/office/drawing/2014/chart" uri="{C3380CC4-5D6E-409C-BE32-E72D297353CC}">
              <c16:uniqueId val="{00000008-4E27-CA4E-91E0-93D2C4C3A867}"/>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tx>
            <c:strRef>
              <c:f>'Paper Stats'!$B$13</c:f>
              <c:strCache>
                <c:ptCount val="1"/>
                <c:pt idx="0">
                  <c:v>#Venues</c:v>
                </c:pt>
              </c:strCache>
            </c:strRef>
          </c:tx>
          <c:spPr>
            <a:solidFill>
              <a:srgbClr val="4285F4"/>
            </a:solidFill>
            <a:ln cmpd="sng">
              <a:solidFill>
                <a:srgbClr val="000000"/>
              </a:solidFill>
            </a:ln>
          </c:spPr>
          <c:invertIfNegative val="1"/>
          <c:cat>
            <c:strRef>
              <c:f>'Paper Stats'!$A$14:$A$17</c:f>
              <c:strCache>
                <c:ptCount val="4"/>
                <c:pt idx="0">
                  <c:v>Journal</c:v>
                </c:pt>
                <c:pt idx="1">
                  <c:v>Conference</c:v>
                </c:pt>
                <c:pt idx="2">
                  <c:v>Workshop</c:v>
                </c:pt>
                <c:pt idx="3">
                  <c:v>Other</c:v>
                </c:pt>
              </c:strCache>
            </c:strRef>
          </c:cat>
          <c:val>
            <c:numRef>
              <c:f>'Paper Stats'!$B$14:$B$17</c:f>
              <c:numCache>
                <c:formatCode>General</c:formatCode>
                <c:ptCount val="4"/>
                <c:pt idx="0">
                  <c:v>18</c:v>
                </c:pt>
                <c:pt idx="1">
                  <c:v>35</c:v>
                </c:pt>
                <c:pt idx="2">
                  <c:v>6</c:v>
                </c:pt>
                <c:pt idx="3">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EAA-9141-837C-70D6A57C0AC0}"/>
            </c:ext>
          </c:extLst>
        </c:ser>
        <c:ser>
          <c:idx val="1"/>
          <c:order val="1"/>
          <c:tx>
            <c:strRef>
              <c:f>'Paper Stats'!$C$13</c:f>
              <c:strCache>
                <c:ptCount val="1"/>
                <c:pt idx="0">
                  <c:v>#Publications</c:v>
                </c:pt>
              </c:strCache>
            </c:strRef>
          </c:tx>
          <c:spPr>
            <a:solidFill>
              <a:srgbClr val="EA4335"/>
            </a:solidFill>
            <a:ln cmpd="sng">
              <a:solidFill>
                <a:srgbClr val="000000"/>
              </a:solidFill>
            </a:ln>
          </c:spPr>
          <c:invertIfNegative val="1"/>
          <c:cat>
            <c:strRef>
              <c:f>'Paper Stats'!$A$14:$A$17</c:f>
              <c:strCache>
                <c:ptCount val="4"/>
                <c:pt idx="0">
                  <c:v>Journal</c:v>
                </c:pt>
                <c:pt idx="1">
                  <c:v>Conference</c:v>
                </c:pt>
                <c:pt idx="2">
                  <c:v>Workshop</c:v>
                </c:pt>
                <c:pt idx="3">
                  <c:v>Other</c:v>
                </c:pt>
              </c:strCache>
            </c:strRef>
          </c:cat>
          <c:val>
            <c:numRef>
              <c:f>'Paper Stats'!$C$14:$C$17</c:f>
              <c:numCache>
                <c:formatCode>General</c:formatCode>
                <c:ptCount val="4"/>
                <c:pt idx="0">
                  <c:v>27</c:v>
                </c:pt>
                <c:pt idx="1">
                  <c:v>107</c:v>
                </c:pt>
                <c:pt idx="2">
                  <c:v>12</c:v>
                </c:pt>
                <c:pt idx="3">
                  <c:v>18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EAA-9141-837C-70D6A57C0AC0}"/>
            </c:ext>
          </c:extLst>
        </c:ser>
        <c:dLbls>
          <c:showLegendKey val="0"/>
          <c:showVal val="0"/>
          <c:showCatName val="0"/>
          <c:showSerName val="0"/>
          <c:showPercent val="0"/>
          <c:showBubbleSize val="0"/>
        </c:dLbls>
        <c:gapWidth val="150"/>
        <c:axId val="347787916"/>
        <c:axId val="166442858"/>
      </c:barChart>
      <c:catAx>
        <c:axId val="347787916"/>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Type of Venue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166442858"/>
        <c:crosses val="autoZero"/>
        <c:auto val="1"/>
        <c:lblAlgn val="ctr"/>
        <c:lblOffset val="100"/>
        <c:noMultiLvlLbl val="1"/>
      </c:catAx>
      <c:valAx>
        <c:axId val="1664428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DE"/>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347787916"/>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doughnutChart>
        <c:varyColors val="1"/>
        <c:ser>
          <c:idx val="0"/>
          <c:order val="0"/>
          <c:tx>
            <c:strRef>
              <c:f>Focused_Paper_Analysis!$B$215</c:f>
              <c:strCache>
                <c:ptCount val="1"/>
                <c:pt idx="0">
                  <c:v>#Publications</c:v>
                </c:pt>
              </c:strCache>
            </c:strRef>
          </c:tx>
          <c:dPt>
            <c:idx val="0"/>
            <c:bubble3D val="0"/>
            <c:spPr>
              <a:solidFill>
                <a:srgbClr val="4285F4"/>
              </a:solidFill>
            </c:spPr>
            <c:extLst>
              <c:ext xmlns:c16="http://schemas.microsoft.com/office/drawing/2014/chart" uri="{C3380CC4-5D6E-409C-BE32-E72D297353CC}">
                <c16:uniqueId val="{00000001-7A45-C646-943B-73FAA7F8BE30}"/>
              </c:ext>
            </c:extLst>
          </c:dPt>
          <c:dPt>
            <c:idx val="1"/>
            <c:bubble3D val="0"/>
            <c:spPr>
              <a:solidFill>
                <a:srgbClr val="EA4335"/>
              </a:solidFill>
            </c:spPr>
            <c:extLst>
              <c:ext xmlns:c16="http://schemas.microsoft.com/office/drawing/2014/chart" uri="{C3380CC4-5D6E-409C-BE32-E72D297353CC}">
                <c16:uniqueId val="{00000003-7A45-C646-943B-73FAA7F8BE30}"/>
              </c:ext>
            </c:extLst>
          </c:dPt>
          <c:dPt>
            <c:idx val="2"/>
            <c:bubble3D val="0"/>
            <c:spPr>
              <a:solidFill>
                <a:srgbClr val="FBBC04"/>
              </a:solidFill>
            </c:spPr>
            <c:extLst>
              <c:ext xmlns:c16="http://schemas.microsoft.com/office/drawing/2014/chart" uri="{C3380CC4-5D6E-409C-BE32-E72D297353CC}">
                <c16:uniqueId val="{00000005-7A45-C646-943B-73FAA7F8BE30}"/>
              </c:ext>
            </c:extLst>
          </c:dPt>
          <c:dPt>
            <c:idx val="3"/>
            <c:bubble3D val="0"/>
            <c:spPr>
              <a:solidFill>
                <a:srgbClr val="34A853"/>
              </a:solidFill>
            </c:spPr>
            <c:extLst>
              <c:ext xmlns:c16="http://schemas.microsoft.com/office/drawing/2014/chart" uri="{C3380CC4-5D6E-409C-BE32-E72D297353CC}">
                <c16:uniqueId val="{00000007-7A45-C646-943B-73FAA7F8BE30}"/>
              </c:ext>
            </c:extLst>
          </c:dPt>
          <c:dPt>
            <c:idx val="4"/>
            <c:bubble3D val="0"/>
            <c:spPr>
              <a:solidFill>
                <a:srgbClr val="FF6D01"/>
              </a:solidFill>
            </c:spPr>
            <c:extLst>
              <c:ext xmlns:c16="http://schemas.microsoft.com/office/drawing/2014/chart" uri="{C3380CC4-5D6E-409C-BE32-E72D297353CC}">
                <c16:uniqueId val="{00000009-7A45-C646-943B-73FAA7F8BE30}"/>
              </c:ext>
            </c:extLst>
          </c:dPt>
          <c:dPt>
            <c:idx val="5"/>
            <c:bubble3D val="0"/>
            <c:spPr>
              <a:solidFill>
                <a:srgbClr val="46BDC6"/>
              </a:solidFill>
            </c:spPr>
            <c:extLst>
              <c:ext xmlns:c16="http://schemas.microsoft.com/office/drawing/2014/chart" uri="{C3380CC4-5D6E-409C-BE32-E72D297353CC}">
                <c16:uniqueId val="{0000000B-7A45-C646-943B-73FAA7F8BE30}"/>
              </c:ext>
            </c:extLst>
          </c:dPt>
          <c:dPt>
            <c:idx val="6"/>
            <c:bubble3D val="0"/>
            <c:spPr>
              <a:solidFill>
                <a:srgbClr val="7BAAF7"/>
              </a:solidFill>
            </c:spPr>
            <c:extLst>
              <c:ext xmlns:c16="http://schemas.microsoft.com/office/drawing/2014/chart" uri="{C3380CC4-5D6E-409C-BE32-E72D297353CC}">
                <c16:uniqueId val="{0000000D-7A45-C646-943B-73FAA7F8BE30}"/>
              </c:ext>
            </c:extLst>
          </c:dPt>
          <c:dPt>
            <c:idx val="7"/>
            <c:bubble3D val="0"/>
            <c:spPr>
              <a:solidFill>
                <a:srgbClr val="F07B72"/>
              </a:solidFill>
            </c:spPr>
            <c:extLst>
              <c:ext xmlns:c16="http://schemas.microsoft.com/office/drawing/2014/chart" uri="{C3380CC4-5D6E-409C-BE32-E72D297353CC}">
                <c16:uniqueId val="{0000000F-7A45-C646-943B-73FAA7F8BE30}"/>
              </c:ext>
            </c:extLst>
          </c:dPt>
          <c:dPt>
            <c:idx val="8"/>
            <c:bubble3D val="0"/>
            <c:spPr>
              <a:solidFill>
                <a:srgbClr val="FCD04F"/>
              </a:solidFill>
            </c:spPr>
            <c:extLst>
              <c:ext xmlns:c16="http://schemas.microsoft.com/office/drawing/2014/chart" uri="{C3380CC4-5D6E-409C-BE32-E72D297353CC}">
                <c16:uniqueId val="{00000011-7A45-C646-943B-73FAA7F8BE30}"/>
              </c:ext>
            </c:extLst>
          </c:dPt>
          <c:dPt>
            <c:idx val="9"/>
            <c:bubble3D val="0"/>
            <c:spPr>
              <a:solidFill>
                <a:srgbClr val="71C287"/>
              </a:solidFill>
            </c:spPr>
            <c:extLst>
              <c:ext xmlns:c16="http://schemas.microsoft.com/office/drawing/2014/chart" uri="{C3380CC4-5D6E-409C-BE32-E72D297353CC}">
                <c16:uniqueId val="{00000013-7A45-C646-943B-73FAA7F8BE30}"/>
              </c:ext>
            </c:extLst>
          </c:dPt>
          <c:dPt>
            <c:idx val="10"/>
            <c:bubble3D val="0"/>
            <c:spPr>
              <a:solidFill>
                <a:srgbClr val="FF994D"/>
              </a:solidFill>
            </c:spPr>
            <c:extLst>
              <c:ext xmlns:c16="http://schemas.microsoft.com/office/drawing/2014/chart" uri="{C3380CC4-5D6E-409C-BE32-E72D297353CC}">
                <c16:uniqueId val="{00000015-7A45-C646-943B-73FAA7F8BE30}"/>
              </c:ext>
            </c:extLst>
          </c:dPt>
          <c:dPt>
            <c:idx val="11"/>
            <c:bubble3D val="0"/>
            <c:spPr>
              <a:solidFill>
                <a:srgbClr val="7ED1D7"/>
              </a:solidFill>
            </c:spPr>
            <c:extLst>
              <c:ext xmlns:c16="http://schemas.microsoft.com/office/drawing/2014/chart" uri="{C3380CC4-5D6E-409C-BE32-E72D297353CC}">
                <c16:uniqueId val="{00000017-7A45-C646-943B-73FAA7F8BE30}"/>
              </c:ext>
            </c:extLst>
          </c:dPt>
          <c:dPt>
            <c:idx val="12"/>
            <c:bubble3D val="0"/>
            <c:spPr>
              <a:solidFill>
                <a:srgbClr val="B3CEFB"/>
              </a:solidFill>
            </c:spPr>
            <c:extLst>
              <c:ext xmlns:c16="http://schemas.microsoft.com/office/drawing/2014/chart" uri="{C3380CC4-5D6E-409C-BE32-E72D297353CC}">
                <c16:uniqueId val="{00000019-7A45-C646-943B-73FAA7F8BE30}"/>
              </c:ext>
            </c:extLst>
          </c:dPt>
          <c:dPt>
            <c:idx val="13"/>
            <c:bubble3D val="0"/>
            <c:spPr>
              <a:solidFill>
                <a:srgbClr val="F7B4AE"/>
              </a:solidFill>
            </c:spPr>
            <c:extLst>
              <c:ext xmlns:c16="http://schemas.microsoft.com/office/drawing/2014/chart" uri="{C3380CC4-5D6E-409C-BE32-E72D297353CC}">
                <c16:uniqueId val="{0000001B-7A45-C646-943B-73FAA7F8BE30}"/>
              </c:ext>
            </c:extLst>
          </c:dPt>
          <c:dPt>
            <c:idx val="14"/>
            <c:bubble3D val="0"/>
            <c:spPr>
              <a:solidFill>
                <a:srgbClr val="FDE49B"/>
              </a:solidFill>
            </c:spPr>
            <c:extLst>
              <c:ext xmlns:c16="http://schemas.microsoft.com/office/drawing/2014/chart" uri="{C3380CC4-5D6E-409C-BE32-E72D297353CC}">
                <c16:uniqueId val="{0000001D-7A45-C646-943B-73FAA7F8BE30}"/>
              </c:ext>
            </c:extLst>
          </c:dPt>
          <c:dPt>
            <c:idx val="15"/>
            <c:bubble3D val="0"/>
            <c:spPr>
              <a:solidFill>
                <a:srgbClr val="AEDCBA"/>
              </a:solidFill>
            </c:spPr>
            <c:extLst>
              <c:ext xmlns:c16="http://schemas.microsoft.com/office/drawing/2014/chart" uri="{C3380CC4-5D6E-409C-BE32-E72D297353CC}">
                <c16:uniqueId val="{0000001F-7A45-C646-943B-73FAA7F8BE30}"/>
              </c:ext>
            </c:extLst>
          </c:dPt>
          <c:dPt>
            <c:idx val="16"/>
            <c:bubble3D val="0"/>
            <c:spPr>
              <a:solidFill>
                <a:srgbClr val="FFC599"/>
              </a:solidFill>
            </c:spPr>
            <c:extLst>
              <c:ext xmlns:c16="http://schemas.microsoft.com/office/drawing/2014/chart" uri="{C3380CC4-5D6E-409C-BE32-E72D297353CC}">
                <c16:uniqueId val="{00000021-7A45-C646-943B-73FAA7F8BE30}"/>
              </c:ext>
            </c:extLst>
          </c:dPt>
          <c:dPt>
            <c:idx val="17"/>
            <c:bubble3D val="0"/>
            <c:spPr>
              <a:solidFill>
                <a:srgbClr val="B5E5E8"/>
              </a:solidFill>
            </c:spPr>
            <c:extLst>
              <c:ext xmlns:c16="http://schemas.microsoft.com/office/drawing/2014/chart" uri="{C3380CC4-5D6E-409C-BE32-E72D297353CC}">
                <c16:uniqueId val="{00000023-7A45-C646-943B-73FAA7F8BE30}"/>
              </c:ext>
            </c:extLst>
          </c:dPt>
          <c:dPt>
            <c:idx val="18"/>
            <c:bubble3D val="0"/>
            <c:spPr>
              <a:solidFill>
                <a:srgbClr val="ECF3FE"/>
              </a:solidFill>
            </c:spPr>
            <c:extLst>
              <c:ext xmlns:c16="http://schemas.microsoft.com/office/drawing/2014/chart" uri="{C3380CC4-5D6E-409C-BE32-E72D297353CC}">
                <c16:uniqueId val="{00000025-7A45-C646-943B-73FAA7F8BE30}"/>
              </c:ext>
            </c:extLst>
          </c:dPt>
          <c:dPt>
            <c:idx val="19"/>
            <c:bubble3D val="0"/>
            <c:spPr>
              <a:solidFill>
                <a:srgbClr val="FDECEB"/>
              </a:solidFill>
            </c:spPr>
            <c:extLst>
              <c:ext xmlns:c16="http://schemas.microsoft.com/office/drawing/2014/chart" uri="{C3380CC4-5D6E-409C-BE32-E72D297353CC}">
                <c16:uniqueId val="{00000027-7A45-C646-943B-73FAA7F8BE30}"/>
              </c:ext>
            </c:extLst>
          </c:dPt>
          <c:dPt>
            <c:idx val="20"/>
            <c:bubble3D val="0"/>
            <c:spPr>
              <a:solidFill>
                <a:srgbClr val="FFF8E6"/>
              </a:solidFill>
            </c:spPr>
            <c:extLst>
              <c:ext xmlns:c16="http://schemas.microsoft.com/office/drawing/2014/chart" uri="{C3380CC4-5D6E-409C-BE32-E72D297353CC}">
                <c16:uniqueId val="{00000029-7A45-C646-943B-73FAA7F8BE30}"/>
              </c:ext>
            </c:extLst>
          </c:dPt>
          <c:dPt>
            <c:idx val="21"/>
            <c:bubble3D val="0"/>
            <c:spPr>
              <a:solidFill>
                <a:srgbClr val="EBF6EE"/>
              </a:solidFill>
            </c:spPr>
            <c:extLst>
              <c:ext xmlns:c16="http://schemas.microsoft.com/office/drawing/2014/chart" uri="{C3380CC4-5D6E-409C-BE32-E72D297353CC}">
                <c16:uniqueId val="{0000002B-7A45-C646-943B-73FAA7F8BE30}"/>
              </c:ext>
            </c:extLst>
          </c:dPt>
          <c:dPt>
            <c:idx val="22"/>
            <c:bubble3D val="0"/>
            <c:spPr>
              <a:solidFill>
                <a:srgbClr val="FFF0E6"/>
              </a:solidFill>
            </c:spPr>
            <c:extLst>
              <c:ext xmlns:c16="http://schemas.microsoft.com/office/drawing/2014/chart" uri="{C3380CC4-5D6E-409C-BE32-E72D297353CC}">
                <c16:uniqueId val="{0000002D-7A45-C646-943B-73FAA7F8BE30}"/>
              </c:ext>
            </c:extLst>
          </c:dPt>
          <c:dPt>
            <c:idx val="23"/>
            <c:bubble3D val="0"/>
            <c:spPr>
              <a:solidFill>
                <a:srgbClr val="EDF8F9"/>
              </a:solidFill>
            </c:spPr>
            <c:extLst>
              <c:ext xmlns:c16="http://schemas.microsoft.com/office/drawing/2014/chart" uri="{C3380CC4-5D6E-409C-BE32-E72D297353CC}">
                <c16:uniqueId val="{0000002F-7A45-C646-943B-73FAA7F8BE30}"/>
              </c:ext>
            </c:extLst>
          </c:dPt>
          <c:dPt>
            <c:idx val="24"/>
            <c:bubble3D val="0"/>
            <c:spPr>
              <a:solidFill>
                <a:srgbClr val="251701"/>
              </a:solidFill>
            </c:spPr>
            <c:extLst>
              <c:ext xmlns:c16="http://schemas.microsoft.com/office/drawing/2014/chart" uri="{C3380CC4-5D6E-409C-BE32-E72D297353CC}">
                <c16:uniqueId val="{00000031-7A45-C646-943B-73FAA7F8BE30}"/>
              </c:ext>
            </c:extLst>
          </c:dPt>
          <c:dPt>
            <c:idx val="25"/>
            <c:bubble3D val="0"/>
            <c:spPr>
              <a:solidFill>
                <a:srgbClr val="032527"/>
              </a:solidFill>
            </c:spPr>
            <c:extLst>
              <c:ext xmlns:c16="http://schemas.microsoft.com/office/drawing/2014/chart" uri="{C3380CC4-5D6E-409C-BE32-E72D297353CC}">
                <c16:uniqueId val="{00000033-7A45-C646-943B-73FAA7F8BE30}"/>
              </c:ext>
            </c:extLst>
          </c:dPt>
          <c:dPt>
            <c:idx val="26"/>
            <c:bubble3D val="0"/>
            <c:spPr>
              <a:solidFill>
                <a:srgbClr val="010D31"/>
              </a:solidFill>
            </c:spPr>
            <c:extLst>
              <c:ext xmlns:c16="http://schemas.microsoft.com/office/drawing/2014/chart" uri="{C3380CC4-5D6E-409C-BE32-E72D297353CC}">
                <c16:uniqueId val="{00000035-7A45-C646-943B-73FAA7F8BE30}"/>
              </c:ext>
            </c:extLst>
          </c:dPt>
          <c:dPt>
            <c:idx val="27"/>
            <c:bubble3D val="0"/>
            <c:spPr>
              <a:solidFill>
                <a:srgbClr val="291121"/>
              </a:solidFill>
            </c:spPr>
            <c:extLst>
              <c:ext xmlns:c16="http://schemas.microsoft.com/office/drawing/2014/chart" uri="{C3380CC4-5D6E-409C-BE32-E72D297353CC}">
                <c16:uniqueId val="{00000037-7A45-C646-943B-73FAA7F8BE30}"/>
              </c:ext>
            </c:extLst>
          </c:dPt>
          <c:dPt>
            <c:idx val="28"/>
            <c:bubble3D val="0"/>
            <c:spPr>
              <a:solidFill>
                <a:srgbClr val="FF1D32"/>
              </a:solidFill>
            </c:spPr>
            <c:extLst>
              <c:ext xmlns:c16="http://schemas.microsoft.com/office/drawing/2014/chart" uri="{C3380CC4-5D6E-409C-BE32-E72D297353CC}">
                <c16:uniqueId val="{00000039-7A45-C646-943B-73FAA7F8BE30}"/>
              </c:ext>
            </c:extLst>
          </c:dPt>
          <c:dPt>
            <c:idx val="29"/>
            <c:bubble3D val="0"/>
            <c:spPr>
              <a:solidFill>
                <a:srgbClr val="250D0A"/>
              </a:solidFill>
            </c:spPr>
            <c:extLst>
              <c:ext xmlns:c16="http://schemas.microsoft.com/office/drawing/2014/chart" uri="{C3380CC4-5D6E-409C-BE32-E72D297353CC}">
                <c16:uniqueId val="{0000003B-7A45-C646-943B-73FAA7F8BE30}"/>
              </c:ext>
            </c:extLst>
          </c:dPt>
          <c:dPt>
            <c:idx val="30"/>
            <c:bubble3D val="0"/>
            <c:spPr>
              <a:solidFill>
                <a:srgbClr val="5F3D05"/>
              </a:solidFill>
            </c:spPr>
            <c:extLst>
              <c:ext xmlns:c16="http://schemas.microsoft.com/office/drawing/2014/chart" uri="{C3380CC4-5D6E-409C-BE32-E72D297353CC}">
                <c16:uniqueId val="{0000003D-7A45-C646-943B-73FAA7F8BE30}"/>
              </c:ext>
            </c:extLst>
          </c:dPt>
          <c:dPt>
            <c:idx val="31"/>
            <c:bubble3D val="0"/>
            <c:spPr>
              <a:solidFill>
                <a:srgbClr val="0B5D64"/>
              </a:solidFill>
            </c:spPr>
            <c:extLst>
              <c:ext xmlns:c16="http://schemas.microsoft.com/office/drawing/2014/chart" uri="{C3380CC4-5D6E-409C-BE32-E72D297353CC}">
                <c16:uniqueId val="{0000003F-7A45-C646-943B-73FAA7F8BE30}"/>
              </c:ext>
            </c:extLst>
          </c:dPt>
          <c:dPt>
            <c:idx val="32"/>
            <c:bubble3D val="0"/>
            <c:spPr>
              <a:solidFill>
                <a:srgbClr val="01217D"/>
              </a:solidFill>
            </c:spPr>
            <c:extLst>
              <c:ext xmlns:c16="http://schemas.microsoft.com/office/drawing/2014/chart" uri="{C3380CC4-5D6E-409C-BE32-E72D297353CC}">
                <c16:uniqueId val="{00000041-7A45-C646-943B-73FAA7F8BE30}"/>
              </c:ext>
            </c:extLst>
          </c:dPt>
          <c:dPt>
            <c:idx val="33"/>
            <c:bubble3D val="0"/>
            <c:spPr>
              <a:solidFill>
                <a:srgbClr val="652B55"/>
              </a:solidFill>
            </c:spPr>
            <c:extLst>
              <c:ext xmlns:c16="http://schemas.microsoft.com/office/drawing/2014/chart" uri="{C3380CC4-5D6E-409C-BE32-E72D297353CC}">
                <c16:uniqueId val="{00000043-7A45-C646-943B-73FAA7F8BE30}"/>
              </c:ext>
            </c:extLst>
          </c:dPt>
          <c:dPt>
            <c:idx val="34"/>
            <c:bubble3D val="0"/>
            <c:spPr>
              <a:solidFill>
                <a:srgbClr val="FF497E"/>
              </a:solidFill>
            </c:spPr>
            <c:extLst>
              <c:ext xmlns:c16="http://schemas.microsoft.com/office/drawing/2014/chart" uri="{C3380CC4-5D6E-409C-BE32-E72D297353CC}">
                <c16:uniqueId val="{00000045-7A45-C646-943B-73FAA7F8BE30}"/>
              </c:ext>
            </c:extLst>
          </c:dPt>
          <c:dPt>
            <c:idx val="35"/>
            <c:bubble3D val="0"/>
            <c:spPr>
              <a:solidFill>
                <a:srgbClr val="5D211C"/>
              </a:solidFill>
            </c:spPr>
            <c:extLst>
              <c:ext xmlns:c16="http://schemas.microsoft.com/office/drawing/2014/chart" uri="{C3380CC4-5D6E-409C-BE32-E72D297353CC}">
                <c16:uniqueId val="{00000047-7A45-C646-943B-73FAA7F8BE30}"/>
              </c:ext>
            </c:extLst>
          </c:dPt>
          <c:dPt>
            <c:idx val="36"/>
            <c:bubble3D val="0"/>
            <c:spPr>
              <a:solidFill>
                <a:srgbClr val="976108"/>
              </a:solidFill>
            </c:spPr>
            <c:extLst>
              <c:ext xmlns:c16="http://schemas.microsoft.com/office/drawing/2014/chart" uri="{C3380CC4-5D6E-409C-BE32-E72D297353CC}">
                <c16:uniqueId val="{00000049-7A45-C646-943B-73FAA7F8BE30}"/>
              </c:ext>
            </c:extLst>
          </c:dPt>
          <c:dPt>
            <c:idx val="37"/>
            <c:bubble3D val="0"/>
            <c:spPr>
              <a:solidFill>
                <a:srgbClr val="1195A1"/>
              </a:solidFill>
            </c:spPr>
            <c:extLst>
              <c:ext xmlns:c16="http://schemas.microsoft.com/office/drawing/2014/chart" uri="{C3380CC4-5D6E-409C-BE32-E72D297353CC}">
                <c16:uniqueId val="{0000004B-7A45-C646-943B-73FAA7F8BE30}"/>
              </c:ext>
            </c:extLst>
          </c:dPt>
          <c:dPt>
            <c:idx val="38"/>
            <c:bubble3D val="0"/>
            <c:spPr>
              <a:solidFill>
                <a:srgbClr val="0335C8"/>
              </a:solidFill>
            </c:spPr>
            <c:extLst>
              <c:ext xmlns:c16="http://schemas.microsoft.com/office/drawing/2014/chart" uri="{C3380CC4-5D6E-409C-BE32-E72D297353CC}">
                <c16:uniqueId val="{0000004D-7A45-C646-943B-73FAA7F8BE30}"/>
              </c:ext>
            </c:extLst>
          </c:dPt>
          <c:dPt>
            <c:idx val="39"/>
            <c:bubble3D val="0"/>
            <c:spPr>
              <a:solidFill>
                <a:srgbClr val="A14589"/>
              </a:solidFill>
            </c:spPr>
            <c:extLst>
              <c:ext xmlns:c16="http://schemas.microsoft.com/office/drawing/2014/chart" uri="{C3380CC4-5D6E-409C-BE32-E72D297353CC}">
                <c16:uniqueId val="{0000004F-7A45-C646-943B-73FAA7F8BE30}"/>
              </c:ext>
            </c:extLst>
          </c:dPt>
          <c:dPt>
            <c:idx val="40"/>
            <c:bubble3D val="0"/>
            <c:spPr>
              <a:solidFill>
                <a:srgbClr val="FF75CA"/>
              </a:solidFill>
            </c:spPr>
            <c:extLst>
              <c:ext xmlns:c16="http://schemas.microsoft.com/office/drawing/2014/chart" uri="{C3380CC4-5D6E-409C-BE32-E72D297353CC}">
                <c16:uniqueId val="{00000051-7A45-C646-943B-73FAA7F8BE30}"/>
              </c:ext>
            </c:extLst>
          </c:dPt>
          <c:dPt>
            <c:idx val="41"/>
            <c:bubble3D val="0"/>
            <c:spPr>
              <a:solidFill>
                <a:srgbClr val="93352D"/>
              </a:solidFill>
            </c:spPr>
            <c:extLst>
              <c:ext xmlns:c16="http://schemas.microsoft.com/office/drawing/2014/chart" uri="{C3380CC4-5D6E-409C-BE32-E72D297353CC}">
                <c16:uniqueId val="{00000053-7A45-C646-943B-73FAA7F8BE30}"/>
              </c:ext>
            </c:extLst>
          </c:dPt>
          <c:dPt>
            <c:idx val="42"/>
            <c:bubble3D val="0"/>
            <c:spPr>
              <a:solidFill>
                <a:srgbClr val="CF850B"/>
              </a:solidFill>
            </c:spPr>
            <c:extLst>
              <c:ext xmlns:c16="http://schemas.microsoft.com/office/drawing/2014/chart" uri="{C3380CC4-5D6E-409C-BE32-E72D297353CC}">
                <c16:uniqueId val="{00000055-7A45-C646-943B-73FAA7F8BE30}"/>
              </c:ext>
            </c:extLst>
          </c:dPt>
          <c:dPt>
            <c:idx val="43"/>
            <c:bubble3D val="0"/>
            <c:spPr>
              <a:solidFill>
                <a:srgbClr val="17CFDD"/>
              </a:solidFill>
            </c:spPr>
            <c:extLst>
              <c:ext xmlns:c16="http://schemas.microsoft.com/office/drawing/2014/chart" uri="{C3380CC4-5D6E-409C-BE32-E72D297353CC}">
                <c16:uniqueId val="{00000057-7A45-C646-943B-73FAA7F8BE30}"/>
              </c:ext>
            </c:extLst>
          </c:dPt>
          <c:dPt>
            <c:idx val="44"/>
            <c:bubble3D val="0"/>
            <c:spPr>
              <a:solidFill>
                <a:srgbClr val="034B13"/>
              </a:solidFill>
            </c:spPr>
            <c:extLst>
              <c:ext xmlns:c16="http://schemas.microsoft.com/office/drawing/2014/chart" uri="{C3380CC4-5D6E-409C-BE32-E72D297353CC}">
                <c16:uniqueId val="{00000059-7A45-C646-943B-73FAA7F8BE30}"/>
              </c:ext>
            </c:extLst>
          </c:dPt>
          <c:dPt>
            <c:idx val="45"/>
            <c:bubble3D val="0"/>
            <c:spPr>
              <a:solidFill>
                <a:srgbClr val="DF5FBC"/>
              </a:solidFill>
            </c:spPr>
            <c:extLst>
              <c:ext xmlns:c16="http://schemas.microsoft.com/office/drawing/2014/chart" uri="{C3380CC4-5D6E-409C-BE32-E72D297353CC}">
                <c16:uniqueId val="{0000005B-7A45-C646-943B-73FAA7F8BE30}"/>
              </c:ext>
            </c:extLst>
          </c:dPt>
          <c:dPt>
            <c:idx val="46"/>
            <c:bubble3D val="0"/>
            <c:spPr>
              <a:solidFill>
                <a:srgbClr val="FFA216"/>
              </a:solidFill>
            </c:spPr>
            <c:extLst>
              <c:ext xmlns:c16="http://schemas.microsoft.com/office/drawing/2014/chart" uri="{C3380CC4-5D6E-409C-BE32-E72D297353CC}">
                <c16:uniqueId val="{0000005D-7A45-C646-943B-73FAA7F8BE30}"/>
              </c:ext>
            </c:extLst>
          </c:dPt>
          <c:dPt>
            <c:idx val="47"/>
            <c:bubble3D val="0"/>
            <c:spPr>
              <a:solidFill>
                <a:srgbClr val="CB493E"/>
              </a:solidFill>
            </c:spPr>
            <c:extLst>
              <c:ext xmlns:c16="http://schemas.microsoft.com/office/drawing/2014/chart" uri="{C3380CC4-5D6E-409C-BE32-E72D297353CC}">
                <c16:uniqueId val="{0000005F-7A45-C646-943B-73FAA7F8BE30}"/>
              </c:ext>
            </c:extLst>
          </c:dPt>
          <c:dPt>
            <c:idx val="48"/>
            <c:bubble3D val="0"/>
            <c:spPr>
              <a:solidFill>
                <a:srgbClr val="09AB0E"/>
              </a:solidFill>
            </c:spPr>
            <c:extLst>
              <c:ext xmlns:c16="http://schemas.microsoft.com/office/drawing/2014/chart" uri="{C3380CC4-5D6E-409C-BE32-E72D297353CC}">
                <c16:uniqueId val="{00000061-7A45-C646-943B-73FAA7F8BE30}"/>
              </c:ext>
            </c:extLst>
          </c:dPt>
          <c:dPt>
            <c:idx val="49"/>
            <c:bubble3D val="0"/>
            <c:spPr>
              <a:solidFill>
                <a:srgbClr val="1E061A"/>
              </a:solidFill>
            </c:spPr>
            <c:extLst>
              <c:ext xmlns:c16="http://schemas.microsoft.com/office/drawing/2014/chart" uri="{C3380CC4-5D6E-409C-BE32-E72D297353CC}">
                <c16:uniqueId val="{00000063-7A45-C646-943B-73FAA7F8BE30}"/>
              </c:ext>
            </c:extLst>
          </c:dPt>
          <c:dPt>
            <c:idx val="50"/>
            <c:bubble3D val="0"/>
            <c:spPr>
              <a:solidFill>
                <a:srgbClr val="055F5E"/>
              </a:solidFill>
            </c:spPr>
            <c:extLst>
              <c:ext xmlns:c16="http://schemas.microsoft.com/office/drawing/2014/chart" uri="{C3380CC4-5D6E-409C-BE32-E72D297353CC}">
                <c16:uniqueId val="{00000065-7A45-C646-943B-73FAA7F8BE30}"/>
              </c:ext>
            </c:extLst>
          </c:dPt>
          <c:dPt>
            <c:idx val="51"/>
            <c:bubble3D val="0"/>
            <c:spPr>
              <a:solidFill>
                <a:srgbClr val="1B79F0"/>
              </a:solidFill>
            </c:spPr>
            <c:extLst>
              <c:ext xmlns:c16="http://schemas.microsoft.com/office/drawing/2014/chart" uri="{C3380CC4-5D6E-409C-BE32-E72D297353CC}">
                <c16:uniqueId val="{00000067-7A45-C646-943B-73FAA7F8BE30}"/>
              </c:ext>
            </c:extLst>
          </c:dPt>
          <c:dPt>
            <c:idx val="52"/>
            <c:bubble3D val="0"/>
            <c:spPr>
              <a:solidFill>
                <a:srgbClr val="FFCB63"/>
              </a:solidFill>
            </c:spPr>
            <c:extLst>
              <c:ext xmlns:c16="http://schemas.microsoft.com/office/drawing/2014/chart" uri="{C3380CC4-5D6E-409C-BE32-E72D297353CC}">
                <c16:uniqueId val="{00000069-7A45-C646-943B-73FAA7F8BE30}"/>
              </c:ext>
            </c:extLst>
          </c:dPt>
          <c:dPt>
            <c:idx val="53"/>
            <c:bubble3D val="0"/>
            <c:spPr>
              <a:solidFill>
                <a:srgbClr val="035B4F"/>
              </a:solidFill>
            </c:spPr>
            <c:extLst>
              <c:ext xmlns:c16="http://schemas.microsoft.com/office/drawing/2014/chart" uri="{C3380CC4-5D6E-409C-BE32-E72D297353CC}">
                <c16:uniqueId val="{0000006B-7A45-C646-943B-73FAA7F8BE30}"/>
              </c:ext>
            </c:extLst>
          </c:dPt>
          <c:dPt>
            <c:idx val="54"/>
            <c:bubble3D val="0"/>
            <c:spPr>
              <a:solidFill>
                <a:srgbClr val="41CF12"/>
              </a:solidFill>
            </c:spPr>
            <c:extLst>
              <c:ext xmlns:c16="http://schemas.microsoft.com/office/drawing/2014/chart" uri="{C3380CC4-5D6E-409C-BE32-E72D297353CC}">
                <c16:uniqueId val="{0000006D-7A45-C646-943B-73FAA7F8BE30}"/>
              </c:ext>
            </c:extLst>
          </c:dPt>
          <c:dPt>
            <c:idx val="55"/>
            <c:bubble3D val="0"/>
            <c:spPr>
              <a:solidFill>
                <a:srgbClr val="233F56"/>
              </a:solidFill>
            </c:spPr>
            <c:extLst>
              <c:ext xmlns:c16="http://schemas.microsoft.com/office/drawing/2014/chart" uri="{C3380CC4-5D6E-409C-BE32-E72D297353CC}">
                <c16:uniqueId val="{0000006F-7A45-C646-943B-73FAA7F8BE30}"/>
              </c:ext>
            </c:extLst>
          </c:dPt>
          <c:dPt>
            <c:idx val="56"/>
            <c:bubble3D val="0"/>
            <c:spPr>
              <a:solidFill>
                <a:srgbClr val="0773AA"/>
              </a:solidFill>
            </c:spPr>
            <c:extLst>
              <c:ext xmlns:c16="http://schemas.microsoft.com/office/drawing/2014/chart" uri="{C3380CC4-5D6E-409C-BE32-E72D297353CC}">
                <c16:uniqueId val="{00000071-7A45-C646-943B-73FAA7F8BE30}"/>
              </c:ext>
            </c:extLst>
          </c:dPt>
          <c:dPt>
            <c:idx val="57"/>
            <c:bubble3D val="0"/>
            <c:spPr>
              <a:solidFill>
                <a:srgbClr val="599323"/>
              </a:solidFill>
            </c:spPr>
            <c:extLst>
              <c:ext xmlns:c16="http://schemas.microsoft.com/office/drawing/2014/chart" uri="{C3380CC4-5D6E-409C-BE32-E72D297353CC}">
                <c16:uniqueId val="{00000073-7A45-C646-943B-73FAA7F8BE30}"/>
              </c:ext>
            </c:extLst>
          </c:dPt>
          <c:dPt>
            <c:idx val="58"/>
            <c:bubble3D val="0"/>
            <c:spPr>
              <a:solidFill>
                <a:srgbClr val="FFF7AF"/>
              </a:solidFill>
            </c:spPr>
            <c:extLst>
              <c:ext xmlns:c16="http://schemas.microsoft.com/office/drawing/2014/chart" uri="{C3380CC4-5D6E-409C-BE32-E72D297353CC}">
                <c16:uniqueId val="{00000075-7A45-C646-943B-73FAA7F8BE30}"/>
              </c:ext>
            </c:extLst>
          </c:dPt>
          <c:dPt>
            <c:idx val="59"/>
            <c:bubble3D val="0"/>
            <c:spPr>
              <a:solidFill>
                <a:srgbClr val="3B6F60"/>
              </a:solidFill>
            </c:spPr>
            <c:extLst>
              <c:ext xmlns:c16="http://schemas.microsoft.com/office/drawing/2014/chart" uri="{C3380CC4-5D6E-409C-BE32-E72D297353CC}">
                <c16:uniqueId val="{00000077-7A45-C646-943B-73FAA7F8BE30}"/>
              </c:ext>
            </c:extLst>
          </c:dPt>
          <c:dPt>
            <c:idx val="60"/>
            <c:bubble3D val="0"/>
            <c:spPr>
              <a:solidFill>
                <a:srgbClr val="79F315"/>
              </a:solidFill>
            </c:spPr>
            <c:extLst>
              <c:ext xmlns:c16="http://schemas.microsoft.com/office/drawing/2014/chart" uri="{C3380CC4-5D6E-409C-BE32-E72D297353CC}">
                <c16:uniqueId val="{00000079-7A45-C646-943B-73FAA7F8BE30}"/>
              </c:ext>
            </c:extLst>
          </c:dPt>
          <c:dPt>
            <c:idx val="61"/>
            <c:bubble3D val="0"/>
            <c:spPr>
              <a:solidFill>
                <a:srgbClr val="2B7793"/>
              </a:solidFill>
            </c:spPr>
            <c:extLst>
              <c:ext xmlns:c16="http://schemas.microsoft.com/office/drawing/2014/chart" uri="{C3380CC4-5D6E-409C-BE32-E72D297353CC}">
                <c16:uniqueId val="{0000007B-7A45-C646-943B-73FAA7F8BE30}"/>
              </c:ext>
            </c:extLst>
          </c:dPt>
          <c:dPt>
            <c:idx val="62"/>
            <c:bubble3D val="0"/>
            <c:spPr>
              <a:solidFill>
                <a:srgbClr val="0787F5"/>
              </a:solidFill>
            </c:spPr>
            <c:extLst>
              <c:ext xmlns:c16="http://schemas.microsoft.com/office/drawing/2014/chart" uri="{C3380CC4-5D6E-409C-BE32-E72D297353CC}">
                <c16:uniqueId val="{0000007D-7A45-C646-943B-73FAA7F8BE30}"/>
              </c:ext>
            </c:extLst>
          </c:dPt>
          <c:dPt>
            <c:idx val="63"/>
            <c:bubble3D val="0"/>
            <c:spPr>
              <a:solidFill>
                <a:srgbClr val="95AF57"/>
              </a:solidFill>
            </c:spPr>
            <c:extLst>
              <c:ext xmlns:c16="http://schemas.microsoft.com/office/drawing/2014/chart" uri="{C3380CC4-5D6E-409C-BE32-E72D297353CC}">
                <c16:uniqueId val="{0000007F-7A45-C646-943B-73FAA7F8BE30}"/>
              </c:ext>
            </c:extLst>
          </c:dPt>
          <c:dPt>
            <c:idx val="64"/>
            <c:bubble3D val="0"/>
            <c:spPr>
              <a:solidFill>
                <a:srgbClr val="FF23FB"/>
              </a:solidFill>
            </c:spPr>
            <c:extLst>
              <c:ext xmlns:c16="http://schemas.microsoft.com/office/drawing/2014/chart" uri="{C3380CC4-5D6E-409C-BE32-E72D297353CC}">
                <c16:uniqueId val="{00000081-7A45-C646-943B-73FAA7F8BE30}"/>
              </c:ext>
            </c:extLst>
          </c:dPt>
          <c:dPt>
            <c:idx val="65"/>
            <c:bubble3D val="0"/>
            <c:spPr>
              <a:solidFill>
                <a:srgbClr val="718371"/>
              </a:solidFill>
            </c:spPr>
            <c:extLst>
              <c:ext xmlns:c16="http://schemas.microsoft.com/office/drawing/2014/chart" uri="{C3380CC4-5D6E-409C-BE32-E72D297353CC}">
                <c16:uniqueId val="{00000083-7A45-C646-943B-73FAA7F8BE30}"/>
              </c:ext>
            </c:extLst>
          </c:dPt>
          <c:dPt>
            <c:idx val="66"/>
            <c:bubble3D val="0"/>
            <c:spPr>
              <a:solidFill>
                <a:srgbClr val="B21918"/>
              </a:solidFill>
            </c:spPr>
            <c:extLst>
              <c:ext xmlns:c16="http://schemas.microsoft.com/office/drawing/2014/chart" uri="{C3380CC4-5D6E-409C-BE32-E72D297353CC}">
                <c16:uniqueId val="{00000085-7A45-C646-943B-73FAA7F8BE30}"/>
              </c:ext>
            </c:extLst>
          </c:dPt>
          <c:dPt>
            <c:idx val="67"/>
            <c:bubble3D val="0"/>
            <c:spPr>
              <a:solidFill>
                <a:srgbClr val="2FAFD0"/>
              </a:solidFill>
            </c:spPr>
            <c:extLst>
              <c:ext xmlns:c16="http://schemas.microsoft.com/office/drawing/2014/chart" uri="{C3380CC4-5D6E-409C-BE32-E72D297353CC}">
                <c16:uniqueId val="{00000087-7A45-C646-943B-73FAA7F8BE30}"/>
              </c:ext>
            </c:extLst>
          </c:dPt>
          <c:cat>
            <c:strRef>
              <c:f>Focused_Paper_Analysis!$A$216:$A$283</c:f>
              <c:strCache>
                <c:ptCount val="66"/>
                <c:pt idx="0">
                  <c:v>AAAI</c:v>
                </c:pt>
                <c:pt idx="1">
                  <c:v>AAAI_AIES</c:v>
                </c:pt>
                <c:pt idx="2">
                  <c:v>ACL</c:v>
                </c:pt>
                <c:pt idx="3">
                  <c:v>AISTATS</c:v>
                </c:pt>
                <c:pt idx="4">
                  <c:v>arXiv</c:v>
                </c:pt>
                <c:pt idx="5">
                  <c:v>ASE</c:v>
                </c:pt>
                <c:pt idx="6">
                  <c:v>Big Data</c:v>
                </c:pt>
                <c:pt idx="7">
                  <c:v>BSDUC</c:v>
                </c:pt>
                <c:pt idx="8">
                  <c:v>CACM</c:v>
                </c:pt>
                <c:pt idx="9">
                  <c:v>CAV</c:v>
                </c:pt>
                <c:pt idx="10">
                  <c:v>CCCT</c:v>
                </c:pt>
                <c:pt idx="11">
                  <c:v>CEUR_Workshop</c:v>
                </c:pt>
                <c:pt idx="12">
                  <c:v>CHI</c:v>
                </c:pt>
                <c:pt idx="13">
                  <c:v>CSUR</c:v>
                </c:pt>
                <c:pt idx="14">
                  <c:v>CVPR</c:v>
                </c:pt>
                <c:pt idx="15">
                  <c:v>DGRP</c:v>
                </c:pt>
                <c:pt idx="16">
                  <c:v>DMKD</c:v>
                </c:pt>
                <c:pt idx="17">
                  <c:v>ECCV_Workshops</c:v>
                </c:pt>
                <c:pt idx="18">
                  <c:v>ECML_PKDD</c:v>
                </c:pt>
                <c:pt idx="19">
                  <c:v>EDBT</c:v>
                </c:pt>
                <c:pt idx="20">
                  <c:v>EMNLP</c:v>
                </c:pt>
                <c:pt idx="21">
                  <c:v>EMSE </c:v>
                </c:pt>
                <c:pt idx="22">
                  <c:v>EuroS&amp;P</c:v>
                </c:pt>
                <c:pt idx="23">
                  <c:v>Facct</c:v>
                </c:pt>
                <c:pt idx="24">
                  <c:v>FairWare</c:v>
                </c:pt>
                <c:pt idx="25">
                  <c:v>FASE</c:v>
                </c:pt>
                <c:pt idx="26">
                  <c:v>FATE</c:v>
                </c:pt>
                <c:pt idx="27">
                  <c:v>FSE</c:v>
                </c:pt>
                <c:pt idx="28">
                  <c:v>GECCO</c:v>
                </c:pt>
                <c:pt idx="29">
                  <c:v>HRDAG</c:v>
                </c:pt>
                <c:pt idx="30">
                  <c:v>HRLC</c:v>
                </c:pt>
                <c:pt idx="31">
                  <c:v>IBM_Journal_of_R_&amp;_D</c:v>
                </c:pt>
                <c:pt idx="32">
                  <c:v>ICCV</c:v>
                </c:pt>
                <c:pt idx="33">
                  <c:v>ICDM</c:v>
                </c:pt>
                <c:pt idx="34">
                  <c:v>ICEDT</c:v>
                </c:pt>
                <c:pt idx="35">
                  <c:v>ICIS</c:v>
                </c:pt>
                <c:pt idx="36">
                  <c:v>ICMD</c:v>
                </c:pt>
                <c:pt idx="37">
                  <c:v>ICML</c:v>
                </c:pt>
                <c:pt idx="38">
                  <c:v>ICSE</c:v>
                </c:pt>
                <c:pt idx="39">
                  <c:v>ICSE-C</c:v>
                </c:pt>
                <c:pt idx="40">
                  <c:v>IEEE_Software</c:v>
                </c:pt>
                <c:pt idx="41">
                  <c:v>IJCAI</c:v>
                </c:pt>
                <c:pt idx="42">
                  <c:v>Inf_Science</c:v>
                </c:pt>
                <c:pt idx="43">
                  <c:v>ISSTA</c:v>
                </c:pt>
                <c:pt idx="44">
                  <c:v>IWC</c:v>
                </c:pt>
                <c:pt idx="45">
                  <c:v>JDIQ</c:v>
                </c:pt>
                <c:pt idx="46">
                  <c:v>JOSS</c:v>
                </c:pt>
                <c:pt idx="47">
                  <c:v>JSS</c:v>
                </c:pt>
                <c:pt idx="48">
                  <c:v>KAIS</c:v>
                </c:pt>
                <c:pt idx="49">
                  <c:v>KDD</c:v>
                </c:pt>
                <c:pt idx="50">
                  <c:v>KDD_XAI</c:v>
                </c:pt>
                <c:pt idx="51">
                  <c:v>LAK</c:v>
                </c:pt>
                <c:pt idx="52">
                  <c:v>MS_Tech_Report</c:v>
                </c:pt>
                <c:pt idx="53">
                  <c:v>NeurIPS</c:v>
                </c:pt>
                <c:pt idx="54">
                  <c:v>OOPSLA</c:v>
                </c:pt>
                <c:pt idx="55">
                  <c:v>PMLR</c:v>
                </c:pt>
                <c:pt idx="56">
                  <c:v>RE</c:v>
                </c:pt>
                <c:pt idx="57">
                  <c:v>RecSys</c:v>
                </c:pt>
                <c:pt idx="58">
                  <c:v>Science</c:v>
                </c:pt>
                <c:pt idx="59">
                  <c:v>Scientific_data</c:v>
                </c:pt>
                <c:pt idx="60">
                  <c:v>SIGMOD_Record</c:v>
                </c:pt>
                <c:pt idx="61">
                  <c:v>SSRN</c:v>
                </c:pt>
                <c:pt idx="62">
                  <c:v>TrustCom</c:v>
                </c:pt>
                <c:pt idx="63">
                  <c:v>TSE</c:v>
                </c:pt>
                <c:pt idx="64">
                  <c:v>VAST</c:v>
                </c:pt>
                <c:pt idx="65">
                  <c:v>WWW</c:v>
                </c:pt>
              </c:strCache>
            </c:strRef>
          </c:cat>
          <c:val>
            <c:numRef>
              <c:f>Focused_Paper_Analysis!$B$216:$B$283</c:f>
              <c:numCache>
                <c:formatCode>General</c:formatCode>
                <c:ptCount val="68"/>
                <c:pt idx="0">
                  <c:v>3</c:v>
                </c:pt>
                <c:pt idx="1">
                  <c:v>5</c:v>
                </c:pt>
                <c:pt idx="2">
                  <c:v>5</c:v>
                </c:pt>
                <c:pt idx="3">
                  <c:v>1</c:v>
                </c:pt>
                <c:pt idx="4">
                  <c:v>11</c:v>
                </c:pt>
                <c:pt idx="5">
                  <c:v>2</c:v>
                </c:pt>
                <c:pt idx="6">
                  <c:v>1</c:v>
                </c:pt>
                <c:pt idx="7">
                  <c:v>1</c:v>
                </c:pt>
                <c:pt idx="8">
                  <c:v>2</c:v>
                </c:pt>
                <c:pt idx="9">
                  <c:v>1</c:v>
                </c:pt>
                <c:pt idx="10">
                  <c:v>1</c:v>
                </c:pt>
                <c:pt idx="11">
                  <c:v>1</c:v>
                </c:pt>
                <c:pt idx="12">
                  <c:v>3</c:v>
                </c:pt>
                <c:pt idx="13">
                  <c:v>1</c:v>
                </c:pt>
                <c:pt idx="14">
                  <c:v>2</c:v>
                </c:pt>
                <c:pt idx="15">
                  <c:v>1</c:v>
                </c:pt>
                <c:pt idx="16">
                  <c:v>2</c:v>
                </c:pt>
                <c:pt idx="17">
                  <c:v>1</c:v>
                </c:pt>
                <c:pt idx="18">
                  <c:v>1</c:v>
                </c:pt>
                <c:pt idx="19">
                  <c:v>3</c:v>
                </c:pt>
                <c:pt idx="20">
                  <c:v>1</c:v>
                </c:pt>
                <c:pt idx="21">
                  <c:v>1</c:v>
                </c:pt>
                <c:pt idx="22">
                  <c:v>1</c:v>
                </c:pt>
                <c:pt idx="23">
                  <c:v>16</c:v>
                </c:pt>
                <c:pt idx="24">
                  <c:v>3</c:v>
                </c:pt>
                <c:pt idx="25">
                  <c:v>1</c:v>
                </c:pt>
                <c:pt idx="26">
                  <c:v>5</c:v>
                </c:pt>
                <c:pt idx="27">
                  <c:v>12</c:v>
                </c:pt>
                <c:pt idx="28">
                  <c:v>1</c:v>
                </c:pt>
                <c:pt idx="29">
                  <c:v>1</c:v>
                </c:pt>
                <c:pt idx="30">
                  <c:v>1</c:v>
                </c:pt>
                <c:pt idx="31">
                  <c:v>3</c:v>
                </c:pt>
                <c:pt idx="32">
                  <c:v>1</c:v>
                </c:pt>
                <c:pt idx="33">
                  <c:v>4</c:v>
                </c:pt>
                <c:pt idx="34">
                  <c:v>1</c:v>
                </c:pt>
                <c:pt idx="35">
                  <c:v>1</c:v>
                </c:pt>
                <c:pt idx="36">
                  <c:v>2</c:v>
                </c:pt>
                <c:pt idx="37">
                  <c:v>2</c:v>
                </c:pt>
                <c:pt idx="38">
                  <c:v>10</c:v>
                </c:pt>
                <c:pt idx="39">
                  <c:v>1</c:v>
                </c:pt>
                <c:pt idx="40">
                  <c:v>2</c:v>
                </c:pt>
                <c:pt idx="41">
                  <c:v>1</c:v>
                </c:pt>
                <c:pt idx="42">
                  <c:v>1</c:v>
                </c:pt>
                <c:pt idx="43">
                  <c:v>1</c:v>
                </c:pt>
                <c:pt idx="44">
                  <c:v>1</c:v>
                </c:pt>
                <c:pt idx="45">
                  <c:v>1</c:v>
                </c:pt>
                <c:pt idx="46">
                  <c:v>1</c:v>
                </c:pt>
                <c:pt idx="47">
                  <c:v>2</c:v>
                </c:pt>
                <c:pt idx="48">
                  <c:v>1</c:v>
                </c:pt>
                <c:pt idx="49">
                  <c:v>4</c:v>
                </c:pt>
                <c:pt idx="50">
                  <c:v>1</c:v>
                </c:pt>
                <c:pt idx="51">
                  <c:v>1</c:v>
                </c:pt>
                <c:pt idx="52">
                  <c:v>1</c:v>
                </c:pt>
                <c:pt idx="53">
                  <c:v>8</c:v>
                </c:pt>
                <c:pt idx="54">
                  <c:v>4</c:v>
                </c:pt>
                <c:pt idx="55">
                  <c:v>3</c:v>
                </c:pt>
                <c:pt idx="56">
                  <c:v>1</c:v>
                </c:pt>
                <c:pt idx="57">
                  <c:v>1</c:v>
                </c:pt>
                <c:pt idx="58">
                  <c:v>1</c:v>
                </c:pt>
                <c:pt idx="59">
                  <c:v>0</c:v>
                </c:pt>
                <c:pt idx="60">
                  <c:v>1</c:v>
                </c:pt>
                <c:pt idx="61">
                  <c:v>2</c:v>
                </c:pt>
                <c:pt idx="62">
                  <c:v>1</c:v>
                </c:pt>
                <c:pt idx="63">
                  <c:v>4</c:v>
                </c:pt>
                <c:pt idx="64">
                  <c:v>1</c:v>
                </c:pt>
                <c:pt idx="65">
                  <c:v>4</c:v>
                </c:pt>
                <c:pt idx="66">
                  <c:v>0</c:v>
                </c:pt>
                <c:pt idx="67">
                  <c:v>0</c:v>
                </c:pt>
              </c:numCache>
            </c:numRef>
          </c:val>
          <c:extLst>
            <c:ext xmlns:c16="http://schemas.microsoft.com/office/drawing/2014/chart" uri="{C3380CC4-5D6E-409C-BE32-E72D297353CC}">
              <c16:uniqueId val="{00000088-7A45-C646-943B-73FAA7F8BE30}"/>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pieChart>
        <c:varyColors val="1"/>
        <c:ser>
          <c:idx val="0"/>
          <c:order val="0"/>
          <c:tx>
            <c:strRef>
              <c:f>Focused_Paper_Analysis!$B$215</c:f>
              <c:strCache>
                <c:ptCount val="1"/>
                <c:pt idx="0">
                  <c:v>#Publications</c:v>
                </c:pt>
              </c:strCache>
            </c:strRef>
          </c:tx>
          <c:dPt>
            <c:idx val="0"/>
            <c:bubble3D val="0"/>
            <c:spPr>
              <a:solidFill>
                <a:srgbClr val="4285F4"/>
              </a:solidFill>
            </c:spPr>
            <c:extLst>
              <c:ext xmlns:c16="http://schemas.microsoft.com/office/drawing/2014/chart" uri="{C3380CC4-5D6E-409C-BE32-E72D297353CC}">
                <c16:uniqueId val="{00000001-1D08-1640-9CD9-A09CF964C750}"/>
              </c:ext>
            </c:extLst>
          </c:dPt>
          <c:dPt>
            <c:idx val="1"/>
            <c:bubble3D val="0"/>
            <c:spPr>
              <a:solidFill>
                <a:srgbClr val="EA4335"/>
              </a:solidFill>
            </c:spPr>
            <c:extLst>
              <c:ext xmlns:c16="http://schemas.microsoft.com/office/drawing/2014/chart" uri="{C3380CC4-5D6E-409C-BE32-E72D297353CC}">
                <c16:uniqueId val="{00000003-1D08-1640-9CD9-A09CF964C750}"/>
              </c:ext>
            </c:extLst>
          </c:dPt>
          <c:dPt>
            <c:idx val="2"/>
            <c:bubble3D val="0"/>
            <c:spPr>
              <a:solidFill>
                <a:srgbClr val="FBBC04"/>
              </a:solidFill>
            </c:spPr>
            <c:extLst>
              <c:ext xmlns:c16="http://schemas.microsoft.com/office/drawing/2014/chart" uri="{C3380CC4-5D6E-409C-BE32-E72D297353CC}">
                <c16:uniqueId val="{00000005-1D08-1640-9CD9-A09CF964C750}"/>
              </c:ext>
            </c:extLst>
          </c:dPt>
          <c:dPt>
            <c:idx val="3"/>
            <c:bubble3D val="0"/>
            <c:spPr>
              <a:solidFill>
                <a:srgbClr val="34A853"/>
              </a:solidFill>
            </c:spPr>
            <c:extLst>
              <c:ext xmlns:c16="http://schemas.microsoft.com/office/drawing/2014/chart" uri="{C3380CC4-5D6E-409C-BE32-E72D297353CC}">
                <c16:uniqueId val="{00000007-1D08-1640-9CD9-A09CF964C750}"/>
              </c:ext>
            </c:extLst>
          </c:dPt>
          <c:dPt>
            <c:idx val="4"/>
            <c:bubble3D val="0"/>
            <c:spPr>
              <a:solidFill>
                <a:srgbClr val="FF6D01"/>
              </a:solidFill>
            </c:spPr>
            <c:extLst>
              <c:ext xmlns:c16="http://schemas.microsoft.com/office/drawing/2014/chart" uri="{C3380CC4-5D6E-409C-BE32-E72D297353CC}">
                <c16:uniqueId val="{00000009-1D08-1640-9CD9-A09CF964C750}"/>
              </c:ext>
            </c:extLst>
          </c:dPt>
          <c:dPt>
            <c:idx val="5"/>
            <c:bubble3D val="0"/>
            <c:spPr>
              <a:solidFill>
                <a:srgbClr val="46BDC6"/>
              </a:solidFill>
            </c:spPr>
            <c:extLst>
              <c:ext xmlns:c16="http://schemas.microsoft.com/office/drawing/2014/chart" uri="{C3380CC4-5D6E-409C-BE32-E72D297353CC}">
                <c16:uniqueId val="{0000000B-1D08-1640-9CD9-A09CF964C750}"/>
              </c:ext>
            </c:extLst>
          </c:dPt>
          <c:dPt>
            <c:idx val="6"/>
            <c:bubble3D val="0"/>
            <c:spPr>
              <a:solidFill>
                <a:srgbClr val="7BAAF7"/>
              </a:solidFill>
            </c:spPr>
            <c:extLst>
              <c:ext xmlns:c16="http://schemas.microsoft.com/office/drawing/2014/chart" uri="{C3380CC4-5D6E-409C-BE32-E72D297353CC}">
                <c16:uniqueId val="{0000000D-1D08-1640-9CD9-A09CF964C750}"/>
              </c:ext>
            </c:extLst>
          </c:dPt>
          <c:dPt>
            <c:idx val="7"/>
            <c:bubble3D val="0"/>
            <c:spPr>
              <a:solidFill>
                <a:srgbClr val="F07B72"/>
              </a:solidFill>
            </c:spPr>
            <c:extLst>
              <c:ext xmlns:c16="http://schemas.microsoft.com/office/drawing/2014/chart" uri="{C3380CC4-5D6E-409C-BE32-E72D297353CC}">
                <c16:uniqueId val="{0000000F-1D08-1640-9CD9-A09CF964C750}"/>
              </c:ext>
            </c:extLst>
          </c:dPt>
          <c:dPt>
            <c:idx val="8"/>
            <c:bubble3D val="0"/>
            <c:spPr>
              <a:solidFill>
                <a:srgbClr val="FCD04F"/>
              </a:solidFill>
            </c:spPr>
            <c:extLst>
              <c:ext xmlns:c16="http://schemas.microsoft.com/office/drawing/2014/chart" uri="{C3380CC4-5D6E-409C-BE32-E72D297353CC}">
                <c16:uniqueId val="{00000011-1D08-1640-9CD9-A09CF964C750}"/>
              </c:ext>
            </c:extLst>
          </c:dPt>
          <c:dPt>
            <c:idx val="9"/>
            <c:bubble3D val="0"/>
            <c:spPr>
              <a:solidFill>
                <a:srgbClr val="71C287"/>
              </a:solidFill>
            </c:spPr>
            <c:extLst>
              <c:ext xmlns:c16="http://schemas.microsoft.com/office/drawing/2014/chart" uri="{C3380CC4-5D6E-409C-BE32-E72D297353CC}">
                <c16:uniqueId val="{00000013-1D08-1640-9CD9-A09CF964C750}"/>
              </c:ext>
            </c:extLst>
          </c:dPt>
          <c:dPt>
            <c:idx val="10"/>
            <c:bubble3D val="0"/>
            <c:spPr>
              <a:solidFill>
                <a:srgbClr val="FF994D"/>
              </a:solidFill>
            </c:spPr>
            <c:extLst>
              <c:ext xmlns:c16="http://schemas.microsoft.com/office/drawing/2014/chart" uri="{C3380CC4-5D6E-409C-BE32-E72D297353CC}">
                <c16:uniqueId val="{00000015-1D08-1640-9CD9-A09CF964C750}"/>
              </c:ext>
            </c:extLst>
          </c:dPt>
          <c:dPt>
            <c:idx val="11"/>
            <c:bubble3D val="0"/>
            <c:spPr>
              <a:solidFill>
                <a:srgbClr val="7ED1D7"/>
              </a:solidFill>
            </c:spPr>
            <c:extLst>
              <c:ext xmlns:c16="http://schemas.microsoft.com/office/drawing/2014/chart" uri="{C3380CC4-5D6E-409C-BE32-E72D297353CC}">
                <c16:uniqueId val="{00000017-1D08-1640-9CD9-A09CF964C750}"/>
              </c:ext>
            </c:extLst>
          </c:dPt>
          <c:dPt>
            <c:idx val="12"/>
            <c:bubble3D val="0"/>
            <c:spPr>
              <a:solidFill>
                <a:srgbClr val="B3CEFB"/>
              </a:solidFill>
            </c:spPr>
            <c:extLst>
              <c:ext xmlns:c16="http://schemas.microsoft.com/office/drawing/2014/chart" uri="{C3380CC4-5D6E-409C-BE32-E72D297353CC}">
                <c16:uniqueId val="{00000019-1D08-1640-9CD9-A09CF964C750}"/>
              </c:ext>
            </c:extLst>
          </c:dPt>
          <c:dPt>
            <c:idx val="13"/>
            <c:bubble3D val="0"/>
            <c:spPr>
              <a:solidFill>
                <a:srgbClr val="F7B4AE"/>
              </a:solidFill>
            </c:spPr>
            <c:extLst>
              <c:ext xmlns:c16="http://schemas.microsoft.com/office/drawing/2014/chart" uri="{C3380CC4-5D6E-409C-BE32-E72D297353CC}">
                <c16:uniqueId val="{0000001B-1D08-1640-9CD9-A09CF964C750}"/>
              </c:ext>
            </c:extLst>
          </c:dPt>
          <c:dPt>
            <c:idx val="14"/>
            <c:bubble3D val="0"/>
            <c:spPr>
              <a:solidFill>
                <a:srgbClr val="FDE49B"/>
              </a:solidFill>
            </c:spPr>
            <c:extLst>
              <c:ext xmlns:c16="http://schemas.microsoft.com/office/drawing/2014/chart" uri="{C3380CC4-5D6E-409C-BE32-E72D297353CC}">
                <c16:uniqueId val="{0000001D-1D08-1640-9CD9-A09CF964C750}"/>
              </c:ext>
            </c:extLst>
          </c:dPt>
          <c:dPt>
            <c:idx val="15"/>
            <c:bubble3D val="0"/>
            <c:spPr>
              <a:solidFill>
                <a:srgbClr val="AEDCBA"/>
              </a:solidFill>
            </c:spPr>
            <c:extLst>
              <c:ext xmlns:c16="http://schemas.microsoft.com/office/drawing/2014/chart" uri="{C3380CC4-5D6E-409C-BE32-E72D297353CC}">
                <c16:uniqueId val="{0000001F-1D08-1640-9CD9-A09CF964C750}"/>
              </c:ext>
            </c:extLst>
          </c:dPt>
          <c:dPt>
            <c:idx val="16"/>
            <c:bubble3D val="0"/>
            <c:spPr>
              <a:solidFill>
                <a:srgbClr val="FFC599"/>
              </a:solidFill>
            </c:spPr>
            <c:extLst>
              <c:ext xmlns:c16="http://schemas.microsoft.com/office/drawing/2014/chart" uri="{C3380CC4-5D6E-409C-BE32-E72D297353CC}">
                <c16:uniqueId val="{00000021-1D08-1640-9CD9-A09CF964C750}"/>
              </c:ext>
            </c:extLst>
          </c:dPt>
          <c:dPt>
            <c:idx val="17"/>
            <c:bubble3D val="0"/>
            <c:spPr>
              <a:solidFill>
                <a:srgbClr val="B5E5E8"/>
              </a:solidFill>
            </c:spPr>
            <c:extLst>
              <c:ext xmlns:c16="http://schemas.microsoft.com/office/drawing/2014/chart" uri="{C3380CC4-5D6E-409C-BE32-E72D297353CC}">
                <c16:uniqueId val="{00000023-1D08-1640-9CD9-A09CF964C750}"/>
              </c:ext>
            </c:extLst>
          </c:dPt>
          <c:dPt>
            <c:idx val="18"/>
            <c:bubble3D val="0"/>
            <c:spPr>
              <a:solidFill>
                <a:srgbClr val="ECF3FE"/>
              </a:solidFill>
            </c:spPr>
            <c:extLst>
              <c:ext xmlns:c16="http://schemas.microsoft.com/office/drawing/2014/chart" uri="{C3380CC4-5D6E-409C-BE32-E72D297353CC}">
                <c16:uniqueId val="{00000025-1D08-1640-9CD9-A09CF964C750}"/>
              </c:ext>
            </c:extLst>
          </c:dPt>
          <c:dPt>
            <c:idx val="19"/>
            <c:bubble3D val="0"/>
            <c:spPr>
              <a:solidFill>
                <a:srgbClr val="FDECEB"/>
              </a:solidFill>
            </c:spPr>
            <c:extLst>
              <c:ext xmlns:c16="http://schemas.microsoft.com/office/drawing/2014/chart" uri="{C3380CC4-5D6E-409C-BE32-E72D297353CC}">
                <c16:uniqueId val="{00000027-1D08-1640-9CD9-A09CF964C750}"/>
              </c:ext>
            </c:extLst>
          </c:dPt>
          <c:dPt>
            <c:idx val="20"/>
            <c:bubble3D val="0"/>
            <c:spPr>
              <a:solidFill>
                <a:srgbClr val="FFF8E6"/>
              </a:solidFill>
            </c:spPr>
            <c:extLst>
              <c:ext xmlns:c16="http://schemas.microsoft.com/office/drawing/2014/chart" uri="{C3380CC4-5D6E-409C-BE32-E72D297353CC}">
                <c16:uniqueId val="{00000029-1D08-1640-9CD9-A09CF964C750}"/>
              </c:ext>
            </c:extLst>
          </c:dPt>
          <c:dPt>
            <c:idx val="21"/>
            <c:bubble3D val="0"/>
            <c:spPr>
              <a:solidFill>
                <a:srgbClr val="EBF6EE"/>
              </a:solidFill>
            </c:spPr>
            <c:extLst>
              <c:ext xmlns:c16="http://schemas.microsoft.com/office/drawing/2014/chart" uri="{C3380CC4-5D6E-409C-BE32-E72D297353CC}">
                <c16:uniqueId val="{0000002B-1D08-1640-9CD9-A09CF964C750}"/>
              </c:ext>
            </c:extLst>
          </c:dPt>
          <c:dPt>
            <c:idx val="22"/>
            <c:bubble3D val="0"/>
            <c:spPr>
              <a:solidFill>
                <a:srgbClr val="FFF0E6"/>
              </a:solidFill>
            </c:spPr>
            <c:extLst>
              <c:ext xmlns:c16="http://schemas.microsoft.com/office/drawing/2014/chart" uri="{C3380CC4-5D6E-409C-BE32-E72D297353CC}">
                <c16:uniqueId val="{0000002D-1D08-1640-9CD9-A09CF964C750}"/>
              </c:ext>
            </c:extLst>
          </c:dPt>
          <c:dPt>
            <c:idx val="23"/>
            <c:bubble3D val="0"/>
            <c:spPr>
              <a:solidFill>
                <a:srgbClr val="EDF8F9"/>
              </a:solidFill>
            </c:spPr>
            <c:extLst>
              <c:ext xmlns:c16="http://schemas.microsoft.com/office/drawing/2014/chart" uri="{C3380CC4-5D6E-409C-BE32-E72D297353CC}">
                <c16:uniqueId val="{0000002F-1D08-1640-9CD9-A09CF964C750}"/>
              </c:ext>
            </c:extLst>
          </c:dPt>
          <c:dPt>
            <c:idx val="24"/>
            <c:bubble3D val="0"/>
            <c:spPr>
              <a:solidFill>
                <a:srgbClr val="251701"/>
              </a:solidFill>
            </c:spPr>
            <c:extLst>
              <c:ext xmlns:c16="http://schemas.microsoft.com/office/drawing/2014/chart" uri="{C3380CC4-5D6E-409C-BE32-E72D297353CC}">
                <c16:uniqueId val="{00000031-1D08-1640-9CD9-A09CF964C750}"/>
              </c:ext>
            </c:extLst>
          </c:dPt>
          <c:dPt>
            <c:idx val="25"/>
            <c:bubble3D val="0"/>
            <c:spPr>
              <a:solidFill>
                <a:srgbClr val="032527"/>
              </a:solidFill>
            </c:spPr>
            <c:extLst>
              <c:ext xmlns:c16="http://schemas.microsoft.com/office/drawing/2014/chart" uri="{C3380CC4-5D6E-409C-BE32-E72D297353CC}">
                <c16:uniqueId val="{00000033-1D08-1640-9CD9-A09CF964C750}"/>
              </c:ext>
            </c:extLst>
          </c:dPt>
          <c:dPt>
            <c:idx val="26"/>
            <c:bubble3D val="0"/>
            <c:spPr>
              <a:solidFill>
                <a:srgbClr val="010D31"/>
              </a:solidFill>
            </c:spPr>
            <c:extLst>
              <c:ext xmlns:c16="http://schemas.microsoft.com/office/drawing/2014/chart" uri="{C3380CC4-5D6E-409C-BE32-E72D297353CC}">
                <c16:uniqueId val="{00000035-1D08-1640-9CD9-A09CF964C750}"/>
              </c:ext>
            </c:extLst>
          </c:dPt>
          <c:dPt>
            <c:idx val="27"/>
            <c:bubble3D val="0"/>
            <c:spPr>
              <a:solidFill>
                <a:srgbClr val="291121"/>
              </a:solidFill>
            </c:spPr>
            <c:extLst>
              <c:ext xmlns:c16="http://schemas.microsoft.com/office/drawing/2014/chart" uri="{C3380CC4-5D6E-409C-BE32-E72D297353CC}">
                <c16:uniqueId val="{00000037-1D08-1640-9CD9-A09CF964C750}"/>
              </c:ext>
            </c:extLst>
          </c:dPt>
          <c:dPt>
            <c:idx val="28"/>
            <c:bubble3D val="0"/>
            <c:spPr>
              <a:solidFill>
                <a:srgbClr val="FF1D32"/>
              </a:solidFill>
            </c:spPr>
            <c:extLst>
              <c:ext xmlns:c16="http://schemas.microsoft.com/office/drawing/2014/chart" uri="{C3380CC4-5D6E-409C-BE32-E72D297353CC}">
                <c16:uniqueId val="{00000039-1D08-1640-9CD9-A09CF964C750}"/>
              </c:ext>
            </c:extLst>
          </c:dPt>
          <c:dPt>
            <c:idx val="29"/>
            <c:bubble3D val="0"/>
            <c:spPr>
              <a:solidFill>
                <a:srgbClr val="250D0A"/>
              </a:solidFill>
            </c:spPr>
            <c:extLst>
              <c:ext xmlns:c16="http://schemas.microsoft.com/office/drawing/2014/chart" uri="{C3380CC4-5D6E-409C-BE32-E72D297353CC}">
                <c16:uniqueId val="{0000003B-1D08-1640-9CD9-A09CF964C750}"/>
              </c:ext>
            </c:extLst>
          </c:dPt>
          <c:dPt>
            <c:idx val="30"/>
            <c:bubble3D val="0"/>
            <c:spPr>
              <a:solidFill>
                <a:srgbClr val="5F3D05"/>
              </a:solidFill>
            </c:spPr>
            <c:extLst>
              <c:ext xmlns:c16="http://schemas.microsoft.com/office/drawing/2014/chart" uri="{C3380CC4-5D6E-409C-BE32-E72D297353CC}">
                <c16:uniqueId val="{0000003D-1D08-1640-9CD9-A09CF964C750}"/>
              </c:ext>
            </c:extLst>
          </c:dPt>
          <c:dPt>
            <c:idx val="31"/>
            <c:bubble3D val="0"/>
            <c:spPr>
              <a:solidFill>
                <a:srgbClr val="0B5D64"/>
              </a:solidFill>
            </c:spPr>
            <c:extLst>
              <c:ext xmlns:c16="http://schemas.microsoft.com/office/drawing/2014/chart" uri="{C3380CC4-5D6E-409C-BE32-E72D297353CC}">
                <c16:uniqueId val="{0000003F-1D08-1640-9CD9-A09CF964C750}"/>
              </c:ext>
            </c:extLst>
          </c:dPt>
          <c:dPt>
            <c:idx val="32"/>
            <c:bubble3D val="0"/>
            <c:spPr>
              <a:solidFill>
                <a:srgbClr val="01217D"/>
              </a:solidFill>
            </c:spPr>
            <c:extLst>
              <c:ext xmlns:c16="http://schemas.microsoft.com/office/drawing/2014/chart" uri="{C3380CC4-5D6E-409C-BE32-E72D297353CC}">
                <c16:uniqueId val="{00000041-1D08-1640-9CD9-A09CF964C750}"/>
              </c:ext>
            </c:extLst>
          </c:dPt>
          <c:dPt>
            <c:idx val="33"/>
            <c:bubble3D val="0"/>
            <c:spPr>
              <a:solidFill>
                <a:srgbClr val="652B55"/>
              </a:solidFill>
            </c:spPr>
            <c:extLst>
              <c:ext xmlns:c16="http://schemas.microsoft.com/office/drawing/2014/chart" uri="{C3380CC4-5D6E-409C-BE32-E72D297353CC}">
                <c16:uniqueId val="{00000043-1D08-1640-9CD9-A09CF964C750}"/>
              </c:ext>
            </c:extLst>
          </c:dPt>
          <c:dPt>
            <c:idx val="34"/>
            <c:bubble3D val="0"/>
            <c:spPr>
              <a:solidFill>
                <a:srgbClr val="FF497E"/>
              </a:solidFill>
            </c:spPr>
            <c:extLst>
              <c:ext xmlns:c16="http://schemas.microsoft.com/office/drawing/2014/chart" uri="{C3380CC4-5D6E-409C-BE32-E72D297353CC}">
                <c16:uniqueId val="{00000045-1D08-1640-9CD9-A09CF964C750}"/>
              </c:ext>
            </c:extLst>
          </c:dPt>
          <c:dPt>
            <c:idx val="35"/>
            <c:bubble3D val="0"/>
            <c:spPr>
              <a:solidFill>
                <a:srgbClr val="5D211C"/>
              </a:solidFill>
            </c:spPr>
            <c:extLst>
              <c:ext xmlns:c16="http://schemas.microsoft.com/office/drawing/2014/chart" uri="{C3380CC4-5D6E-409C-BE32-E72D297353CC}">
                <c16:uniqueId val="{00000047-1D08-1640-9CD9-A09CF964C750}"/>
              </c:ext>
            </c:extLst>
          </c:dPt>
          <c:dPt>
            <c:idx val="36"/>
            <c:bubble3D val="0"/>
            <c:spPr>
              <a:solidFill>
                <a:srgbClr val="976108"/>
              </a:solidFill>
            </c:spPr>
            <c:extLst>
              <c:ext xmlns:c16="http://schemas.microsoft.com/office/drawing/2014/chart" uri="{C3380CC4-5D6E-409C-BE32-E72D297353CC}">
                <c16:uniqueId val="{00000049-1D08-1640-9CD9-A09CF964C750}"/>
              </c:ext>
            </c:extLst>
          </c:dPt>
          <c:dPt>
            <c:idx val="37"/>
            <c:bubble3D val="0"/>
            <c:spPr>
              <a:solidFill>
                <a:srgbClr val="1195A1"/>
              </a:solidFill>
            </c:spPr>
            <c:extLst>
              <c:ext xmlns:c16="http://schemas.microsoft.com/office/drawing/2014/chart" uri="{C3380CC4-5D6E-409C-BE32-E72D297353CC}">
                <c16:uniqueId val="{0000004B-1D08-1640-9CD9-A09CF964C750}"/>
              </c:ext>
            </c:extLst>
          </c:dPt>
          <c:dPt>
            <c:idx val="38"/>
            <c:bubble3D val="0"/>
            <c:spPr>
              <a:solidFill>
                <a:srgbClr val="0335C8"/>
              </a:solidFill>
            </c:spPr>
            <c:extLst>
              <c:ext xmlns:c16="http://schemas.microsoft.com/office/drawing/2014/chart" uri="{C3380CC4-5D6E-409C-BE32-E72D297353CC}">
                <c16:uniqueId val="{0000004D-1D08-1640-9CD9-A09CF964C750}"/>
              </c:ext>
            </c:extLst>
          </c:dPt>
          <c:dPt>
            <c:idx val="39"/>
            <c:bubble3D val="0"/>
            <c:spPr>
              <a:solidFill>
                <a:srgbClr val="A14589"/>
              </a:solidFill>
            </c:spPr>
            <c:extLst>
              <c:ext xmlns:c16="http://schemas.microsoft.com/office/drawing/2014/chart" uri="{C3380CC4-5D6E-409C-BE32-E72D297353CC}">
                <c16:uniqueId val="{0000004F-1D08-1640-9CD9-A09CF964C750}"/>
              </c:ext>
            </c:extLst>
          </c:dPt>
          <c:dPt>
            <c:idx val="40"/>
            <c:bubble3D val="0"/>
            <c:spPr>
              <a:solidFill>
                <a:srgbClr val="FF75CA"/>
              </a:solidFill>
            </c:spPr>
            <c:extLst>
              <c:ext xmlns:c16="http://schemas.microsoft.com/office/drawing/2014/chart" uri="{C3380CC4-5D6E-409C-BE32-E72D297353CC}">
                <c16:uniqueId val="{00000051-1D08-1640-9CD9-A09CF964C750}"/>
              </c:ext>
            </c:extLst>
          </c:dPt>
          <c:dPt>
            <c:idx val="41"/>
            <c:bubble3D val="0"/>
            <c:spPr>
              <a:solidFill>
                <a:srgbClr val="93352D"/>
              </a:solidFill>
            </c:spPr>
            <c:extLst>
              <c:ext xmlns:c16="http://schemas.microsoft.com/office/drawing/2014/chart" uri="{C3380CC4-5D6E-409C-BE32-E72D297353CC}">
                <c16:uniqueId val="{00000053-1D08-1640-9CD9-A09CF964C750}"/>
              </c:ext>
            </c:extLst>
          </c:dPt>
          <c:dPt>
            <c:idx val="42"/>
            <c:bubble3D val="0"/>
            <c:spPr>
              <a:solidFill>
                <a:srgbClr val="CF850B"/>
              </a:solidFill>
            </c:spPr>
            <c:extLst>
              <c:ext xmlns:c16="http://schemas.microsoft.com/office/drawing/2014/chart" uri="{C3380CC4-5D6E-409C-BE32-E72D297353CC}">
                <c16:uniqueId val="{00000055-1D08-1640-9CD9-A09CF964C750}"/>
              </c:ext>
            </c:extLst>
          </c:dPt>
          <c:dPt>
            <c:idx val="43"/>
            <c:bubble3D val="0"/>
            <c:spPr>
              <a:solidFill>
                <a:srgbClr val="17CFDD"/>
              </a:solidFill>
            </c:spPr>
            <c:extLst>
              <c:ext xmlns:c16="http://schemas.microsoft.com/office/drawing/2014/chart" uri="{C3380CC4-5D6E-409C-BE32-E72D297353CC}">
                <c16:uniqueId val="{00000057-1D08-1640-9CD9-A09CF964C750}"/>
              </c:ext>
            </c:extLst>
          </c:dPt>
          <c:dPt>
            <c:idx val="44"/>
            <c:bubble3D val="0"/>
            <c:spPr>
              <a:solidFill>
                <a:srgbClr val="034B13"/>
              </a:solidFill>
            </c:spPr>
            <c:extLst>
              <c:ext xmlns:c16="http://schemas.microsoft.com/office/drawing/2014/chart" uri="{C3380CC4-5D6E-409C-BE32-E72D297353CC}">
                <c16:uniqueId val="{00000059-1D08-1640-9CD9-A09CF964C750}"/>
              </c:ext>
            </c:extLst>
          </c:dPt>
          <c:dPt>
            <c:idx val="45"/>
            <c:bubble3D val="0"/>
            <c:spPr>
              <a:solidFill>
                <a:srgbClr val="DF5FBC"/>
              </a:solidFill>
            </c:spPr>
            <c:extLst>
              <c:ext xmlns:c16="http://schemas.microsoft.com/office/drawing/2014/chart" uri="{C3380CC4-5D6E-409C-BE32-E72D297353CC}">
                <c16:uniqueId val="{0000005B-1D08-1640-9CD9-A09CF964C750}"/>
              </c:ext>
            </c:extLst>
          </c:dPt>
          <c:dPt>
            <c:idx val="46"/>
            <c:bubble3D val="0"/>
            <c:spPr>
              <a:solidFill>
                <a:srgbClr val="FFA216"/>
              </a:solidFill>
            </c:spPr>
            <c:extLst>
              <c:ext xmlns:c16="http://schemas.microsoft.com/office/drawing/2014/chart" uri="{C3380CC4-5D6E-409C-BE32-E72D297353CC}">
                <c16:uniqueId val="{0000005D-1D08-1640-9CD9-A09CF964C750}"/>
              </c:ext>
            </c:extLst>
          </c:dPt>
          <c:dPt>
            <c:idx val="47"/>
            <c:bubble3D val="0"/>
            <c:spPr>
              <a:solidFill>
                <a:srgbClr val="CB493E"/>
              </a:solidFill>
            </c:spPr>
            <c:extLst>
              <c:ext xmlns:c16="http://schemas.microsoft.com/office/drawing/2014/chart" uri="{C3380CC4-5D6E-409C-BE32-E72D297353CC}">
                <c16:uniqueId val="{0000005F-1D08-1640-9CD9-A09CF964C750}"/>
              </c:ext>
            </c:extLst>
          </c:dPt>
          <c:dPt>
            <c:idx val="48"/>
            <c:bubble3D val="0"/>
            <c:spPr>
              <a:solidFill>
                <a:srgbClr val="09AB0E"/>
              </a:solidFill>
            </c:spPr>
            <c:extLst>
              <c:ext xmlns:c16="http://schemas.microsoft.com/office/drawing/2014/chart" uri="{C3380CC4-5D6E-409C-BE32-E72D297353CC}">
                <c16:uniqueId val="{00000061-1D08-1640-9CD9-A09CF964C750}"/>
              </c:ext>
            </c:extLst>
          </c:dPt>
          <c:dPt>
            <c:idx val="49"/>
            <c:bubble3D val="0"/>
            <c:spPr>
              <a:solidFill>
                <a:srgbClr val="1E061A"/>
              </a:solidFill>
            </c:spPr>
            <c:extLst>
              <c:ext xmlns:c16="http://schemas.microsoft.com/office/drawing/2014/chart" uri="{C3380CC4-5D6E-409C-BE32-E72D297353CC}">
                <c16:uniqueId val="{00000063-1D08-1640-9CD9-A09CF964C750}"/>
              </c:ext>
            </c:extLst>
          </c:dPt>
          <c:dPt>
            <c:idx val="50"/>
            <c:bubble3D val="0"/>
            <c:spPr>
              <a:solidFill>
                <a:srgbClr val="055F5E"/>
              </a:solidFill>
            </c:spPr>
            <c:extLst>
              <c:ext xmlns:c16="http://schemas.microsoft.com/office/drawing/2014/chart" uri="{C3380CC4-5D6E-409C-BE32-E72D297353CC}">
                <c16:uniqueId val="{00000065-1D08-1640-9CD9-A09CF964C750}"/>
              </c:ext>
            </c:extLst>
          </c:dPt>
          <c:dPt>
            <c:idx val="51"/>
            <c:bubble3D val="0"/>
            <c:spPr>
              <a:solidFill>
                <a:srgbClr val="1B79F0"/>
              </a:solidFill>
            </c:spPr>
            <c:extLst>
              <c:ext xmlns:c16="http://schemas.microsoft.com/office/drawing/2014/chart" uri="{C3380CC4-5D6E-409C-BE32-E72D297353CC}">
                <c16:uniqueId val="{00000067-1D08-1640-9CD9-A09CF964C750}"/>
              </c:ext>
            </c:extLst>
          </c:dPt>
          <c:dPt>
            <c:idx val="52"/>
            <c:bubble3D val="0"/>
            <c:spPr>
              <a:solidFill>
                <a:srgbClr val="FFCB63"/>
              </a:solidFill>
            </c:spPr>
            <c:extLst>
              <c:ext xmlns:c16="http://schemas.microsoft.com/office/drawing/2014/chart" uri="{C3380CC4-5D6E-409C-BE32-E72D297353CC}">
                <c16:uniqueId val="{00000069-1D08-1640-9CD9-A09CF964C750}"/>
              </c:ext>
            </c:extLst>
          </c:dPt>
          <c:dPt>
            <c:idx val="53"/>
            <c:bubble3D val="0"/>
            <c:spPr>
              <a:solidFill>
                <a:srgbClr val="035B4F"/>
              </a:solidFill>
            </c:spPr>
            <c:extLst>
              <c:ext xmlns:c16="http://schemas.microsoft.com/office/drawing/2014/chart" uri="{C3380CC4-5D6E-409C-BE32-E72D297353CC}">
                <c16:uniqueId val="{0000006B-1D08-1640-9CD9-A09CF964C750}"/>
              </c:ext>
            </c:extLst>
          </c:dPt>
          <c:dPt>
            <c:idx val="54"/>
            <c:bubble3D val="0"/>
            <c:spPr>
              <a:solidFill>
                <a:srgbClr val="41CF12"/>
              </a:solidFill>
            </c:spPr>
            <c:extLst>
              <c:ext xmlns:c16="http://schemas.microsoft.com/office/drawing/2014/chart" uri="{C3380CC4-5D6E-409C-BE32-E72D297353CC}">
                <c16:uniqueId val="{0000006D-1D08-1640-9CD9-A09CF964C750}"/>
              </c:ext>
            </c:extLst>
          </c:dPt>
          <c:dPt>
            <c:idx val="55"/>
            <c:bubble3D val="0"/>
            <c:spPr>
              <a:solidFill>
                <a:srgbClr val="233F56"/>
              </a:solidFill>
            </c:spPr>
            <c:extLst>
              <c:ext xmlns:c16="http://schemas.microsoft.com/office/drawing/2014/chart" uri="{C3380CC4-5D6E-409C-BE32-E72D297353CC}">
                <c16:uniqueId val="{0000006F-1D08-1640-9CD9-A09CF964C750}"/>
              </c:ext>
            </c:extLst>
          </c:dPt>
          <c:dPt>
            <c:idx val="56"/>
            <c:bubble3D val="0"/>
            <c:spPr>
              <a:solidFill>
                <a:srgbClr val="0773AA"/>
              </a:solidFill>
            </c:spPr>
            <c:extLst>
              <c:ext xmlns:c16="http://schemas.microsoft.com/office/drawing/2014/chart" uri="{C3380CC4-5D6E-409C-BE32-E72D297353CC}">
                <c16:uniqueId val="{00000071-1D08-1640-9CD9-A09CF964C750}"/>
              </c:ext>
            </c:extLst>
          </c:dPt>
          <c:dPt>
            <c:idx val="57"/>
            <c:bubble3D val="0"/>
            <c:spPr>
              <a:solidFill>
                <a:srgbClr val="599323"/>
              </a:solidFill>
            </c:spPr>
            <c:extLst>
              <c:ext xmlns:c16="http://schemas.microsoft.com/office/drawing/2014/chart" uri="{C3380CC4-5D6E-409C-BE32-E72D297353CC}">
                <c16:uniqueId val="{00000073-1D08-1640-9CD9-A09CF964C750}"/>
              </c:ext>
            </c:extLst>
          </c:dPt>
          <c:dPt>
            <c:idx val="58"/>
            <c:bubble3D val="0"/>
            <c:spPr>
              <a:solidFill>
                <a:srgbClr val="FFF7AF"/>
              </a:solidFill>
            </c:spPr>
            <c:extLst>
              <c:ext xmlns:c16="http://schemas.microsoft.com/office/drawing/2014/chart" uri="{C3380CC4-5D6E-409C-BE32-E72D297353CC}">
                <c16:uniqueId val="{00000075-1D08-1640-9CD9-A09CF964C750}"/>
              </c:ext>
            </c:extLst>
          </c:dPt>
          <c:dPt>
            <c:idx val="59"/>
            <c:bubble3D val="0"/>
            <c:spPr>
              <a:solidFill>
                <a:srgbClr val="3B6F60"/>
              </a:solidFill>
            </c:spPr>
            <c:extLst>
              <c:ext xmlns:c16="http://schemas.microsoft.com/office/drawing/2014/chart" uri="{C3380CC4-5D6E-409C-BE32-E72D297353CC}">
                <c16:uniqueId val="{00000077-1D08-1640-9CD9-A09CF964C750}"/>
              </c:ext>
            </c:extLst>
          </c:dPt>
          <c:dPt>
            <c:idx val="60"/>
            <c:bubble3D val="0"/>
            <c:spPr>
              <a:solidFill>
                <a:srgbClr val="79F315"/>
              </a:solidFill>
            </c:spPr>
            <c:extLst>
              <c:ext xmlns:c16="http://schemas.microsoft.com/office/drawing/2014/chart" uri="{C3380CC4-5D6E-409C-BE32-E72D297353CC}">
                <c16:uniqueId val="{00000079-1D08-1640-9CD9-A09CF964C750}"/>
              </c:ext>
            </c:extLst>
          </c:dPt>
          <c:dPt>
            <c:idx val="61"/>
            <c:bubble3D val="0"/>
            <c:spPr>
              <a:solidFill>
                <a:srgbClr val="2B7793"/>
              </a:solidFill>
            </c:spPr>
            <c:extLst>
              <c:ext xmlns:c16="http://schemas.microsoft.com/office/drawing/2014/chart" uri="{C3380CC4-5D6E-409C-BE32-E72D297353CC}">
                <c16:uniqueId val="{0000007B-1D08-1640-9CD9-A09CF964C750}"/>
              </c:ext>
            </c:extLst>
          </c:dPt>
          <c:dPt>
            <c:idx val="62"/>
            <c:bubble3D val="0"/>
            <c:spPr>
              <a:solidFill>
                <a:srgbClr val="0787F5"/>
              </a:solidFill>
            </c:spPr>
            <c:extLst>
              <c:ext xmlns:c16="http://schemas.microsoft.com/office/drawing/2014/chart" uri="{C3380CC4-5D6E-409C-BE32-E72D297353CC}">
                <c16:uniqueId val="{0000007D-1D08-1640-9CD9-A09CF964C750}"/>
              </c:ext>
            </c:extLst>
          </c:dPt>
          <c:dPt>
            <c:idx val="63"/>
            <c:bubble3D val="0"/>
            <c:spPr>
              <a:solidFill>
                <a:srgbClr val="95AF57"/>
              </a:solidFill>
            </c:spPr>
            <c:extLst>
              <c:ext xmlns:c16="http://schemas.microsoft.com/office/drawing/2014/chart" uri="{C3380CC4-5D6E-409C-BE32-E72D297353CC}">
                <c16:uniqueId val="{0000007F-1D08-1640-9CD9-A09CF964C750}"/>
              </c:ext>
            </c:extLst>
          </c:dPt>
          <c:cat>
            <c:strRef>
              <c:f>Focused_Paper_Analysis!$A$216:$A$279</c:f>
              <c:strCache>
                <c:ptCount val="64"/>
                <c:pt idx="0">
                  <c:v>AAAI</c:v>
                </c:pt>
                <c:pt idx="1">
                  <c:v>AAAI_AIES</c:v>
                </c:pt>
                <c:pt idx="2">
                  <c:v>ACL</c:v>
                </c:pt>
                <c:pt idx="3">
                  <c:v>AISTATS</c:v>
                </c:pt>
                <c:pt idx="4">
                  <c:v>arXiv</c:v>
                </c:pt>
                <c:pt idx="5">
                  <c:v>ASE</c:v>
                </c:pt>
                <c:pt idx="6">
                  <c:v>Big Data</c:v>
                </c:pt>
                <c:pt idx="7">
                  <c:v>BSDUC</c:v>
                </c:pt>
                <c:pt idx="8">
                  <c:v>CACM</c:v>
                </c:pt>
                <c:pt idx="9">
                  <c:v>CAV</c:v>
                </c:pt>
                <c:pt idx="10">
                  <c:v>CCCT</c:v>
                </c:pt>
                <c:pt idx="11">
                  <c:v>CEUR_Workshop</c:v>
                </c:pt>
                <c:pt idx="12">
                  <c:v>CHI</c:v>
                </c:pt>
                <c:pt idx="13">
                  <c:v>CSUR</c:v>
                </c:pt>
                <c:pt idx="14">
                  <c:v>CVPR</c:v>
                </c:pt>
                <c:pt idx="15">
                  <c:v>DGRP</c:v>
                </c:pt>
                <c:pt idx="16">
                  <c:v>DMKD</c:v>
                </c:pt>
                <c:pt idx="17">
                  <c:v>ECCV_Workshops</c:v>
                </c:pt>
                <c:pt idx="18">
                  <c:v>ECML_PKDD</c:v>
                </c:pt>
                <c:pt idx="19">
                  <c:v>EDBT</c:v>
                </c:pt>
                <c:pt idx="20">
                  <c:v>EMNLP</c:v>
                </c:pt>
                <c:pt idx="21">
                  <c:v>EMSE </c:v>
                </c:pt>
                <c:pt idx="22">
                  <c:v>EuroS&amp;P</c:v>
                </c:pt>
                <c:pt idx="23">
                  <c:v>Facct</c:v>
                </c:pt>
                <c:pt idx="24">
                  <c:v>FairWare</c:v>
                </c:pt>
                <c:pt idx="25">
                  <c:v>FASE</c:v>
                </c:pt>
                <c:pt idx="26">
                  <c:v>FATE</c:v>
                </c:pt>
                <c:pt idx="27">
                  <c:v>FSE</c:v>
                </c:pt>
                <c:pt idx="28">
                  <c:v>GECCO</c:v>
                </c:pt>
                <c:pt idx="29">
                  <c:v>HRDAG</c:v>
                </c:pt>
                <c:pt idx="30">
                  <c:v>HRLC</c:v>
                </c:pt>
                <c:pt idx="31">
                  <c:v>IBM_Journal_of_R_&amp;_D</c:v>
                </c:pt>
                <c:pt idx="32">
                  <c:v>ICCV</c:v>
                </c:pt>
                <c:pt idx="33">
                  <c:v>ICDM</c:v>
                </c:pt>
                <c:pt idx="34">
                  <c:v>ICEDT</c:v>
                </c:pt>
                <c:pt idx="35">
                  <c:v>ICIS</c:v>
                </c:pt>
                <c:pt idx="36">
                  <c:v>ICMD</c:v>
                </c:pt>
                <c:pt idx="37">
                  <c:v>ICML</c:v>
                </c:pt>
                <c:pt idx="38">
                  <c:v>ICSE</c:v>
                </c:pt>
                <c:pt idx="39">
                  <c:v>ICSE-C</c:v>
                </c:pt>
                <c:pt idx="40">
                  <c:v>IEEE_Software</c:v>
                </c:pt>
                <c:pt idx="41">
                  <c:v>IJCAI</c:v>
                </c:pt>
                <c:pt idx="42">
                  <c:v>Inf_Science</c:v>
                </c:pt>
                <c:pt idx="43">
                  <c:v>ISSTA</c:v>
                </c:pt>
                <c:pt idx="44">
                  <c:v>IWC</c:v>
                </c:pt>
                <c:pt idx="45">
                  <c:v>JDIQ</c:v>
                </c:pt>
                <c:pt idx="46">
                  <c:v>JOSS</c:v>
                </c:pt>
                <c:pt idx="47">
                  <c:v>JSS</c:v>
                </c:pt>
                <c:pt idx="48">
                  <c:v>KAIS</c:v>
                </c:pt>
                <c:pt idx="49">
                  <c:v>KDD</c:v>
                </c:pt>
                <c:pt idx="50">
                  <c:v>KDD_XAI</c:v>
                </c:pt>
                <c:pt idx="51">
                  <c:v>LAK</c:v>
                </c:pt>
                <c:pt idx="52">
                  <c:v>MS_Tech_Report</c:v>
                </c:pt>
                <c:pt idx="53">
                  <c:v>NeurIPS</c:v>
                </c:pt>
                <c:pt idx="54">
                  <c:v>OOPSLA</c:v>
                </c:pt>
                <c:pt idx="55">
                  <c:v>PMLR</c:v>
                </c:pt>
                <c:pt idx="56">
                  <c:v>RE</c:v>
                </c:pt>
                <c:pt idx="57">
                  <c:v>RecSys</c:v>
                </c:pt>
                <c:pt idx="58">
                  <c:v>Science</c:v>
                </c:pt>
                <c:pt idx="59">
                  <c:v>Scientific_data</c:v>
                </c:pt>
                <c:pt idx="60">
                  <c:v>SIGMOD_Record</c:v>
                </c:pt>
                <c:pt idx="61">
                  <c:v>SSRN</c:v>
                </c:pt>
                <c:pt idx="62">
                  <c:v>TrustCom</c:v>
                </c:pt>
                <c:pt idx="63">
                  <c:v>TSE</c:v>
                </c:pt>
              </c:strCache>
            </c:strRef>
          </c:cat>
          <c:val>
            <c:numRef>
              <c:f>Focused_Paper_Analysis!$B$216:$B$279</c:f>
              <c:numCache>
                <c:formatCode>General</c:formatCode>
                <c:ptCount val="64"/>
                <c:pt idx="0">
                  <c:v>3</c:v>
                </c:pt>
                <c:pt idx="1">
                  <c:v>5</c:v>
                </c:pt>
                <c:pt idx="2">
                  <c:v>5</c:v>
                </c:pt>
                <c:pt idx="3">
                  <c:v>1</c:v>
                </c:pt>
                <c:pt idx="4">
                  <c:v>11</c:v>
                </c:pt>
                <c:pt idx="5">
                  <c:v>2</c:v>
                </c:pt>
                <c:pt idx="6">
                  <c:v>1</c:v>
                </c:pt>
                <c:pt idx="7">
                  <c:v>1</c:v>
                </c:pt>
                <c:pt idx="8">
                  <c:v>2</c:v>
                </c:pt>
                <c:pt idx="9">
                  <c:v>1</c:v>
                </c:pt>
                <c:pt idx="10">
                  <c:v>1</c:v>
                </c:pt>
                <c:pt idx="11">
                  <c:v>1</c:v>
                </c:pt>
                <c:pt idx="12">
                  <c:v>3</c:v>
                </c:pt>
                <c:pt idx="13">
                  <c:v>1</c:v>
                </c:pt>
                <c:pt idx="14">
                  <c:v>2</c:v>
                </c:pt>
                <c:pt idx="15">
                  <c:v>1</c:v>
                </c:pt>
                <c:pt idx="16">
                  <c:v>2</c:v>
                </c:pt>
                <c:pt idx="17">
                  <c:v>1</c:v>
                </c:pt>
                <c:pt idx="18">
                  <c:v>1</c:v>
                </c:pt>
                <c:pt idx="19">
                  <c:v>3</c:v>
                </c:pt>
                <c:pt idx="20">
                  <c:v>1</c:v>
                </c:pt>
                <c:pt idx="21">
                  <c:v>1</c:v>
                </c:pt>
                <c:pt idx="22">
                  <c:v>1</c:v>
                </c:pt>
                <c:pt idx="23">
                  <c:v>16</c:v>
                </c:pt>
                <c:pt idx="24">
                  <c:v>3</c:v>
                </c:pt>
                <c:pt idx="25">
                  <c:v>1</c:v>
                </c:pt>
                <c:pt idx="26">
                  <c:v>5</c:v>
                </c:pt>
                <c:pt idx="27">
                  <c:v>12</c:v>
                </c:pt>
                <c:pt idx="28">
                  <c:v>1</c:v>
                </c:pt>
                <c:pt idx="29">
                  <c:v>1</c:v>
                </c:pt>
                <c:pt idx="30">
                  <c:v>1</c:v>
                </c:pt>
                <c:pt idx="31">
                  <c:v>3</c:v>
                </c:pt>
                <c:pt idx="32">
                  <c:v>1</c:v>
                </c:pt>
                <c:pt idx="33">
                  <c:v>4</c:v>
                </c:pt>
                <c:pt idx="34">
                  <c:v>1</c:v>
                </c:pt>
                <c:pt idx="35">
                  <c:v>1</c:v>
                </c:pt>
                <c:pt idx="36">
                  <c:v>2</c:v>
                </c:pt>
                <c:pt idx="37">
                  <c:v>2</c:v>
                </c:pt>
                <c:pt idx="38">
                  <c:v>10</c:v>
                </c:pt>
                <c:pt idx="39">
                  <c:v>1</c:v>
                </c:pt>
                <c:pt idx="40">
                  <c:v>2</c:v>
                </c:pt>
                <c:pt idx="41">
                  <c:v>1</c:v>
                </c:pt>
                <c:pt idx="42">
                  <c:v>1</c:v>
                </c:pt>
                <c:pt idx="43">
                  <c:v>1</c:v>
                </c:pt>
                <c:pt idx="44">
                  <c:v>1</c:v>
                </c:pt>
                <c:pt idx="45">
                  <c:v>1</c:v>
                </c:pt>
                <c:pt idx="46">
                  <c:v>1</c:v>
                </c:pt>
                <c:pt idx="47">
                  <c:v>2</c:v>
                </c:pt>
                <c:pt idx="48">
                  <c:v>1</c:v>
                </c:pt>
                <c:pt idx="49">
                  <c:v>4</c:v>
                </c:pt>
                <c:pt idx="50">
                  <c:v>1</c:v>
                </c:pt>
                <c:pt idx="51">
                  <c:v>1</c:v>
                </c:pt>
                <c:pt idx="52">
                  <c:v>1</c:v>
                </c:pt>
                <c:pt idx="53">
                  <c:v>8</c:v>
                </c:pt>
                <c:pt idx="54">
                  <c:v>4</c:v>
                </c:pt>
                <c:pt idx="55">
                  <c:v>3</c:v>
                </c:pt>
                <c:pt idx="56">
                  <c:v>1</c:v>
                </c:pt>
                <c:pt idx="57">
                  <c:v>1</c:v>
                </c:pt>
                <c:pt idx="58">
                  <c:v>1</c:v>
                </c:pt>
                <c:pt idx="59">
                  <c:v>0</c:v>
                </c:pt>
                <c:pt idx="60">
                  <c:v>1</c:v>
                </c:pt>
                <c:pt idx="61">
                  <c:v>2</c:v>
                </c:pt>
                <c:pt idx="62">
                  <c:v>1</c:v>
                </c:pt>
                <c:pt idx="63">
                  <c:v>4</c:v>
                </c:pt>
              </c:numCache>
            </c:numRef>
          </c:val>
          <c:extLst>
            <c:ext xmlns:c16="http://schemas.microsoft.com/office/drawing/2014/chart" uri="{C3380CC4-5D6E-409C-BE32-E72D297353CC}">
              <c16:uniqueId val="{00000080-1D08-1640-9CD9-A09CF964C750}"/>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doughnutChart>
        <c:varyColors val="1"/>
        <c:ser>
          <c:idx val="0"/>
          <c:order val="0"/>
          <c:tx>
            <c:strRef>
              <c:f>Focused_Paper_Analysis!$B$307</c:f>
              <c:strCache>
                <c:ptCount val="1"/>
                <c:pt idx="0">
                  <c:v>#Publications (SE)</c:v>
                </c:pt>
              </c:strCache>
            </c:strRef>
          </c:tx>
          <c:dPt>
            <c:idx val="0"/>
            <c:bubble3D val="0"/>
            <c:spPr>
              <a:solidFill>
                <a:srgbClr val="4285F4"/>
              </a:solidFill>
            </c:spPr>
            <c:extLst>
              <c:ext xmlns:c16="http://schemas.microsoft.com/office/drawing/2014/chart" uri="{C3380CC4-5D6E-409C-BE32-E72D297353CC}">
                <c16:uniqueId val="{00000001-9BCF-0D41-BBB7-DD4CF3F95921}"/>
              </c:ext>
            </c:extLst>
          </c:dPt>
          <c:dPt>
            <c:idx val="1"/>
            <c:bubble3D val="0"/>
            <c:spPr>
              <a:solidFill>
                <a:srgbClr val="EA4335"/>
              </a:solidFill>
            </c:spPr>
            <c:extLst>
              <c:ext xmlns:c16="http://schemas.microsoft.com/office/drawing/2014/chart" uri="{C3380CC4-5D6E-409C-BE32-E72D297353CC}">
                <c16:uniqueId val="{00000003-9BCF-0D41-BBB7-DD4CF3F95921}"/>
              </c:ext>
            </c:extLst>
          </c:dPt>
          <c:dPt>
            <c:idx val="2"/>
            <c:bubble3D val="0"/>
            <c:spPr>
              <a:solidFill>
                <a:srgbClr val="FBBC04"/>
              </a:solidFill>
            </c:spPr>
            <c:extLst>
              <c:ext xmlns:c16="http://schemas.microsoft.com/office/drawing/2014/chart" uri="{C3380CC4-5D6E-409C-BE32-E72D297353CC}">
                <c16:uniqueId val="{00000005-9BCF-0D41-BBB7-DD4CF3F95921}"/>
              </c:ext>
            </c:extLst>
          </c:dPt>
          <c:dPt>
            <c:idx val="3"/>
            <c:bubble3D val="0"/>
            <c:spPr>
              <a:solidFill>
                <a:srgbClr val="34A853"/>
              </a:solidFill>
            </c:spPr>
            <c:extLst>
              <c:ext xmlns:c16="http://schemas.microsoft.com/office/drawing/2014/chart" uri="{C3380CC4-5D6E-409C-BE32-E72D297353CC}">
                <c16:uniqueId val="{00000007-9BCF-0D41-BBB7-DD4CF3F95921}"/>
              </c:ext>
            </c:extLst>
          </c:dPt>
          <c:cat>
            <c:strRef>
              <c:f>Focused_Paper_Analysis!$A$308:$A$311</c:f>
              <c:strCache>
                <c:ptCount val="4"/>
                <c:pt idx="0">
                  <c:v>Image</c:v>
                </c:pt>
                <c:pt idx="1">
                  <c:v>Text</c:v>
                </c:pt>
                <c:pt idx="2">
                  <c:v>Code</c:v>
                </c:pt>
                <c:pt idx="3">
                  <c:v>Speech</c:v>
                </c:pt>
              </c:strCache>
            </c:strRef>
          </c:cat>
          <c:val>
            <c:numRef>
              <c:f>Focused_Paper_Analysis!$B$308:$B$311</c:f>
              <c:numCache>
                <c:formatCode>General</c:formatCode>
                <c:ptCount val="4"/>
                <c:pt idx="0">
                  <c:v>3</c:v>
                </c:pt>
                <c:pt idx="1">
                  <c:v>6</c:v>
                </c:pt>
                <c:pt idx="2">
                  <c:v>1</c:v>
                </c:pt>
                <c:pt idx="3">
                  <c:v>1</c:v>
                </c:pt>
              </c:numCache>
            </c:numRef>
          </c:val>
          <c:extLst>
            <c:ext xmlns:c16="http://schemas.microsoft.com/office/drawing/2014/chart" uri="{C3380CC4-5D6E-409C-BE32-E72D297353CC}">
              <c16:uniqueId val="{00000008-9BCF-0D41-BBB7-DD4CF3F95921}"/>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5FB7-484D-A07C-33D186068A60}"/>
              </c:ext>
            </c:extLst>
          </c:dPt>
          <c:dPt>
            <c:idx val="1"/>
            <c:bubble3D val="0"/>
            <c:spPr>
              <a:solidFill>
                <a:srgbClr val="EA4335"/>
              </a:solidFill>
            </c:spPr>
            <c:extLst>
              <c:ext xmlns:c16="http://schemas.microsoft.com/office/drawing/2014/chart" uri="{C3380CC4-5D6E-409C-BE32-E72D297353CC}">
                <c16:uniqueId val="{00000003-5FB7-484D-A07C-33D186068A60}"/>
              </c:ext>
            </c:extLst>
          </c:dPt>
          <c:dPt>
            <c:idx val="2"/>
            <c:bubble3D val="0"/>
            <c:spPr>
              <a:solidFill>
                <a:srgbClr val="FBBC04"/>
              </a:solidFill>
            </c:spPr>
            <c:extLst>
              <c:ext xmlns:c16="http://schemas.microsoft.com/office/drawing/2014/chart" uri="{C3380CC4-5D6E-409C-BE32-E72D297353CC}">
                <c16:uniqueId val="{00000005-5FB7-484D-A07C-33D186068A60}"/>
              </c:ext>
            </c:extLst>
          </c:dPt>
          <c:cat>
            <c:strRef>
              <c:f>Focused_Paper_Analysis!$A$301:$A$303</c:f>
              <c:strCache>
                <c:ptCount val="3"/>
                <c:pt idx="0">
                  <c:v>Both</c:v>
                </c:pt>
                <c:pt idx="1">
                  <c:v>Structured</c:v>
                </c:pt>
                <c:pt idx="2">
                  <c:v>Unstructured</c:v>
                </c:pt>
              </c:strCache>
            </c:strRef>
          </c:cat>
          <c:val>
            <c:numRef>
              <c:f>Focused_Paper_Analysis!$B$301:$B$303</c:f>
              <c:numCache>
                <c:formatCode>General</c:formatCode>
                <c:ptCount val="3"/>
                <c:pt idx="0">
                  <c:v>4</c:v>
                </c:pt>
                <c:pt idx="1">
                  <c:v>18</c:v>
                </c:pt>
                <c:pt idx="2">
                  <c:v>6</c:v>
                </c:pt>
              </c:numCache>
            </c:numRef>
          </c:val>
          <c:extLst>
            <c:ext xmlns:c16="http://schemas.microsoft.com/office/drawing/2014/chart" uri="{C3380CC4-5D6E-409C-BE32-E72D297353CC}">
              <c16:uniqueId val="{00000006-5FB7-484D-A07C-33D186068A60}"/>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Fairness-aware Design</a:t>
            </a:r>
          </a:p>
        </c:rich>
      </c:tx>
      <c:overlay val="0"/>
    </c:title>
    <c:autoTitleDeleted val="0"/>
    <c:plotArea>
      <c:layout/>
      <c:barChart>
        <c:barDir val="col"/>
        <c:grouping val="clustered"/>
        <c:varyColors val="1"/>
        <c:ser>
          <c:idx val="0"/>
          <c:order val="0"/>
          <c:tx>
            <c:strRef>
              <c:f>Focused_Paper_Analysis!$L$248</c:f>
              <c:strCache>
                <c:ptCount val="1"/>
                <c:pt idx="0">
                  <c:v>#Publications</c:v>
                </c:pt>
              </c:strCache>
            </c:strRef>
          </c:tx>
          <c:spPr>
            <a:solidFill>
              <a:srgbClr val="4285F4"/>
            </a:solidFill>
            <a:ln cmpd="sng">
              <a:solidFill>
                <a:srgbClr val="000000"/>
              </a:solidFill>
            </a:ln>
          </c:spPr>
          <c:invertIfNegative val="1"/>
          <c:cat>
            <c:numRef>
              <c:f>Focused_Paper_Analysis!$K$249:$K$256</c:f>
              <c:numCache>
                <c:formatCode>General</c:formatCode>
                <c:ptCount val="8"/>
                <c:pt idx="0">
                  <c:v>2009</c:v>
                </c:pt>
                <c:pt idx="1">
                  <c:v>2010</c:v>
                </c:pt>
                <c:pt idx="2">
                  <c:v>2011</c:v>
                </c:pt>
                <c:pt idx="3">
                  <c:v>2012</c:v>
                </c:pt>
                <c:pt idx="4">
                  <c:v>2013</c:v>
                </c:pt>
                <c:pt idx="5">
                  <c:v>2017</c:v>
                </c:pt>
                <c:pt idx="6">
                  <c:v>2018</c:v>
                </c:pt>
                <c:pt idx="7">
                  <c:v>2019</c:v>
                </c:pt>
              </c:numCache>
            </c:numRef>
          </c:cat>
          <c:val>
            <c:numRef>
              <c:f>Focused_Paper_Analysis!$L$249:$L$256</c:f>
              <c:numCache>
                <c:formatCode>General</c:formatCode>
                <c:ptCount val="8"/>
                <c:pt idx="0">
                  <c:v>1</c:v>
                </c:pt>
                <c:pt idx="1">
                  <c:v>2</c:v>
                </c:pt>
                <c:pt idx="2">
                  <c:v>1</c:v>
                </c:pt>
                <c:pt idx="3">
                  <c:v>2</c:v>
                </c:pt>
                <c:pt idx="4">
                  <c:v>1</c:v>
                </c:pt>
                <c:pt idx="5">
                  <c:v>4</c:v>
                </c:pt>
                <c:pt idx="6">
                  <c:v>4</c:v>
                </c:pt>
                <c:pt idx="7">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D00-DB42-ABEF-7D4301E74E85}"/>
            </c:ext>
          </c:extLst>
        </c:ser>
        <c:dLbls>
          <c:showLegendKey val="0"/>
          <c:showVal val="0"/>
          <c:showCatName val="0"/>
          <c:showSerName val="0"/>
          <c:showPercent val="0"/>
          <c:showBubbleSize val="0"/>
        </c:dLbls>
        <c:gapWidth val="150"/>
        <c:axId val="922180894"/>
        <c:axId val="796989172"/>
      </c:barChart>
      <c:catAx>
        <c:axId val="922180894"/>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Years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796989172"/>
        <c:crosses val="autoZero"/>
        <c:auto val="1"/>
        <c:lblAlgn val="ctr"/>
        <c:lblOffset val="100"/>
        <c:noMultiLvlLbl val="1"/>
      </c:catAx>
      <c:valAx>
        <c:axId val="7969891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922180894"/>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Tools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Focused_Paper_Analysis!$K$238:$K$243</c:f>
              <c:strCache>
                <c:ptCount val="5"/>
                <c:pt idx="0">
                  <c:v>Years </c:v>
                </c:pt>
                <c:pt idx="1">
                  <c:v>2017</c:v>
                </c:pt>
                <c:pt idx="2">
                  <c:v>2019</c:v>
                </c:pt>
                <c:pt idx="3">
                  <c:v>2020</c:v>
                </c:pt>
                <c:pt idx="4">
                  <c:v>2021</c:v>
                </c:pt>
              </c:strCache>
            </c:strRef>
          </c:cat>
          <c:val>
            <c:numRef>
              <c:f>Focused_Paper_Analysis!$L$238:$L$243</c:f>
              <c:numCache>
                <c:formatCode>General</c:formatCode>
                <c:ptCount val="6"/>
                <c:pt idx="0">
                  <c:v>0</c:v>
                </c:pt>
                <c:pt idx="1">
                  <c:v>2</c:v>
                </c:pt>
                <c:pt idx="2">
                  <c:v>3</c:v>
                </c:pt>
                <c:pt idx="3">
                  <c:v>4</c:v>
                </c:pt>
                <c:pt idx="4">
                  <c:v>3</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D22-8047-9776-BA0497ABB2AD}"/>
            </c:ext>
          </c:extLst>
        </c:ser>
        <c:dLbls>
          <c:showLegendKey val="0"/>
          <c:showVal val="0"/>
          <c:showCatName val="0"/>
          <c:showSerName val="0"/>
          <c:showPercent val="0"/>
          <c:showBubbleSize val="0"/>
        </c:dLbls>
        <c:gapWidth val="150"/>
        <c:axId val="518779080"/>
        <c:axId val="662420215"/>
      </c:barChart>
      <c:catAx>
        <c:axId val="518779080"/>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Years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662420215"/>
        <c:crosses val="autoZero"/>
        <c:auto val="1"/>
        <c:lblAlgn val="ctr"/>
        <c:lblOffset val="100"/>
        <c:noMultiLvlLbl val="1"/>
      </c:catAx>
      <c:valAx>
        <c:axId val="6624202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518779080"/>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Software Fairness Validation</a:t>
            </a:r>
          </a:p>
        </c:rich>
      </c:tx>
      <c:overlay val="0"/>
    </c:title>
    <c:autoTitleDeleted val="0"/>
    <c:plotArea>
      <c:layout/>
      <c:barChart>
        <c:barDir val="col"/>
        <c:grouping val="clustered"/>
        <c:varyColors val="1"/>
        <c:ser>
          <c:idx val="0"/>
          <c:order val="0"/>
          <c:tx>
            <c:strRef>
              <c:f>Focused_Paper_Analysis!$L$197</c:f>
              <c:strCache>
                <c:ptCount val="1"/>
                <c:pt idx="0">
                  <c:v>#Publications</c:v>
                </c:pt>
              </c:strCache>
            </c:strRef>
          </c:tx>
          <c:spPr>
            <a:solidFill>
              <a:srgbClr val="4285F4"/>
            </a:solidFill>
            <a:ln cmpd="sng">
              <a:solidFill>
                <a:srgbClr val="000000"/>
              </a:solidFill>
            </a:ln>
          </c:spPr>
          <c:invertIfNegative val="1"/>
          <c:cat>
            <c:numRef>
              <c:f>Focused_Paper_Analysis!$K$198:$K$205</c:f>
              <c:numCache>
                <c:formatCode>General</c:formatCode>
                <c:ptCount val="8"/>
                <c:pt idx="0">
                  <c:v>2009</c:v>
                </c:pt>
                <c:pt idx="1">
                  <c:v>2016</c:v>
                </c:pt>
                <c:pt idx="2">
                  <c:v>2017</c:v>
                </c:pt>
                <c:pt idx="3">
                  <c:v>2018</c:v>
                </c:pt>
                <c:pt idx="4">
                  <c:v>2019</c:v>
                </c:pt>
                <c:pt idx="5">
                  <c:v>2020</c:v>
                </c:pt>
                <c:pt idx="6">
                  <c:v>2021</c:v>
                </c:pt>
                <c:pt idx="7">
                  <c:v>2022</c:v>
                </c:pt>
              </c:numCache>
            </c:numRef>
          </c:cat>
          <c:val>
            <c:numRef>
              <c:f>Focused_Paper_Analysis!$L$198:$L$205</c:f>
              <c:numCache>
                <c:formatCode>General</c:formatCode>
                <c:ptCount val="8"/>
                <c:pt idx="0">
                  <c:v>1</c:v>
                </c:pt>
                <c:pt idx="1">
                  <c:v>1</c:v>
                </c:pt>
                <c:pt idx="2">
                  <c:v>2</c:v>
                </c:pt>
                <c:pt idx="3">
                  <c:v>7</c:v>
                </c:pt>
                <c:pt idx="4">
                  <c:v>8</c:v>
                </c:pt>
                <c:pt idx="5">
                  <c:v>10</c:v>
                </c:pt>
                <c:pt idx="6">
                  <c:v>10</c:v>
                </c:pt>
                <c:pt idx="7">
                  <c:v>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2E4-9D44-AA3C-E14FFE824D55}"/>
            </c:ext>
          </c:extLst>
        </c:ser>
        <c:dLbls>
          <c:showLegendKey val="0"/>
          <c:showVal val="0"/>
          <c:showCatName val="0"/>
          <c:showSerName val="0"/>
          <c:showPercent val="0"/>
          <c:showBubbleSize val="0"/>
        </c:dLbls>
        <c:gapWidth val="150"/>
        <c:axId val="1180252120"/>
        <c:axId val="441921497"/>
      </c:barChart>
      <c:catAx>
        <c:axId val="1180252120"/>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Years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441921497"/>
        <c:crosses val="autoZero"/>
        <c:auto val="1"/>
        <c:lblAlgn val="ctr"/>
        <c:lblOffset val="100"/>
        <c:noMultiLvlLbl val="1"/>
      </c:catAx>
      <c:valAx>
        <c:axId val="4419214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1180252120"/>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Software Fairness Verification</a:t>
            </a:r>
          </a:p>
        </c:rich>
      </c:tx>
      <c:overlay val="0"/>
    </c:title>
    <c:autoTitleDeleted val="0"/>
    <c:plotArea>
      <c:layout/>
      <c:barChart>
        <c:barDir val="col"/>
        <c:grouping val="clustered"/>
        <c:varyColors val="1"/>
        <c:ser>
          <c:idx val="0"/>
          <c:order val="0"/>
          <c:tx>
            <c:strRef>
              <c:f>Focused_Paper_Analysis!$L$210</c:f>
              <c:strCache>
                <c:ptCount val="1"/>
                <c:pt idx="0">
                  <c:v>#Publications</c:v>
                </c:pt>
              </c:strCache>
            </c:strRef>
          </c:tx>
          <c:spPr>
            <a:solidFill>
              <a:srgbClr val="4285F4"/>
            </a:solidFill>
            <a:ln cmpd="sng">
              <a:solidFill>
                <a:srgbClr val="000000"/>
              </a:solidFill>
            </a:ln>
          </c:spPr>
          <c:invertIfNegative val="1"/>
          <c:cat>
            <c:numRef>
              <c:f>Focused_Paper_Analysis!$K$211:$K$215</c:f>
              <c:numCache>
                <c:formatCode>General</c:formatCode>
                <c:ptCount val="5"/>
                <c:pt idx="0">
                  <c:v>2015</c:v>
                </c:pt>
                <c:pt idx="1">
                  <c:v>2017</c:v>
                </c:pt>
                <c:pt idx="2">
                  <c:v>2019</c:v>
                </c:pt>
                <c:pt idx="3">
                  <c:v>2020</c:v>
                </c:pt>
                <c:pt idx="4">
                  <c:v>2021</c:v>
                </c:pt>
              </c:numCache>
            </c:numRef>
          </c:cat>
          <c:val>
            <c:numRef>
              <c:f>Focused_Paper_Analysis!$L$211:$L$215</c:f>
              <c:numCache>
                <c:formatCode>General</c:formatCode>
                <c:ptCount val="5"/>
                <c:pt idx="0">
                  <c:v>1</c:v>
                </c:pt>
                <c:pt idx="1">
                  <c:v>2</c:v>
                </c:pt>
                <c:pt idx="2">
                  <c:v>4</c:v>
                </c:pt>
                <c:pt idx="3">
                  <c:v>3</c:v>
                </c:pt>
                <c:pt idx="4">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783-2C45-8164-21536B444A14}"/>
            </c:ext>
          </c:extLst>
        </c:ser>
        <c:dLbls>
          <c:showLegendKey val="0"/>
          <c:showVal val="0"/>
          <c:showCatName val="0"/>
          <c:showSerName val="0"/>
          <c:showPercent val="0"/>
          <c:showBubbleSize val="0"/>
        </c:dLbls>
        <c:gapWidth val="150"/>
        <c:axId val="945855141"/>
        <c:axId val="635568376"/>
      </c:barChart>
      <c:catAx>
        <c:axId val="945855141"/>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Years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635568376"/>
        <c:crosses val="autoZero"/>
        <c:auto val="1"/>
        <c:lblAlgn val="ctr"/>
        <c:lblOffset val="100"/>
        <c:noMultiLvlLbl val="1"/>
      </c:catAx>
      <c:valAx>
        <c:axId val="6355683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945855141"/>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oneCellAnchor>
    <xdr:from>
      <xdr:col>3</xdr:col>
      <xdr:colOff>0</xdr:colOff>
      <xdr:row>277</xdr:row>
      <xdr:rowOff>66675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180975</xdr:colOff>
      <xdr:row>216</xdr:row>
      <xdr:rowOff>28575</xdr:rowOff>
    </xdr:from>
    <xdr:ext cx="5715000" cy="3533775"/>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190500</xdr:colOff>
      <xdr:row>259</xdr:row>
      <xdr:rowOff>104775</xdr:rowOff>
    </xdr:from>
    <xdr:ext cx="5715000" cy="3533775"/>
    <xdr:graphicFrame macro="">
      <xdr:nvGraphicFramePr>
        <xdr:cNvPr id="4" name="Chart 3" titl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552450</xdr:colOff>
      <xdr:row>317</xdr:row>
      <xdr:rowOff>9525</xdr:rowOff>
    </xdr:from>
    <xdr:ext cx="5715000" cy="3533775"/>
    <xdr:graphicFrame macro="">
      <xdr:nvGraphicFramePr>
        <xdr:cNvPr id="5" name="Chart 4" title="Chart">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476250</xdr:colOff>
      <xdr:row>295</xdr:row>
      <xdr:rowOff>104775</xdr:rowOff>
    </xdr:from>
    <xdr:ext cx="5715000" cy="3533775"/>
    <xdr:graphicFrame macro="">
      <xdr:nvGraphicFramePr>
        <xdr:cNvPr id="6" name="Chart 5" title="Chart">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13</xdr:col>
      <xdr:colOff>476250</xdr:colOff>
      <xdr:row>248</xdr:row>
      <xdr:rowOff>19050</xdr:rowOff>
    </xdr:from>
    <xdr:ext cx="5715000" cy="3533775"/>
    <xdr:graphicFrame macro="">
      <xdr:nvGraphicFramePr>
        <xdr:cNvPr id="7" name="Chart 6" title="Chart">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4</xdr:col>
      <xdr:colOff>866775</xdr:colOff>
      <xdr:row>236</xdr:row>
      <xdr:rowOff>95250</xdr:rowOff>
    </xdr:from>
    <xdr:ext cx="5715000" cy="3533775"/>
    <xdr:graphicFrame macro="">
      <xdr:nvGraphicFramePr>
        <xdr:cNvPr id="8" name="Chart 7" title="Chart">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13</xdr:col>
      <xdr:colOff>952500</xdr:colOff>
      <xdr:row>191</xdr:row>
      <xdr:rowOff>161925</xdr:rowOff>
    </xdr:from>
    <xdr:ext cx="5715000" cy="3533775"/>
    <xdr:graphicFrame macro="">
      <xdr:nvGraphicFramePr>
        <xdr:cNvPr id="9" name="Chart 8" title="Chart">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13</xdr:col>
      <xdr:colOff>247650</xdr:colOff>
      <xdr:row>210</xdr:row>
      <xdr:rowOff>95250</xdr:rowOff>
    </xdr:from>
    <xdr:ext cx="5715000" cy="3533775"/>
    <xdr:graphicFrame macro="">
      <xdr:nvGraphicFramePr>
        <xdr:cNvPr id="10" name="Chart 9" title="Chart">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13</xdr:col>
      <xdr:colOff>247650</xdr:colOff>
      <xdr:row>229</xdr:row>
      <xdr:rowOff>95250</xdr:rowOff>
    </xdr:from>
    <xdr:ext cx="5715000" cy="3533775"/>
    <xdr:graphicFrame macro="">
      <xdr:nvGraphicFramePr>
        <xdr:cNvPr id="11" name="Chart 10" title="Chart">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7</xdr:col>
      <xdr:colOff>1828800</xdr:colOff>
      <xdr:row>267</xdr:row>
      <xdr:rowOff>133350</xdr:rowOff>
    </xdr:from>
    <xdr:ext cx="5972175" cy="3533775"/>
    <xdr:graphicFrame macro="">
      <xdr:nvGraphicFramePr>
        <xdr:cNvPr id="12" name="Chart 11" title="Chart">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4</xdr:col>
      <xdr:colOff>1200150</xdr:colOff>
      <xdr:row>192</xdr:row>
      <xdr:rowOff>38100</xdr:rowOff>
    </xdr:from>
    <xdr:ext cx="5448300" cy="4095750"/>
    <xdr:graphicFrame macro="">
      <xdr:nvGraphicFramePr>
        <xdr:cNvPr id="13" name="Chart 12" title="Chart">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1123950</xdr:colOff>
      <xdr:row>0</xdr:row>
      <xdr:rowOff>0</xdr:rowOff>
    </xdr:from>
    <xdr:ext cx="5715000" cy="3533775"/>
    <xdr:graphicFrame macro="">
      <xdr:nvGraphicFramePr>
        <xdr:cNvPr id="13" name="Chart 13" title="Chart">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104775</xdr:colOff>
      <xdr:row>0</xdr:row>
      <xdr:rowOff>9525</xdr:rowOff>
    </xdr:from>
    <xdr:ext cx="5715000" cy="3533775"/>
    <xdr:graphicFrame macro="">
      <xdr:nvGraphicFramePr>
        <xdr:cNvPr id="14" name="Chart 14" title="Chart">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1362075</xdr:colOff>
      <xdr:row>31</xdr:row>
      <xdr:rowOff>28575</xdr:rowOff>
    </xdr:from>
    <xdr:ext cx="5715000" cy="3533775"/>
    <xdr:graphicFrame macro="">
      <xdr:nvGraphicFramePr>
        <xdr:cNvPr id="15" name="Chart 15" title="Chart">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9</xdr:col>
      <xdr:colOff>323850</xdr:colOff>
      <xdr:row>20</xdr:row>
      <xdr:rowOff>76200</xdr:rowOff>
    </xdr:from>
    <xdr:ext cx="5715000" cy="3533775"/>
    <xdr:graphicFrame macro="">
      <xdr:nvGraphicFramePr>
        <xdr:cNvPr id="16" name="Chart 16" title="Chart">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312"/>
  <sheetViews>
    <sheetView workbookViewId="0">
      <pane xSplit="3" ySplit="2" topLeftCell="D3" activePane="bottomRight" state="frozen"/>
      <selection pane="topRight" activeCell="D1" sqref="D1"/>
      <selection pane="bottomLeft" activeCell="A3" sqref="A3"/>
      <selection pane="bottomRight" activeCell="A18" sqref="A18"/>
    </sheetView>
  </sheetViews>
  <sheetFormatPr baseColWidth="10" defaultColWidth="12.6640625" defaultRowHeight="15.75" customHeight="1" outlineLevelRow="1"/>
  <cols>
    <col min="1" max="1" width="19.5" customWidth="1"/>
    <col min="2" max="2" width="20.1640625" customWidth="1"/>
    <col min="3" max="3" width="52.5" customWidth="1"/>
    <col min="4" max="4" width="5.33203125" customWidth="1"/>
    <col min="5" max="6" width="20.83203125" customWidth="1"/>
    <col min="7" max="7" width="9.1640625" customWidth="1"/>
    <col min="8" max="8" width="30.1640625" customWidth="1"/>
    <col min="9" max="10" width="9.1640625" customWidth="1"/>
    <col min="11" max="11" width="14.1640625" customWidth="1"/>
    <col min="12" max="12" width="16.83203125" customWidth="1"/>
    <col min="13" max="13" width="9.1640625" customWidth="1"/>
    <col min="14" max="14" width="37.1640625" customWidth="1"/>
    <col min="15" max="15" width="10.83203125" customWidth="1"/>
    <col min="16" max="16" width="13.83203125" customWidth="1"/>
    <col min="17" max="17" width="6.5" customWidth="1"/>
    <col min="18" max="18" width="25.5" customWidth="1"/>
    <col min="19" max="19" width="32.6640625" customWidth="1"/>
    <col min="20" max="22" width="15.6640625" customWidth="1"/>
    <col min="23" max="23" width="13.33203125" customWidth="1"/>
    <col min="24" max="24" width="34.33203125" customWidth="1"/>
    <col min="25" max="26" width="41.33203125" customWidth="1"/>
    <col min="27" max="27" width="44.6640625" customWidth="1"/>
  </cols>
  <sheetData>
    <row r="1" spans="1:29" ht="13">
      <c r="B1" s="1" t="s">
        <v>0</v>
      </c>
      <c r="I1" s="1" t="s">
        <v>1</v>
      </c>
      <c r="K1" s="1" t="s">
        <v>2</v>
      </c>
      <c r="L1" s="1" t="s">
        <v>3</v>
      </c>
      <c r="S1" s="1" t="s">
        <v>4</v>
      </c>
      <c r="T1" s="1" t="s">
        <v>5</v>
      </c>
      <c r="U1" s="1" t="s">
        <v>6</v>
      </c>
      <c r="V1" s="1" t="s">
        <v>7</v>
      </c>
    </row>
    <row r="2" spans="1:29" ht="13">
      <c r="A2" s="1" t="s">
        <v>8</v>
      </c>
      <c r="B2" s="1" t="s">
        <v>9</v>
      </c>
      <c r="C2" s="1" t="s">
        <v>10</v>
      </c>
      <c r="D2" s="1" t="s">
        <v>11</v>
      </c>
      <c r="E2" s="1" t="s">
        <v>12</v>
      </c>
      <c r="F2" s="1" t="s">
        <v>13</v>
      </c>
      <c r="G2" s="1" t="s">
        <v>14</v>
      </c>
      <c r="H2" s="1" t="s">
        <v>15</v>
      </c>
      <c r="I2" s="1" t="s">
        <v>16</v>
      </c>
      <c r="J2" s="1" t="s">
        <v>17</v>
      </c>
      <c r="K2" s="1" t="s">
        <v>18</v>
      </c>
      <c r="L2" s="1" t="s">
        <v>19</v>
      </c>
      <c r="M2" s="1" t="s">
        <v>20</v>
      </c>
      <c r="N2" s="1" t="s">
        <v>21</v>
      </c>
      <c r="O2" s="1" t="s">
        <v>22</v>
      </c>
      <c r="P2" s="1" t="s">
        <v>23</v>
      </c>
      <c r="Q2" s="1" t="s">
        <v>24</v>
      </c>
      <c r="R2" s="1" t="s">
        <v>25</v>
      </c>
      <c r="S2" s="1" t="s">
        <v>26</v>
      </c>
      <c r="T2" s="2" t="s">
        <v>27</v>
      </c>
      <c r="U2" s="1"/>
      <c r="V2" s="1" t="s">
        <v>28</v>
      </c>
      <c r="W2" s="1" t="s">
        <v>29</v>
      </c>
      <c r="X2" s="1" t="s">
        <v>30</v>
      </c>
      <c r="Y2" s="1" t="s">
        <v>31</v>
      </c>
      <c r="Z2" s="1" t="s">
        <v>32</v>
      </c>
      <c r="AA2" s="1" t="s">
        <v>33</v>
      </c>
      <c r="AB2" s="1" t="s">
        <v>34</v>
      </c>
      <c r="AC2" s="1" t="s">
        <v>35</v>
      </c>
    </row>
    <row r="3" spans="1:29" ht="13">
      <c r="A3" s="1" t="s">
        <v>36</v>
      </c>
      <c r="C3" s="1"/>
      <c r="D3" s="2"/>
      <c r="E3" s="2"/>
      <c r="F3" s="2"/>
    </row>
    <row r="4" spans="1:29" ht="13" outlineLevel="1">
      <c r="A4" s="2" t="s">
        <v>37</v>
      </c>
      <c r="B4" s="2" t="s">
        <v>38</v>
      </c>
      <c r="C4" s="21" t="s">
        <v>39</v>
      </c>
      <c r="D4" s="2">
        <v>2020</v>
      </c>
      <c r="E4" s="2" t="s">
        <v>40</v>
      </c>
      <c r="F4" s="2" t="s">
        <v>40</v>
      </c>
    </row>
    <row r="5" spans="1:29" ht="13" outlineLevel="1">
      <c r="A5" s="2" t="s">
        <v>41</v>
      </c>
      <c r="B5" s="2" t="s">
        <v>42</v>
      </c>
      <c r="C5" s="21" t="s">
        <v>43</v>
      </c>
      <c r="D5" s="2">
        <v>2021</v>
      </c>
      <c r="E5" s="2" t="s">
        <v>44</v>
      </c>
      <c r="F5" s="2" t="s">
        <v>44</v>
      </c>
    </row>
    <row r="6" spans="1:29" ht="13" outlineLevel="1">
      <c r="A6" s="2" t="s">
        <v>45</v>
      </c>
      <c r="B6" s="2" t="s">
        <v>46</v>
      </c>
      <c r="C6" s="21" t="s">
        <v>47</v>
      </c>
      <c r="D6" s="2">
        <v>2020</v>
      </c>
      <c r="E6" s="2" t="s">
        <v>44</v>
      </c>
      <c r="F6" s="2" t="s">
        <v>44</v>
      </c>
    </row>
    <row r="7" spans="1:29" ht="13" outlineLevel="1">
      <c r="A7" s="2" t="s">
        <v>48</v>
      </c>
      <c r="B7" s="2" t="s">
        <v>49</v>
      </c>
      <c r="C7" s="21" t="s">
        <v>50</v>
      </c>
      <c r="D7" s="2">
        <v>2021</v>
      </c>
      <c r="E7" s="2" t="s">
        <v>51</v>
      </c>
      <c r="F7" s="2" t="s">
        <v>52</v>
      </c>
    </row>
    <row r="8" spans="1:29" ht="13" outlineLevel="1">
      <c r="A8" s="2" t="s">
        <v>53</v>
      </c>
      <c r="B8" s="2" t="s">
        <v>54</v>
      </c>
      <c r="C8" s="21" t="s">
        <v>55</v>
      </c>
      <c r="D8" s="2">
        <v>2020</v>
      </c>
      <c r="E8" s="2" t="s">
        <v>56</v>
      </c>
      <c r="F8" s="2" t="s">
        <v>57</v>
      </c>
    </row>
    <row r="9" spans="1:29" ht="13" outlineLevel="1">
      <c r="A9" s="2" t="s">
        <v>58</v>
      </c>
      <c r="B9" s="2" t="s">
        <v>59</v>
      </c>
      <c r="C9" s="21" t="s">
        <v>60</v>
      </c>
      <c r="D9" s="2">
        <v>2018</v>
      </c>
      <c r="E9" s="2" t="s">
        <v>56</v>
      </c>
      <c r="F9" s="2" t="s">
        <v>57</v>
      </c>
    </row>
    <row r="10" spans="1:29" ht="13" outlineLevel="1">
      <c r="A10" s="2" t="s">
        <v>61</v>
      </c>
      <c r="B10" s="2" t="s">
        <v>62</v>
      </c>
      <c r="C10" s="21" t="s">
        <v>63</v>
      </c>
      <c r="D10" s="2">
        <v>2020</v>
      </c>
      <c r="E10" s="2" t="s">
        <v>56</v>
      </c>
      <c r="F10" s="2" t="s">
        <v>57</v>
      </c>
    </row>
    <row r="11" spans="1:29" ht="13" outlineLevel="1">
      <c r="A11" s="2" t="s">
        <v>64</v>
      </c>
      <c r="B11" s="2" t="s">
        <v>65</v>
      </c>
      <c r="C11" s="21" t="s">
        <v>66</v>
      </c>
      <c r="D11" s="2">
        <v>2020</v>
      </c>
      <c r="E11" s="2" t="s">
        <v>67</v>
      </c>
      <c r="F11" s="2" t="s">
        <v>67</v>
      </c>
    </row>
    <row r="12" spans="1:29" ht="13" outlineLevel="1">
      <c r="A12" s="2" t="s">
        <v>68</v>
      </c>
      <c r="B12" s="2" t="s">
        <v>69</v>
      </c>
      <c r="C12" s="21" t="s">
        <v>70</v>
      </c>
      <c r="D12" s="2">
        <v>2021</v>
      </c>
      <c r="E12" s="2" t="s">
        <v>56</v>
      </c>
      <c r="F12" s="2" t="s">
        <v>57</v>
      </c>
    </row>
    <row r="13" spans="1:29" ht="13" outlineLevel="1">
      <c r="A13" s="2" t="s">
        <v>71</v>
      </c>
      <c r="B13" s="2" t="s">
        <v>72</v>
      </c>
      <c r="C13" s="21" t="s">
        <v>73</v>
      </c>
      <c r="D13" s="2">
        <v>2021</v>
      </c>
      <c r="E13" s="2" t="s">
        <v>74</v>
      </c>
      <c r="F13" s="2" t="s">
        <v>75</v>
      </c>
    </row>
    <row r="14" spans="1:29" ht="13" outlineLevel="1">
      <c r="A14" s="2" t="s">
        <v>76</v>
      </c>
      <c r="B14" s="2" t="s">
        <v>77</v>
      </c>
      <c r="C14" s="21" t="s">
        <v>78</v>
      </c>
      <c r="D14" s="2">
        <v>2019</v>
      </c>
      <c r="E14" s="2" t="s">
        <v>79</v>
      </c>
      <c r="F14" s="2" t="s">
        <v>80</v>
      </c>
    </row>
    <row r="15" spans="1:29" ht="13" outlineLevel="1">
      <c r="A15" s="2" t="s">
        <v>81</v>
      </c>
      <c r="B15" s="2" t="s">
        <v>82</v>
      </c>
      <c r="C15" s="21" t="s">
        <v>83</v>
      </c>
      <c r="D15" s="2">
        <v>2021</v>
      </c>
      <c r="E15" s="2" t="s">
        <v>56</v>
      </c>
      <c r="F15" s="2" t="s">
        <v>57</v>
      </c>
    </row>
    <row r="16" spans="1:29" ht="13" outlineLevel="1">
      <c r="A16" s="2" t="s">
        <v>84</v>
      </c>
      <c r="B16" s="2" t="s">
        <v>85</v>
      </c>
      <c r="C16" s="21" t="s">
        <v>86</v>
      </c>
      <c r="D16" s="2">
        <v>2019</v>
      </c>
      <c r="E16" s="3" t="s">
        <v>87</v>
      </c>
      <c r="F16" s="2" t="s">
        <v>88</v>
      </c>
    </row>
    <row r="17" spans="1:27" ht="13" outlineLevel="1">
      <c r="A17" s="2" t="s">
        <v>89</v>
      </c>
      <c r="B17" s="2" t="s">
        <v>90</v>
      </c>
      <c r="C17" s="21" t="s">
        <v>91</v>
      </c>
      <c r="D17" s="2">
        <v>2020</v>
      </c>
      <c r="E17" s="2" t="s">
        <v>92</v>
      </c>
      <c r="F17" s="2" t="s">
        <v>93</v>
      </c>
    </row>
    <row r="18" spans="1:27" ht="13" outlineLevel="1">
      <c r="A18" s="2" t="s">
        <v>94</v>
      </c>
      <c r="B18" s="2" t="s">
        <v>95</v>
      </c>
      <c r="C18" s="22" t="s">
        <v>96</v>
      </c>
      <c r="D18" s="2">
        <v>2021</v>
      </c>
      <c r="E18" s="4" t="s">
        <v>97</v>
      </c>
      <c r="F18" s="4" t="s">
        <v>98</v>
      </c>
    </row>
    <row r="19" spans="1:27" ht="13" outlineLevel="1">
      <c r="A19" s="2" t="s">
        <v>99</v>
      </c>
      <c r="B19" s="2" t="s">
        <v>100</v>
      </c>
      <c r="C19" s="22" t="s">
        <v>101</v>
      </c>
      <c r="D19" s="2">
        <v>2021</v>
      </c>
      <c r="E19" s="2" t="s">
        <v>56</v>
      </c>
      <c r="F19" s="2" t="s">
        <v>102</v>
      </c>
    </row>
    <row r="20" spans="1:27" ht="13" outlineLevel="1">
      <c r="A20" s="2" t="s">
        <v>103</v>
      </c>
      <c r="B20" s="2" t="s">
        <v>104</v>
      </c>
      <c r="C20" s="22" t="s">
        <v>105</v>
      </c>
      <c r="D20" s="2">
        <v>2021</v>
      </c>
      <c r="E20" s="2" t="s">
        <v>106</v>
      </c>
      <c r="F20" s="2" t="s">
        <v>106</v>
      </c>
    </row>
    <row r="21" spans="1:27" ht="13" outlineLevel="1">
      <c r="A21" s="2"/>
      <c r="B21" s="2" t="s">
        <v>107</v>
      </c>
      <c r="C21" s="22" t="s">
        <v>108</v>
      </c>
      <c r="D21" s="2">
        <v>2020</v>
      </c>
      <c r="E21" s="2" t="s">
        <v>106</v>
      </c>
      <c r="F21" s="2" t="s">
        <v>106</v>
      </c>
    </row>
    <row r="22" spans="1:27" ht="13" outlineLevel="1">
      <c r="A22" s="2"/>
      <c r="B22" s="2" t="s">
        <v>109</v>
      </c>
      <c r="C22" s="22" t="s">
        <v>110</v>
      </c>
      <c r="D22" s="2">
        <v>2020</v>
      </c>
      <c r="E22" s="2" t="s">
        <v>111</v>
      </c>
      <c r="F22" s="2" t="s">
        <v>111</v>
      </c>
    </row>
    <row r="23" spans="1:27" ht="13">
      <c r="A23" s="2"/>
      <c r="B23" s="2"/>
      <c r="C23" s="2"/>
      <c r="D23" s="2"/>
      <c r="E23" s="2"/>
      <c r="F23" s="2"/>
    </row>
    <row r="24" spans="1:27" ht="13" outlineLevel="1">
      <c r="A24" s="1" t="s">
        <v>112</v>
      </c>
      <c r="C24" s="2"/>
      <c r="D24" s="2"/>
      <c r="E24" s="2"/>
      <c r="F24" s="2"/>
    </row>
    <row r="25" spans="1:27" ht="13" outlineLevel="1">
      <c r="A25" s="2" t="s">
        <v>113</v>
      </c>
      <c r="B25" s="2" t="s">
        <v>114</v>
      </c>
      <c r="C25" s="2" t="s">
        <v>115</v>
      </c>
      <c r="D25" s="2">
        <v>2021</v>
      </c>
      <c r="E25" s="2" t="s">
        <v>116</v>
      </c>
      <c r="F25" s="2" t="s">
        <v>116</v>
      </c>
      <c r="G25" s="2">
        <v>3</v>
      </c>
      <c r="H25" s="2" t="s">
        <v>117</v>
      </c>
      <c r="I25" s="2" t="s">
        <v>118</v>
      </c>
      <c r="J25" s="2" t="s">
        <v>118</v>
      </c>
      <c r="K25" s="2" t="s">
        <v>118</v>
      </c>
      <c r="L25" s="5" t="s">
        <v>119</v>
      </c>
      <c r="M25" s="2">
        <v>3</v>
      </c>
      <c r="N25" s="2" t="s">
        <v>120</v>
      </c>
      <c r="O25" s="2">
        <v>1</v>
      </c>
      <c r="P25" s="2" t="s">
        <v>121</v>
      </c>
      <c r="Q25" s="2">
        <v>2</v>
      </c>
      <c r="R25" s="2" t="s">
        <v>122</v>
      </c>
      <c r="S25" s="2" t="s">
        <v>123</v>
      </c>
      <c r="T25" s="2"/>
      <c r="U25" s="2"/>
      <c r="V25" s="2" t="s">
        <v>124</v>
      </c>
      <c r="W25" s="2" t="s">
        <v>125</v>
      </c>
      <c r="X25" s="2" t="s">
        <v>126</v>
      </c>
      <c r="Y25" s="2" t="s">
        <v>127</v>
      </c>
      <c r="Z25" s="2" t="s">
        <v>128</v>
      </c>
      <c r="AA25" s="2" t="s">
        <v>129</v>
      </c>
    </row>
    <row r="26" spans="1:27" ht="13" outlineLevel="1">
      <c r="A26" s="2" t="s">
        <v>130</v>
      </c>
      <c r="B26" s="2" t="s">
        <v>131</v>
      </c>
      <c r="C26" s="2" t="s">
        <v>132</v>
      </c>
      <c r="D26" s="2">
        <v>2020</v>
      </c>
      <c r="E26" s="2" t="s">
        <v>116</v>
      </c>
      <c r="F26" s="2" t="s">
        <v>116</v>
      </c>
      <c r="G26" s="2">
        <v>3</v>
      </c>
      <c r="H26" s="2" t="s">
        <v>117</v>
      </c>
      <c r="I26" s="2" t="s">
        <v>118</v>
      </c>
      <c r="J26" s="2" t="s">
        <v>118</v>
      </c>
      <c r="K26" s="2" t="s">
        <v>118</v>
      </c>
      <c r="L26" s="5" t="s">
        <v>119</v>
      </c>
      <c r="M26" s="2">
        <v>5</v>
      </c>
      <c r="N26" s="2" t="s">
        <v>133</v>
      </c>
      <c r="O26" s="2">
        <v>2</v>
      </c>
      <c r="P26" s="2" t="s">
        <v>134</v>
      </c>
      <c r="Q26" s="2">
        <v>3</v>
      </c>
      <c r="R26" s="2" t="s">
        <v>135</v>
      </c>
      <c r="S26" s="2" t="s">
        <v>123</v>
      </c>
      <c r="T26" s="2"/>
      <c r="U26" s="2"/>
      <c r="V26" s="2" t="s">
        <v>124</v>
      </c>
      <c r="W26" s="2" t="s">
        <v>125</v>
      </c>
      <c r="X26" s="2" t="s">
        <v>136</v>
      </c>
      <c r="Y26" s="2" t="s">
        <v>137</v>
      </c>
      <c r="Z26" s="2" t="s">
        <v>138</v>
      </c>
      <c r="AA26" s="2" t="s">
        <v>139</v>
      </c>
    </row>
    <row r="27" spans="1:27" ht="13" outlineLevel="1">
      <c r="A27" s="2" t="s">
        <v>140</v>
      </c>
      <c r="B27" s="2" t="s">
        <v>38</v>
      </c>
      <c r="C27" s="2" t="s">
        <v>141</v>
      </c>
      <c r="D27" s="2">
        <v>2021</v>
      </c>
      <c r="E27" s="2" t="s">
        <v>142</v>
      </c>
      <c r="F27" s="2" t="s">
        <v>142</v>
      </c>
      <c r="G27" s="2">
        <v>2</v>
      </c>
      <c r="H27" s="2" t="s">
        <v>143</v>
      </c>
      <c r="I27" s="2" t="s">
        <v>118</v>
      </c>
      <c r="J27" s="2" t="s">
        <v>118</v>
      </c>
      <c r="K27" s="2" t="s">
        <v>118</v>
      </c>
      <c r="L27" s="5" t="s">
        <v>119</v>
      </c>
      <c r="M27" s="2">
        <v>3</v>
      </c>
      <c r="N27" s="2" t="s">
        <v>144</v>
      </c>
      <c r="O27" s="2">
        <v>1</v>
      </c>
      <c r="P27" s="2" t="s">
        <v>145</v>
      </c>
      <c r="Q27" s="2">
        <v>3</v>
      </c>
      <c r="R27" s="2" t="s">
        <v>135</v>
      </c>
      <c r="S27" s="2" t="s">
        <v>146</v>
      </c>
      <c r="T27" s="2"/>
      <c r="U27" s="2"/>
      <c r="V27" s="2" t="s">
        <v>124</v>
      </c>
      <c r="W27" s="2" t="s">
        <v>147</v>
      </c>
      <c r="X27" s="2" t="s">
        <v>148</v>
      </c>
      <c r="Y27" s="2" t="s">
        <v>149</v>
      </c>
      <c r="Z27" s="2" t="s">
        <v>150</v>
      </c>
      <c r="AA27" s="2" t="s">
        <v>151</v>
      </c>
    </row>
    <row r="28" spans="1:27" ht="13" outlineLevel="1">
      <c r="A28" s="2" t="s">
        <v>152</v>
      </c>
      <c r="B28" s="2" t="s">
        <v>153</v>
      </c>
      <c r="C28" s="2" t="s">
        <v>154</v>
      </c>
      <c r="D28" s="2">
        <v>2018</v>
      </c>
      <c r="E28" s="2" t="s">
        <v>155</v>
      </c>
      <c r="F28" s="2" t="s">
        <v>155</v>
      </c>
      <c r="G28" s="2">
        <v>2</v>
      </c>
      <c r="H28" s="2" t="s">
        <v>143</v>
      </c>
      <c r="I28" s="2" t="s">
        <v>156</v>
      </c>
      <c r="J28" s="2">
        <v>6</v>
      </c>
      <c r="K28" s="2"/>
      <c r="L28" s="5" t="s">
        <v>119</v>
      </c>
      <c r="M28" s="2">
        <v>1</v>
      </c>
      <c r="N28" s="2" t="s">
        <v>157</v>
      </c>
      <c r="O28" s="2">
        <v>1</v>
      </c>
      <c r="P28" s="2" t="s">
        <v>145</v>
      </c>
      <c r="Q28" s="2">
        <v>1</v>
      </c>
      <c r="R28" s="2" t="s">
        <v>158</v>
      </c>
      <c r="S28" s="2" t="s">
        <v>146</v>
      </c>
      <c r="T28" s="2"/>
      <c r="U28" s="2"/>
      <c r="V28" s="2" t="s">
        <v>124</v>
      </c>
      <c r="W28" s="2" t="s">
        <v>125</v>
      </c>
      <c r="X28" s="2" t="s">
        <v>159</v>
      </c>
      <c r="Y28" s="2" t="s">
        <v>160</v>
      </c>
      <c r="Z28" s="2" t="s">
        <v>161</v>
      </c>
      <c r="AA28" s="2" t="s">
        <v>162</v>
      </c>
    </row>
    <row r="29" spans="1:27" ht="13" outlineLevel="1">
      <c r="A29" s="2" t="s">
        <v>163</v>
      </c>
      <c r="B29" s="2" t="s">
        <v>164</v>
      </c>
      <c r="C29" s="2" t="s">
        <v>165</v>
      </c>
      <c r="D29" s="2">
        <v>2021</v>
      </c>
      <c r="E29" s="2" t="s">
        <v>166</v>
      </c>
      <c r="F29" s="2" t="s">
        <v>166</v>
      </c>
      <c r="G29" s="2">
        <v>1</v>
      </c>
      <c r="H29" s="2" t="s">
        <v>167</v>
      </c>
      <c r="I29" s="2" t="s">
        <v>118</v>
      </c>
      <c r="J29" s="2" t="s">
        <v>118</v>
      </c>
      <c r="K29" s="2" t="s">
        <v>118</v>
      </c>
      <c r="L29" s="5" t="s">
        <v>119</v>
      </c>
      <c r="M29" s="2">
        <v>5</v>
      </c>
      <c r="N29" s="2" t="s">
        <v>168</v>
      </c>
      <c r="O29" s="2">
        <v>1</v>
      </c>
      <c r="P29" s="2" t="s">
        <v>121</v>
      </c>
      <c r="Q29" s="2">
        <v>3</v>
      </c>
      <c r="R29" s="2" t="s">
        <v>135</v>
      </c>
      <c r="S29" s="2" t="s">
        <v>169</v>
      </c>
      <c r="T29" s="2"/>
      <c r="U29" s="2"/>
      <c r="V29" s="2" t="s">
        <v>170</v>
      </c>
      <c r="W29" s="2" t="s">
        <v>170</v>
      </c>
      <c r="X29" s="2" t="s">
        <v>171</v>
      </c>
      <c r="AA29" s="2" t="s">
        <v>172</v>
      </c>
    </row>
    <row r="30" spans="1:27" ht="13" outlineLevel="1">
      <c r="A30" s="2" t="s">
        <v>173</v>
      </c>
      <c r="B30" s="2" t="s">
        <v>38</v>
      </c>
      <c r="C30" s="2" t="s">
        <v>174</v>
      </c>
      <c r="D30" s="2">
        <v>2020</v>
      </c>
      <c r="E30" s="2" t="s">
        <v>166</v>
      </c>
      <c r="F30" s="2" t="s">
        <v>166</v>
      </c>
      <c r="G30" s="2">
        <v>1</v>
      </c>
      <c r="H30" s="2" t="s">
        <v>175</v>
      </c>
      <c r="I30" s="2" t="s">
        <v>118</v>
      </c>
      <c r="J30" s="2">
        <v>3</v>
      </c>
      <c r="K30" s="2" t="s">
        <v>176</v>
      </c>
      <c r="L30" s="5" t="s">
        <v>119</v>
      </c>
      <c r="M30" s="2">
        <v>3</v>
      </c>
      <c r="N30" s="2" t="s">
        <v>144</v>
      </c>
      <c r="O30" s="2">
        <v>1</v>
      </c>
      <c r="P30" s="2" t="s">
        <v>145</v>
      </c>
      <c r="Q30" s="2">
        <v>3</v>
      </c>
      <c r="R30" s="2" t="s">
        <v>135</v>
      </c>
      <c r="S30" s="2" t="s">
        <v>177</v>
      </c>
      <c r="T30" s="2"/>
      <c r="U30" s="2"/>
      <c r="V30" s="2" t="s">
        <v>124</v>
      </c>
      <c r="W30" s="2" t="s">
        <v>147</v>
      </c>
      <c r="X30" s="2" t="s">
        <v>178</v>
      </c>
      <c r="Y30" s="2" t="s">
        <v>179</v>
      </c>
    </row>
    <row r="31" spans="1:27" ht="13" outlineLevel="1">
      <c r="A31" s="2" t="s">
        <v>180</v>
      </c>
      <c r="B31" s="2" t="s">
        <v>38</v>
      </c>
      <c r="C31" s="2" t="s">
        <v>181</v>
      </c>
      <c r="D31" s="2">
        <v>2021</v>
      </c>
      <c r="E31" s="2" t="s">
        <v>40</v>
      </c>
      <c r="F31" s="2" t="s">
        <v>40</v>
      </c>
      <c r="G31" s="2">
        <v>1</v>
      </c>
      <c r="H31" s="2" t="s">
        <v>175</v>
      </c>
      <c r="I31" s="2" t="s">
        <v>118</v>
      </c>
      <c r="J31" s="2">
        <v>7</v>
      </c>
      <c r="K31" s="2" t="s">
        <v>182</v>
      </c>
      <c r="L31" s="2" t="s">
        <v>183</v>
      </c>
      <c r="M31" s="2">
        <v>5</v>
      </c>
      <c r="N31" s="2" t="s">
        <v>184</v>
      </c>
      <c r="O31" s="2">
        <v>1</v>
      </c>
      <c r="P31" s="2" t="s">
        <v>145</v>
      </c>
      <c r="Q31" s="2">
        <v>6</v>
      </c>
      <c r="R31" s="2" t="s">
        <v>185</v>
      </c>
      <c r="S31" s="2" t="s">
        <v>177</v>
      </c>
      <c r="T31" s="2"/>
      <c r="U31" s="2"/>
      <c r="V31" s="2" t="s">
        <v>124</v>
      </c>
      <c r="W31" s="2" t="s">
        <v>147</v>
      </c>
      <c r="X31" s="2" t="s">
        <v>178</v>
      </c>
      <c r="Y31" s="2" t="s">
        <v>179</v>
      </c>
    </row>
    <row r="32" spans="1:27" ht="13" outlineLevel="1">
      <c r="A32" s="2" t="s">
        <v>186</v>
      </c>
      <c r="B32" s="2" t="s">
        <v>187</v>
      </c>
      <c r="C32" s="2" t="s">
        <v>188</v>
      </c>
      <c r="D32" s="2">
        <v>2020</v>
      </c>
      <c r="E32" s="2" t="s">
        <v>166</v>
      </c>
      <c r="F32" s="2" t="s">
        <v>166</v>
      </c>
      <c r="G32" s="2">
        <v>1</v>
      </c>
      <c r="H32" s="2" t="s">
        <v>175</v>
      </c>
      <c r="I32" s="2" t="s">
        <v>118</v>
      </c>
      <c r="J32" s="2">
        <v>8</v>
      </c>
      <c r="K32" s="2" t="s">
        <v>176</v>
      </c>
      <c r="L32" s="2" t="s">
        <v>189</v>
      </c>
      <c r="M32" s="2">
        <v>6</v>
      </c>
      <c r="N32" s="2" t="s">
        <v>190</v>
      </c>
      <c r="O32" s="2">
        <v>1</v>
      </c>
      <c r="P32" s="2" t="s">
        <v>121</v>
      </c>
      <c r="Q32" s="2">
        <v>2</v>
      </c>
      <c r="R32" s="2" t="s">
        <v>191</v>
      </c>
      <c r="S32" s="2" t="s">
        <v>177</v>
      </c>
      <c r="T32" s="2"/>
      <c r="U32" s="2"/>
      <c r="V32" s="2" t="s">
        <v>124</v>
      </c>
      <c r="W32" s="2" t="s">
        <v>147</v>
      </c>
      <c r="X32" s="2" t="s">
        <v>192</v>
      </c>
      <c r="Y32" s="2" t="s">
        <v>193</v>
      </c>
      <c r="Z32" s="2" t="s">
        <v>194</v>
      </c>
      <c r="AA32" s="2" t="s">
        <v>195</v>
      </c>
    </row>
    <row r="33" spans="1:27" ht="13" outlineLevel="1">
      <c r="A33" s="2" t="s">
        <v>196</v>
      </c>
      <c r="B33" s="2" t="s">
        <v>197</v>
      </c>
      <c r="C33" s="2" t="s">
        <v>198</v>
      </c>
      <c r="D33" s="2">
        <v>2018</v>
      </c>
      <c r="E33" s="2" t="s">
        <v>116</v>
      </c>
      <c r="F33" s="2" t="s">
        <v>116</v>
      </c>
      <c r="G33" s="2">
        <v>1</v>
      </c>
      <c r="H33" s="2" t="s">
        <v>175</v>
      </c>
      <c r="I33" s="2" t="s">
        <v>156</v>
      </c>
      <c r="J33" s="2">
        <v>3</v>
      </c>
      <c r="K33" s="2" t="s">
        <v>199</v>
      </c>
      <c r="L33" s="5" t="s">
        <v>119</v>
      </c>
      <c r="M33" s="2">
        <v>6</v>
      </c>
      <c r="N33" s="2" t="s">
        <v>200</v>
      </c>
      <c r="O33" s="2">
        <v>1</v>
      </c>
      <c r="P33" s="2" t="s">
        <v>145</v>
      </c>
      <c r="Q33" s="2">
        <v>3</v>
      </c>
      <c r="R33" s="2" t="s">
        <v>135</v>
      </c>
      <c r="S33" s="2" t="s">
        <v>177</v>
      </c>
      <c r="T33" s="2"/>
      <c r="U33" s="2"/>
      <c r="V33" s="2" t="s">
        <v>124</v>
      </c>
      <c r="W33" s="2" t="s">
        <v>125</v>
      </c>
      <c r="X33" s="2" t="s">
        <v>201</v>
      </c>
      <c r="Y33" s="2" t="s">
        <v>202</v>
      </c>
      <c r="Z33" s="2" t="s">
        <v>203</v>
      </c>
      <c r="AA33" s="2" t="s">
        <v>204</v>
      </c>
    </row>
    <row r="34" spans="1:27" ht="13" outlineLevel="1">
      <c r="A34" s="2" t="s">
        <v>205</v>
      </c>
      <c r="B34" s="2" t="s">
        <v>206</v>
      </c>
      <c r="C34" s="2" t="s">
        <v>207</v>
      </c>
      <c r="D34" s="2">
        <v>2019</v>
      </c>
      <c r="E34" s="2" t="s">
        <v>116</v>
      </c>
      <c r="F34" s="2" t="s">
        <v>116</v>
      </c>
      <c r="G34" s="2">
        <v>2</v>
      </c>
      <c r="H34" s="2" t="s">
        <v>208</v>
      </c>
      <c r="I34" s="2" t="s">
        <v>156</v>
      </c>
      <c r="J34" s="2">
        <v>8</v>
      </c>
      <c r="K34" s="2" t="s">
        <v>209</v>
      </c>
      <c r="L34" s="5" t="s">
        <v>119</v>
      </c>
      <c r="M34" s="2">
        <v>2</v>
      </c>
      <c r="N34" s="2" t="s">
        <v>210</v>
      </c>
      <c r="O34" s="2">
        <v>1</v>
      </c>
      <c r="P34" s="2" t="s">
        <v>211</v>
      </c>
      <c r="Q34" s="2">
        <v>2</v>
      </c>
      <c r="R34" s="5" t="s">
        <v>122</v>
      </c>
      <c r="S34" s="2" t="s">
        <v>212</v>
      </c>
      <c r="T34" s="2"/>
      <c r="U34" s="2"/>
      <c r="V34" s="2" t="s">
        <v>124</v>
      </c>
      <c r="W34" s="2" t="s">
        <v>125</v>
      </c>
      <c r="X34" s="2" t="s">
        <v>213</v>
      </c>
      <c r="Y34" s="2" t="s">
        <v>214</v>
      </c>
      <c r="AA34" s="2" t="s">
        <v>215</v>
      </c>
    </row>
    <row r="35" spans="1:27" ht="13" outlineLevel="1">
      <c r="A35" s="2" t="s">
        <v>216</v>
      </c>
      <c r="B35" s="2" t="s">
        <v>217</v>
      </c>
      <c r="C35" s="2" t="s">
        <v>218</v>
      </c>
      <c r="D35" s="2">
        <v>2018</v>
      </c>
      <c r="E35" s="2" t="s">
        <v>116</v>
      </c>
      <c r="F35" s="2" t="s">
        <v>116</v>
      </c>
      <c r="G35" s="2">
        <v>2</v>
      </c>
      <c r="H35" s="2" t="s">
        <v>208</v>
      </c>
      <c r="I35" s="2" t="s">
        <v>156</v>
      </c>
      <c r="J35" s="2">
        <v>8</v>
      </c>
      <c r="K35" s="2" t="s">
        <v>209</v>
      </c>
      <c r="L35" s="5" t="s">
        <v>119</v>
      </c>
      <c r="M35" s="2">
        <v>2</v>
      </c>
      <c r="N35" s="2" t="s">
        <v>210</v>
      </c>
      <c r="O35" s="2">
        <v>1</v>
      </c>
      <c r="P35" s="2" t="s">
        <v>211</v>
      </c>
      <c r="Q35" s="2">
        <v>2</v>
      </c>
      <c r="R35" s="5" t="s">
        <v>122</v>
      </c>
      <c r="S35" s="2" t="s">
        <v>212</v>
      </c>
      <c r="T35" s="2"/>
      <c r="U35" s="2"/>
      <c r="V35" s="2" t="s">
        <v>124</v>
      </c>
      <c r="W35" s="2" t="s">
        <v>125</v>
      </c>
      <c r="X35" s="2" t="s">
        <v>213</v>
      </c>
      <c r="Y35" s="2" t="s">
        <v>214</v>
      </c>
      <c r="AA35" s="2" t="s">
        <v>215</v>
      </c>
    </row>
    <row r="36" spans="1:27" ht="13" outlineLevel="1">
      <c r="A36" s="2" t="s">
        <v>219</v>
      </c>
      <c r="B36" s="2" t="s">
        <v>220</v>
      </c>
      <c r="C36" s="2" t="s">
        <v>221</v>
      </c>
      <c r="D36" s="2">
        <v>2017</v>
      </c>
      <c r="E36" s="2" t="s">
        <v>116</v>
      </c>
      <c r="F36" s="2" t="s">
        <v>116</v>
      </c>
      <c r="G36" s="2">
        <v>2</v>
      </c>
      <c r="H36" s="2" t="s">
        <v>208</v>
      </c>
      <c r="I36" s="2" t="s">
        <v>156</v>
      </c>
      <c r="J36" s="2">
        <v>8</v>
      </c>
      <c r="K36" s="2" t="s">
        <v>209</v>
      </c>
      <c r="L36" s="5" t="s">
        <v>119</v>
      </c>
      <c r="M36" s="2">
        <v>2</v>
      </c>
      <c r="N36" s="2" t="s">
        <v>210</v>
      </c>
      <c r="O36" s="2">
        <v>1</v>
      </c>
      <c r="P36" s="2" t="s">
        <v>211</v>
      </c>
      <c r="Q36" s="2">
        <v>2</v>
      </c>
      <c r="R36" s="5" t="s">
        <v>122</v>
      </c>
      <c r="S36" s="2" t="s">
        <v>212</v>
      </c>
      <c r="T36" s="2"/>
      <c r="U36" s="2"/>
      <c r="V36" s="2" t="s">
        <v>124</v>
      </c>
      <c r="W36" s="2" t="s">
        <v>125</v>
      </c>
      <c r="X36" s="2" t="s">
        <v>213</v>
      </c>
      <c r="Y36" s="2" t="s">
        <v>214</v>
      </c>
      <c r="AA36" s="2" t="s">
        <v>215</v>
      </c>
    </row>
    <row r="37" spans="1:27" ht="13" outlineLevel="1">
      <c r="A37" s="6" t="s">
        <v>222</v>
      </c>
      <c r="B37" s="6" t="s">
        <v>223</v>
      </c>
      <c r="C37" s="2" t="s">
        <v>224</v>
      </c>
      <c r="D37" s="2">
        <v>2021</v>
      </c>
      <c r="E37" s="2" t="s">
        <v>116</v>
      </c>
      <c r="F37" s="2" t="s">
        <v>116</v>
      </c>
      <c r="G37" s="2">
        <v>3</v>
      </c>
      <c r="H37" s="2" t="s">
        <v>225</v>
      </c>
      <c r="I37" s="2" t="s">
        <v>156</v>
      </c>
      <c r="J37" s="2">
        <v>3</v>
      </c>
      <c r="K37" s="2" t="s">
        <v>226</v>
      </c>
      <c r="L37" s="5" t="s">
        <v>119</v>
      </c>
      <c r="M37" s="2">
        <v>9</v>
      </c>
      <c r="N37" s="2" t="s">
        <v>227</v>
      </c>
      <c r="O37" s="2">
        <v>3</v>
      </c>
      <c r="P37" s="2" t="s">
        <v>228</v>
      </c>
      <c r="Q37" s="2">
        <v>3</v>
      </c>
      <c r="R37" s="2" t="s">
        <v>135</v>
      </c>
      <c r="S37" s="2" t="s">
        <v>229</v>
      </c>
      <c r="T37" s="2"/>
      <c r="U37" s="2"/>
      <c r="V37" s="2" t="s">
        <v>124</v>
      </c>
      <c r="W37" s="2" t="s">
        <v>125</v>
      </c>
      <c r="X37" s="2" t="s">
        <v>230</v>
      </c>
      <c r="Y37" s="2" t="s">
        <v>231</v>
      </c>
      <c r="Z37" s="2" t="s">
        <v>232</v>
      </c>
      <c r="AA37" s="2" t="s">
        <v>233</v>
      </c>
    </row>
    <row r="38" spans="1:27" ht="13" outlineLevel="1">
      <c r="A38" s="2" t="s">
        <v>234</v>
      </c>
      <c r="B38" s="2" t="s">
        <v>235</v>
      </c>
      <c r="C38" s="2" t="s">
        <v>236</v>
      </c>
      <c r="D38" s="2">
        <v>2018</v>
      </c>
      <c r="E38" s="2" t="s">
        <v>237</v>
      </c>
      <c r="F38" s="2" t="s">
        <v>237</v>
      </c>
      <c r="G38" s="2">
        <v>1</v>
      </c>
      <c r="H38" s="2" t="s">
        <v>238</v>
      </c>
      <c r="I38" s="2" t="s">
        <v>170</v>
      </c>
      <c r="J38" s="2" t="s">
        <v>170</v>
      </c>
      <c r="K38" s="2" t="s">
        <v>170</v>
      </c>
      <c r="L38" s="5" t="s">
        <v>119</v>
      </c>
      <c r="M38" s="2">
        <v>1</v>
      </c>
      <c r="N38" s="5" t="s">
        <v>239</v>
      </c>
      <c r="O38" s="2" t="s">
        <v>240</v>
      </c>
      <c r="P38" s="2" t="s">
        <v>240</v>
      </c>
      <c r="Q38" s="2" t="s">
        <v>170</v>
      </c>
      <c r="R38" s="2" t="s">
        <v>170</v>
      </c>
      <c r="S38" s="5" t="s">
        <v>241</v>
      </c>
      <c r="T38" s="2"/>
      <c r="U38" s="2"/>
      <c r="V38" s="2" t="s">
        <v>170</v>
      </c>
      <c r="W38" s="2" t="s">
        <v>170</v>
      </c>
      <c r="X38" s="2" t="s">
        <v>242</v>
      </c>
      <c r="Y38" s="2" t="s">
        <v>118</v>
      </c>
      <c r="Z38" s="2" t="s">
        <v>118</v>
      </c>
      <c r="AA38" s="2" t="s">
        <v>118</v>
      </c>
    </row>
    <row r="39" spans="1:27" ht="13" outlineLevel="1">
      <c r="A39" s="2" t="s">
        <v>243</v>
      </c>
      <c r="B39" s="2" t="s">
        <v>244</v>
      </c>
      <c r="C39" s="2" t="s">
        <v>245</v>
      </c>
      <c r="D39" s="2">
        <v>2020</v>
      </c>
      <c r="E39" s="2" t="s">
        <v>116</v>
      </c>
      <c r="F39" s="2" t="s">
        <v>116</v>
      </c>
      <c r="G39" s="2">
        <v>3</v>
      </c>
      <c r="H39" s="2" t="s">
        <v>225</v>
      </c>
      <c r="I39" s="2" t="s">
        <v>156</v>
      </c>
      <c r="J39" s="2">
        <v>1</v>
      </c>
      <c r="K39" s="2" t="s">
        <v>246</v>
      </c>
      <c r="L39" s="5" t="s">
        <v>119</v>
      </c>
      <c r="M39" s="2">
        <v>5</v>
      </c>
      <c r="N39" s="2" t="s">
        <v>247</v>
      </c>
      <c r="O39" s="2">
        <v>2</v>
      </c>
      <c r="P39" s="2" t="s">
        <v>134</v>
      </c>
      <c r="Q39" s="2">
        <v>3</v>
      </c>
      <c r="R39" s="2" t="s">
        <v>135</v>
      </c>
      <c r="S39" s="2" t="s">
        <v>229</v>
      </c>
      <c r="T39" s="2"/>
      <c r="U39" s="2"/>
      <c r="V39" s="2" t="s">
        <v>124</v>
      </c>
      <c r="W39" s="2" t="s">
        <v>125</v>
      </c>
      <c r="X39" s="2" t="s">
        <v>248</v>
      </c>
      <c r="Y39" s="2" t="s">
        <v>249</v>
      </c>
      <c r="Z39" s="2" t="s">
        <v>250</v>
      </c>
      <c r="AA39" s="2" t="s">
        <v>251</v>
      </c>
    </row>
    <row r="40" spans="1:27" ht="13" outlineLevel="1">
      <c r="A40" s="2" t="s">
        <v>252</v>
      </c>
      <c r="B40" s="2" t="s">
        <v>253</v>
      </c>
      <c r="C40" s="2" t="s">
        <v>254</v>
      </c>
      <c r="D40" s="2">
        <v>2021</v>
      </c>
      <c r="E40" s="2" t="s">
        <v>116</v>
      </c>
      <c r="F40" s="2" t="s">
        <v>116</v>
      </c>
      <c r="G40" s="2">
        <v>2</v>
      </c>
      <c r="H40" s="2" t="s">
        <v>255</v>
      </c>
      <c r="I40" s="2" t="s">
        <v>156</v>
      </c>
      <c r="J40" s="2">
        <v>37</v>
      </c>
      <c r="K40" s="2" t="s">
        <v>256</v>
      </c>
      <c r="L40" s="5" t="s">
        <v>119</v>
      </c>
      <c r="M40" s="2">
        <v>5</v>
      </c>
      <c r="N40" s="2" t="s">
        <v>133</v>
      </c>
      <c r="O40" s="2">
        <v>3</v>
      </c>
      <c r="P40" s="2" t="s">
        <v>257</v>
      </c>
      <c r="Q40" s="2">
        <v>3</v>
      </c>
      <c r="R40" s="2" t="s">
        <v>135</v>
      </c>
      <c r="S40" s="2" t="s">
        <v>169</v>
      </c>
      <c r="T40" s="2"/>
      <c r="U40" s="2"/>
      <c r="V40" s="2" t="s">
        <v>170</v>
      </c>
      <c r="W40" s="2" t="s">
        <v>170</v>
      </c>
      <c r="X40" s="2" t="s">
        <v>258</v>
      </c>
      <c r="Y40" s="2" t="s">
        <v>259</v>
      </c>
      <c r="Z40" s="2" t="s">
        <v>260</v>
      </c>
      <c r="AA40" s="2" t="s">
        <v>261</v>
      </c>
    </row>
    <row r="41" spans="1:27" ht="13" outlineLevel="1">
      <c r="A41" s="2" t="s">
        <v>262</v>
      </c>
      <c r="B41" s="2" t="s">
        <v>263</v>
      </c>
      <c r="C41" s="2" t="s">
        <v>264</v>
      </c>
      <c r="D41" s="2">
        <v>2020</v>
      </c>
      <c r="E41" s="2" t="s">
        <v>166</v>
      </c>
      <c r="F41" s="2" t="s">
        <v>166</v>
      </c>
      <c r="G41" s="2">
        <v>2</v>
      </c>
      <c r="H41" s="2" t="s">
        <v>265</v>
      </c>
      <c r="I41" s="2" t="s">
        <v>156</v>
      </c>
      <c r="J41" s="2">
        <v>2</v>
      </c>
      <c r="K41" s="2" t="s">
        <v>266</v>
      </c>
      <c r="L41" s="2" t="s">
        <v>267</v>
      </c>
      <c r="M41" s="2">
        <v>1</v>
      </c>
      <c r="N41" s="2" t="s">
        <v>268</v>
      </c>
      <c r="O41" s="2">
        <v>1</v>
      </c>
      <c r="P41" s="2" t="s">
        <v>269</v>
      </c>
      <c r="Q41" s="2">
        <v>1</v>
      </c>
      <c r="R41" s="2" t="s">
        <v>270</v>
      </c>
      <c r="S41" s="2" t="s">
        <v>271</v>
      </c>
      <c r="T41" s="2"/>
      <c r="U41" s="2"/>
      <c r="V41" s="2" t="s">
        <v>124</v>
      </c>
      <c r="W41" s="2" t="s">
        <v>272</v>
      </c>
      <c r="X41" s="2" t="s">
        <v>273</v>
      </c>
      <c r="Y41" s="5" t="s">
        <v>274</v>
      </c>
      <c r="Z41" s="2" t="s">
        <v>275</v>
      </c>
      <c r="AA41" s="2" t="s">
        <v>276</v>
      </c>
    </row>
    <row r="42" spans="1:27" ht="13" outlineLevel="1">
      <c r="A42" s="2" t="s">
        <v>277</v>
      </c>
      <c r="B42" s="2" t="s">
        <v>278</v>
      </c>
      <c r="C42" s="2" t="s">
        <v>279</v>
      </c>
      <c r="D42" s="2">
        <v>2022</v>
      </c>
      <c r="E42" s="2" t="s">
        <v>40</v>
      </c>
      <c r="F42" s="2" t="s">
        <v>40</v>
      </c>
      <c r="G42" s="2">
        <v>2</v>
      </c>
      <c r="H42" s="2" t="s">
        <v>280</v>
      </c>
      <c r="I42" s="2" t="s">
        <v>156</v>
      </c>
      <c r="J42" s="2">
        <v>18</v>
      </c>
      <c r="K42" s="2" t="s">
        <v>281</v>
      </c>
      <c r="L42" s="2" t="s">
        <v>267</v>
      </c>
      <c r="M42" s="2">
        <v>3</v>
      </c>
      <c r="N42" s="2" t="s">
        <v>282</v>
      </c>
      <c r="O42" s="2">
        <v>2</v>
      </c>
      <c r="P42" s="2" t="s">
        <v>134</v>
      </c>
      <c r="Q42" s="2">
        <v>4</v>
      </c>
      <c r="R42" s="5" t="s">
        <v>283</v>
      </c>
      <c r="S42" s="2" t="s">
        <v>229</v>
      </c>
      <c r="T42" s="2"/>
      <c r="U42" s="2"/>
      <c r="V42" s="2" t="s">
        <v>124</v>
      </c>
      <c r="W42" s="2" t="s">
        <v>125</v>
      </c>
      <c r="X42" s="2" t="s">
        <v>284</v>
      </c>
      <c r="Y42" s="2" t="s">
        <v>285</v>
      </c>
      <c r="Z42" s="2" t="s">
        <v>286</v>
      </c>
      <c r="AA42" s="2" t="s">
        <v>287</v>
      </c>
    </row>
    <row r="43" spans="1:27" ht="13" outlineLevel="1">
      <c r="A43" s="22" t="s">
        <v>288</v>
      </c>
      <c r="B43" s="22" t="s">
        <v>289</v>
      </c>
      <c r="C43" s="22" t="s">
        <v>290</v>
      </c>
      <c r="D43" s="22">
        <v>2021</v>
      </c>
      <c r="E43" s="22" t="s">
        <v>116</v>
      </c>
      <c r="F43" s="22" t="s">
        <v>116</v>
      </c>
      <c r="G43" s="2">
        <v>2</v>
      </c>
      <c r="H43" s="2" t="s">
        <v>291</v>
      </c>
      <c r="I43" s="2" t="s">
        <v>156</v>
      </c>
      <c r="J43" s="2">
        <v>6</v>
      </c>
      <c r="K43" s="2" t="s">
        <v>292</v>
      </c>
      <c r="L43" s="2" t="s">
        <v>293</v>
      </c>
      <c r="M43" s="2">
        <v>6</v>
      </c>
      <c r="N43" s="2" t="s">
        <v>294</v>
      </c>
      <c r="O43" s="2">
        <v>2</v>
      </c>
      <c r="P43" s="2" t="s">
        <v>295</v>
      </c>
      <c r="Q43" s="2" t="s">
        <v>170</v>
      </c>
      <c r="R43" s="2" t="s">
        <v>170</v>
      </c>
      <c r="S43" s="2" t="s">
        <v>296</v>
      </c>
      <c r="T43" s="2"/>
      <c r="U43" s="2"/>
      <c r="V43" s="2" t="s">
        <v>124</v>
      </c>
      <c r="W43" s="2" t="s">
        <v>125</v>
      </c>
      <c r="X43" s="2" t="s">
        <v>297</v>
      </c>
      <c r="Y43" s="2" t="s">
        <v>298</v>
      </c>
      <c r="Z43" s="2" t="s">
        <v>299</v>
      </c>
      <c r="AA43" s="2" t="s">
        <v>300</v>
      </c>
    </row>
    <row r="44" spans="1:27" ht="13" outlineLevel="1">
      <c r="A44" s="22"/>
      <c r="B44" s="22" t="s">
        <v>301</v>
      </c>
      <c r="C44" s="22" t="s">
        <v>302</v>
      </c>
      <c r="D44" s="22">
        <v>2021</v>
      </c>
      <c r="E44" s="22" t="s">
        <v>303</v>
      </c>
      <c r="F44" s="22" t="s">
        <v>304</v>
      </c>
      <c r="G44" s="2">
        <v>1</v>
      </c>
      <c r="H44" s="2" t="s">
        <v>175</v>
      </c>
      <c r="I44" s="2" t="s">
        <v>118</v>
      </c>
      <c r="J44" s="2">
        <v>3</v>
      </c>
      <c r="K44" s="2" t="s">
        <v>118</v>
      </c>
      <c r="L44" s="2" t="s">
        <v>118</v>
      </c>
      <c r="M44" s="2">
        <v>2</v>
      </c>
      <c r="N44" s="2" t="s">
        <v>118</v>
      </c>
      <c r="O44" s="2" t="s">
        <v>118</v>
      </c>
      <c r="P44" s="2" t="s">
        <v>118</v>
      </c>
      <c r="Q44" s="2">
        <v>3</v>
      </c>
      <c r="R44" s="2" t="s">
        <v>305</v>
      </c>
      <c r="S44" s="2" t="s">
        <v>177</v>
      </c>
      <c r="T44" s="2"/>
      <c r="U44" s="2"/>
      <c r="V44" s="2" t="s">
        <v>124</v>
      </c>
      <c r="W44" s="2" t="s">
        <v>125</v>
      </c>
      <c r="X44" s="2" t="s">
        <v>306</v>
      </c>
      <c r="Y44" s="2" t="s">
        <v>307</v>
      </c>
      <c r="Z44" s="2" t="s">
        <v>118</v>
      </c>
      <c r="AA44" s="2" t="s">
        <v>118</v>
      </c>
    </row>
    <row r="45" spans="1:27" ht="13" outlineLevel="1">
      <c r="A45" s="22"/>
      <c r="B45" s="22" t="s">
        <v>263</v>
      </c>
      <c r="C45" s="22" t="s">
        <v>308</v>
      </c>
      <c r="D45" s="22">
        <v>2022</v>
      </c>
      <c r="E45" s="22" t="s">
        <v>166</v>
      </c>
      <c r="F45" s="22" t="s">
        <v>166</v>
      </c>
      <c r="G45" s="2">
        <v>2</v>
      </c>
      <c r="H45" s="2" t="s">
        <v>265</v>
      </c>
      <c r="I45" s="2" t="s">
        <v>156</v>
      </c>
      <c r="J45" s="2">
        <v>2</v>
      </c>
      <c r="K45" s="2" t="s">
        <v>266</v>
      </c>
      <c r="L45" s="2" t="s">
        <v>267</v>
      </c>
      <c r="M45" s="2">
        <v>1</v>
      </c>
      <c r="N45" s="2" t="s">
        <v>268</v>
      </c>
      <c r="O45" s="2">
        <v>1</v>
      </c>
      <c r="P45" s="2" t="s">
        <v>269</v>
      </c>
      <c r="Q45" s="2">
        <v>1</v>
      </c>
      <c r="R45" s="2" t="s">
        <v>270</v>
      </c>
      <c r="S45" s="2" t="s">
        <v>271</v>
      </c>
      <c r="T45" s="2"/>
      <c r="U45" s="2"/>
      <c r="V45" s="2" t="s">
        <v>124</v>
      </c>
      <c r="W45" s="2" t="s">
        <v>272</v>
      </c>
      <c r="X45" s="2" t="s">
        <v>309</v>
      </c>
      <c r="Y45" s="2" t="s">
        <v>310</v>
      </c>
      <c r="Z45" s="2" t="s">
        <v>311</v>
      </c>
      <c r="AA45" s="2" t="s">
        <v>312</v>
      </c>
    </row>
    <row r="46" spans="1:27" ht="13" outlineLevel="1">
      <c r="A46" s="22"/>
      <c r="B46" s="22" t="s">
        <v>313</v>
      </c>
      <c r="C46" s="22" t="s">
        <v>314</v>
      </c>
      <c r="D46" s="22">
        <v>2022</v>
      </c>
      <c r="E46" s="22" t="s">
        <v>315</v>
      </c>
      <c r="F46" s="22" t="s">
        <v>315</v>
      </c>
      <c r="G46" s="2">
        <v>2</v>
      </c>
      <c r="H46" s="2" t="s">
        <v>316</v>
      </c>
      <c r="I46" s="2" t="s">
        <v>156</v>
      </c>
      <c r="J46" s="2">
        <v>3</v>
      </c>
      <c r="K46" s="2" t="s">
        <v>317</v>
      </c>
      <c r="L46" s="2" t="s">
        <v>318</v>
      </c>
      <c r="M46" s="2">
        <v>4</v>
      </c>
      <c r="N46" s="2" t="s">
        <v>319</v>
      </c>
      <c r="O46" s="2">
        <v>1</v>
      </c>
      <c r="P46" s="2" t="s">
        <v>121</v>
      </c>
      <c r="Q46" s="2">
        <v>3</v>
      </c>
      <c r="R46" s="2" t="s">
        <v>320</v>
      </c>
      <c r="S46" s="2" t="s">
        <v>321</v>
      </c>
      <c r="T46" s="2"/>
      <c r="U46" s="2"/>
      <c r="V46" s="2" t="s">
        <v>124</v>
      </c>
      <c r="W46" s="2" t="s">
        <v>125</v>
      </c>
      <c r="X46" s="2" t="s">
        <v>322</v>
      </c>
      <c r="Y46" s="2" t="s">
        <v>323</v>
      </c>
      <c r="Z46" s="2" t="s">
        <v>324</v>
      </c>
      <c r="AA46" s="2" t="s">
        <v>325</v>
      </c>
    </row>
    <row r="47" spans="1:27" ht="13" outlineLevel="1">
      <c r="A47" s="22"/>
      <c r="B47" s="22" t="s">
        <v>326</v>
      </c>
      <c r="C47" s="22" t="s">
        <v>327</v>
      </c>
      <c r="D47" s="22">
        <v>2021</v>
      </c>
      <c r="E47" s="22" t="s">
        <v>40</v>
      </c>
      <c r="F47" s="22" t="s">
        <v>328</v>
      </c>
      <c r="G47" s="2">
        <v>1</v>
      </c>
      <c r="H47" s="2" t="s">
        <v>329</v>
      </c>
      <c r="I47" s="2" t="s">
        <v>156</v>
      </c>
      <c r="J47" s="2">
        <v>5</v>
      </c>
      <c r="K47" s="2" t="s">
        <v>330</v>
      </c>
      <c r="L47" s="2" t="s">
        <v>267</v>
      </c>
      <c r="M47" s="2">
        <v>2</v>
      </c>
      <c r="N47" s="2" t="s">
        <v>331</v>
      </c>
      <c r="O47" s="2">
        <v>1</v>
      </c>
      <c r="P47" s="2" t="s">
        <v>145</v>
      </c>
      <c r="Q47" s="2">
        <v>3</v>
      </c>
      <c r="R47" s="2" t="s">
        <v>332</v>
      </c>
      <c r="S47" s="2" t="s">
        <v>177</v>
      </c>
      <c r="T47" s="2"/>
      <c r="U47" s="2"/>
      <c r="V47" s="2" t="s">
        <v>124</v>
      </c>
      <c r="W47" s="2" t="s">
        <v>125</v>
      </c>
      <c r="X47" s="2" t="s">
        <v>333</v>
      </c>
      <c r="Y47" s="2" t="s">
        <v>334</v>
      </c>
      <c r="Z47" s="2" t="s">
        <v>335</v>
      </c>
      <c r="AA47" s="2" t="s">
        <v>336</v>
      </c>
    </row>
    <row r="48" spans="1:27" ht="13" outlineLevel="1">
      <c r="A48" s="22"/>
      <c r="B48" s="22" t="s">
        <v>337</v>
      </c>
      <c r="C48" s="22" t="s">
        <v>338</v>
      </c>
      <c r="D48" s="22">
        <v>2022</v>
      </c>
      <c r="E48" s="22" t="s">
        <v>166</v>
      </c>
      <c r="F48" s="22" t="s">
        <v>166</v>
      </c>
      <c r="G48" s="2">
        <v>2</v>
      </c>
      <c r="H48" s="2" t="s">
        <v>339</v>
      </c>
      <c r="I48" s="2" t="s">
        <v>156</v>
      </c>
      <c r="J48" s="2">
        <v>5</v>
      </c>
      <c r="K48" s="2" t="s">
        <v>340</v>
      </c>
      <c r="L48" s="5" t="s">
        <v>119</v>
      </c>
      <c r="M48" s="2">
        <v>4</v>
      </c>
      <c r="N48" s="2" t="s">
        <v>341</v>
      </c>
      <c r="O48" s="2">
        <v>1</v>
      </c>
      <c r="P48" s="2" t="s">
        <v>121</v>
      </c>
      <c r="Q48" s="2">
        <v>3</v>
      </c>
      <c r="R48" s="2" t="s">
        <v>135</v>
      </c>
      <c r="S48" s="2" t="s">
        <v>229</v>
      </c>
      <c r="T48" s="2"/>
      <c r="U48" s="2"/>
      <c r="V48" s="2" t="s">
        <v>124</v>
      </c>
      <c r="W48" s="2" t="s">
        <v>272</v>
      </c>
      <c r="X48" s="2" t="s">
        <v>342</v>
      </c>
      <c r="Y48" s="2" t="s">
        <v>343</v>
      </c>
      <c r="Z48" s="2" t="s">
        <v>344</v>
      </c>
      <c r="AA48" s="2" t="s">
        <v>345</v>
      </c>
    </row>
    <row r="49" spans="1:27" ht="13" outlineLevel="1">
      <c r="A49" s="22"/>
      <c r="B49" s="22" t="s">
        <v>346</v>
      </c>
      <c r="C49" s="22" t="s">
        <v>347</v>
      </c>
      <c r="D49" s="22">
        <v>2022</v>
      </c>
      <c r="E49" s="22" t="s">
        <v>166</v>
      </c>
      <c r="F49" s="22" t="s">
        <v>166</v>
      </c>
      <c r="G49" s="2">
        <v>3</v>
      </c>
      <c r="H49" s="2" t="s">
        <v>348</v>
      </c>
      <c r="I49" s="2" t="s">
        <v>156</v>
      </c>
      <c r="J49" s="2">
        <v>7</v>
      </c>
      <c r="K49" s="2" t="s">
        <v>349</v>
      </c>
      <c r="L49" s="2" t="s">
        <v>350</v>
      </c>
      <c r="M49" s="2">
        <v>7</v>
      </c>
      <c r="N49" s="2" t="s">
        <v>351</v>
      </c>
      <c r="O49" s="2">
        <v>1</v>
      </c>
      <c r="P49" s="2" t="s">
        <v>145</v>
      </c>
      <c r="Q49" s="2">
        <v>3</v>
      </c>
      <c r="R49" s="2" t="s">
        <v>135</v>
      </c>
      <c r="S49" s="2" t="s">
        <v>352</v>
      </c>
      <c r="T49" s="2"/>
      <c r="U49" s="2"/>
      <c r="V49" s="2" t="s">
        <v>124</v>
      </c>
      <c r="W49" s="2" t="s">
        <v>147</v>
      </c>
      <c r="X49" s="2" t="s">
        <v>353</v>
      </c>
      <c r="Y49" s="2" t="s">
        <v>354</v>
      </c>
      <c r="Z49" s="2" t="s">
        <v>355</v>
      </c>
      <c r="AA49" s="2" t="s">
        <v>356</v>
      </c>
    </row>
    <row r="50" spans="1:27" ht="13" outlineLevel="1">
      <c r="A50" s="22"/>
      <c r="B50" s="22" t="s">
        <v>357</v>
      </c>
      <c r="C50" s="22" t="s">
        <v>358</v>
      </c>
      <c r="D50" s="22">
        <v>2020</v>
      </c>
      <c r="E50" s="22" t="s">
        <v>87</v>
      </c>
      <c r="F50" s="22" t="s">
        <v>87</v>
      </c>
      <c r="G50" s="2">
        <v>2</v>
      </c>
      <c r="H50" s="2" t="s">
        <v>359</v>
      </c>
      <c r="I50" s="2" t="s">
        <v>360</v>
      </c>
      <c r="J50" s="2">
        <v>2</v>
      </c>
      <c r="K50" s="2" t="s">
        <v>361</v>
      </c>
      <c r="L50" s="5" t="s">
        <v>119</v>
      </c>
      <c r="M50" s="2">
        <v>2</v>
      </c>
      <c r="N50" s="2" t="s">
        <v>362</v>
      </c>
      <c r="O50" s="2">
        <v>2</v>
      </c>
      <c r="P50" s="2" t="s">
        <v>134</v>
      </c>
      <c r="Q50" s="2">
        <v>8</v>
      </c>
      <c r="R50" s="2" t="s">
        <v>363</v>
      </c>
      <c r="S50" s="2" t="s">
        <v>146</v>
      </c>
      <c r="T50" s="2"/>
      <c r="U50" s="2"/>
      <c r="V50" s="2" t="s">
        <v>124</v>
      </c>
      <c r="W50" s="2" t="s">
        <v>125</v>
      </c>
      <c r="X50" s="2" t="s">
        <v>364</v>
      </c>
      <c r="Y50" s="2" t="s">
        <v>365</v>
      </c>
      <c r="Z50" s="2" t="s">
        <v>366</v>
      </c>
      <c r="AA50" s="2" t="s">
        <v>367</v>
      </c>
    </row>
    <row r="51" spans="1:27" ht="13" outlineLevel="1">
      <c r="A51" s="22"/>
      <c r="B51" s="22" t="s">
        <v>368</v>
      </c>
      <c r="C51" s="22" t="s">
        <v>369</v>
      </c>
      <c r="D51" s="22">
        <v>2019</v>
      </c>
      <c r="E51" s="22" t="s">
        <v>370</v>
      </c>
      <c r="F51" s="22" t="s">
        <v>370</v>
      </c>
      <c r="G51" s="2">
        <v>3</v>
      </c>
      <c r="H51" s="2" t="s">
        <v>371</v>
      </c>
      <c r="I51" s="2" t="s">
        <v>156</v>
      </c>
      <c r="J51" s="2">
        <v>1</v>
      </c>
      <c r="K51" s="2" t="s">
        <v>176</v>
      </c>
      <c r="L51" s="2" t="s">
        <v>350</v>
      </c>
      <c r="M51" s="2">
        <v>4</v>
      </c>
      <c r="N51" s="2" t="s">
        <v>372</v>
      </c>
      <c r="O51" s="2">
        <v>2</v>
      </c>
      <c r="P51" s="2" t="s">
        <v>373</v>
      </c>
      <c r="Q51" s="2">
        <v>2</v>
      </c>
      <c r="R51" s="2" t="s">
        <v>374</v>
      </c>
      <c r="S51" s="2" t="s">
        <v>375</v>
      </c>
      <c r="T51" s="2"/>
      <c r="U51" s="2"/>
      <c r="V51" s="2" t="s">
        <v>124</v>
      </c>
      <c r="W51" s="2" t="s">
        <v>125</v>
      </c>
      <c r="X51" s="2" t="s">
        <v>376</v>
      </c>
      <c r="Y51" s="2" t="s">
        <v>377</v>
      </c>
      <c r="Z51" s="2" t="s">
        <v>378</v>
      </c>
      <c r="AA51" s="2" t="s">
        <v>379</v>
      </c>
    </row>
    <row r="52" spans="1:27" ht="13" outlineLevel="1">
      <c r="A52" s="22"/>
      <c r="B52" s="22" t="s">
        <v>380</v>
      </c>
      <c r="C52" s="22" t="s">
        <v>381</v>
      </c>
      <c r="D52" s="22">
        <v>2019</v>
      </c>
      <c r="E52" s="22" t="s">
        <v>382</v>
      </c>
      <c r="F52" s="22" t="s">
        <v>382</v>
      </c>
      <c r="G52" s="2">
        <v>2</v>
      </c>
      <c r="H52" s="2" t="s">
        <v>383</v>
      </c>
      <c r="I52" s="2" t="s">
        <v>156</v>
      </c>
      <c r="J52" s="2">
        <v>2</v>
      </c>
      <c r="K52" s="2" t="s">
        <v>384</v>
      </c>
      <c r="L52" s="5" t="s">
        <v>119</v>
      </c>
      <c r="M52" s="2">
        <v>2</v>
      </c>
      <c r="N52" s="2" t="s">
        <v>385</v>
      </c>
      <c r="O52" s="2">
        <v>2</v>
      </c>
      <c r="P52" s="2" t="s">
        <v>373</v>
      </c>
      <c r="Q52" s="2">
        <v>4</v>
      </c>
      <c r="R52" s="2" t="s">
        <v>386</v>
      </c>
      <c r="S52" s="2" t="s">
        <v>387</v>
      </c>
      <c r="T52" s="2"/>
      <c r="U52" s="2"/>
      <c r="V52" s="2" t="s">
        <v>124</v>
      </c>
      <c r="W52" s="2" t="s">
        <v>125</v>
      </c>
      <c r="X52" s="2" t="s">
        <v>388</v>
      </c>
      <c r="Y52" s="2" t="s">
        <v>389</v>
      </c>
      <c r="Z52" s="2" t="s">
        <v>390</v>
      </c>
      <c r="AA52" s="2" t="s">
        <v>391</v>
      </c>
    </row>
    <row r="53" spans="1:27" ht="13" outlineLevel="1">
      <c r="A53" s="22"/>
      <c r="B53" s="22" t="s">
        <v>392</v>
      </c>
      <c r="C53" s="22" t="s">
        <v>393</v>
      </c>
      <c r="D53" s="22">
        <v>2022</v>
      </c>
      <c r="E53" s="22" t="s">
        <v>166</v>
      </c>
      <c r="F53" s="22" t="s">
        <v>166</v>
      </c>
      <c r="G53" s="2">
        <v>1</v>
      </c>
      <c r="H53" s="2" t="s">
        <v>394</v>
      </c>
      <c r="I53" s="2" t="s">
        <v>156</v>
      </c>
      <c r="J53" s="2">
        <v>3</v>
      </c>
      <c r="K53" s="2" t="s">
        <v>395</v>
      </c>
      <c r="L53" s="5" t="s">
        <v>119</v>
      </c>
      <c r="M53" s="2">
        <v>9</v>
      </c>
      <c r="N53" s="2" t="s">
        <v>396</v>
      </c>
      <c r="P53" s="2" t="s">
        <v>118</v>
      </c>
      <c r="Q53" s="2" t="s">
        <v>118</v>
      </c>
      <c r="R53" s="2" t="s">
        <v>397</v>
      </c>
      <c r="S53" s="2" t="s">
        <v>398</v>
      </c>
      <c r="T53" s="2"/>
      <c r="U53" s="2"/>
      <c r="V53" s="2" t="s">
        <v>124</v>
      </c>
      <c r="W53" s="2" t="s">
        <v>125</v>
      </c>
      <c r="X53" s="2" t="s">
        <v>399</v>
      </c>
      <c r="Y53" s="2" t="s">
        <v>400</v>
      </c>
      <c r="AA53" s="2" t="s">
        <v>401</v>
      </c>
    </row>
    <row r="54" spans="1:27" ht="13" outlineLevel="1">
      <c r="A54" s="22"/>
      <c r="B54" s="22" t="s">
        <v>402</v>
      </c>
      <c r="C54" s="22" t="s">
        <v>403</v>
      </c>
      <c r="D54" s="22">
        <v>2022</v>
      </c>
      <c r="E54" s="22" t="s">
        <v>166</v>
      </c>
      <c r="F54" s="22" t="s">
        <v>166</v>
      </c>
      <c r="G54" s="2">
        <v>1</v>
      </c>
      <c r="H54" s="2" t="s">
        <v>175</v>
      </c>
      <c r="I54" s="2" t="s">
        <v>118</v>
      </c>
      <c r="J54" s="2" t="s">
        <v>118</v>
      </c>
      <c r="K54" s="2" t="s">
        <v>118</v>
      </c>
      <c r="L54" s="2" t="s">
        <v>118</v>
      </c>
      <c r="M54" s="2" t="s">
        <v>118</v>
      </c>
      <c r="N54" s="2" t="s">
        <v>118</v>
      </c>
      <c r="O54" s="2">
        <v>1</v>
      </c>
      <c r="P54" s="2" t="s">
        <v>145</v>
      </c>
      <c r="Q54" s="2" t="s">
        <v>118</v>
      </c>
      <c r="R54" s="2" t="s">
        <v>118</v>
      </c>
      <c r="S54" s="2" t="s">
        <v>404</v>
      </c>
      <c r="T54" s="2"/>
      <c r="U54" s="2"/>
      <c r="V54" s="2" t="s">
        <v>124</v>
      </c>
      <c r="W54" s="2" t="s">
        <v>125</v>
      </c>
      <c r="X54" s="2" t="s">
        <v>405</v>
      </c>
      <c r="Y54" s="2" t="s">
        <v>406</v>
      </c>
      <c r="Z54" s="2" t="s">
        <v>407</v>
      </c>
      <c r="AA54" s="2" t="s">
        <v>408</v>
      </c>
    </row>
    <row r="55" spans="1:27" ht="13" outlineLevel="1">
      <c r="A55" s="22"/>
      <c r="B55" s="22" t="s">
        <v>409</v>
      </c>
      <c r="C55" s="22" t="s">
        <v>410</v>
      </c>
      <c r="D55" s="22">
        <v>2022</v>
      </c>
      <c r="E55" s="22" t="s">
        <v>166</v>
      </c>
      <c r="F55" s="22" t="s">
        <v>166</v>
      </c>
      <c r="G55" s="2">
        <v>2</v>
      </c>
      <c r="H55" s="2" t="s">
        <v>411</v>
      </c>
      <c r="I55" s="2" t="s">
        <v>118</v>
      </c>
      <c r="J55" s="2" t="s">
        <v>118</v>
      </c>
      <c r="K55" s="2" t="s">
        <v>118</v>
      </c>
      <c r="L55" s="2" t="s">
        <v>118</v>
      </c>
      <c r="M55" s="2" t="s">
        <v>118</v>
      </c>
      <c r="N55" s="2" t="s">
        <v>118</v>
      </c>
      <c r="O55" s="2" t="s">
        <v>118</v>
      </c>
      <c r="P55" s="2" t="s">
        <v>118</v>
      </c>
      <c r="Q55" s="2" t="s">
        <v>118</v>
      </c>
      <c r="R55" s="2" t="s">
        <v>118</v>
      </c>
      <c r="S55" s="2" t="s">
        <v>412</v>
      </c>
      <c r="T55" s="2"/>
      <c r="U55" s="2"/>
      <c r="V55" s="2" t="s">
        <v>124</v>
      </c>
      <c r="W55" s="2" t="s">
        <v>147</v>
      </c>
      <c r="X55" s="2" t="s">
        <v>413</v>
      </c>
      <c r="Y55" s="2" t="s">
        <v>414</v>
      </c>
      <c r="Z55" s="2" t="s">
        <v>415</v>
      </c>
      <c r="AA55" s="2" t="s">
        <v>416</v>
      </c>
    </row>
    <row r="56" spans="1:27" ht="13" outlineLevel="1">
      <c r="A56" s="22"/>
      <c r="B56" s="22"/>
      <c r="C56" s="22"/>
      <c r="D56" s="22"/>
      <c r="E56" s="22"/>
      <c r="F56" s="22"/>
    </row>
    <row r="57" spans="1:27" ht="13">
      <c r="A57" s="2"/>
      <c r="B57" s="2"/>
      <c r="C57" s="2"/>
      <c r="D57" s="2"/>
      <c r="E57" s="2"/>
      <c r="F57" s="2"/>
    </row>
    <row r="58" spans="1:27" ht="13" outlineLevel="1">
      <c r="A58" s="1" t="s">
        <v>417</v>
      </c>
      <c r="B58" s="2"/>
      <c r="C58" s="2"/>
      <c r="D58" s="2"/>
      <c r="E58" s="2"/>
      <c r="F58" s="2"/>
    </row>
    <row r="59" spans="1:27" ht="13" outlineLevel="1">
      <c r="A59" s="2" t="s">
        <v>418</v>
      </c>
      <c r="B59" s="2" t="s">
        <v>419</v>
      </c>
      <c r="C59" s="2" t="s">
        <v>420</v>
      </c>
      <c r="D59" s="2">
        <v>2009</v>
      </c>
      <c r="E59" s="2" t="s">
        <v>421</v>
      </c>
      <c r="F59" s="2" t="s">
        <v>421</v>
      </c>
      <c r="H59" s="2" t="s">
        <v>422</v>
      </c>
    </row>
    <row r="60" spans="1:27" ht="13" outlineLevel="1">
      <c r="A60" s="22"/>
      <c r="B60" s="2"/>
      <c r="C60" s="2" t="s">
        <v>423</v>
      </c>
      <c r="D60" s="2">
        <v>2022</v>
      </c>
      <c r="E60" s="2" t="s">
        <v>424</v>
      </c>
      <c r="F60" s="2" t="s">
        <v>425</v>
      </c>
      <c r="H60" s="2" t="s">
        <v>422</v>
      </c>
    </row>
    <row r="61" spans="1:27" ht="13" outlineLevel="1">
      <c r="C61" s="2" t="s">
        <v>426</v>
      </c>
      <c r="D61" s="2">
        <v>2018</v>
      </c>
      <c r="E61" s="2" t="s">
        <v>427</v>
      </c>
      <c r="F61" s="2" t="s">
        <v>428</v>
      </c>
      <c r="H61" s="2" t="s">
        <v>422</v>
      </c>
    </row>
    <row r="62" spans="1:27" ht="13" outlineLevel="1">
      <c r="C62" s="2" t="s">
        <v>429</v>
      </c>
      <c r="D62" s="2">
        <v>2021</v>
      </c>
      <c r="E62" s="2" t="s">
        <v>87</v>
      </c>
      <c r="F62" s="2" t="s">
        <v>430</v>
      </c>
      <c r="H62" s="2" t="s">
        <v>431</v>
      </c>
    </row>
    <row r="63" spans="1:27" ht="13" outlineLevel="1">
      <c r="C63" s="2" t="s">
        <v>432</v>
      </c>
      <c r="D63" s="2">
        <v>2019</v>
      </c>
      <c r="E63" s="4" t="s">
        <v>433</v>
      </c>
      <c r="F63" s="4" t="s">
        <v>434</v>
      </c>
      <c r="H63" s="2" t="s">
        <v>431</v>
      </c>
    </row>
    <row r="64" spans="1:27" ht="13" outlineLevel="1">
      <c r="A64" s="2" t="s">
        <v>435</v>
      </c>
      <c r="B64" s="2"/>
      <c r="C64" s="2" t="s">
        <v>436</v>
      </c>
      <c r="D64" s="2">
        <v>2018</v>
      </c>
      <c r="E64" s="2" t="s">
        <v>237</v>
      </c>
      <c r="F64" s="2" t="s">
        <v>237</v>
      </c>
      <c r="H64" s="2" t="s">
        <v>431</v>
      </c>
    </row>
    <row r="65" spans="1:27" ht="13" outlineLevel="1">
      <c r="A65" s="2" t="s">
        <v>437</v>
      </c>
      <c r="B65" s="2" t="s">
        <v>438</v>
      </c>
      <c r="C65" s="2" t="s">
        <v>439</v>
      </c>
      <c r="D65" s="2">
        <v>2016</v>
      </c>
      <c r="E65" s="2" t="s">
        <v>440</v>
      </c>
      <c r="F65" s="2" t="s">
        <v>441</v>
      </c>
    </row>
    <row r="66" spans="1:27" ht="13" outlineLevel="1">
      <c r="A66" s="2" t="s">
        <v>442</v>
      </c>
      <c r="B66" s="2" t="s">
        <v>443</v>
      </c>
      <c r="C66" s="2" t="s">
        <v>444</v>
      </c>
      <c r="D66" s="2">
        <v>2017</v>
      </c>
      <c r="E66" s="2" t="s">
        <v>445</v>
      </c>
      <c r="F66" s="2" t="s">
        <v>445</v>
      </c>
    </row>
    <row r="67" spans="1:27" ht="13" outlineLevel="1">
      <c r="A67" s="2" t="s">
        <v>446</v>
      </c>
      <c r="B67" s="2" t="s">
        <v>447</v>
      </c>
      <c r="C67" s="2" t="s">
        <v>448</v>
      </c>
      <c r="D67" s="2">
        <v>2020</v>
      </c>
      <c r="E67" s="2" t="s">
        <v>44</v>
      </c>
      <c r="F67" s="2" t="s">
        <v>44</v>
      </c>
    </row>
    <row r="68" spans="1:27" ht="13" outlineLevel="1">
      <c r="A68" s="2" t="s">
        <v>449</v>
      </c>
      <c r="B68" s="2"/>
      <c r="C68" s="2" t="s">
        <v>450</v>
      </c>
      <c r="D68" s="2">
        <v>2020</v>
      </c>
      <c r="E68" s="2" t="s">
        <v>155</v>
      </c>
      <c r="F68" s="2" t="s">
        <v>155</v>
      </c>
    </row>
    <row r="69" spans="1:27" ht="13" outlineLevel="1">
      <c r="A69" s="2" t="s">
        <v>451</v>
      </c>
      <c r="B69" s="2"/>
      <c r="C69" s="2" t="s">
        <v>452</v>
      </c>
      <c r="D69" s="2">
        <v>2018</v>
      </c>
      <c r="E69" s="2" t="s">
        <v>237</v>
      </c>
      <c r="F69" s="2" t="s">
        <v>237</v>
      </c>
    </row>
    <row r="70" spans="1:27" ht="13" outlineLevel="1">
      <c r="A70" s="2" t="s">
        <v>453</v>
      </c>
      <c r="B70" s="2"/>
      <c r="C70" s="2" t="s">
        <v>454</v>
      </c>
      <c r="D70" s="2">
        <v>2019</v>
      </c>
      <c r="E70" s="2" t="s">
        <v>424</v>
      </c>
      <c r="F70" s="2" t="s">
        <v>425</v>
      </c>
    </row>
    <row r="71" spans="1:27" ht="13" outlineLevel="1">
      <c r="A71" s="2"/>
      <c r="B71" s="2"/>
      <c r="C71" s="2" t="s">
        <v>455</v>
      </c>
      <c r="D71" s="2">
        <v>2020</v>
      </c>
      <c r="E71" s="2" t="s">
        <v>456</v>
      </c>
      <c r="F71" s="2" t="s">
        <v>457</v>
      </c>
    </row>
    <row r="72" spans="1:27" ht="13" outlineLevel="1">
      <c r="A72" s="2"/>
      <c r="B72" s="2"/>
      <c r="C72" s="2" t="s">
        <v>458</v>
      </c>
      <c r="D72" s="2">
        <v>2019</v>
      </c>
      <c r="E72" s="2" t="s">
        <v>87</v>
      </c>
      <c r="F72" s="2" t="s">
        <v>87</v>
      </c>
    </row>
    <row r="73" spans="1:27" ht="13" outlineLevel="1">
      <c r="A73" s="2" t="s">
        <v>459</v>
      </c>
      <c r="B73" s="2" t="s">
        <v>460</v>
      </c>
      <c r="C73" s="2" t="s">
        <v>461</v>
      </c>
      <c r="D73" s="2">
        <v>2020</v>
      </c>
      <c r="E73" s="2" t="s">
        <v>462</v>
      </c>
      <c r="F73" s="2" t="s">
        <v>462</v>
      </c>
    </row>
    <row r="74" spans="1:27" ht="13" outlineLevel="1">
      <c r="C74" s="8" t="s">
        <v>463</v>
      </c>
      <c r="D74" s="2">
        <v>2019</v>
      </c>
      <c r="E74" s="2" t="s">
        <v>464</v>
      </c>
      <c r="F74" s="2" t="s">
        <v>464</v>
      </c>
    </row>
    <row r="75" spans="1:27" ht="13" outlineLevel="1">
      <c r="A75" s="2" t="s">
        <v>465</v>
      </c>
      <c r="B75" s="2"/>
      <c r="C75" s="2" t="s">
        <v>466</v>
      </c>
      <c r="D75" s="2">
        <v>2019</v>
      </c>
      <c r="E75" s="2" t="s">
        <v>467</v>
      </c>
      <c r="F75" s="2" t="s">
        <v>468</v>
      </c>
      <c r="G75" s="2"/>
      <c r="H75" s="2" t="s">
        <v>469</v>
      </c>
      <c r="I75" s="2"/>
      <c r="J75" s="2"/>
      <c r="K75" s="2"/>
      <c r="L75" s="2"/>
      <c r="M75" s="2"/>
      <c r="N75" s="2" t="s">
        <v>470</v>
      </c>
      <c r="O75" s="2"/>
      <c r="P75" s="2"/>
      <c r="Q75" s="2"/>
      <c r="R75" s="2" t="s">
        <v>471</v>
      </c>
      <c r="S75" s="2" t="s">
        <v>472</v>
      </c>
      <c r="T75" s="2"/>
      <c r="U75" s="2"/>
      <c r="V75" s="2" t="s">
        <v>124</v>
      </c>
      <c r="Y75" s="2" t="s">
        <v>473</v>
      </c>
    </row>
    <row r="76" spans="1:27" ht="13">
      <c r="A76" s="2"/>
      <c r="B76" s="2"/>
      <c r="C76" s="2"/>
      <c r="D76" s="2"/>
      <c r="E76" s="2"/>
      <c r="F76" s="2"/>
    </row>
    <row r="77" spans="1:27" ht="13">
      <c r="A77" s="1" t="s">
        <v>474</v>
      </c>
      <c r="B77" s="2"/>
      <c r="C77" s="2"/>
      <c r="D77" s="2"/>
      <c r="E77" s="2"/>
      <c r="F77" s="2"/>
    </row>
    <row r="78" spans="1:27" ht="13" outlineLevel="1">
      <c r="A78" s="2" t="s">
        <v>475</v>
      </c>
      <c r="B78" s="2" t="s">
        <v>476</v>
      </c>
      <c r="C78" s="2" t="s">
        <v>477</v>
      </c>
      <c r="D78" s="2">
        <v>2017</v>
      </c>
      <c r="E78" s="2" t="s">
        <v>478</v>
      </c>
      <c r="F78" s="2" t="s">
        <v>478</v>
      </c>
      <c r="G78" s="2">
        <v>1</v>
      </c>
      <c r="H78" s="2" t="s">
        <v>479</v>
      </c>
      <c r="I78" s="2"/>
      <c r="J78" s="2"/>
      <c r="K78" s="2"/>
      <c r="L78" s="2"/>
      <c r="M78" s="2">
        <v>1</v>
      </c>
      <c r="N78" s="2" t="s">
        <v>480</v>
      </c>
      <c r="O78" s="2"/>
      <c r="P78" s="2" t="s">
        <v>481</v>
      </c>
      <c r="Q78" s="2"/>
      <c r="R78" s="2" t="s">
        <v>158</v>
      </c>
      <c r="S78" s="2" t="s">
        <v>482</v>
      </c>
      <c r="T78" s="2"/>
      <c r="U78" s="2"/>
      <c r="V78" s="2" t="s">
        <v>124</v>
      </c>
      <c r="X78" s="2" t="s">
        <v>483</v>
      </c>
      <c r="Y78" s="2" t="s">
        <v>484</v>
      </c>
      <c r="Z78" s="2" t="s">
        <v>485</v>
      </c>
      <c r="AA78" s="2" t="s">
        <v>486</v>
      </c>
    </row>
    <row r="79" spans="1:27" ht="13" outlineLevel="1">
      <c r="A79" s="2" t="s">
        <v>487</v>
      </c>
      <c r="B79" s="2" t="s">
        <v>488</v>
      </c>
      <c r="C79" s="2" t="s">
        <v>489</v>
      </c>
      <c r="D79" s="2">
        <v>2021</v>
      </c>
      <c r="E79" s="2" t="s">
        <v>56</v>
      </c>
      <c r="F79" s="2" t="s">
        <v>102</v>
      </c>
      <c r="G79" s="2">
        <v>1</v>
      </c>
      <c r="H79" s="2" t="s">
        <v>490</v>
      </c>
      <c r="I79" s="2"/>
      <c r="J79" s="2"/>
      <c r="K79" s="2"/>
      <c r="L79" s="2"/>
      <c r="M79" s="2">
        <v>2</v>
      </c>
      <c r="N79" s="2" t="s">
        <v>491</v>
      </c>
      <c r="O79" s="2"/>
      <c r="P79" s="2" t="s">
        <v>492</v>
      </c>
      <c r="Q79" s="2"/>
      <c r="R79" s="2" t="s">
        <v>158</v>
      </c>
      <c r="S79" s="2" t="s">
        <v>493</v>
      </c>
      <c r="T79" s="2"/>
      <c r="U79" s="2"/>
      <c r="V79" s="2" t="s">
        <v>124</v>
      </c>
      <c r="W79" s="2" t="s">
        <v>494</v>
      </c>
      <c r="X79" s="2" t="s">
        <v>495</v>
      </c>
      <c r="Y79" s="2" t="s">
        <v>496</v>
      </c>
      <c r="Z79" s="2" t="s">
        <v>497</v>
      </c>
      <c r="AA79" s="2" t="s">
        <v>498</v>
      </c>
    </row>
    <row r="80" spans="1:27" ht="13" outlineLevel="1">
      <c r="A80" s="22" t="s">
        <v>499</v>
      </c>
      <c r="B80" s="2" t="s">
        <v>500</v>
      </c>
      <c r="C80" s="2" t="s">
        <v>501</v>
      </c>
      <c r="D80" s="2">
        <v>2020</v>
      </c>
      <c r="E80" s="2" t="s">
        <v>116</v>
      </c>
      <c r="F80" s="2" t="s">
        <v>116</v>
      </c>
    </row>
    <row r="81" spans="1:43" ht="13" outlineLevel="1">
      <c r="A81" s="2" t="s">
        <v>502</v>
      </c>
      <c r="B81" s="2" t="s">
        <v>503</v>
      </c>
      <c r="C81" s="2" t="s">
        <v>504</v>
      </c>
      <c r="D81" s="2">
        <v>2019</v>
      </c>
      <c r="E81" s="2" t="s">
        <v>478</v>
      </c>
      <c r="F81" s="2" t="s">
        <v>478</v>
      </c>
    </row>
    <row r="82" spans="1:43" ht="13" outlineLevel="1">
      <c r="A82" s="2" t="s">
        <v>505</v>
      </c>
      <c r="B82" s="2" t="s">
        <v>476</v>
      </c>
      <c r="C82" s="2" t="s">
        <v>506</v>
      </c>
      <c r="D82" s="2">
        <v>2017</v>
      </c>
      <c r="E82" s="2" t="s">
        <v>507</v>
      </c>
      <c r="F82" s="2" t="s">
        <v>508</v>
      </c>
    </row>
    <row r="83" spans="1:43" ht="13" outlineLevel="1">
      <c r="A83" s="2" t="s">
        <v>509</v>
      </c>
      <c r="B83" s="2" t="s">
        <v>510</v>
      </c>
      <c r="C83" s="2" t="s">
        <v>511</v>
      </c>
      <c r="D83" s="2">
        <v>2015</v>
      </c>
      <c r="E83" s="2" t="s">
        <v>512</v>
      </c>
      <c r="F83" s="2" t="s">
        <v>513</v>
      </c>
    </row>
    <row r="84" spans="1:43" ht="13" outlineLevel="1">
      <c r="A84" s="2" t="s">
        <v>514</v>
      </c>
      <c r="B84" s="2" t="s">
        <v>515</v>
      </c>
      <c r="C84" s="2" t="s">
        <v>516</v>
      </c>
      <c r="D84" s="2">
        <v>2019</v>
      </c>
      <c r="E84" s="2" t="s">
        <v>427</v>
      </c>
      <c r="F84" s="2" t="s">
        <v>427</v>
      </c>
    </row>
    <row r="85" spans="1:43" ht="13" outlineLevel="1">
      <c r="A85" s="2" t="s">
        <v>517</v>
      </c>
      <c r="B85" s="2" t="s">
        <v>518</v>
      </c>
      <c r="C85" s="2" t="s">
        <v>519</v>
      </c>
      <c r="D85" s="2">
        <v>2019</v>
      </c>
      <c r="E85" s="2" t="s">
        <v>87</v>
      </c>
      <c r="F85" s="2" t="s">
        <v>87</v>
      </c>
    </row>
    <row r="86" spans="1:43" ht="13" outlineLevel="1">
      <c r="A86" s="2" t="s">
        <v>520</v>
      </c>
      <c r="B86" s="2" t="s">
        <v>521</v>
      </c>
      <c r="C86" s="2" t="s">
        <v>522</v>
      </c>
      <c r="D86" s="2">
        <v>2020</v>
      </c>
      <c r="E86" s="2" t="s">
        <v>523</v>
      </c>
      <c r="F86" s="2" t="s">
        <v>523</v>
      </c>
    </row>
    <row r="87" spans="1:43" ht="13" outlineLevel="1">
      <c r="A87" s="2" t="s">
        <v>524</v>
      </c>
      <c r="B87" s="2" t="s">
        <v>525</v>
      </c>
      <c r="C87" s="2" t="s">
        <v>526</v>
      </c>
      <c r="D87" s="2">
        <v>2020</v>
      </c>
      <c r="E87" s="2" t="s">
        <v>527</v>
      </c>
      <c r="F87" s="2" t="s">
        <v>527</v>
      </c>
    </row>
    <row r="88" spans="1:43" ht="13" outlineLevel="1">
      <c r="A88" s="9" t="s">
        <v>528</v>
      </c>
      <c r="B88" s="7" t="s">
        <v>529</v>
      </c>
      <c r="C88" s="9" t="s">
        <v>530</v>
      </c>
      <c r="D88" s="7">
        <v>2019</v>
      </c>
      <c r="E88" s="10" t="s">
        <v>531</v>
      </c>
      <c r="F88" s="2" t="s">
        <v>532</v>
      </c>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row>
    <row r="89" spans="1:43" ht="13" outlineLevel="1">
      <c r="A89" s="9"/>
      <c r="B89" s="7"/>
      <c r="C89" s="22" t="s">
        <v>533</v>
      </c>
      <c r="D89" s="7"/>
      <c r="F89" s="2"/>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row>
    <row r="90" spans="1:43" ht="13" outlineLevel="1">
      <c r="A90" s="2" t="s">
        <v>534</v>
      </c>
      <c r="B90" s="2" t="s">
        <v>535</v>
      </c>
      <c r="C90" s="2" t="s">
        <v>536</v>
      </c>
      <c r="D90" s="2">
        <v>2021</v>
      </c>
      <c r="E90" s="2" t="s">
        <v>370</v>
      </c>
      <c r="F90" s="2" t="s">
        <v>370</v>
      </c>
    </row>
    <row r="91" spans="1:43" ht="13">
      <c r="A91" s="2"/>
      <c r="B91" s="2"/>
      <c r="C91" s="2"/>
      <c r="D91" s="2"/>
      <c r="E91" s="2"/>
      <c r="F91" s="2"/>
    </row>
    <row r="92" spans="1:43" ht="13">
      <c r="A92" s="1"/>
      <c r="B92" s="2"/>
      <c r="C92" s="2"/>
    </row>
    <row r="93" spans="1:43" ht="13">
      <c r="A93" s="1" t="s">
        <v>537</v>
      </c>
      <c r="B93" s="2"/>
      <c r="C93" s="2"/>
    </row>
    <row r="94" spans="1:43" ht="13" outlineLevel="1">
      <c r="A94" s="2" t="s">
        <v>538</v>
      </c>
      <c r="B94" s="2" t="s">
        <v>539</v>
      </c>
      <c r="C94" s="2" t="s">
        <v>540</v>
      </c>
      <c r="D94" s="2">
        <v>2018</v>
      </c>
      <c r="E94" s="2" t="s">
        <v>464</v>
      </c>
      <c r="F94" s="2" t="s">
        <v>464</v>
      </c>
      <c r="S94" s="2" t="s">
        <v>541</v>
      </c>
    </row>
    <row r="95" spans="1:43" ht="13" outlineLevel="1">
      <c r="A95" s="2" t="s">
        <v>542</v>
      </c>
      <c r="B95" s="2" t="s">
        <v>543</v>
      </c>
      <c r="C95" s="2" t="s">
        <v>544</v>
      </c>
      <c r="D95" s="2">
        <v>2020</v>
      </c>
      <c r="E95" s="2" t="s">
        <v>56</v>
      </c>
      <c r="F95" s="2" t="s">
        <v>545</v>
      </c>
    </row>
    <row r="96" spans="1:43" ht="13" outlineLevel="1">
      <c r="A96" s="2" t="s">
        <v>546</v>
      </c>
      <c r="B96" s="2" t="s">
        <v>547</v>
      </c>
      <c r="C96" s="2" t="s">
        <v>548</v>
      </c>
      <c r="D96" s="2">
        <v>2020</v>
      </c>
      <c r="E96" s="3" t="s">
        <v>87</v>
      </c>
      <c r="F96" s="2" t="s">
        <v>88</v>
      </c>
    </row>
    <row r="97" spans="1:26" ht="13" outlineLevel="1">
      <c r="A97" s="2" t="s">
        <v>549</v>
      </c>
      <c r="B97" s="2" t="s">
        <v>550</v>
      </c>
      <c r="C97" s="2" t="s">
        <v>551</v>
      </c>
      <c r="D97" s="2">
        <v>2019</v>
      </c>
      <c r="E97" s="3" t="s">
        <v>87</v>
      </c>
      <c r="F97" s="2" t="s">
        <v>88</v>
      </c>
    </row>
    <row r="98" spans="1:26" ht="13" outlineLevel="1">
      <c r="A98" s="2" t="s">
        <v>552</v>
      </c>
      <c r="B98" s="2"/>
      <c r="C98" s="2" t="s">
        <v>553</v>
      </c>
      <c r="D98" s="2">
        <v>2019</v>
      </c>
      <c r="E98" s="2" t="s">
        <v>467</v>
      </c>
      <c r="F98" s="2" t="s">
        <v>468</v>
      </c>
      <c r="G98" s="2"/>
      <c r="H98" s="2" t="s">
        <v>554</v>
      </c>
      <c r="I98" s="2"/>
      <c r="J98" s="2"/>
      <c r="K98" s="2"/>
      <c r="L98" s="2"/>
      <c r="M98" s="2"/>
      <c r="N98" s="2" t="s">
        <v>555</v>
      </c>
      <c r="O98" s="2"/>
      <c r="P98" s="2"/>
      <c r="Q98" s="2"/>
      <c r="R98" s="2" t="s">
        <v>556</v>
      </c>
      <c r="S98" s="2" t="s">
        <v>557</v>
      </c>
      <c r="T98" s="2"/>
      <c r="U98" s="2"/>
      <c r="V98" s="2" t="s">
        <v>558</v>
      </c>
      <c r="W98" s="2" t="s">
        <v>125</v>
      </c>
      <c r="Y98" s="2" t="s">
        <v>559</v>
      </c>
    </row>
    <row r="99" spans="1:26" ht="13" outlineLevel="1">
      <c r="A99" s="2" t="s">
        <v>560</v>
      </c>
      <c r="B99" s="2"/>
      <c r="C99" s="2" t="s">
        <v>561</v>
      </c>
      <c r="D99" s="2">
        <v>2019</v>
      </c>
      <c r="E99" s="2" t="s">
        <v>467</v>
      </c>
      <c r="F99" s="2" t="s">
        <v>468</v>
      </c>
      <c r="G99" s="2"/>
      <c r="H99" s="2" t="s">
        <v>562</v>
      </c>
      <c r="I99" s="2"/>
      <c r="J99" s="2"/>
      <c r="K99" s="2"/>
      <c r="L99" s="2"/>
      <c r="M99" s="2"/>
      <c r="N99" s="2" t="s">
        <v>563</v>
      </c>
      <c r="Q99" s="2"/>
      <c r="R99" s="2" t="s">
        <v>564</v>
      </c>
      <c r="S99" s="2" t="s">
        <v>557</v>
      </c>
      <c r="T99" s="2"/>
      <c r="U99" s="2"/>
      <c r="V99" s="2" t="s">
        <v>558</v>
      </c>
      <c r="W99" s="2" t="s">
        <v>125</v>
      </c>
      <c r="X99" s="2" t="s">
        <v>565</v>
      </c>
      <c r="Y99" s="2" t="s">
        <v>559</v>
      </c>
    </row>
    <row r="100" spans="1:26" ht="13" outlineLevel="1">
      <c r="C100" s="2" t="s">
        <v>566</v>
      </c>
      <c r="D100" s="2">
        <v>2019</v>
      </c>
      <c r="E100" s="2" t="s">
        <v>467</v>
      </c>
      <c r="F100" s="2" t="s">
        <v>468</v>
      </c>
      <c r="G100" s="2"/>
      <c r="H100" s="2" t="s">
        <v>567</v>
      </c>
      <c r="I100" s="2"/>
      <c r="J100" s="2"/>
      <c r="K100" s="2"/>
      <c r="L100" s="2"/>
      <c r="M100" s="2"/>
      <c r="N100" s="2" t="s">
        <v>568</v>
      </c>
      <c r="Q100" s="2"/>
      <c r="R100" s="2" t="s">
        <v>569</v>
      </c>
      <c r="S100" s="2" t="s">
        <v>557</v>
      </c>
      <c r="T100" s="2"/>
      <c r="U100" s="2"/>
      <c r="V100" s="2" t="s">
        <v>558</v>
      </c>
      <c r="W100" s="2" t="s">
        <v>125</v>
      </c>
      <c r="Y100" s="2" t="s">
        <v>559</v>
      </c>
    </row>
    <row r="101" spans="1:26" ht="13" outlineLevel="1">
      <c r="A101" s="2" t="s">
        <v>570</v>
      </c>
      <c r="B101" s="2"/>
      <c r="C101" s="2" t="s">
        <v>571</v>
      </c>
      <c r="D101" s="2">
        <v>2019</v>
      </c>
      <c r="E101" s="2" t="s">
        <v>467</v>
      </c>
      <c r="F101" s="2" t="s">
        <v>468</v>
      </c>
      <c r="G101" s="2"/>
      <c r="H101" s="2" t="s">
        <v>572</v>
      </c>
      <c r="I101" s="2"/>
      <c r="J101" s="2"/>
      <c r="K101" s="2"/>
      <c r="L101" s="2"/>
      <c r="M101" s="2"/>
      <c r="N101" s="2" t="s">
        <v>573</v>
      </c>
      <c r="Q101" s="2"/>
      <c r="R101" s="2" t="s">
        <v>574</v>
      </c>
      <c r="S101" s="2" t="s">
        <v>575</v>
      </c>
      <c r="T101" s="2"/>
      <c r="U101" s="2"/>
      <c r="V101" s="2" t="s">
        <v>124</v>
      </c>
      <c r="W101" s="2" t="s">
        <v>147</v>
      </c>
      <c r="X101" s="2" t="s">
        <v>576</v>
      </c>
      <c r="Y101" s="2" t="s">
        <v>577</v>
      </c>
      <c r="Z101" s="2" t="s">
        <v>578</v>
      </c>
    </row>
    <row r="102" spans="1:26" ht="13" outlineLevel="1">
      <c r="C102" s="2" t="s">
        <v>579</v>
      </c>
    </row>
    <row r="103" spans="1:26" ht="13" outlineLevel="1">
      <c r="A103" s="2" t="s">
        <v>580</v>
      </c>
      <c r="B103" s="2" t="s">
        <v>581</v>
      </c>
      <c r="C103" s="2" t="s">
        <v>582</v>
      </c>
      <c r="D103" s="2">
        <v>2019</v>
      </c>
      <c r="E103" s="3" t="s">
        <v>87</v>
      </c>
      <c r="F103" s="2" t="s">
        <v>88</v>
      </c>
    </row>
    <row r="104" spans="1:26" ht="13" outlineLevel="1">
      <c r="A104" s="2" t="s">
        <v>583</v>
      </c>
      <c r="B104" s="2"/>
      <c r="C104" s="2" t="s">
        <v>584</v>
      </c>
      <c r="D104" s="2">
        <v>2018</v>
      </c>
      <c r="E104" s="2" t="s">
        <v>87</v>
      </c>
      <c r="F104" s="2" t="s">
        <v>87</v>
      </c>
      <c r="G104" s="2"/>
      <c r="H104" s="2"/>
      <c r="I104" s="2"/>
      <c r="J104" s="2"/>
      <c r="K104" s="2"/>
      <c r="L104" s="2"/>
      <c r="M104" s="2"/>
      <c r="N104" s="2"/>
      <c r="S104" s="2"/>
      <c r="T104" s="2"/>
      <c r="U104" s="2"/>
      <c r="V104" s="2"/>
      <c r="Y104" s="2"/>
    </row>
    <row r="105" spans="1:26" ht="13" outlineLevel="1">
      <c r="A105" s="2" t="s">
        <v>585</v>
      </c>
      <c r="B105" s="2"/>
      <c r="C105" s="2" t="s">
        <v>586</v>
      </c>
      <c r="D105" s="2">
        <v>2017</v>
      </c>
      <c r="E105" s="2" t="s">
        <v>587</v>
      </c>
      <c r="F105" s="2" t="s">
        <v>587</v>
      </c>
      <c r="G105" s="2"/>
      <c r="H105" s="2" t="s">
        <v>588</v>
      </c>
      <c r="I105" s="2"/>
      <c r="J105" s="2"/>
      <c r="K105" s="2"/>
      <c r="L105" s="2"/>
      <c r="M105" s="2"/>
      <c r="N105" s="2" t="s">
        <v>589</v>
      </c>
      <c r="O105" s="2"/>
      <c r="P105" s="2" t="s">
        <v>590</v>
      </c>
      <c r="Q105" s="2"/>
      <c r="R105" s="2" t="s">
        <v>158</v>
      </c>
      <c r="S105" s="2" t="s">
        <v>591</v>
      </c>
      <c r="T105" s="2"/>
      <c r="U105" s="2"/>
      <c r="V105" s="2"/>
      <c r="W105" s="2" t="s">
        <v>592</v>
      </c>
      <c r="X105" s="2" t="s">
        <v>593</v>
      </c>
      <c r="Y105" s="2" t="s">
        <v>594</v>
      </c>
      <c r="Z105" s="2" t="s">
        <v>595</v>
      </c>
    </row>
    <row r="106" spans="1:26" ht="13" outlineLevel="1">
      <c r="A106" s="2" t="s">
        <v>596</v>
      </c>
      <c r="B106" s="2"/>
      <c r="C106" s="2" t="s">
        <v>597</v>
      </c>
      <c r="D106" s="2">
        <v>2020</v>
      </c>
      <c r="E106" s="2" t="s">
        <v>598</v>
      </c>
      <c r="F106" s="2" t="s">
        <v>598</v>
      </c>
      <c r="G106" s="2"/>
      <c r="H106" s="2" t="s">
        <v>599</v>
      </c>
      <c r="I106" s="2"/>
      <c r="J106" s="2"/>
      <c r="K106" s="2"/>
      <c r="L106" s="2"/>
      <c r="M106" s="2"/>
      <c r="N106" s="2" t="s">
        <v>470</v>
      </c>
      <c r="Q106" s="2"/>
      <c r="R106" s="2" t="s">
        <v>158</v>
      </c>
      <c r="S106" s="2" t="s">
        <v>591</v>
      </c>
      <c r="T106" s="2"/>
      <c r="U106" s="2"/>
      <c r="V106" s="2" t="s">
        <v>124</v>
      </c>
      <c r="Y106" s="2" t="s">
        <v>600</v>
      </c>
    </row>
    <row r="107" spans="1:26" ht="13" outlineLevel="1">
      <c r="C107" s="2" t="s">
        <v>601</v>
      </c>
      <c r="D107" s="2">
        <v>2021</v>
      </c>
      <c r="E107" s="2" t="s">
        <v>602</v>
      </c>
      <c r="F107" s="2" t="s">
        <v>602</v>
      </c>
    </row>
    <row r="108" spans="1:26" ht="13" outlineLevel="1">
      <c r="C108" s="2" t="s">
        <v>603</v>
      </c>
      <c r="D108" s="2">
        <v>2019</v>
      </c>
      <c r="E108" s="2" t="s">
        <v>602</v>
      </c>
      <c r="F108" s="2" t="s">
        <v>604</v>
      </c>
    </row>
    <row r="109" spans="1:26" ht="13" outlineLevel="1">
      <c r="A109" s="2" t="s">
        <v>605</v>
      </c>
      <c r="B109" s="2" t="s">
        <v>606</v>
      </c>
      <c r="C109" s="2" t="s">
        <v>607</v>
      </c>
      <c r="D109" s="2">
        <v>2020</v>
      </c>
      <c r="E109" s="2" t="s">
        <v>602</v>
      </c>
      <c r="F109" s="2" t="s">
        <v>604</v>
      </c>
    </row>
    <row r="110" spans="1:26" ht="13" outlineLevel="1">
      <c r="C110" s="2" t="s">
        <v>608</v>
      </c>
      <c r="D110" s="2">
        <v>2020</v>
      </c>
      <c r="E110" s="2" t="s">
        <v>609</v>
      </c>
      <c r="F110" s="2" t="s">
        <v>610</v>
      </c>
    </row>
    <row r="111" spans="1:26" ht="13" outlineLevel="1">
      <c r="C111" s="2" t="s">
        <v>611</v>
      </c>
      <c r="D111" s="2">
        <v>2018</v>
      </c>
      <c r="E111" s="2" t="s">
        <v>464</v>
      </c>
      <c r="F111" s="2" t="s">
        <v>464</v>
      </c>
    </row>
    <row r="112" spans="1:26" ht="13" outlineLevel="1">
      <c r="C112" s="2" t="s">
        <v>612</v>
      </c>
      <c r="D112" s="2">
        <v>2021</v>
      </c>
      <c r="E112" s="2" t="s">
        <v>609</v>
      </c>
      <c r="F112" s="2" t="s">
        <v>610</v>
      </c>
    </row>
    <row r="113" spans="1:27" ht="13" outlineLevel="1">
      <c r="C113" s="2" t="s">
        <v>613</v>
      </c>
      <c r="D113" s="2">
        <v>2020</v>
      </c>
      <c r="E113" s="2" t="s">
        <v>614</v>
      </c>
      <c r="F113" s="2" t="s">
        <v>614</v>
      </c>
    </row>
    <row r="114" spans="1:27" ht="13" outlineLevel="1">
      <c r="C114" s="2" t="s">
        <v>615</v>
      </c>
      <c r="D114" s="2">
        <v>2021</v>
      </c>
      <c r="E114" s="2" t="s">
        <v>616</v>
      </c>
      <c r="F114" s="2" t="s">
        <v>616</v>
      </c>
    </row>
    <row r="115" spans="1:27" ht="13" outlineLevel="1">
      <c r="C115" s="2" t="s">
        <v>617</v>
      </c>
      <c r="D115" s="2">
        <v>2021</v>
      </c>
      <c r="E115" s="2" t="s">
        <v>609</v>
      </c>
      <c r="F115" s="2" t="s">
        <v>610</v>
      </c>
    </row>
    <row r="116" spans="1:27" ht="13" outlineLevel="1">
      <c r="C116" s="2" t="s">
        <v>618</v>
      </c>
      <c r="D116" s="2">
        <v>2021</v>
      </c>
      <c r="E116" s="2" t="s">
        <v>427</v>
      </c>
      <c r="F116" s="2" t="s">
        <v>427</v>
      </c>
    </row>
    <row r="117" spans="1:27" ht="13">
      <c r="C117" s="2"/>
      <c r="D117" s="2"/>
      <c r="E117" s="2"/>
      <c r="F117" s="2"/>
      <c r="G117" s="2"/>
      <c r="H117" s="2"/>
      <c r="I117" s="2"/>
      <c r="J117" s="2"/>
      <c r="K117" s="2"/>
      <c r="L117" s="2"/>
      <c r="M117" s="2"/>
      <c r="N117" s="2"/>
      <c r="Q117" s="2"/>
      <c r="R117" s="2"/>
      <c r="S117" s="2"/>
      <c r="T117" s="2"/>
      <c r="U117" s="2"/>
      <c r="V117" s="2"/>
      <c r="W117" s="2"/>
      <c r="Y117" s="2"/>
    </row>
    <row r="118" spans="1:27" ht="13">
      <c r="A118" s="1" t="s">
        <v>619</v>
      </c>
      <c r="C118" s="2"/>
      <c r="D118" s="2"/>
      <c r="E118" s="2"/>
      <c r="F118" s="2"/>
      <c r="G118" s="2"/>
      <c r="H118" s="2"/>
      <c r="I118" s="2"/>
      <c r="J118" s="2"/>
      <c r="K118" s="2"/>
      <c r="L118" s="2"/>
      <c r="M118" s="2"/>
      <c r="N118" s="2"/>
      <c r="Q118" s="2"/>
      <c r="R118" s="2"/>
      <c r="S118" s="2"/>
      <c r="T118" s="2"/>
      <c r="U118" s="2"/>
      <c r="V118" s="2"/>
      <c r="W118" s="2"/>
      <c r="Y118" s="2"/>
    </row>
    <row r="119" spans="1:27" ht="13" outlineLevel="1">
      <c r="A119" s="2" t="s">
        <v>620</v>
      </c>
      <c r="B119" s="2"/>
      <c r="C119" s="2" t="s">
        <v>621</v>
      </c>
      <c r="D119" s="2">
        <v>2018</v>
      </c>
      <c r="E119" s="2" t="s">
        <v>87</v>
      </c>
      <c r="F119" s="2" t="s">
        <v>87</v>
      </c>
      <c r="G119" s="2"/>
      <c r="H119" s="2" t="s">
        <v>469</v>
      </c>
      <c r="I119" s="2"/>
      <c r="J119" s="2"/>
      <c r="K119" s="2"/>
      <c r="L119" s="2"/>
      <c r="M119" s="2"/>
      <c r="N119" s="2" t="s">
        <v>622</v>
      </c>
      <c r="O119" s="2"/>
      <c r="P119" s="2" t="s">
        <v>623</v>
      </c>
      <c r="Q119" s="2"/>
      <c r="R119" s="2" t="s">
        <v>624</v>
      </c>
      <c r="S119" s="2" t="s">
        <v>557</v>
      </c>
      <c r="T119" s="2"/>
      <c r="U119" s="2"/>
      <c r="V119" s="2" t="s">
        <v>124</v>
      </c>
      <c r="W119" s="2" t="s">
        <v>125</v>
      </c>
      <c r="X119" s="2" t="s">
        <v>625</v>
      </c>
      <c r="Y119" s="2" t="s">
        <v>626</v>
      </c>
      <c r="AA119" s="2" t="s">
        <v>627</v>
      </c>
    </row>
    <row r="120" spans="1:27" ht="13" outlineLevel="1">
      <c r="C120" s="2" t="s">
        <v>628</v>
      </c>
      <c r="D120" s="2">
        <v>2019</v>
      </c>
      <c r="E120" s="2" t="s">
        <v>629</v>
      </c>
      <c r="F120" s="2" t="s">
        <v>630</v>
      </c>
    </row>
    <row r="121" spans="1:27" ht="13" outlineLevel="1">
      <c r="C121" s="1" t="s">
        <v>631</v>
      </c>
      <c r="D121" s="2">
        <v>2019</v>
      </c>
      <c r="E121" s="5" t="s">
        <v>531</v>
      </c>
      <c r="F121" s="2" t="s">
        <v>532</v>
      </c>
    </row>
    <row r="122" spans="1:27" ht="13" outlineLevel="1">
      <c r="C122" s="2" t="s">
        <v>632</v>
      </c>
      <c r="D122" s="2">
        <v>2018</v>
      </c>
      <c r="E122" s="12" t="s">
        <v>633</v>
      </c>
      <c r="F122" s="12" t="s">
        <v>634</v>
      </c>
    </row>
    <row r="123" spans="1:27" ht="13" outlineLevel="1">
      <c r="A123" s="2" t="s">
        <v>635</v>
      </c>
      <c r="B123" s="2" t="s">
        <v>46</v>
      </c>
      <c r="C123" s="2" t="s">
        <v>636</v>
      </c>
      <c r="D123" s="2">
        <v>2021</v>
      </c>
      <c r="E123" s="2" t="s">
        <v>44</v>
      </c>
      <c r="F123" s="2" t="s">
        <v>44</v>
      </c>
    </row>
    <row r="124" spans="1:27" ht="13" outlineLevel="1">
      <c r="A124" s="2"/>
      <c r="B124" s="2"/>
      <c r="C124" s="2" t="s">
        <v>637</v>
      </c>
      <c r="D124" s="2">
        <v>2021</v>
      </c>
      <c r="E124" s="2" t="s">
        <v>97</v>
      </c>
      <c r="F124" s="2" t="s">
        <v>638</v>
      </c>
    </row>
    <row r="125" spans="1:27" ht="13" outlineLevel="1">
      <c r="A125" s="2" t="s">
        <v>639</v>
      </c>
      <c r="B125" s="2"/>
      <c r="C125" s="2" t="s">
        <v>640</v>
      </c>
      <c r="D125" s="2">
        <v>2018</v>
      </c>
      <c r="E125" s="2" t="s">
        <v>87</v>
      </c>
      <c r="F125" s="2" t="s">
        <v>87</v>
      </c>
      <c r="G125" s="2"/>
      <c r="H125" s="2" t="s">
        <v>641</v>
      </c>
      <c r="I125" s="2"/>
      <c r="J125" s="2"/>
      <c r="K125" s="2"/>
      <c r="L125" s="2"/>
      <c r="M125" s="2"/>
      <c r="N125" s="2" t="s">
        <v>642</v>
      </c>
      <c r="Q125" s="2"/>
      <c r="R125" s="2" t="s">
        <v>158</v>
      </c>
      <c r="S125" s="2" t="s">
        <v>643</v>
      </c>
      <c r="T125" s="2"/>
      <c r="U125" s="2"/>
      <c r="V125" s="2" t="s">
        <v>124</v>
      </c>
      <c r="W125" s="2" t="s">
        <v>125</v>
      </c>
      <c r="X125" s="2" t="s">
        <v>644</v>
      </c>
      <c r="Y125" s="2" t="s">
        <v>645</v>
      </c>
    </row>
    <row r="126" spans="1:27" ht="13" outlineLevel="1">
      <c r="A126" s="2" t="s">
        <v>646</v>
      </c>
      <c r="B126" s="2" t="s">
        <v>647</v>
      </c>
      <c r="C126" s="2" t="s">
        <v>648</v>
      </c>
      <c r="D126" s="2">
        <v>2012</v>
      </c>
      <c r="E126" s="2" t="s">
        <v>649</v>
      </c>
      <c r="F126" s="2" t="s">
        <v>649</v>
      </c>
    </row>
    <row r="127" spans="1:27" ht="13" outlineLevel="1">
      <c r="A127" s="2" t="s">
        <v>650</v>
      </c>
      <c r="B127" s="2"/>
      <c r="C127" s="2" t="s">
        <v>651</v>
      </c>
      <c r="D127" s="2">
        <v>2020</v>
      </c>
      <c r="E127" s="2" t="s">
        <v>652</v>
      </c>
      <c r="F127" s="2" t="s">
        <v>653</v>
      </c>
      <c r="G127" s="2"/>
      <c r="H127" s="2" t="s">
        <v>654</v>
      </c>
      <c r="I127" s="2"/>
      <c r="J127" s="2"/>
      <c r="K127" s="2"/>
      <c r="L127" s="2"/>
      <c r="M127" s="2"/>
      <c r="N127" s="2" t="s">
        <v>655</v>
      </c>
      <c r="O127" s="2"/>
      <c r="P127" s="2" t="s">
        <v>656</v>
      </c>
      <c r="Q127" s="2"/>
      <c r="R127" s="2" t="s">
        <v>657</v>
      </c>
      <c r="S127" s="2" t="s">
        <v>658</v>
      </c>
      <c r="T127" s="2"/>
      <c r="U127" s="2"/>
      <c r="V127" s="2" t="s">
        <v>124</v>
      </c>
      <c r="W127" s="2" t="s">
        <v>147</v>
      </c>
      <c r="Y127" s="2" t="s">
        <v>659</v>
      </c>
      <c r="Z127" s="2" t="s">
        <v>660</v>
      </c>
    </row>
    <row r="128" spans="1:27" ht="13" outlineLevel="1">
      <c r="A128" s="6">
        <v>1812.1035199999999</v>
      </c>
      <c r="B128" s="6"/>
      <c r="C128" s="2" t="s">
        <v>661</v>
      </c>
      <c r="D128" s="2">
        <v>2019</v>
      </c>
      <c r="E128" s="2" t="s">
        <v>598</v>
      </c>
      <c r="F128" s="2" t="s">
        <v>662</v>
      </c>
      <c r="S128" s="2" t="s">
        <v>663</v>
      </c>
    </row>
    <row r="129" spans="2:6" ht="13" outlineLevel="1">
      <c r="C129" s="2" t="s">
        <v>664</v>
      </c>
      <c r="D129" s="2">
        <v>2019</v>
      </c>
      <c r="E129" s="2" t="s">
        <v>87</v>
      </c>
      <c r="F129" s="2" t="s">
        <v>87</v>
      </c>
    </row>
    <row r="130" spans="2:6" ht="13" outlineLevel="1">
      <c r="C130" s="2" t="s">
        <v>665</v>
      </c>
      <c r="D130" s="2">
        <v>2021</v>
      </c>
      <c r="E130" s="2" t="s">
        <v>666</v>
      </c>
      <c r="F130" s="2" t="s">
        <v>667</v>
      </c>
    </row>
    <row r="131" spans="2:6" ht="13" outlineLevel="1">
      <c r="C131" s="2" t="s">
        <v>668</v>
      </c>
      <c r="D131" s="2">
        <v>2019</v>
      </c>
      <c r="E131" s="2" t="s">
        <v>669</v>
      </c>
      <c r="F131" s="2" t="s">
        <v>669</v>
      </c>
    </row>
    <row r="132" spans="2:6" ht="13" outlineLevel="1">
      <c r="C132" s="2" t="s">
        <v>670</v>
      </c>
      <c r="D132" s="2">
        <v>2016</v>
      </c>
      <c r="E132" s="2" t="s">
        <v>671</v>
      </c>
      <c r="F132" s="2" t="s">
        <v>672</v>
      </c>
    </row>
    <row r="133" spans="2:6" ht="13" outlineLevel="1">
      <c r="C133" s="2" t="s">
        <v>673</v>
      </c>
      <c r="D133" s="2">
        <v>2017</v>
      </c>
      <c r="E133" s="2" t="s">
        <v>674</v>
      </c>
      <c r="F133" s="2" t="s">
        <v>674</v>
      </c>
    </row>
    <row r="134" spans="2:6" ht="13" outlineLevel="1">
      <c r="B134" s="2" t="s">
        <v>675</v>
      </c>
      <c r="C134" s="2" t="s">
        <v>676</v>
      </c>
      <c r="D134" s="2">
        <v>2019</v>
      </c>
      <c r="E134" s="2" t="s">
        <v>677</v>
      </c>
      <c r="F134" s="2" t="s">
        <v>678</v>
      </c>
    </row>
    <row r="135" spans="2:6" ht="13" outlineLevel="1">
      <c r="C135" s="2" t="s">
        <v>679</v>
      </c>
      <c r="D135" s="2">
        <v>2019</v>
      </c>
      <c r="E135" s="2" t="s">
        <v>614</v>
      </c>
      <c r="F135" s="2" t="s">
        <v>680</v>
      </c>
    </row>
    <row r="136" spans="2:6" ht="13" outlineLevel="1">
      <c r="C136" s="2" t="s">
        <v>681</v>
      </c>
      <c r="D136" s="2">
        <v>2021</v>
      </c>
      <c r="E136" s="2" t="s">
        <v>67</v>
      </c>
      <c r="F136" s="2" t="s">
        <v>682</v>
      </c>
    </row>
    <row r="137" spans="2:6" ht="13" outlineLevel="1">
      <c r="C137" s="2" t="s">
        <v>683</v>
      </c>
      <c r="D137" s="2">
        <v>2019</v>
      </c>
      <c r="E137" s="2" t="s">
        <v>684</v>
      </c>
      <c r="F137" s="2" t="s">
        <v>685</v>
      </c>
    </row>
    <row r="138" spans="2:6" ht="13" outlineLevel="1">
      <c r="C138" s="2" t="s">
        <v>686</v>
      </c>
      <c r="D138" s="2">
        <v>2020</v>
      </c>
      <c r="E138" s="2" t="s">
        <v>512</v>
      </c>
      <c r="F138" s="2" t="s">
        <v>513</v>
      </c>
    </row>
    <row r="139" spans="2:6" ht="13" outlineLevel="1">
      <c r="C139" s="2" t="s">
        <v>687</v>
      </c>
      <c r="D139" s="2">
        <v>2020</v>
      </c>
      <c r="E139" s="4" t="s">
        <v>688</v>
      </c>
      <c r="F139" s="4" t="s">
        <v>689</v>
      </c>
    </row>
    <row r="140" spans="2:6" ht="13" outlineLevel="1">
      <c r="C140" s="2" t="s">
        <v>690</v>
      </c>
      <c r="D140" s="2">
        <v>2019</v>
      </c>
      <c r="E140" s="2" t="s">
        <v>87</v>
      </c>
      <c r="F140" s="2" t="s">
        <v>87</v>
      </c>
    </row>
    <row r="141" spans="2:6" ht="13" outlineLevel="1">
      <c r="C141" s="2" t="s">
        <v>691</v>
      </c>
      <c r="D141" s="2">
        <v>2019</v>
      </c>
      <c r="E141" s="2" t="s">
        <v>56</v>
      </c>
      <c r="F141" s="2" t="s">
        <v>692</v>
      </c>
    </row>
    <row r="142" spans="2:6" ht="13" outlineLevel="1">
      <c r="C142" s="2" t="s">
        <v>693</v>
      </c>
      <c r="D142" s="2">
        <v>2020</v>
      </c>
      <c r="E142" s="2" t="s">
        <v>614</v>
      </c>
      <c r="F142" s="2" t="s">
        <v>614</v>
      </c>
    </row>
    <row r="143" spans="2:6" ht="13" outlineLevel="1">
      <c r="C143" s="2" t="s">
        <v>694</v>
      </c>
      <c r="D143" s="2">
        <v>2020</v>
      </c>
      <c r="E143" s="2" t="s">
        <v>512</v>
      </c>
      <c r="F143" s="2" t="s">
        <v>513</v>
      </c>
    </row>
    <row r="144" spans="2:6" ht="13" outlineLevel="1">
      <c r="C144" s="2" t="s">
        <v>695</v>
      </c>
      <c r="D144" s="2">
        <v>2021</v>
      </c>
      <c r="E144" s="2" t="s">
        <v>87</v>
      </c>
      <c r="F144" s="2" t="s">
        <v>87</v>
      </c>
    </row>
    <row r="145" spans="1:27" ht="13" outlineLevel="1">
      <c r="C145" s="22" t="s">
        <v>696</v>
      </c>
      <c r="D145" s="2">
        <v>2020</v>
      </c>
      <c r="E145" s="2" t="s">
        <v>427</v>
      </c>
      <c r="F145" s="2" t="s">
        <v>428</v>
      </c>
    </row>
    <row r="146" spans="1:27" ht="13" outlineLevel="1">
      <c r="B146" s="2" t="s">
        <v>697</v>
      </c>
      <c r="C146" s="22" t="s">
        <v>698</v>
      </c>
      <c r="D146" s="2">
        <v>2020</v>
      </c>
      <c r="E146" s="2" t="s">
        <v>44</v>
      </c>
      <c r="F146" s="2" t="s">
        <v>44</v>
      </c>
    </row>
    <row r="147" spans="1:27" ht="13" outlineLevel="1">
      <c r="C147" s="2" t="s">
        <v>699</v>
      </c>
      <c r="D147" s="2">
        <v>2019</v>
      </c>
      <c r="E147" s="2" t="s">
        <v>433</v>
      </c>
      <c r="F147" s="2" t="s">
        <v>433</v>
      </c>
    </row>
    <row r="148" spans="1:27" ht="13" outlineLevel="1">
      <c r="C148" s="2" t="s">
        <v>700</v>
      </c>
      <c r="D148" s="2">
        <v>2020</v>
      </c>
      <c r="E148" s="2" t="s">
        <v>609</v>
      </c>
      <c r="F148" s="2" t="s">
        <v>610</v>
      </c>
    </row>
    <row r="149" spans="1:27" ht="13">
      <c r="A149" s="6"/>
      <c r="B149" s="6"/>
      <c r="C149" s="2"/>
      <c r="D149" s="2"/>
      <c r="E149" s="2"/>
      <c r="F149" s="2"/>
      <c r="S149" s="2"/>
    </row>
    <row r="150" spans="1:27" ht="13">
      <c r="A150" s="13" t="s">
        <v>701</v>
      </c>
      <c r="B150" s="6"/>
      <c r="C150" s="2"/>
      <c r="D150" s="2"/>
      <c r="E150" s="2"/>
      <c r="F150" s="2"/>
      <c r="S150" s="2"/>
    </row>
    <row r="151" spans="1:27" ht="13" outlineLevel="1">
      <c r="A151" s="2" t="s">
        <v>702</v>
      </c>
      <c r="B151" s="2" t="s">
        <v>703</v>
      </c>
      <c r="C151" s="2" t="s">
        <v>704</v>
      </c>
      <c r="D151" s="2">
        <v>2020</v>
      </c>
      <c r="E151" s="2" t="s">
        <v>56</v>
      </c>
      <c r="F151" s="2" t="s">
        <v>102</v>
      </c>
    </row>
    <row r="152" spans="1:27" ht="13" outlineLevel="1">
      <c r="A152" s="22" t="s">
        <v>528</v>
      </c>
      <c r="B152" s="7" t="s">
        <v>529</v>
      </c>
      <c r="C152" s="2" t="s">
        <v>530</v>
      </c>
      <c r="D152" s="7">
        <v>2019</v>
      </c>
      <c r="E152" s="2" t="s">
        <v>531</v>
      </c>
      <c r="F152" s="2" t="s">
        <v>532</v>
      </c>
    </row>
    <row r="153" spans="1:27" ht="13" outlineLevel="1">
      <c r="A153" s="22" t="s">
        <v>705</v>
      </c>
      <c r="B153" s="2" t="s">
        <v>706</v>
      </c>
      <c r="C153" s="2" t="s">
        <v>707</v>
      </c>
      <c r="D153" s="2">
        <v>2017</v>
      </c>
      <c r="E153" s="3" t="s">
        <v>87</v>
      </c>
      <c r="F153" s="2" t="s">
        <v>88</v>
      </c>
    </row>
    <row r="154" spans="1:27" ht="13" outlineLevel="1">
      <c r="A154" s="22" t="s">
        <v>708</v>
      </c>
      <c r="B154" s="2" t="s">
        <v>709</v>
      </c>
      <c r="C154" s="2" t="s">
        <v>710</v>
      </c>
      <c r="D154" s="2">
        <v>2021</v>
      </c>
      <c r="E154" s="2" t="s">
        <v>711</v>
      </c>
      <c r="F154" s="2" t="s">
        <v>711</v>
      </c>
    </row>
    <row r="155" spans="1:27" ht="13" outlineLevel="1">
      <c r="A155" s="22"/>
      <c r="B155" s="2" t="s">
        <v>712</v>
      </c>
      <c r="C155" s="2" t="s">
        <v>713</v>
      </c>
      <c r="D155" s="2">
        <v>2020</v>
      </c>
      <c r="E155" s="2" t="s">
        <v>87</v>
      </c>
      <c r="F155" s="2" t="s">
        <v>87</v>
      </c>
    </row>
    <row r="156" spans="1:27" ht="13" outlineLevel="1">
      <c r="A156" s="22"/>
      <c r="B156" s="2" t="s">
        <v>714</v>
      </c>
      <c r="C156" s="2" t="s">
        <v>715</v>
      </c>
      <c r="D156" s="2">
        <v>2019</v>
      </c>
      <c r="E156" s="2" t="s">
        <v>427</v>
      </c>
      <c r="F156" s="2" t="s">
        <v>427</v>
      </c>
    </row>
    <row r="157" spans="1:27" ht="13" outlineLevel="1">
      <c r="A157" s="22" t="s">
        <v>716</v>
      </c>
      <c r="B157" s="2" t="s">
        <v>717</v>
      </c>
      <c r="C157" s="2" t="s">
        <v>718</v>
      </c>
      <c r="D157" s="2">
        <v>2021</v>
      </c>
      <c r="E157" s="2" t="s">
        <v>116</v>
      </c>
      <c r="F157" s="2" t="s">
        <v>719</v>
      </c>
      <c r="G157" s="2"/>
    </row>
    <row r="158" spans="1:27" ht="13" outlineLevel="1">
      <c r="A158" s="22" t="s">
        <v>475</v>
      </c>
      <c r="B158" s="2" t="s">
        <v>476</v>
      </c>
      <c r="C158" s="2" t="s">
        <v>477</v>
      </c>
      <c r="D158" s="2">
        <v>2017</v>
      </c>
      <c r="E158" s="2" t="s">
        <v>478</v>
      </c>
      <c r="F158" s="2" t="s">
        <v>478</v>
      </c>
      <c r="G158" s="2">
        <v>1</v>
      </c>
      <c r="H158" s="2" t="s">
        <v>479</v>
      </c>
      <c r="I158" s="2"/>
      <c r="J158" s="2"/>
      <c r="K158" s="2"/>
      <c r="L158" s="2"/>
      <c r="M158" s="2">
        <v>1</v>
      </c>
      <c r="N158" s="2" t="s">
        <v>480</v>
      </c>
      <c r="O158" s="2"/>
      <c r="P158" s="2" t="s">
        <v>481</v>
      </c>
      <c r="Q158" s="2"/>
      <c r="R158" s="2" t="s">
        <v>158</v>
      </c>
      <c r="S158" s="2" t="s">
        <v>482</v>
      </c>
      <c r="T158" s="2"/>
      <c r="U158" s="2"/>
      <c r="V158" s="2" t="s">
        <v>124</v>
      </c>
      <c r="X158" s="2" t="s">
        <v>483</v>
      </c>
      <c r="Y158" s="2" t="s">
        <v>484</v>
      </c>
      <c r="Z158" s="2" t="s">
        <v>485</v>
      </c>
      <c r="AA158" s="2" t="s">
        <v>486</v>
      </c>
    </row>
    <row r="159" spans="1:27" ht="13" outlineLevel="1">
      <c r="A159" s="22"/>
      <c r="B159" s="2" t="s">
        <v>720</v>
      </c>
      <c r="C159" s="2" t="s">
        <v>721</v>
      </c>
      <c r="D159" s="2">
        <v>2020</v>
      </c>
      <c r="E159" s="12" t="s">
        <v>722</v>
      </c>
      <c r="F159" s="14" t="s">
        <v>723</v>
      </c>
    </row>
    <row r="160" spans="1:27" ht="13" outlineLevel="1">
      <c r="A160" s="22"/>
      <c r="B160" s="2" t="s">
        <v>724</v>
      </c>
      <c r="C160" s="2" t="s">
        <v>725</v>
      </c>
      <c r="D160" s="2">
        <v>2020</v>
      </c>
      <c r="E160" s="2" t="s">
        <v>726</v>
      </c>
      <c r="F160" s="2" t="s">
        <v>727</v>
      </c>
    </row>
    <row r="161" spans="1:6" ht="13" outlineLevel="1">
      <c r="A161" s="22" t="s">
        <v>502</v>
      </c>
      <c r="B161" s="2" t="s">
        <v>503</v>
      </c>
      <c r="C161" s="2" t="s">
        <v>504</v>
      </c>
      <c r="D161" s="2">
        <v>2019</v>
      </c>
      <c r="E161" s="2" t="s">
        <v>478</v>
      </c>
      <c r="F161" s="2" t="s">
        <v>478</v>
      </c>
    </row>
    <row r="162" spans="1:6" ht="13" outlineLevel="1">
      <c r="A162" s="22" t="s">
        <v>534</v>
      </c>
      <c r="B162" s="2" t="s">
        <v>535</v>
      </c>
      <c r="C162" s="2" t="s">
        <v>536</v>
      </c>
      <c r="D162" s="2">
        <v>2021</v>
      </c>
      <c r="E162" s="2" t="s">
        <v>370</v>
      </c>
      <c r="F162" s="2" t="s">
        <v>370</v>
      </c>
    </row>
    <row r="163" spans="1:6" ht="13" outlineLevel="1">
      <c r="A163" s="22"/>
      <c r="B163" s="2"/>
      <c r="C163" s="2"/>
      <c r="D163" s="2"/>
      <c r="E163" s="2"/>
      <c r="F163" s="2"/>
    </row>
    <row r="167" spans="1:6" ht="13" outlineLevel="1">
      <c r="C167" s="2" t="s">
        <v>728</v>
      </c>
      <c r="D167" s="2">
        <v>2019</v>
      </c>
      <c r="E167" s="2" t="s">
        <v>56</v>
      </c>
      <c r="F167" s="2" t="s">
        <v>102</v>
      </c>
    </row>
    <row r="168" spans="1:6" ht="13" outlineLevel="1">
      <c r="C168" s="2" t="s">
        <v>729</v>
      </c>
      <c r="D168" s="2">
        <v>2021</v>
      </c>
      <c r="E168" s="2" t="s">
        <v>527</v>
      </c>
      <c r="F168" s="2" t="s">
        <v>527</v>
      </c>
    </row>
    <row r="169" spans="1:6" ht="13" outlineLevel="1">
      <c r="C169" s="2" t="s">
        <v>730</v>
      </c>
      <c r="D169" s="2">
        <v>2019</v>
      </c>
      <c r="E169" s="2" t="s">
        <v>731</v>
      </c>
      <c r="F169" s="2" t="s">
        <v>732</v>
      </c>
    </row>
    <row r="170" spans="1:6" ht="13" outlineLevel="1">
      <c r="B170" s="2" t="s">
        <v>733</v>
      </c>
      <c r="C170" s="2" t="s">
        <v>734</v>
      </c>
      <c r="D170" s="2">
        <v>2020</v>
      </c>
      <c r="E170" s="2" t="s">
        <v>464</v>
      </c>
      <c r="F170" s="2" t="s">
        <v>464</v>
      </c>
    </row>
    <row r="171" spans="1:6" s="22" customFormat="1" ht="13" outlineLevel="1"/>
    <row r="172" spans="1:6" ht="13">
      <c r="A172" s="1" t="s">
        <v>737</v>
      </c>
      <c r="B172" s="2"/>
      <c r="C172" s="2"/>
      <c r="D172" s="2"/>
      <c r="E172" s="2"/>
      <c r="F172" s="2"/>
    </row>
    <row r="173" spans="1:6" ht="13" outlineLevel="1">
      <c r="A173" s="2" t="s">
        <v>738</v>
      </c>
      <c r="B173" s="2" t="s">
        <v>739</v>
      </c>
      <c r="C173" s="2" t="s">
        <v>740</v>
      </c>
      <c r="D173" s="2">
        <v>2019</v>
      </c>
      <c r="E173" s="2" t="s">
        <v>741</v>
      </c>
      <c r="F173" s="2" t="s">
        <v>741</v>
      </c>
    </row>
    <row r="174" spans="1:6" ht="13" outlineLevel="1">
      <c r="A174" s="2" t="s">
        <v>742</v>
      </c>
      <c r="B174" s="2" t="s">
        <v>743</v>
      </c>
      <c r="C174" s="2" t="s">
        <v>744</v>
      </c>
      <c r="D174" s="2">
        <v>2010</v>
      </c>
      <c r="E174" s="2" t="s">
        <v>92</v>
      </c>
      <c r="F174" s="2" t="s">
        <v>745</v>
      </c>
    </row>
    <row r="175" spans="1:6" ht="13" outlineLevel="1">
      <c r="A175" s="2" t="s">
        <v>746</v>
      </c>
      <c r="B175" s="2" t="s">
        <v>747</v>
      </c>
      <c r="C175" s="2" t="s">
        <v>748</v>
      </c>
      <c r="D175" s="2">
        <v>2017</v>
      </c>
      <c r="E175" s="2" t="s">
        <v>427</v>
      </c>
      <c r="F175" s="2" t="s">
        <v>428</v>
      </c>
    </row>
    <row r="176" spans="1:6" ht="13" outlineLevel="1">
      <c r="A176" s="2" t="s">
        <v>749</v>
      </c>
      <c r="B176" s="2" t="s">
        <v>750</v>
      </c>
      <c r="C176" s="2" t="s">
        <v>751</v>
      </c>
      <c r="D176" s="2">
        <v>2017</v>
      </c>
      <c r="E176" s="2" t="s">
        <v>512</v>
      </c>
      <c r="F176" s="2" t="s">
        <v>512</v>
      </c>
    </row>
    <row r="177" spans="1:6" ht="13" outlineLevel="1">
      <c r="A177" s="2" t="s">
        <v>752</v>
      </c>
      <c r="B177" s="2" t="s">
        <v>647</v>
      </c>
      <c r="C177" s="2" t="s">
        <v>753</v>
      </c>
      <c r="D177" s="2">
        <v>2009</v>
      </c>
      <c r="E177" s="2" t="s">
        <v>754</v>
      </c>
      <c r="F177" s="2" t="s">
        <v>754</v>
      </c>
    </row>
    <row r="178" spans="1:6" ht="13" outlineLevel="1">
      <c r="A178" s="2" t="s">
        <v>755</v>
      </c>
      <c r="B178" s="2" t="s">
        <v>756</v>
      </c>
      <c r="C178" s="2" t="s">
        <v>757</v>
      </c>
      <c r="D178" s="2">
        <v>2010</v>
      </c>
      <c r="E178" s="2" t="s">
        <v>741</v>
      </c>
      <c r="F178" s="2" t="s">
        <v>741</v>
      </c>
    </row>
    <row r="179" spans="1:6" ht="13" outlineLevel="1">
      <c r="A179" s="2" t="s">
        <v>758</v>
      </c>
      <c r="B179" s="2" t="s">
        <v>756</v>
      </c>
      <c r="C179" s="2" t="s">
        <v>759</v>
      </c>
      <c r="D179" s="2">
        <v>2012</v>
      </c>
      <c r="E179" s="2" t="s">
        <v>741</v>
      </c>
      <c r="F179" s="2" t="s">
        <v>741</v>
      </c>
    </row>
    <row r="180" spans="1:6" ht="13" outlineLevel="1">
      <c r="A180" s="2" t="s">
        <v>760</v>
      </c>
      <c r="B180" s="2" t="s">
        <v>761</v>
      </c>
      <c r="C180" s="2" t="s">
        <v>762</v>
      </c>
      <c r="D180" s="2">
        <v>2012</v>
      </c>
      <c r="E180" s="2" t="s">
        <v>763</v>
      </c>
      <c r="F180" s="2" t="s">
        <v>764</v>
      </c>
    </row>
    <row r="181" spans="1:6" ht="13" outlineLevel="1">
      <c r="A181" s="2" t="s">
        <v>765</v>
      </c>
      <c r="B181" s="2" t="s">
        <v>756</v>
      </c>
      <c r="C181" s="2" t="s">
        <v>766</v>
      </c>
      <c r="D181" s="2">
        <v>2018</v>
      </c>
      <c r="E181" s="2" t="s">
        <v>767</v>
      </c>
      <c r="F181" s="2" t="s">
        <v>768</v>
      </c>
    </row>
    <row r="182" spans="1:6" ht="13" outlineLevel="1">
      <c r="A182" s="2" t="s">
        <v>769</v>
      </c>
      <c r="B182" s="2" t="s">
        <v>550</v>
      </c>
      <c r="C182" s="2" t="s">
        <v>770</v>
      </c>
      <c r="D182" s="2">
        <v>2018</v>
      </c>
      <c r="E182" s="2" t="s">
        <v>527</v>
      </c>
      <c r="F182" s="2" t="s">
        <v>527</v>
      </c>
    </row>
    <row r="183" spans="1:6" ht="13" outlineLevel="1">
      <c r="A183" s="2" t="s">
        <v>771</v>
      </c>
      <c r="B183" s="2" t="s">
        <v>772</v>
      </c>
      <c r="C183" s="2" t="s">
        <v>773</v>
      </c>
      <c r="D183" s="2">
        <v>2017</v>
      </c>
      <c r="E183" s="2" t="s">
        <v>427</v>
      </c>
      <c r="F183" s="2" t="s">
        <v>428</v>
      </c>
    </row>
    <row r="184" spans="1:6" ht="13" outlineLevel="1">
      <c r="A184" s="2" t="s">
        <v>774</v>
      </c>
      <c r="B184" s="2" t="s">
        <v>775</v>
      </c>
      <c r="C184" s="2" t="s">
        <v>776</v>
      </c>
      <c r="D184" s="2">
        <v>2017</v>
      </c>
      <c r="E184" s="2" t="s">
        <v>777</v>
      </c>
      <c r="F184" s="2" t="s">
        <v>777</v>
      </c>
    </row>
    <row r="185" spans="1:6" ht="13" outlineLevel="1">
      <c r="A185" s="2" t="s">
        <v>778</v>
      </c>
      <c r="B185" s="2" t="s">
        <v>779</v>
      </c>
      <c r="C185" s="2" t="s">
        <v>780</v>
      </c>
      <c r="D185" s="2">
        <v>2013</v>
      </c>
      <c r="E185" s="2" t="s">
        <v>781</v>
      </c>
      <c r="F185" s="2" t="s">
        <v>781</v>
      </c>
    </row>
    <row r="186" spans="1:6" ht="13" outlineLevel="1">
      <c r="A186" s="2"/>
      <c r="B186" s="2" t="s">
        <v>782</v>
      </c>
      <c r="C186" s="2" t="s">
        <v>783</v>
      </c>
      <c r="D186" s="2">
        <v>2018</v>
      </c>
      <c r="E186" s="2" t="s">
        <v>781</v>
      </c>
      <c r="F186" s="2" t="s">
        <v>781</v>
      </c>
    </row>
    <row r="187" spans="1:6" ht="13" outlineLevel="1">
      <c r="A187" s="2"/>
      <c r="B187" s="2" t="s">
        <v>515</v>
      </c>
      <c r="C187" s="2" t="s">
        <v>784</v>
      </c>
      <c r="D187" s="2">
        <v>2019</v>
      </c>
      <c r="E187" s="2" t="s">
        <v>427</v>
      </c>
      <c r="F187" s="2" t="s">
        <v>427</v>
      </c>
    </row>
    <row r="188" spans="1:6" ht="13" outlineLevel="1">
      <c r="A188" s="2"/>
      <c r="B188" s="2" t="s">
        <v>785</v>
      </c>
      <c r="C188" s="2" t="s">
        <v>786</v>
      </c>
      <c r="D188" s="2">
        <v>2019</v>
      </c>
      <c r="E188" s="2" t="s">
        <v>787</v>
      </c>
      <c r="F188" s="2" t="s">
        <v>787</v>
      </c>
    </row>
    <row r="189" spans="1:6" ht="13" outlineLevel="1">
      <c r="A189" s="2" t="s">
        <v>788</v>
      </c>
      <c r="B189" s="2" t="s">
        <v>38</v>
      </c>
      <c r="C189" s="2" t="s">
        <v>789</v>
      </c>
      <c r="D189" s="2">
        <v>2018</v>
      </c>
      <c r="E189" s="2" t="s">
        <v>609</v>
      </c>
      <c r="F189" s="2" t="s">
        <v>790</v>
      </c>
    </row>
    <row r="190" spans="1:6" ht="13" outlineLevel="1">
      <c r="A190" s="2" t="s">
        <v>791</v>
      </c>
      <c r="B190" s="2" t="s">
        <v>792</v>
      </c>
      <c r="C190" s="2" t="s">
        <v>793</v>
      </c>
      <c r="D190" s="2">
        <v>2011</v>
      </c>
      <c r="E190" s="2" t="s">
        <v>741</v>
      </c>
      <c r="F190" s="2" t="s">
        <v>741</v>
      </c>
    </row>
    <row r="191" spans="1:6" ht="13">
      <c r="A191" s="2"/>
      <c r="B191" s="2"/>
      <c r="C191" s="2"/>
      <c r="D191" s="2"/>
      <c r="E191" s="2"/>
      <c r="F191" s="2"/>
    </row>
    <row r="192" spans="1:6" ht="13">
      <c r="C192" s="2"/>
      <c r="D192" s="2"/>
      <c r="E192" s="2"/>
      <c r="F192" s="2"/>
    </row>
    <row r="193" spans="1:12" ht="13">
      <c r="C193" s="2"/>
      <c r="D193" s="2"/>
      <c r="E193" s="2"/>
      <c r="F193" s="2"/>
    </row>
    <row r="194" spans="1:12" ht="13">
      <c r="C194" s="2"/>
      <c r="D194" s="2"/>
      <c r="E194" s="2"/>
      <c r="F194" s="2"/>
    </row>
    <row r="195" spans="1:12" ht="13">
      <c r="C195" s="2"/>
      <c r="D195" s="2"/>
      <c r="E195" s="2"/>
      <c r="F195" s="2"/>
    </row>
    <row r="196" spans="1:12" ht="13">
      <c r="A196" s="15" t="s">
        <v>794</v>
      </c>
      <c r="B196" s="16" t="s">
        <v>795</v>
      </c>
      <c r="C196" s="1" t="s">
        <v>796</v>
      </c>
      <c r="D196" s="1" t="s">
        <v>797</v>
      </c>
      <c r="E196" s="1" t="s">
        <v>798</v>
      </c>
      <c r="F196" s="16" t="s">
        <v>799</v>
      </c>
      <c r="G196" s="16" t="s">
        <v>800</v>
      </c>
      <c r="H196" s="15" t="s">
        <v>737</v>
      </c>
      <c r="K196" s="1" t="s">
        <v>796</v>
      </c>
    </row>
    <row r="197" spans="1:12" ht="13">
      <c r="A197" s="10">
        <f ca="1">IFERROR(__xludf.DUMMYFUNCTION("SORT(UNIQUE(D3:D190))"),2009)</f>
        <v>2009</v>
      </c>
      <c r="B197" s="2">
        <f t="array" aca="1" ref="B197:B210" ca="1">FREQUENCY(D3:D190, A197:A210)</f>
        <v>2</v>
      </c>
      <c r="C197" s="10">
        <f t="array" aca="1" ref="C197:C210" ca="1">FREQUENCY(D25:D75, A197:A209)</f>
        <v>1</v>
      </c>
      <c r="D197" s="2">
        <f t="array" aca="1" ref="D197:D210" ca="1">FREQUENCY(D78:D90, A197:A209)</f>
        <v>0</v>
      </c>
      <c r="E197" s="2">
        <f t="array" aca="1" ref="E197:E210" ca="1">FREQUENCY(D94:D116,A197:A209)</f>
        <v>0</v>
      </c>
      <c r="F197" s="2">
        <f t="array" aca="1" ref="F197:F210" ca="1">FREQUENCY(D119:D148, A197:A209)</f>
        <v>0</v>
      </c>
      <c r="G197" s="10">
        <f t="array" aca="1" ref="G197:G210" ca="1">FREQUENCY(D150:D162, A197:A209)</f>
        <v>0</v>
      </c>
      <c r="H197" s="10">
        <f t="array" aca="1" ref="H197:H210" ca="1">FREQUENCY(D173:D190, A197:A209)</f>
        <v>1</v>
      </c>
      <c r="K197" s="16" t="s">
        <v>801</v>
      </c>
      <c r="L197" s="16" t="s">
        <v>795</v>
      </c>
    </row>
    <row r="198" spans="1:12" ht="13">
      <c r="A198" s="10">
        <f ca="1">IFERROR(__xludf.DUMMYFUNCTION("""COMPUTED_VALUE"""),2010)</f>
        <v>2010</v>
      </c>
      <c r="B198" s="2">
        <f ca="1"/>
        <v>2</v>
      </c>
      <c r="C198" s="10">
        <f ca="1"/>
        <v>0</v>
      </c>
      <c r="D198" s="2">
        <f ca="1"/>
        <v>0</v>
      </c>
      <c r="E198" s="2">
        <f ca="1"/>
        <v>0</v>
      </c>
      <c r="F198" s="2">
        <f ca="1"/>
        <v>0</v>
      </c>
      <c r="G198" s="10">
        <f ca="1"/>
        <v>0</v>
      </c>
      <c r="H198" s="10">
        <f ca="1"/>
        <v>2</v>
      </c>
      <c r="K198" s="10">
        <f ca="1">IFERROR(__xludf.DUMMYFUNCTION("SORT(UNIQUE(D25:D75))"),2009)</f>
        <v>2009</v>
      </c>
      <c r="L198" s="10">
        <f t="array" aca="1" ref="L198:L206" ca="1">FREQUENCY(D25:D75, K198:K205)</f>
        <v>1</v>
      </c>
    </row>
    <row r="199" spans="1:12" ht="13">
      <c r="A199" s="10">
        <f ca="1">IFERROR(__xludf.DUMMYFUNCTION("""COMPUTED_VALUE"""),2011)</f>
        <v>2011</v>
      </c>
      <c r="B199" s="2">
        <f ca="1"/>
        <v>1</v>
      </c>
      <c r="C199" s="10">
        <f ca="1"/>
        <v>0</v>
      </c>
      <c r="D199" s="2">
        <f ca="1"/>
        <v>0</v>
      </c>
      <c r="E199" s="2">
        <f ca="1"/>
        <v>0</v>
      </c>
      <c r="F199" s="2">
        <f ca="1"/>
        <v>0</v>
      </c>
      <c r="G199" s="10">
        <f ca="1"/>
        <v>0</v>
      </c>
      <c r="H199" s="10">
        <f ca="1"/>
        <v>1</v>
      </c>
      <c r="K199" s="10">
        <f ca="1">IFERROR(__xludf.DUMMYFUNCTION("""COMPUTED_VALUE"""),2016)</f>
        <v>2016</v>
      </c>
      <c r="L199" s="10">
        <f ca="1"/>
        <v>1</v>
      </c>
    </row>
    <row r="200" spans="1:12" ht="13">
      <c r="A200" s="10">
        <f ca="1">IFERROR(__xludf.DUMMYFUNCTION("""COMPUTED_VALUE"""),2012)</f>
        <v>2012</v>
      </c>
      <c r="B200" s="2">
        <f ca="1"/>
        <v>3</v>
      </c>
      <c r="C200" s="10">
        <f ca="1"/>
        <v>0</v>
      </c>
      <c r="D200" s="2">
        <f ca="1"/>
        <v>0</v>
      </c>
      <c r="E200" s="2">
        <f ca="1"/>
        <v>0</v>
      </c>
      <c r="F200" s="2">
        <f ca="1"/>
        <v>1</v>
      </c>
      <c r="G200" s="10">
        <f ca="1"/>
        <v>0</v>
      </c>
      <c r="H200" s="10">
        <f ca="1"/>
        <v>2</v>
      </c>
      <c r="K200" s="10">
        <f ca="1">IFERROR(__xludf.DUMMYFUNCTION("""COMPUTED_VALUE"""),2017)</f>
        <v>2017</v>
      </c>
      <c r="L200" s="10">
        <f ca="1"/>
        <v>2</v>
      </c>
    </row>
    <row r="201" spans="1:12" ht="13">
      <c r="A201" s="10">
        <f ca="1">IFERROR(__xludf.DUMMYFUNCTION("""COMPUTED_VALUE"""),2013)</f>
        <v>2013</v>
      </c>
      <c r="B201" s="2">
        <f ca="1"/>
        <v>1</v>
      </c>
      <c r="C201" s="10">
        <f ca="1"/>
        <v>0</v>
      </c>
      <c r="D201" s="2">
        <f ca="1"/>
        <v>0</v>
      </c>
      <c r="E201" s="2">
        <f ca="1"/>
        <v>0</v>
      </c>
      <c r="F201" s="2">
        <f ca="1"/>
        <v>0</v>
      </c>
      <c r="G201" s="10">
        <f ca="1"/>
        <v>0</v>
      </c>
      <c r="H201" s="10">
        <f ca="1"/>
        <v>1</v>
      </c>
      <c r="K201" s="10">
        <f ca="1">IFERROR(__xludf.DUMMYFUNCTION("""COMPUTED_VALUE"""),2018)</f>
        <v>2018</v>
      </c>
      <c r="L201" s="10">
        <f ca="1"/>
        <v>7</v>
      </c>
    </row>
    <row r="202" spans="1:12" ht="13">
      <c r="A202" s="10">
        <f ca="1">IFERROR(__xludf.DUMMYFUNCTION("""COMPUTED_VALUE"""),2015)</f>
        <v>2015</v>
      </c>
      <c r="B202" s="2">
        <f ca="1"/>
        <v>1</v>
      </c>
      <c r="C202" s="10">
        <f ca="1"/>
        <v>0</v>
      </c>
      <c r="D202" s="2">
        <f ca="1"/>
        <v>1</v>
      </c>
      <c r="E202" s="2">
        <f ca="1"/>
        <v>0</v>
      </c>
      <c r="F202" s="2">
        <f ca="1"/>
        <v>0</v>
      </c>
      <c r="G202" s="10">
        <f ca="1"/>
        <v>0</v>
      </c>
      <c r="H202" s="10">
        <f ca="1"/>
        <v>0</v>
      </c>
      <c r="K202" s="10">
        <f ca="1">IFERROR(__xludf.DUMMYFUNCTION("""COMPUTED_VALUE"""),2019)</f>
        <v>2019</v>
      </c>
      <c r="L202" s="10">
        <f ca="1"/>
        <v>8</v>
      </c>
    </row>
    <row r="203" spans="1:12" ht="13">
      <c r="A203" s="10">
        <f ca="1">IFERROR(__xludf.DUMMYFUNCTION("""COMPUTED_VALUE"""),2016)</f>
        <v>2016</v>
      </c>
      <c r="B203" s="2">
        <f ca="1"/>
        <v>2</v>
      </c>
      <c r="C203" s="10">
        <f ca="1"/>
        <v>1</v>
      </c>
      <c r="D203" s="2">
        <f ca="1"/>
        <v>0</v>
      </c>
      <c r="E203" s="2">
        <f ca="1"/>
        <v>0</v>
      </c>
      <c r="F203" s="2">
        <f ca="1"/>
        <v>1</v>
      </c>
      <c r="G203" s="10">
        <f ca="1"/>
        <v>0</v>
      </c>
      <c r="H203" s="10">
        <f ca="1"/>
        <v>0</v>
      </c>
      <c r="K203" s="10">
        <f ca="1">IFERROR(__xludf.DUMMYFUNCTION("""COMPUTED_VALUE"""),2020)</f>
        <v>2020</v>
      </c>
      <c r="L203" s="10">
        <f ca="1"/>
        <v>10</v>
      </c>
    </row>
    <row r="204" spans="1:12" ht="13">
      <c r="A204" s="10">
        <f ca="1">IFERROR(__xludf.DUMMYFUNCTION("""COMPUTED_VALUE"""),2017)</f>
        <v>2017</v>
      </c>
      <c r="B204" s="2">
        <f ca="1"/>
        <v>12</v>
      </c>
      <c r="C204" s="10">
        <f ca="1"/>
        <v>2</v>
      </c>
      <c r="D204" s="2">
        <f ca="1"/>
        <v>2</v>
      </c>
      <c r="E204" s="2">
        <f ca="1"/>
        <v>1</v>
      </c>
      <c r="F204" s="2">
        <f ca="1"/>
        <v>1</v>
      </c>
      <c r="G204" s="10">
        <f ca="1"/>
        <v>2</v>
      </c>
      <c r="H204" s="10">
        <f ca="1"/>
        <v>4</v>
      </c>
      <c r="K204" s="10">
        <f ca="1">IFERROR(__xludf.DUMMYFUNCTION("""COMPUTED_VALUE"""),2021)</f>
        <v>2021</v>
      </c>
      <c r="L204" s="10">
        <f ca="1"/>
        <v>10</v>
      </c>
    </row>
    <row r="205" spans="1:12" ht="13">
      <c r="A205" s="10">
        <f ca="1">IFERROR(__xludf.DUMMYFUNCTION("""COMPUTED_VALUE"""),2018)</f>
        <v>2018</v>
      </c>
      <c r="B205" s="2">
        <f ca="1"/>
        <v>18</v>
      </c>
      <c r="C205" s="10">
        <f ca="1"/>
        <v>7</v>
      </c>
      <c r="D205" s="2">
        <f ca="1"/>
        <v>0</v>
      </c>
      <c r="E205" s="2">
        <f ca="1"/>
        <v>3</v>
      </c>
      <c r="F205" s="2">
        <f ca="1"/>
        <v>3</v>
      </c>
      <c r="G205" s="10">
        <f ca="1"/>
        <v>0</v>
      </c>
      <c r="H205" s="10">
        <f ca="1"/>
        <v>4</v>
      </c>
      <c r="K205" s="10">
        <f ca="1">IFERROR(__xludf.DUMMYFUNCTION("""COMPUTED_VALUE"""),2022)</f>
        <v>2022</v>
      </c>
      <c r="L205" s="10">
        <f ca="1"/>
        <v>9</v>
      </c>
    </row>
    <row r="206" spans="1:12" ht="13">
      <c r="A206" s="10">
        <f ca="1">IFERROR(__xludf.DUMMYFUNCTION("""COMPUTED_VALUE"""),2019)</f>
        <v>2019</v>
      </c>
      <c r="B206" s="2">
        <f ca="1"/>
        <v>40</v>
      </c>
      <c r="C206" s="10">
        <f ca="1"/>
        <v>8</v>
      </c>
      <c r="D206" s="2">
        <f ca="1"/>
        <v>4</v>
      </c>
      <c r="E206" s="2">
        <f ca="1"/>
        <v>7</v>
      </c>
      <c r="F206" s="2">
        <f ca="1"/>
        <v>11</v>
      </c>
      <c r="G206" s="10">
        <f ca="1"/>
        <v>3</v>
      </c>
      <c r="H206" s="10">
        <f ca="1"/>
        <v>3</v>
      </c>
      <c r="K206" s="10"/>
      <c r="L206" s="10">
        <f ca="1"/>
        <v>0</v>
      </c>
    </row>
    <row r="207" spans="1:12" ht="13">
      <c r="A207" s="10">
        <f ca="1">IFERROR(__xludf.DUMMYFUNCTION("""COMPUTED_VALUE"""),2020)</f>
        <v>2020</v>
      </c>
      <c r="B207" s="2">
        <f ca="1"/>
        <v>40</v>
      </c>
      <c r="C207" s="10">
        <f ca="1"/>
        <v>10</v>
      </c>
      <c r="D207" s="10">
        <f ca="1"/>
        <v>3</v>
      </c>
      <c r="E207" s="10">
        <f ca="1"/>
        <v>6</v>
      </c>
      <c r="F207" s="10">
        <f ca="1"/>
        <v>8</v>
      </c>
      <c r="G207" s="10">
        <f ca="1"/>
        <v>4</v>
      </c>
      <c r="H207" s="10">
        <f ca="1"/>
        <v>0</v>
      </c>
    </row>
    <row r="208" spans="1:12" ht="13">
      <c r="A208" s="10">
        <f ca="1">IFERROR(__xludf.DUMMYFUNCTION("""COMPUTED_VALUE"""),2021)</f>
        <v>2021</v>
      </c>
      <c r="B208" s="10">
        <f ca="1"/>
        <v>34</v>
      </c>
      <c r="C208" s="10">
        <f ca="1"/>
        <v>10</v>
      </c>
      <c r="D208" s="10">
        <f ca="1"/>
        <v>2</v>
      </c>
      <c r="E208" s="10">
        <f ca="1"/>
        <v>5</v>
      </c>
      <c r="F208" s="10">
        <f ca="1"/>
        <v>5</v>
      </c>
      <c r="G208" s="10">
        <f ca="1"/>
        <v>3</v>
      </c>
      <c r="H208" s="10">
        <f ca="1"/>
        <v>0</v>
      </c>
    </row>
    <row r="209" spans="1:24" ht="13">
      <c r="A209" s="10">
        <f ca="1">IFERROR(__xludf.DUMMYFUNCTION("""COMPUTED_VALUE"""),2022)</f>
        <v>2022</v>
      </c>
      <c r="B209" s="10">
        <f ca="1"/>
        <v>9</v>
      </c>
      <c r="C209" s="10">
        <f ca="1"/>
        <v>9</v>
      </c>
      <c r="D209" s="10">
        <f ca="1"/>
        <v>0</v>
      </c>
      <c r="E209" s="10">
        <f ca="1"/>
        <v>0</v>
      </c>
      <c r="F209" s="10">
        <f ca="1"/>
        <v>0</v>
      </c>
      <c r="G209" s="10">
        <f ca="1"/>
        <v>0</v>
      </c>
      <c r="H209" s="10">
        <f ca="1"/>
        <v>0</v>
      </c>
      <c r="K209" s="1" t="s">
        <v>797</v>
      </c>
    </row>
    <row r="210" spans="1:24" ht="13">
      <c r="A210" s="10"/>
      <c r="B210" s="2">
        <f ca="1"/>
        <v>0</v>
      </c>
      <c r="C210" s="10">
        <f ca="1"/>
        <v>0</v>
      </c>
      <c r="D210" s="10">
        <f ca="1"/>
        <v>0</v>
      </c>
      <c r="E210" s="10">
        <f ca="1"/>
        <v>0</v>
      </c>
      <c r="F210" s="10">
        <f ca="1"/>
        <v>0</v>
      </c>
      <c r="G210" s="10">
        <f ca="1"/>
        <v>0</v>
      </c>
      <c r="H210" s="10">
        <f ca="1"/>
        <v>0</v>
      </c>
      <c r="K210" s="16" t="s">
        <v>801</v>
      </c>
      <c r="L210" s="16" t="s">
        <v>795</v>
      </c>
    </row>
    <row r="211" spans="1:24" ht="13">
      <c r="K211" s="10">
        <f ca="1">IFERROR(__xludf.DUMMYFUNCTION("SORT(UNIQUE(D78:D90))"),2015)</f>
        <v>2015</v>
      </c>
      <c r="L211" s="10">
        <f t="array" aca="1" ref="L211:L216" ca="1">FREQUENCY(D78:D90, K211:K215)</f>
        <v>1</v>
      </c>
    </row>
    <row r="212" spans="1:24" ht="14">
      <c r="A212" s="1" t="s">
        <v>802</v>
      </c>
      <c r="B212" s="17">
        <f ca="1">SUM(B197:B210)</f>
        <v>165</v>
      </c>
      <c r="C212" s="18"/>
      <c r="K212" s="10">
        <f ca="1">IFERROR(__xludf.DUMMYFUNCTION("""COMPUTED_VALUE"""),2017)</f>
        <v>2017</v>
      </c>
      <c r="L212" s="10">
        <f ca="1"/>
        <v>2</v>
      </c>
    </row>
    <row r="213" spans="1:24" ht="13">
      <c r="B213" s="18">
        <f ca="1">SUM(B204:B209)/B212</f>
        <v>0.92727272727272725</v>
      </c>
      <c r="C213" s="2"/>
      <c r="K213" s="10">
        <f ca="1">IFERROR(__xludf.DUMMYFUNCTION("""COMPUTED_VALUE"""),2019)</f>
        <v>2019</v>
      </c>
      <c r="L213" s="10">
        <f ca="1"/>
        <v>4</v>
      </c>
    </row>
    <row r="214" spans="1:24" ht="13">
      <c r="C214" s="2"/>
      <c r="K214" s="10">
        <f ca="1">IFERROR(__xludf.DUMMYFUNCTION("""COMPUTED_VALUE"""),2020)</f>
        <v>2020</v>
      </c>
      <c r="L214" s="10">
        <f ca="1"/>
        <v>3</v>
      </c>
      <c r="X214" s="2"/>
    </row>
    <row r="215" spans="1:24" ht="13">
      <c r="A215" s="15" t="s">
        <v>13</v>
      </c>
      <c r="B215" s="16" t="s">
        <v>795</v>
      </c>
      <c r="K215" s="10">
        <f ca="1">IFERROR(__xludf.DUMMYFUNCTION("""COMPUTED_VALUE"""),2021)</f>
        <v>2021</v>
      </c>
      <c r="L215" s="10">
        <f ca="1"/>
        <v>2</v>
      </c>
      <c r="X215" s="2"/>
    </row>
    <row r="216" spans="1:24" ht="13">
      <c r="A216" s="10" t="str">
        <f ca="1">IFERROR(__xludf.DUMMYFUNCTION("SORT(UNIQUE(E3:E190))"),"AAAI")</f>
        <v>AAAI</v>
      </c>
      <c r="B216" s="10">
        <f t="shared" ref="B216:B284" ca="1" si="0">COUNTIF(E$4:E$190, A216)</f>
        <v>3</v>
      </c>
      <c r="C216" s="2"/>
      <c r="K216" s="10"/>
      <c r="L216" s="10">
        <f ca="1"/>
        <v>0</v>
      </c>
      <c r="S216" s="2"/>
      <c r="X216" s="2"/>
    </row>
    <row r="217" spans="1:24" ht="13">
      <c r="A217" s="10" t="str">
        <f ca="1">IFERROR(__xludf.DUMMYFUNCTION("""COMPUTED_VALUE"""),"AAAI_AIES")</f>
        <v>AAAI_AIES</v>
      </c>
      <c r="B217" s="10">
        <f t="shared" ca="1" si="0"/>
        <v>5</v>
      </c>
      <c r="C217" s="2"/>
    </row>
    <row r="218" spans="1:24" ht="13">
      <c r="A218" s="10" t="str">
        <f ca="1">IFERROR(__xludf.DUMMYFUNCTION("""COMPUTED_VALUE"""),"ACL")</f>
        <v>ACL</v>
      </c>
      <c r="B218" s="10">
        <f t="shared" ca="1" si="0"/>
        <v>5</v>
      </c>
      <c r="K218" s="1" t="s">
        <v>798</v>
      </c>
      <c r="X218" s="2"/>
    </row>
    <row r="219" spans="1:24" ht="13">
      <c r="A219" s="10" t="str">
        <f ca="1">IFERROR(__xludf.DUMMYFUNCTION("""COMPUTED_VALUE"""),"AISTATS")</f>
        <v>AISTATS</v>
      </c>
      <c r="B219" s="10">
        <f t="shared" ca="1" si="0"/>
        <v>1</v>
      </c>
      <c r="K219" s="16" t="s">
        <v>801</v>
      </c>
      <c r="L219" s="16" t="s">
        <v>795</v>
      </c>
    </row>
    <row r="220" spans="1:24" ht="13">
      <c r="A220" s="10" t="str">
        <f ca="1">IFERROR(__xludf.DUMMYFUNCTION("""COMPUTED_VALUE"""),"arXiv")</f>
        <v>arXiv</v>
      </c>
      <c r="B220" s="10">
        <f t="shared" ca="1" si="0"/>
        <v>11</v>
      </c>
      <c r="K220" s="10">
        <f ca="1">IFERROR(__xludf.DUMMYFUNCTION("SORT(UNIQUE(D94:D116))"),2017)</f>
        <v>2017</v>
      </c>
      <c r="L220" s="10">
        <f t="array" aca="1" ref="L220:L225" ca="1">FREQUENCY(D94:D116, K220:K224)</f>
        <v>1</v>
      </c>
    </row>
    <row r="221" spans="1:24" ht="13">
      <c r="A221" s="10" t="str">
        <f ca="1">IFERROR(__xludf.DUMMYFUNCTION("""COMPUTED_VALUE"""),"ASE")</f>
        <v>ASE</v>
      </c>
      <c r="B221" s="10">
        <f t="shared" ca="1" si="0"/>
        <v>2</v>
      </c>
      <c r="K221" s="10">
        <f ca="1">IFERROR(__xludf.DUMMYFUNCTION("""COMPUTED_VALUE"""),2018)</f>
        <v>2018</v>
      </c>
      <c r="L221" s="10">
        <f ca="1"/>
        <v>3</v>
      </c>
    </row>
    <row r="222" spans="1:24" ht="13">
      <c r="A222" s="10" t="str">
        <f ca="1">IFERROR(__xludf.DUMMYFUNCTION("""COMPUTED_VALUE"""),"Big Data")</f>
        <v>Big Data</v>
      </c>
      <c r="B222" s="10">
        <f t="shared" ca="1" si="0"/>
        <v>1</v>
      </c>
      <c r="K222" s="10">
        <f ca="1">IFERROR(__xludf.DUMMYFUNCTION("""COMPUTED_VALUE"""),2019)</f>
        <v>2019</v>
      </c>
      <c r="L222" s="10">
        <f ca="1"/>
        <v>7</v>
      </c>
    </row>
    <row r="223" spans="1:24" ht="13">
      <c r="A223" s="10" t="str">
        <f ca="1">IFERROR(__xludf.DUMMYFUNCTION("""COMPUTED_VALUE"""),"BSDUC")</f>
        <v>BSDUC</v>
      </c>
      <c r="B223" s="10">
        <f t="shared" ca="1" si="0"/>
        <v>1</v>
      </c>
      <c r="K223" s="10">
        <f ca="1">IFERROR(__xludf.DUMMYFUNCTION("""COMPUTED_VALUE"""),2020)</f>
        <v>2020</v>
      </c>
      <c r="L223" s="10">
        <f ca="1"/>
        <v>6</v>
      </c>
    </row>
    <row r="224" spans="1:24" ht="13">
      <c r="A224" s="10" t="str">
        <f ca="1">IFERROR(__xludf.DUMMYFUNCTION("""COMPUTED_VALUE"""),"CACM")</f>
        <v>CACM</v>
      </c>
      <c r="B224" s="10">
        <f t="shared" ca="1" si="0"/>
        <v>2</v>
      </c>
      <c r="K224" s="10">
        <f ca="1">IFERROR(__xludf.DUMMYFUNCTION("""COMPUTED_VALUE"""),2021)</f>
        <v>2021</v>
      </c>
      <c r="L224" s="10">
        <f ca="1"/>
        <v>5</v>
      </c>
    </row>
    <row r="225" spans="1:12" ht="13">
      <c r="A225" s="10" t="str">
        <f ca="1">IFERROR(__xludf.DUMMYFUNCTION("""COMPUTED_VALUE"""),"CAV")</f>
        <v>CAV</v>
      </c>
      <c r="B225" s="10">
        <f t="shared" ca="1" si="0"/>
        <v>1</v>
      </c>
      <c r="K225" s="10"/>
      <c r="L225" s="10">
        <f ca="1"/>
        <v>0</v>
      </c>
    </row>
    <row r="226" spans="1:12" ht="13">
      <c r="A226" s="10" t="str">
        <f ca="1">IFERROR(__xludf.DUMMYFUNCTION("""COMPUTED_VALUE"""),"CCCT")</f>
        <v>CCCT</v>
      </c>
      <c r="B226" s="10">
        <f t="shared" ca="1" si="0"/>
        <v>1</v>
      </c>
    </row>
    <row r="227" spans="1:12" ht="13">
      <c r="A227" s="10" t="str">
        <f ca="1">IFERROR(__xludf.DUMMYFUNCTION("""COMPUTED_VALUE"""),"CEUR_Workshop")</f>
        <v>CEUR_Workshop</v>
      </c>
      <c r="B227" s="10">
        <f t="shared" ca="1" si="0"/>
        <v>1</v>
      </c>
      <c r="K227" s="15" t="s">
        <v>619</v>
      </c>
    </row>
    <row r="228" spans="1:12" ht="13">
      <c r="A228" s="10" t="str">
        <f ca="1">IFERROR(__xludf.DUMMYFUNCTION("""COMPUTED_VALUE"""),"CHI")</f>
        <v>CHI</v>
      </c>
      <c r="B228" s="10">
        <f t="shared" ca="1" si="0"/>
        <v>3</v>
      </c>
      <c r="K228" s="16" t="s">
        <v>801</v>
      </c>
      <c r="L228" s="16" t="s">
        <v>795</v>
      </c>
    </row>
    <row r="229" spans="1:12" ht="13">
      <c r="A229" s="10" t="str">
        <f ca="1">IFERROR(__xludf.DUMMYFUNCTION("""COMPUTED_VALUE"""),"CSUR")</f>
        <v>CSUR</v>
      </c>
      <c r="B229" s="10">
        <f t="shared" ca="1" si="0"/>
        <v>1</v>
      </c>
      <c r="K229" s="10">
        <f ca="1">IFERROR(__xludf.DUMMYFUNCTION("SORT(UNIQUE(D119:D148))"),2012)</f>
        <v>2012</v>
      </c>
      <c r="L229" s="10">
        <f t="array" aca="1" ref="L229:L236" ca="1">FREQUENCY(D119:D148, K229:K235)</f>
        <v>1</v>
      </c>
    </row>
    <row r="230" spans="1:12" ht="13">
      <c r="A230" s="10" t="str">
        <f ca="1">IFERROR(__xludf.DUMMYFUNCTION("""COMPUTED_VALUE"""),"CVPR")</f>
        <v>CVPR</v>
      </c>
      <c r="B230" s="10">
        <f t="shared" ca="1" si="0"/>
        <v>2</v>
      </c>
      <c r="K230" s="10">
        <f ca="1">IFERROR(__xludf.DUMMYFUNCTION("""COMPUTED_VALUE"""),2016)</f>
        <v>2016</v>
      </c>
      <c r="L230" s="10">
        <f ca="1"/>
        <v>1</v>
      </c>
    </row>
    <row r="231" spans="1:12" ht="13">
      <c r="A231" s="10" t="str">
        <f ca="1">IFERROR(__xludf.DUMMYFUNCTION("""COMPUTED_VALUE"""),"DGRP")</f>
        <v>DGRP</v>
      </c>
      <c r="B231" s="10">
        <f t="shared" ca="1" si="0"/>
        <v>1</v>
      </c>
      <c r="K231" s="10">
        <f ca="1">IFERROR(__xludf.DUMMYFUNCTION("""COMPUTED_VALUE"""),2017)</f>
        <v>2017</v>
      </c>
      <c r="L231" s="10">
        <f ca="1"/>
        <v>1</v>
      </c>
    </row>
    <row r="232" spans="1:12" ht="13">
      <c r="A232" s="10" t="str">
        <f ca="1">IFERROR(__xludf.DUMMYFUNCTION("""COMPUTED_VALUE"""),"DMKD")</f>
        <v>DMKD</v>
      </c>
      <c r="B232" s="10">
        <f t="shared" ca="1" si="0"/>
        <v>2</v>
      </c>
      <c r="K232" s="10">
        <f ca="1">IFERROR(__xludf.DUMMYFUNCTION("""COMPUTED_VALUE"""),2018)</f>
        <v>2018</v>
      </c>
      <c r="L232" s="10">
        <f ca="1"/>
        <v>3</v>
      </c>
    </row>
    <row r="233" spans="1:12" ht="13">
      <c r="A233" s="10" t="str">
        <f ca="1">IFERROR(__xludf.DUMMYFUNCTION("""COMPUTED_VALUE"""),"ECCV_Workshops")</f>
        <v>ECCV_Workshops</v>
      </c>
      <c r="B233" s="10">
        <f t="shared" ca="1" si="0"/>
        <v>1</v>
      </c>
      <c r="K233" s="10">
        <f ca="1">IFERROR(__xludf.DUMMYFUNCTION("""COMPUTED_VALUE"""),2019)</f>
        <v>2019</v>
      </c>
      <c r="L233" s="10">
        <f ca="1"/>
        <v>11</v>
      </c>
    </row>
    <row r="234" spans="1:12" ht="13">
      <c r="A234" s="10" t="str">
        <f ca="1">IFERROR(__xludf.DUMMYFUNCTION("""COMPUTED_VALUE"""),"ECML_PKDD")</f>
        <v>ECML_PKDD</v>
      </c>
      <c r="B234" s="10">
        <f t="shared" ca="1" si="0"/>
        <v>1</v>
      </c>
      <c r="K234" s="10">
        <f ca="1">IFERROR(__xludf.DUMMYFUNCTION("""COMPUTED_VALUE"""),2020)</f>
        <v>2020</v>
      </c>
      <c r="L234" s="10">
        <f ca="1"/>
        <v>8</v>
      </c>
    </row>
    <row r="235" spans="1:12" ht="13">
      <c r="A235" s="10" t="str">
        <f ca="1">IFERROR(__xludf.DUMMYFUNCTION("""COMPUTED_VALUE"""),"EDBT")</f>
        <v>EDBT</v>
      </c>
      <c r="B235" s="10">
        <f t="shared" ca="1" si="0"/>
        <v>3</v>
      </c>
      <c r="K235" s="10">
        <f ca="1">IFERROR(__xludf.DUMMYFUNCTION("""COMPUTED_VALUE"""),2021)</f>
        <v>2021</v>
      </c>
      <c r="L235" s="10">
        <f ca="1"/>
        <v>5</v>
      </c>
    </row>
    <row r="236" spans="1:12" ht="13">
      <c r="A236" s="10" t="str">
        <f ca="1">IFERROR(__xludf.DUMMYFUNCTION("""COMPUTED_VALUE"""),"EMNLP")</f>
        <v>EMNLP</v>
      </c>
      <c r="B236" s="10">
        <f t="shared" ca="1" si="0"/>
        <v>1</v>
      </c>
      <c r="L236" s="10">
        <f ca="1"/>
        <v>0</v>
      </c>
    </row>
    <row r="237" spans="1:12" ht="13">
      <c r="A237" s="10" t="str">
        <f ca="1">IFERROR(__xludf.DUMMYFUNCTION("""COMPUTED_VALUE"""),"EMSE ")</f>
        <v xml:space="preserve">EMSE </v>
      </c>
      <c r="B237" s="10">
        <f t="shared" ca="1" si="0"/>
        <v>1</v>
      </c>
      <c r="K237" s="15" t="s">
        <v>701</v>
      </c>
    </row>
    <row r="238" spans="1:12" ht="13">
      <c r="A238" s="10" t="str">
        <f ca="1">IFERROR(__xludf.DUMMYFUNCTION("""COMPUTED_VALUE"""),"EuroS&amp;P")</f>
        <v>EuroS&amp;P</v>
      </c>
      <c r="B238" s="10">
        <f t="shared" ca="1" si="0"/>
        <v>1</v>
      </c>
      <c r="K238" s="16" t="s">
        <v>801</v>
      </c>
      <c r="L238" s="16" t="s">
        <v>795</v>
      </c>
    </row>
    <row r="239" spans="1:12" ht="13">
      <c r="A239" s="10" t="str">
        <f ca="1">IFERROR(__xludf.DUMMYFUNCTION("""COMPUTED_VALUE"""),"Facct")</f>
        <v>Facct</v>
      </c>
      <c r="B239" s="10">
        <f t="shared" ca="1" si="0"/>
        <v>16</v>
      </c>
      <c r="K239" s="10">
        <f ca="1">IFERROR(__xludf.DUMMYFUNCTION("SORT(UNIQUE(D150:D162))"),2017)</f>
        <v>2017</v>
      </c>
      <c r="L239" s="10">
        <f t="array" aca="1" ref="L239:L243" ca="1">FREQUENCY(D150:D162, K239:K243)</f>
        <v>2</v>
      </c>
    </row>
    <row r="240" spans="1:12" ht="13">
      <c r="A240" s="10" t="str">
        <f ca="1">IFERROR(__xludf.DUMMYFUNCTION("""COMPUTED_VALUE"""),"FairWare")</f>
        <v>FairWare</v>
      </c>
      <c r="B240" s="10">
        <f t="shared" ca="1" si="0"/>
        <v>3</v>
      </c>
      <c r="K240" s="10">
        <f ca="1">IFERROR(__xludf.DUMMYFUNCTION("""COMPUTED_VALUE"""),2019)</f>
        <v>2019</v>
      </c>
      <c r="L240" s="10">
        <f ca="1"/>
        <v>3</v>
      </c>
    </row>
    <row r="241" spans="1:12" ht="13">
      <c r="A241" s="10" t="str">
        <f ca="1">IFERROR(__xludf.DUMMYFUNCTION("""COMPUTED_VALUE"""),"FASE")</f>
        <v>FASE</v>
      </c>
      <c r="B241" s="10">
        <f t="shared" ca="1" si="0"/>
        <v>1</v>
      </c>
      <c r="K241" s="10">
        <f ca="1">IFERROR(__xludf.DUMMYFUNCTION("""COMPUTED_VALUE"""),2020)</f>
        <v>2020</v>
      </c>
      <c r="L241" s="10">
        <f ca="1"/>
        <v>4</v>
      </c>
    </row>
    <row r="242" spans="1:12" ht="13">
      <c r="A242" s="10" t="str">
        <f ca="1">IFERROR(__xludf.DUMMYFUNCTION("""COMPUTED_VALUE"""),"FATE")</f>
        <v>FATE</v>
      </c>
      <c r="B242" s="10">
        <f t="shared" ca="1" si="0"/>
        <v>5</v>
      </c>
      <c r="K242" s="10">
        <f ca="1">IFERROR(__xludf.DUMMYFUNCTION("""COMPUTED_VALUE"""),2021)</f>
        <v>2021</v>
      </c>
      <c r="L242" s="10">
        <f ca="1"/>
        <v>3</v>
      </c>
    </row>
    <row r="243" spans="1:12" ht="13">
      <c r="A243" s="10" t="str">
        <f ca="1">IFERROR(__xludf.DUMMYFUNCTION("""COMPUTED_VALUE"""),"FSE")</f>
        <v>FSE</v>
      </c>
      <c r="B243" s="10">
        <f t="shared" ca="1" si="0"/>
        <v>12</v>
      </c>
      <c r="K243" s="10"/>
      <c r="L243" s="10">
        <f ca="1"/>
        <v>0</v>
      </c>
    </row>
    <row r="244" spans="1:12" ht="13">
      <c r="A244" s="10" t="str">
        <f ca="1">IFERROR(__xludf.DUMMYFUNCTION("""COMPUTED_VALUE"""),"GECCO")</f>
        <v>GECCO</v>
      </c>
      <c r="B244" s="10">
        <f t="shared" ca="1" si="0"/>
        <v>1</v>
      </c>
    </row>
    <row r="245" spans="1:12" ht="13">
      <c r="A245" s="10" t="str">
        <f ca="1">IFERROR(__xludf.DUMMYFUNCTION("""COMPUTED_VALUE"""),"HRDAG")</f>
        <v>HRDAG</v>
      </c>
      <c r="B245" s="10">
        <f t="shared" ca="1" si="0"/>
        <v>1</v>
      </c>
    </row>
    <row r="246" spans="1:12" ht="13">
      <c r="A246" s="10" t="str">
        <f ca="1">IFERROR(__xludf.DUMMYFUNCTION("""COMPUTED_VALUE"""),"HRLC")</f>
        <v>HRLC</v>
      </c>
      <c r="B246" s="10">
        <f t="shared" ca="1" si="0"/>
        <v>1</v>
      </c>
    </row>
    <row r="247" spans="1:12" ht="13">
      <c r="A247" s="10" t="str">
        <f ca="1">IFERROR(__xludf.DUMMYFUNCTION("""COMPUTED_VALUE"""),"IBM_Journal_of_R_&amp;_D")</f>
        <v>IBM_Journal_of_R_&amp;_D</v>
      </c>
      <c r="B247" s="10">
        <f t="shared" ca="1" si="0"/>
        <v>3</v>
      </c>
      <c r="K247" s="15" t="s">
        <v>737</v>
      </c>
    </row>
    <row r="248" spans="1:12" ht="13">
      <c r="A248" s="10" t="str">
        <f ca="1">IFERROR(__xludf.DUMMYFUNCTION("""COMPUTED_VALUE"""),"ICCV")</f>
        <v>ICCV</v>
      </c>
      <c r="B248" s="10">
        <f t="shared" ca="1" si="0"/>
        <v>1</v>
      </c>
      <c r="K248" s="16" t="s">
        <v>801</v>
      </c>
      <c r="L248" s="16" t="s">
        <v>795</v>
      </c>
    </row>
    <row r="249" spans="1:12" ht="13">
      <c r="A249" s="10" t="str">
        <f ca="1">IFERROR(__xludf.DUMMYFUNCTION("""COMPUTED_VALUE"""),"ICDM")</f>
        <v>ICDM</v>
      </c>
      <c r="B249" s="10">
        <f t="shared" ca="1" si="0"/>
        <v>4</v>
      </c>
      <c r="K249" s="10">
        <f ca="1">IFERROR(__xludf.DUMMYFUNCTION("SORT(UNIQUE(D173:D190))"),2009)</f>
        <v>2009</v>
      </c>
      <c r="L249" s="10">
        <f t="array" aca="1" ref="L249:L257" ca="1">FREQUENCY(D173:D190, K249:K256)</f>
        <v>1</v>
      </c>
    </row>
    <row r="250" spans="1:12" ht="13">
      <c r="A250" s="10" t="str">
        <f ca="1">IFERROR(__xludf.DUMMYFUNCTION("""COMPUTED_VALUE"""),"ICEDT")</f>
        <v>ICEDT</v>
      </c>
      <c r="B250" s="10">
        <f t="shared" ca="1" si="0"/>
        <v>1</v>
      </c>
      <c r="K250" s="10">
        <f ca="1">IFERROR(__xludf.DUMMYFUNCTION("""COMPUTED_VALUE"""),2010)</f>
        <v>2010</v>
      </c>
      <c r="L250" s="10">
        <f ca="1"/>
        <v>2</v>
      </c>
    </row>
    <row r="251" spans="1:12" ht="13">
      <c r="A251" s="10" t="str">
        <f ca="1">IFERROR(__xludf.DUMMYFUNCTION("""COMPUTED_VALUE"""),"ICIS")</f>
        <v>ICIS</v>
      </c>
      <c r="B251" s="10">
        <f t="shared" ca="1" si="0"/>
        <v>1</v>
      </c>
      <c r="K251" s="10">
        <f ca="1">IFERROR(__xludf.DUMMYFUNCTION("""COMPUTED_VALUE"""),2011)</f>
        <v>2011</v>
      </c>
      <c r="L251" s="10">
        <f ca="1"/>
        <v>1</v>
      </c>
    </row>
    <row r="252" spans="1:12" ht="13">
      <c r="A252" s="10" t="str">
        <f ca="1">IFERROR(__xludf.DUMMYFUNCTION("""COMPUTED_VALUE"""),"ICMD")</f>
        <v>ICMD</v>
      </c>
      <c r="B252" s="10">
        <f t="shared" ca="1" si="0"/>
        <v>2</v>
      </c>
      <c r="K252" s="10">
        <f ca="1">IFERROR(__xludf.DUMMYFUNCTION("""COMPUTED_VALUE"""),2012)</f>
        <v>2012</v>
      </c>
      <c r="L252" s="10">
        <f ca="1"/>
        <v>2</v>
      </c>
    </row>
    <row r="253" spans="1:12" ht="13">
      <c r="A253" s="10" t="str">
        <f ca="1">IFERROR(__xludf.DUMMYFUNCTION("""COMPUTED_VALUE"""),"ICML")</f>
        <v>ICML</v>
      </c>
      <c r="B253" s="10">
        <f t="shared" ca="1" si="0"/>
        <v>2</v>
      </c>
      <c r="K253" s="10">
        <f ca="1">IFERROR(__xludf.DUMMYFUNCTION("""COMPUTED_VALUE"""),2013)</f>
        <v>2013</v>
      </c>
      <c r="L253" s="10">
        <f ca="1"/>
        <v>1</v>
      </c>
    </row>
    <row r="254" spans="1:12" ht="13">
      <c r="A254" s="10" t="str">
        <f ca="1">IFERROR(__xludf.DUMMYFUNCTION("""COMPUTED_VALUE"""),"ICSE")</f>
        <v>ICSE</v>
      </c>
      <c r="B254" s="10">
        <f t="shared" ca="1" si="0"/>
        <v>10</v>
      </c>
      <c r="K254" s="10">
        <f ca="1">IFERROR(__xludf.DUMMYFUNCTION("""COMPUTED_VALUE"""),2017)</f>
        <v>2017</v>
      </c>
      <c r="L254" s="10">
        <f ca="1"/>
        <v>4</v>
      </c>
    </row>
    <row r="255" spans="1:12" ht="13">
      <c r="A255" s="10" t="str">
        <f ca="1">IFERROR(__xludf.DUMMYFUNCTION("""COMPUTED_VALUE"""),"ICSE-C")</f>
        <v>ICSE-C</v>
      </c>
      <c r="B255" s="10">
        <f t="shared" ca="1" si="0"/>
        <v>1</v>
      </c>
      <c r="K255" s="10">
        <f ca="1">IFERROR(__xludf.DUMMYFUNCTION("""COMPUTED_VALUE"""),2018)</f>
        <v>2018</v>
      </c>
      <c r="L255" s="10">
        <f ca="1"/>
        <v>4</v>
      </c>
    </row>
    <row r="256" spans="1:12" ht="13">
      <c r="A256" s="10" t="str">
        <f ca="1">IFERROR(__xludf.DUMMYFUNCTION("""COMPUTED_VALUE"""),"IEEE_Software")</f>
        <v>IEEE_Software</v>
      </c>
      <c r="B256" s="10">
        <f t="shared" ca="1" si="0"/>
        <v>2</v>
      </c>
      <c r="K256" s="10">
        <f ca="1">IFERROR(__xludf.DUMMYFUNCTION("""COMPUTED_VALUE"""),2019)</f>
        <v>2019</v>
      </c>
      <c r="L256" s="10">
        <f ca="1"/>
        <v>3</v>
      </c>
    </row>
    <row r="257" spans="1:12" ht="13">
      <c r="A257" s="10" t="str">
        <f ca="1">IFERROR(__xludf.DUMMYFUNCTION("""COMPUTED_VALUE"""),"IJCAI")</f>
        <v>IJCAI</v>
      </c>
      <c r="B257" s="10">
        <f t="shared" ca="1" si="0"/>
        <v>1</v>
      </c>
      <c r="L257" s="10">
        <f ca="1"/>
        <v>0</v>
      </c>
    </row>
    <row r="258" spans="1:12" ht="13">
      <c r="A258" s="10" t="str">
        <f ca="1">IFERROR(__xludf.DUMMYFUNCTION("""COMPUTED_VALUE"""),"Inf_Science")</f>
        <v>Inf_Science</v>
      </c>
      <c r="B258" s="10">
        <f t="shared" ca="1" si="0"/>
        <v>1</v>
      </c>
    </row>
    <row r="259" spans="1:12" ht="13">
      <c r="A259" s="10" t="str">
        <f ca="1">IFERROR(__xludf.DUMMYFUNCTION("""COMPUTED_VALUE"""),"ISSTA")</f>
        <v>ISSTA</v>
      </c>
      <c r="B259" s="10">
        <f t="shared" ca="1" si="0"/>
        <v>1</v>
      </c>
    </row>
    <row r="260" spans="1:12" ht="13">
      <c r="A260" s="10" t="str">
        <f ca="1">IFERROR(__xludf.DUMMYFUNCTION("""COMPUTED_VALUE"""),"IWC")</f>
        <v>IWC</v>
      </c>
      <c r="B260" s="10">
        <f t="shared" ca="1" si="0"/>
        <v>1</v>
      </c>
    </row>
    <row r="261" spans="1:12" ht="13">
      <c r="A261" s="10" t="str">
        <f ca="1">IFERROR(__xludf.DUMMYFUNCTION("""COMPUTED_VALUE"""),"JDIQ")</f>
        <v>JDIQ</v>
      </c>
      <c r="B261" s="10">
        <f t="shared" ca="1" si="0"/>
        <v>1</v>
      </c>
    </row>
    <row r="262" spans="1:12" ht="13">
      <c r="A262" s="10" t="str">
        <f ca="1">IFERROR(__xludf.DUMMYFUNCTION("""COMPUTED_VALUE"""),"JOSS")</f>
        <v>JOSS</v>
      </c>
      <c r="B262" s="10">
        <f t="shared" ca="1" si="0"/>
        <v>1</v>
      </c>
    </row>
    <row r="263" spans="1:12" ht="13">
      <c r="A263" s="10" t="str">
        <f ca="1">IFERROR(__xludf.DUMMYFUNCTION("""COMPUTED_VALUE"""),"JSS")</f>
        <v>JSS</v>
      </c>
      <c r="B263" s="10">
        <f t="shared" ca="1" si="0"/>
        <v>2</v>
      </c>
    </row>
    <row r="264" spans="1:12" ht="13">
      <c r="A264" s="10" t="str">
        <f ca="1">IFERROR(__xludf.DUMMYFUNCTION("""COMPUTED_VALUE"""),"KAIS")</f>
        <v>KAIS</v>
      </c>
      <c r="B264" s="10">
        <f t="shared" ca="1" si="0"/>
        <v>1</v>
      </c>
    </row>
    <row r="265" spans="1:12" ht="13">
      <c r="A265" s="10" t="str">
        <f ca="1">IFERROR(__xludf.DUMMYFUNCTION("""COMPUTED_VALUE"""),"KDD")</f>
        <v>KDD</v>
      </c>
      <c r="B265" s="10">
        <f t="shared" ca="1" si="0"/>
        <v>4</v>
      </c>
    </row>
    <row r="266" spans="1:12" ht="13">
      <c r="A266" s="10" t="str">
        <f ca="1">IFERROR(__xludf.DUMMYFUNCTION("""COMPUTED_VALUE"""),"KDD_XAI")</f>
        <v>KDD_XAI</v>
      </c>
      <c r="B266" s="10">
        <f t="shared" ca="1" si="0"/>
        <v>1</v>
      </c>
    </row>
    <row r="267" spans="1:12" ht="13">
      <c r="A267" s="10" t="str">
        <f ca="1">IFERROR(__xludf.DUMMYFUNCTION("""COMPUTED_VALUE"""),"LAK")</f>
        <v>LAK</v>
      </c>
      <c r="B267" s="10">
        <f t="shared" ca="1" si="0"/>
        <v>1</v>
      </c>
    </row>
    <row r="268" spans="1:12" ht="13">
      <c r="A268" s="10" t="str">
        <f ca="1">IFERROR(__xludf.DUMMYFUNCTION("""COMPUTED_VALUE"""),"MS_Tech_Report")</f>
        <v>MS_Tech_Report</v>
      </c>
      <c r="B268" s="10">
        <f t="shared" ca="1" si="0"/>
        <v>1</v>
      </c>
    </row>
    <row r="269" spans="1:12" ht="13">
      <c r="A269" s="10" t="str">
        <f ca="1">IFERROR(__xludf.DUMMYFUNCTION("""COMPUTED_VALUE"""),"NeurIPS")</f>
        <v>NeurIPS</v>
      </c>
      <c r="B269" s="10">
        <f t="shared" ca="1" si="0"/>
        <v>8</v>
      </c>
    </row>
    <row r="270" spans="1:12" ht="13">
      <c r="A270" s="10" t="str">
        <f ca="1">IFERROR(__xludf.DUMMYFUNCTION("""COMPUTED_VALUE"""),"OOPSLA")</f>
        <v>OOPSLA</v>
      </c>
      <c r="B270" s="10">
        <f t="shared" ca="1" si="0"/>
        <v>4</v>
      </c>
    </row>
    <row r="271" spans="1:12" ht="13">
      <c r="A271" s="10" t="str">
        <f ca="1">IFERROR(__xludf.DUMMYFUNCTION("""COMPUTED_VALUE"""),"PMLR")</f>
        <v>PMLR</v>
      </c>
      <c r="B271" s="10">
        <f t="shared" ca="1" si="0"/>
        <v>3</v>
      </c>
    </row>
    <row r="272" spans="1:12" ht="13">
      <c r="A272" s="10" t="str">
        <f ca="1">IFERROR(__xludf.DUMMYFUNCTION("""COMPUTED_VALUE"""),"RE")</f>
        <v>RE</v>
      </c>
      <c r="B272" s="10">
        <f t="shared" ca="1" si="0"/>
        <v>1</v>
      </c>
    </row>
    <row r="273" spans="1:2" ht="13">
      <c r="A273" s="10" t="str">
        <f ca="1">IFERROR(__xludf.DUMMYFUNCTION("""COMPUTED_VALUE"""),"RecSys")</f>
        <v>RecSys</v>
      </c>
      <c r="B273" s="10">
        <f t="shared" ca="1" si="0"/>
        <v>1</v>
      </c>
    </row>
    <row r="274" spans="1:2" ht="13">
      <c r="A274" s="10" t="str">
        <f ca="1">IFERROR(__xludf.DUMMYFUNCTION("""COMPUTED_VALUE"""),"Science")</f>
        <v>Science</v>
      </c>
      <c r="B274" s="10">
        <f t="shared" ca="1" si="0"/>
        <v>1</v>
      </c>
    </row>
    <row r="275" spans="1:2" ht="13">
      <c r="A275" s="10" t="str">
        <f ca="1">IFERROR(__xludf.DUMMYFUNCTION("""COMPUTED_VALUE"""),"Scientific_data")</f>
        <v>Scientific_data</v>
      </c>
      <c r="B275" s="10">
        <f t="shared" ca="1" si="0"/>
        <v>0</v>
      </c>
    </row>
    <row r="276" spans="1:2" ht="13">
      <c r="A276" s="10" t="str">
        <f ca="1">IFERROR(__xludf.DUMMYFUNCTION("""COMPUTED_VALUE"""),"SIGMOD_Record")</f>
        <v>SIGMOD_Record</v>
      </c>
      <c r="B276" s="10">
        <f t="shared" ca="1" si="0"/>
        <v>1</v>
      </c>
    </row>
    <row r="277" spans="1:2" ht="13">
      <c r="A277" s="10" t="str">
        <f ca="1">IFERROR(__xludf.DUMMYFUNCTION("""COMPUTED_VALUE"""),"SSRN")</f>
        <v>SSRN</v>
      </c>
      <c r="B277" s="10">
        <f t="shared" ca="1" si="0"/>
        <v>2</v>
      </c>
    </row>
    <row r="278" spans="1:2" ht="13">
      <c r="A278" s="10" t="str">
        <f ca="1">IFERROR(__xludf.DUMMYFUNCTION("""COMPUTED_VALUE"""),"TrustCom")</f>
        <v>TrustCom</v>
      </c>
      <c r="B278" s="10">
        <f t="shared" ca="1" si="0"/>
        <v>1</v>
      </c>
    </row>
    <row r="279" spans="1:2" ht="13">
      <c r="A279" s="10" t="str">
        <f ca="1">IFERROR(__xludf.DUMMYFUNCTION("""COMPUTED_VALUE"""),"TSE")</f>
        <v>TSE</v>
      </c>
      <c r="B279" s="10">
        <f t="shared" ca="1" si="0"/>
        <v>4</v>
      </c>
    </row>
    <row r="280" spans="1:2" ht="13">
      <c r="A280" s="10" t="str">
        <f ca="1">IFERROR(__xludf.DUMMYFUNCTION("""COMPUTED_VALUE"""),"VAST")</f>
        <v>VAST</v>
      </c>
      <c r="B280" s="10">
        <f t="shared" ca="1" si="0"/>
        <v>1</v>
      </c>
    </row>
    <row r="281" spans="1:2" ht="13">
      <c r="A281" s="10" t="str">
        <f ca="1">IFERROR(__xludf.DUMMYFUNCTION("""COMPUTED_VALUE"""),"WWW")</f>
        <v>WWW</v>
      </c>
      <c r="B281" s="10">
        <f t="shared" ca="1" si="0"/>
        <v>4</v>
      </c>
    </row>
    <row r="282" spans="1:2" ht="13">
      <c r="A282" s="10"/>
      <c r="B282" s="10">
        <f t="shared" si="0"/>
        <v>0</v>
      </c>
    </row>
    <row r="283" spans="1:2" ht="13">
      <c r="B283" s="10">
        <f t="shared" si="0"/>
        <v>0</v>
      </c>
    </row>
    <row r="284" spans="1:2" ht="13">
      <c r="B284" s="10">
        <f t="shared" si="0"/>
        <v>0</v>
      </c>
    </row>
    <row r="285" spans="1:2" ht="13">
      <c r="A285" s="1" t="s">
        <v>802</v>
      </c>
      <c r="B285" s="19">
        <f ca="1">SUM(B216:B284)</f>
        <v>165</v>
      </c>
    </row>
    <row r="287" spans="1:2" ht="13">
      <c r="A287" s="1" t="s">
        <v>3</v>
      </c>
    </row>
    <row r="288" spans="1:2" ht="13">
      <c r="A288" s="1" t="s">
        <v>19</v>
      </c>
      <c r="B288" s="1" t="s">
        <v>803</v>
      </c>
    </row>
    <row r="289" spans="1:2" ht="13">
      <c r="A289" s="10" t="str">
        <f ca="1">IFERROR(__xludf.DUMMYFUNCTION("SORT(UNIQUE(L25:L53))"),"?")</f>
        <v>?</v>
      </c>
      <c r="B289" s="10">
        <f t="shared" ref="B289:B296" ca="1" si="1">COUNTIF(L$4:L$56, A289)</f>
        <v>3</v>
      </c>
    </row>
    <row r="290" spans="1:2" ht="13">
      <c r="A290" s="10" t="str">
        <f ca="1">IFERROR(__xludf.DUMMYFUNCTION("""COMPUTED_VALUE"""),"Both (image)")</f>
        <v>Both (image)</v>
      </c>
      <c r="B290" s="10">
        <f t="shared" ca="1" si="1"/>
        <v>2</v>
      </c>
    </row>
    <row r="291" spans="1:2" ht="13">
      <c r="A291" s="10" t="str">
        <f ca="1">IFERROR(__xludf.DUMMYFUNCTION("""COMPUTED_VALUE"""),"Both (Text, code)")</f>
        <v>Both (Text, code)</v>
      </c>
      <c r="B291" s="10">
        <f t="shared" ca="1" si="1"/>
        <v>1</v>
      </c>
    </row>
    <row r="292" spans="1:2" ht="13">
      <c r="A292" s="10" t="str">
        <f ca="1">IFERROR(__xludf.DUMMYFUNCTION("""COMPUTED_VALUE"""),"Both (Text)")</f>
        <v>Both (Text)</v>
      </c>
      <c r="B292" s="10">
        <f t="shared" ca="1" si="1"/>
        <v>1</v>
      </c>
    </row>
    <row r="293" spans="1:2" ht="13">
      <c r="A293" s="10" t="str">
        <f ca="1">IFERROR(__xludf.DUMMYFUNCTION("""COMPUTED_VALUE"""),"Structured")</f>
        <v>Structured</v>
      </c>
      <c r="B293" s="10">
        <f t="shared" ca="1" si="1"/>
        <v>18</v>
      </c>
    </row>
    <row r="294" spans="1:2" ht="13">
      <c r="A294" s="10" t="str">
        <f ca="1">IFERROR(__xludf.DUMMYFUNCTION("""COMPUTED_VALUE"""),"Unstructured (Image)")</f>
        <v>Unstructured (Image)</v>
      </c>
      <c r="B294" s="10">
        <f t="shared" ca="1" si="1"/>
        <v>1</v>
      </c>
    </row>
    <row r="295" spans="1:2" ht="13">
      <c r="A295" s="10" t="str">
        <f ca="1">IFERROR(__xludf.DUMMYFUNCTION("""COMPUTED_VALUE"""),"Unstructured (Speech)")</f>
        <v>Unstructured (Speech)</v>
      </c>
      <c r="B295" s="10">
        <f t="shared" ca="1" si="1"/>
        <v>1</v>
      </c>
    </row>
    <row r="296" spans="1:2" ht="13">
      <c r="A296" s="10" t="str">
        <f ca="1">IFERROR(__xludf.DUMMYFUNCTION("""COMPUTED_VALUE"""),"Unstructured (Text)")</f>
        <v>Unstructured (Text)</v>
      </c>
      <c r="B296" s="10">
        <f t="shared" ca="1" si="1"/>
        <v>4</v>
      </c>
    </row>
    <row r="297" spans="1:2" ht="13">
      <c r="A297" s="1" t="s">
        <v>802</v>
      </c>
      <c r="B297" s="19">
        <f ca="1">SUM(B289:B296)</f>
        <v>31</v>
      </c>
    </row>
    <row r="299" spans="1:2" ht="13">
      <c r="A299" s="1" t="s">
        <v>3</v>
      </c>
    </row>
    <row r="300" spans="1:2" ht="13">
      <c r="A300" s="1" t="s">
        <v>19</v>
      </c>
      <c r="B300" s="1" t="s">
        <v>803</v>
      </c>
    </row>
    <row r="301" spans="1:2" ht="13">
      <c r="A301" s="2" t="s">
        <v>804</v>
      </c>
      <c r="B301" s="10">
        <f ca="1">SUM(B290:B292)</f>
        <v>4</v>
      </c>
    </row>
    <row r="302" spans="1:2" ht="13">
      <c r="A302" s="10" t="s">
        <v>119</v>
      </c>
      <c r="B302" s="10">
        <f ca="1">B293</f>
        <v>18</v>
      </c>
    </row>
    <row r="303" spans="1:2" ht="13">
      <c r="A303" s="2" t="s">
        <v>805</v>
      </c>
      <c r="B303" s="10">
        <f ca="1">SUM(B294:B296)</f>
        <v>6</v>
      </c>
    </row>
    <row r="304" spans="1:2" ht="13">
      <c r="A304" s="1" t="s">
        <v>802</v>
      </c>
      <c r="B304" s="19">
        <f ca="1">SUM(B301:B303)</f>
        <v>28</v>
      </c>
    </row>
    <row r="306" spans="1:2" ht="13">
      <c r="A306" s="1"/>
    </row>
    <row r="307" spans="1:2" ht="13">
      <c r="A307" s="1" t="s">
        <v>3</v>
      </c>
      <c r="B307" s="1" t="s">
        <v>803</v>
      </c>
    </row>
    <row r="308" spans="1:2" ht="13">
      <c r="A308" s="2" t="s">
        <v>806</v>
      </c>
      <c r="B308" s="10">
        <f ca="1">SUM(B290,B294)</f>
        <v>3</v>
      </c>
    </row>
    <row r="309" spans="1:2" ht="13">
      <c r="A309" s="2" t="s">
        <v>807</v>
      </c>
      <c r="B309" s="10">
        <f ca="1">SUM(B292,B291,B296)</f>
        <v>6</v>
      </c>
    </row>
    <row r="310" spans="1:2" ht="13">
      <c r="A310" s="2" t="s">
        <v>808</v>
      </c>
      <c r="B310" s="10">
        <f ca="1">SUM(B291)</f>
        <v>1</v>
      </c>
    </row>
    <row r="311" spans="1:2" ht="13">
      <c r="A311" s="2" t="s">
        <v>809</v>
      </c>
      <c r="B311" s="10">
        <f ca="1">B295</f>
        <v>1</v>
      </c>
    </row>
    <row r="312" spans="1:2" ht="13">
      <c r="A312" s="1" t="s">
        <v>802</v>
      </c>
      <c r="B312" s="19">
        <f ca="1">SUM(B308:B311)</f>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88"/>
  <sheetViews>
    <sheetView workbookViewId="0"/>
  </sheetViews>
  <sheetFormatPr baseColWidth="10" defaultColWidth="12.6640625" defaultRowHeight="15.75" customHeight="1"/>
  <cols>
    <col min="1" max="1" width="21.6640625" customWidth="1"/>
    <col min="2" max="2" width="13.5" customWidth="1"/>
    <col min="3" max="3" width="20" customWidth="1"/>
    <col min="4" max="4" width="11.6640625" customWidth="1"/>
    <col min="5" max="6" width="20" customWidth="1"/>
    <col min="7" max="7" width="24.6640625" customWidth="1"/>
  </cols>
  <sheetData>
    <row r="1" spans="1:4" ht="15.75" customHeight="1">
      <c r="A1" s="1" t="s">
        <v>810</v>
      </c>
      <c r="B1" s="1" t="s">
        <v>811</v>
      </c>
      <c r="C1" s="20" t="s">
        <v>795</v>
      </c>
      <c r="D1" s="19"/>
    </row>
    <row r="2" spans="1:4" ht="15.75" customHeight="1">
      <c r="A2" s="2" t="s">
        <v>812</v>
      </c>
      <c r="B2" s="10">
        <f>COUNTIF(A$23:A$86, "=AI/ML")</f>
        <v>9</v>
      </c>
      <c r="C2" s="10">
        <f t="shared" ref="C2:C9" si="0">SUMIF(A$22:A$86,A2,D$22:D$86)</f>
        <v>17</v>
      </c>
    </row>
    <row r="3" spans="1:4" ht="15.75" customHeight="1">
      <c r="A3" s="2" t="s">
        <v>813</v>
      </c>
      <c r="B3" s="10">
        <f>COUNTIF(A$23:A$86, "=SE/PL/Security")</f>
        <v>16</v>
      </c>
      <c r="C3" s="10">
        <f t="shared" si="0"/>
        <v>46</v>
      </c>
    </row>
    <row r="4" spans="1:4" ht="15.75" customHeight="1">
      <c r="A4" s="2" t="s">
        <v>814</v>
      </c>
      <c r="B4" s="10">
        <f>COUNTIF(A$23:A$86, "=Big data, KD &amp; Data Mining")</f>
        <v>15</v>
      </c>
      <c r="C4" s="10">
        <f t="shared" si="0"/>
        <v>25</v>
      </c>
    </row>
    <row r="5" spans="1:4" ht="15.75" customHeight="1">
      <c r="A5" s="2" t="s">
        <v>815</v>
      </c>
      <c r="B5" s="10">
        <f>COUNTIF(A$23:A$86, "=Human Factors, Usability")</f>
        <v>2</v>
      </c>
      <c r="C5" s="10">
        <f t="shared" si="0"/>
        <v>4</v>
      </c>
    </row>
    <row r="6" spans="1:4" ht="15.75" customHeight="1">
      <c r="A6" s="2" t="s">
        <v>816</v>
      </c>
      <c r="B6" s="10">
        <f>COUNTIF(A$23:A$86, "=Fairness-targets")</f>
        <v>4</v>
      </c>
      <c r="C6" s="10">
        <f t="shared" si="0"/>
        <v>29</v>
      </c>
    </row>
    <row r="7" spans="1:4" ht="15.75" customHeight="1">
      <c r="A7" s="2" t="s">
        <v>817</v>
      </c>
      <c r="B7" s="10">
        <f>COUNTIF(A$23:A$86, "=CV")</f>
        <v>3</v>
      </c>
      <c r="C7" s="10">
        <f t="shared" si="0"/>
        <v>4</v>
      </c>
    </row>
    <row r="8" spans="1:4" ht="15.75" customHeight="1">
      <c r="A8" s="2" t="s">
        <v>818</v>
      </c>
      <c r="B8" s="10">
        <f>COUNTIF(A$23:A$86, "=NLP")</f>
        <v>2</v>
      </c>
      <c r="C8" s="10">
        <f t="shared" si="0"/>
        <v>6</v>
      </c>
    </row>
    <row r="9" spans="1:4" ht="15.75" customHeight="1">
      <c r="A9" s="2" t="s">
        <v>819</v>
      </c>
      <c r="B9" s="10">
        <f>COUNTIF(A$23:A$86, "=Other")</f>
        <v>13</v>
      </c>
      <c r="C9" s="10">
        <f t="shared" si="0"/>
        <v>33</v>
      </c>
    </row>
    <row r="10" spans="1:4" ht="15.75" customHeight="1">
      <c r="A10" s="1" t="s">
        <v>802</v>
      </c>
      <c r="B10" s="19">
        <f t="shared" ref="B10:C10" si="1">SUM(B2:B9)</f>
        <v>64</v>
      </c>
      <c r="C10" s="19">
        <f t="shared" si="1"/>
        <v>164</v>
      </c>
    </row>
    <row r="13" spans="1:4" ht="15.75" customHeight="1">
      <c r="A13" s="1" t="s">
        <v>820</v>
      </c>
      <c r="B13" s="1" t="s">
        <v>811</v>
      </c>
      <c r="C13" s="20" t="s">
        <v>795</v>
      </c>
    </row>
    <row r="14" spans="1:4" ht="15.75" customHeight="1">
      <c r="A14" s="2" t="s">
        <v>821</v>
      </c>
      <c r="B14" s="10">
        <f>COUNTIF(B$23:B$86, "=Journal")</f>
        <v>18</v>
      </c>
      <c r="C14" s="10">
        <f t="shared" ref="C14:C17" si="2">SUMIF(B$22:B$86,A14,D$22:D$86)</f>
        <v>27</v>
      </c>
    </row>
    <row r="15" spans="1:4" ht="15.75" customHeight="1">
      <c r="A15" s="2" t="s">
        <v>822</v>
      </c>
      <c r="B15" s="10">
        <f>COUNTIF(B$23:B$86, "=Conference")</f>
        <v>35</v>
      </c>
      <c r="C15" s="10">
        <f t="shared" si="2"/>
        <v>107</v>
      </c>
    </row>
    <row r="16" spans="1:4" ht="15.75" customHeight="1">
      <c r="A16" s="2" t="s">
        <v>823</v>
      </c>
      <c r="B16" s="10">
        <f>COUNTIF(B$23:B$86, "=Workshop")</f>
        <v>6</v>
      </c>
      <c r="C16" s="10">
        <f t="shared" si="2"/>
        <v>12</v>
      </c>
    </row>
    <row r="17" spans="1:5" ht="15.75" customHeight="1">
      <c r="A17" s="2" t="s">
        <v>819</v>
      </c>
      <c r="B17" s="10">
        <f>COUNTIF(B$23:B$86, "=Other")</f>
        <v>5</v>
      </c>
      <c r="C17" s="10">
        <f t="shared" si="2"/>
        <v>18</v>
      </c>
    </row>
    <row r="18" spans="1:5" ht="15.75" customHeight="1">
      <c r="A18" s="1" t="s">
        <v>802</v>
      </c>
      <c r="B18" s="19">
        <f t="shared" ref="B18:C18" si="3">SUM(B14:B17)</f>
        <v>64</v>
      </c>
      <c r="C18" s="19">
        <f t="shared" si="3"/>
        <v>164</v>
      </c>
    </row>
    <row r="19" spans="1:5" ht="15.75" customHeight="1">
      <c r="A19" s="2"/>
    </row>
    <row r="20" spans="1:5" ht="15.75" customHeight="1">
      <c r="A20" s="2"/>
    </row>
    <row r="22" spans="1:5" ht="15.75" customHeight="1">
      <c r="A22" s="1" t="s">
        <v>810</v>
      </c>
      <c r="B22" s="1" t="s">
        <v>820</v>
      </c>
      <c r="C22" s="19" t="s">
        <v>13</v>
      </c>
      <c r="D22" s="20" t="s">
        <v>795</v>
      </c>
    </row>
    <row r="23" spans="1:5" ht="15.75" customHeight="1">
      <c r="A23" s="2" t="s">
        <v>812</v>
      </c>
      <c r="B23" s="2" t="s">
        <v>822</v>
      </c>
      <c r="C23" s="10" t="s">
        <v>370</v>
      </c>
      <c r="D23" s="10">
        <v>3</v>
      </c>
    </row>
    <row r="24" spans="1:5" ht="15.75" customHeight="1">
      <c r="A24" s="2" t="s">
        <v>812</v>
      </c>
      <c r="B24" s="2" t="s">
        <v>822</v>
      </c>
      <c r="C24" s="10" t="s">
        <v>777</v>
      </c>
      <c r="D24" s="10">
        <v>1</v>
      </c>
    </row>
    <row r="25" spans="1:5" ht="15.75" customHeight="1">
      <c r="A25" s="2" t="s">
        <v>812</v>
      </c>
      <c r="B25" s="2" t="s">
        <v>822</v>
      </c>
      <c r="C25" s="10" t="s">
        <v>303</v>
      </c>
      <c r="D25" s="10">
        <v>1</v>
      </c>
    </row>
    <row r="26" spans="1:5" ht="15.75" customHeight="1">
      <c r="A26" s="2" t="s">
        <v>812</v>
      </c>
      <c r="B26" s="2" t="s">
        <v>822</v>
      </c>
      <c r="C26" s="10" t="s">
        <v>781</v>
      </c>
      <c r="D26" s="10">
        <v>1</v>
      </c>
    </row>
    <row r="27" spans="1:5" ht="15.75" customHeight="1">
      <c r="A27" s="2" t="s">
        <v>812</v>
      </c>
      <c r="B27" s="2" t="s">
        <v>822</v>
      </c>
      <c r="C27" s="10" t="s">
        <v>523</v>
      </c>
      <c r="D27" s="10">
        <v>1</v>
      </c>
    </row>
    <row r="28" spans="1:5" ht="15.75" customHeight="1">
      <c r="A28" s="2" t="s">
        <v>812</v>
      </c>
      <c r="B28" s="2" t="s">
        <v>822</v>
      </c>
      <c r="C28" s="10" t="s">
        <v>427</v>
      </c>
      <c r="D28" s="2">
        <v>6</v>
      </c>
    </row>
    <row r="29" spans="1:5" ht="15.75" customHeight="1">
      <c r="A29" s="2" t="s">
        <v>812</v>
      </c>
      <c r="B29" s="2" t="s">
        <v>822</v>
      </c>
      <c r="C29" s="10" t="s">
        <v>527</v>
      </c>
      <c r="D29" s="10">
        <v>2</v>
      </c>
    </row>
    <row r="30" spans="1:5" ht="15.75" customHeight="1">
      <c r="A30" s="2" t="s">
        <v>812</v>
      </c>
      <c r="B30" s="2" t="s">
        <v>822</v>
      </c>
      <c r="C30" s="10" t="s">
        <v>79</v>
      </c>
      <c r="D30" s="10">
        <v>1</v>
      </c>
      <c r="E30" s="10">
        <f>SUM(D23:D30)</f>
        <v>16</v>
      </c>
    </row>
    <row r="31" spans="1:5" ht="15.75" customHeight="1">
      <c r="A31" s="2" t="s">
        <v>812</v>
      </c>
      <c r="B31" s="2" t="s">
        <v>819</v>
      </c>
      <c r="C31" s="10" t="s">
        <v>74</v>
      </c>
      <c r="D31" s="10">
        <v>1</v>
      </c>
    </row>
    <row r="32" spans="1:5" ht="15.75" customHeight="1">
      <c r="A32" s="2" t="s">
        <v>813</v>
      </c>
      <c r="B32" s="2" t="s">
        <v>822</v>
      </c>
      <c r="C32" s="10" t="s">
        <v>155</v>
      </c>
      <c r="D32" s="10">
        <v>2</v>
      </c>
    </row>
    <row r="33" spans="1:5" ht="15.75" customHeight="1">
      <c r="A33" s="2" t="s">
        <v>813</v>
      </c>
      <c r="B33" s="2" t="s">
        <v>822</v>
      </c>
      <c r="C33" s="10" t="s">
        <v>507</v>
      </c>
      <c r="D33" s="10">
        <v>1</v>
      </c>
    </row>
    <row r="34" spans="1:5" ht="15.75" customHeight="1">
      <c r="A34" s="2" t="s">
        <v>813</v>
      </c>
      <c r="B34" s="2" t="s">
        <v>822</v>
      </c>
      <c r="C34" s="10" t="s">
        <v>445</v>
      </c>
      <c r="D34" s="10">
        <v>1</v>
      </c>
    </row>
    <row r="35" spans="1:5" ht="15.75" customHeight="1">
      <c r="A35" s="2" t="s">
        <v>813</v>
      </c>
      <c r="B35" s="2" t="s">
        <v>822</v>
      </c>
      <c r="C35" s="10" t="s">
        <v>116</v>
      </c>
      <c r="D35" s="10">
        <v>13</v>
      </c>
    </row>
    <row r="36" spans="1:5" ht="15.75" customHeight="1">
      <c r="A36" s="2" t="s">
        <v>813</v>
      </c>
      <c r="B36" s="2" t="s">
        <v>822</v>
      </c>
      <c r="C36" s="10" t="s">
        <v>456</v>
      </c>
      <c r="D36" s="10">
        <v>1</v>
      </c>
    </row>
    <row r="37" spans="1:5" ht="15.75" customHeight="1">
      <c r="A37" s="2" t="s">
        <v>813</v>
      </c>
      <c r="B37" s="2" t="s">
        <v>822</v>
      </c>
      <c r="C37" s="10" t="s">
        <v>166</v>
      </c>
      <c r="D37" s="10">
        <v>10</v>
      </c>
    </row>
    <row r="38" spans="1:5" ht="15.75" customHeight="1">
      <c r="A38" s="2" t="s">
        <v>813</v>
      </c>
      <c r="B38" s="2" t="s">
        <v>822</v>
      </c>
      <c r="C38" s="10" t="s">
        <v>478</v>
      </c>
      <c r="D38" s="10">
        <v>4</v>
      </c>
    </row>
    <row r="39" spans="1:5" ht="15.75" customHeight="1">
      <c r="A39" s="2" t="s">
        <v>813</v>
      </c>
      <c r="B39" s="2" t="s">
        <v>822</v>
      </c>
      <c r="C39" s="10" t="s">
        <v>462</v>
      </c>
      <c r="D39" s="10">
        <v>1</v>
      </c>
    </row>
    <row r="40" spans="1:5" ht="15.75" customHeight="1">
      <c r="A40" s="2" t="s">
        <v>813</v>
      </c>
      <c r="B40" s="2" t="s">
        <v>822</v>
      </c>
      <c r="C40" s="10" t="s">
        <v>142</v>
      </c>
      <c r="D40" s="10">
        <v>1</v>
      </c>
      <c r="E40" s="10">
        <f>SUM(D32:D40)</f>
        <v>34</v>
      </c>
    </row>
    <row r="41" spans="1:5" ht="15.75" customHeight="1">
      <c r="A41" s="2" t="s">
        <v>813</v>
      </c>
      <c r="B41" s="2" t="s">
        <v>821</v>
      </c>
      <c r="C41" s="10" t="s">
        <v>111</v>
      </c>
      <c r="D41" s="10">
        <v>1</v>
      </c>
    </row>
    <row r="42" spans="1:5" ht="15.75" customHeight="1">
      <c r="A42" s="2" t="s">
        <v>813</v>
      </c>
      <c r="B42" s="2" t="s">
        <v>821</v>
      </c>
      <c r="C42" s="10" t="s">
        <v>424</v>
      </c>
      <c r="D42" s="10">
        <v>2</v>
      </c>
    </row>
    <row r="43" spans="1:5" ht="15.75" customHeight="1">
      <c r="A43" s="2" t="s">
        <v>813</v>
      </c>
      <c r="B43" s="2" t="s">
        <v>821</v>
      </c>
      <c r="C43" s="10" t="s">
        <v>722</v>
      </c>
      <c r="D43" s="10">
        <v>1</v>
      </c>
    </row>
    <row r="44" spans="1:5" ht="15.75" customHeight="1">
      <c r="A44" s="2" t="s">
        <v>813</v>
      </c>
      <c r="B44" s="2" t="s">
        <v>821</v>
      </c>
      <c r="C44" s="10" t="s">
        <v>106</v>
      </c>
      <c r="D44" s="10">
        <v>2</v>
      </c>
    </row>
    <row r="45" spans="1:5" ht="15.75" customHeight="1">
      <c r="A45" s="2" t="s">
        <v>813</v>
      </c>
      <c r="B45" s="2" t="s">
        <v>821</v>
      </c>
      <c r="C45" s="10" t="s">
        <v>421</v>
      </c>
      <c r="D45" s="10">
        <v>1</v>
      </c>
    </row>
    <row r="46" spans="1:5" ht="15.75" customHeight="1">
      <c r="A46" s="2" t="s">
        <v>813</v>
      </c>
      <c r="B46" s="2" t="s">
        <v>821</v>
      </c>
      <c r="C46" s="10" t="s">
        <v>40</v>
      </c>
      <c r="D46" s="10">
        <v>4</v>
      </c>
      <c r="E46" s="10">
        <f>SUM(D41:D45)</f>
        <v>7</v>
      </c>
    </row>
    <row r="47" spans="1:5" ht="15.75" customHeight="1">
      <c r="A47" s="2" t="s">
        <v>813</v>
      </c>
      <c r="B47" s="2" t="s">
        <v>819</v>
      </c>
      <c r="C47" s="10" t="s">
        <v>711</v>
      </c>
      <c r="D47" s="10">
        <v>1</v>
      </c>
    </row>
    <row r="48" spans="1:5" ht="15.75" customHeight="1">
      <c r="A48" s="2" t="s">
        <v>818</v>
      </c>
      <c r="B48" s="2" t="s">
        <v>822</v>
      </c>
      <c r="C48" s="10" t="s">
        <v>44</v>
      </c>
      <c r="D48" s="10">
        <v>5</v>
      </c>
    </row>
    <row r="49" spans="1:5" ht="15.75" customHeight="1">
      <c r="A49" s="2" t="s">
        <v>818</v>
      </c>
      <c r="B49" s="2" t="s">
        <v>822</v>
      </c>
      <c r="C49" s="10" t="s">
        <v>587</v>
      </c>
      <c r="D49" s="10">
        <v>1</v>
      </c>
    </row>
    <row r="50" spans="1:5" ht="15.75" customHeight="1">
      <c r="A50" s="2" t="s">
        <v>817</v>
      </c>
      <c r="B50" s="2" t="s">
        <v>822</v>
      </c>
      <c r="C50" s="2" t="s">
        <v>629</v>
      </c>
      <c r="D50" s="10">
        <v>1</v>
      </c>
    </row>
    <row r="51" spans="1:5" ht="15.75" customHeight="1">
      <c r="A51" s="2" t="s">
        <v>817</v>
      </c>
      <c r="B51" s="2" t="s">
        <v>822</v>
      </c>
      <c r="C51" s="10" t="s">
        <v>598</v>
      </c>
      <c r="D51" s="10">
        <v>2</v>
      </c>
    </row>
    <row r="52" spans="1:5" ht="15.75" customHeight="1">
      <c r="A52" s="2" t="s">
        <v>817</v>
      </c>
      <c r="B52" s="2" t="s">
        <v>823</v>
      </c>
      <c r="C52" s="10" t="s">
        <v>652</v>
      </c>
      <c r="D52" s="10">
        <v>1</v>
      </c>
    </row>
    <row r="53" spans="1:5" ht="15.75" customHeight="1">
      <c r="A53" s="2" t="s">
        <v>816</v>
      </c>
      <c r="B53" s="2" t="s">
        <v>822</v>
      </c>
      <c r="C53" s="10" t="s">
        <v>609</v>
      </c>
      <c r="D53" s="10">
        <v>5</v>
      </c>
    </row>
    <row r="54" spans="1:5" ht="15.75" customHeight="1">
      <c r="A54" s="2" t="s">
        <v>816</v>
      </c>
      <c r="B54" s="2" t="s">
        <v>822</v>
      </c>
      <c r="C54" s="10" t="s">
        <v>87</v>
      </c>
      <c r="D54" s="2">
        <v>16</v>
      </c>
    </row>
    <row r="55" spans="1:5" ht="15.75" customHeight="1">
      <c r="A55" s="2" t="s">
        <v>816</v>
      </c>
      <c r="B55" s="2" t="s">
        <v>823</v>
      </c>
      <c r="C55" s="10" t="s">
        <v>237</v>
      </c>
      <c r="D55" s="10">
        <v>3</v>
      </c>
    </row>
    <row r="56" spans="1:5" ht="15.75" customHeight="1">
      <c r="A56" s="2" t="s">
        <v>816</v>
      </c>
      <c r="B56" s="2" t="s">
        <v>823</v>
      </c>
      <c r="C56" s="10" t="s">
        <v>467</v>
      </c>
      <c r="D56" s="10">
        <v>5</v>
      </c>
    </row>
    <row r="57" spans="1:5" ht="15.75" customHeight="1">
      <c r="A57" s="2" t="s">
        <v>814</v>
      </c>
      <c r="B57" s="2" t="s">
        <v>822</v>
      </c>
      <c r="C57" s="10" t="s">
        <v>92</v>
      </c>
      <c r="D57" s="10">
        <v>2</v>
      </c>
    </row>
    <row r="58" spans="1:5" ht="15.75" customHeight="1">
      <c r="A58" s="2" t="s">
        <v>814</v>
      </c>
      <c r="B58" s="2" t="s">
        <v>822</v>
      </c>
      <c r="C58" s="10" t="s">
        <v>763</v>
      </c>
      <c r="D58" s="10">
        <v>1</v>
      </c>
    </row>
    <row r="59" spans="1:5" ht="15.75" customHeight="1">
      <c r="A59" s="2" t="s">
        <v>814</v>
      </c>
      <c r="B59" s="2" t="s">
        <v>822</v>
      </c>
      <c r="C59" s="10" t="s">
        <v>614</v>
      </c>
      <c r="D59" s="10">
        <v>3</v>
      </c>
    </row>
    <row r="60" spans="1:5" ht="15.75" customHeight="1">
      <c r="A60" s="2" t="s">
        <v>814</v>
      </c>
      <c r="B60" s="2" t="s">
        <v>822</v>
      </c>
      <c r="C60" s="10" t="s">
        <v>512</v>
      </c>
      <c r="D60" s="10">
        <v>4</v>
      </c>
    </row>
    <row r="61" spans="1:5" ht="15.75" customHeight="1">
      <c r="A61" s="2" t="s">
        <v>814</v>
      </c>
      <c r="B61" s="2" t="s">
        <v>822</v>
      </c>
      <c r="C61" s="10" t="s">
        <v>741</v>
      </c>
      <c r="D61" s="10">
        <v>4</v>
      </c>
    </row>
    <row r="62" spans="1:5" ht="15.75" customHeight="1">
      <c r="A62" s="2" t="s">
        <v>814</v>
      </c>
      <c r="B62" s="2" t="s">
        <v>822</v>
      </c>
      <c r="C62" s="10" t="s">
        <v>671</v>
      </c>
      <c r="D62" s="10">
        <v>1</v>
      </c>
    </row>
    <row r="63" spans="1:5" ht="15.75" customHeight="1">
      <c r="A63" s="2" t="s">
        <v>814</v>
      </c>
      <c r="B63" s="2" t="s">
        <v>822</v>
      </c>
      <c r="C63" s="10" t="s">
        <v>433</v>
      </c>
      <c r="D63" s="10">
        <v>2</v>
      </c>
    </row>
    <row r="64" spans="1:5" ht="15.75" customHeight="1">
      <c r="A64" s="2" t="s">
        <v>814</v>
      </c>
      <c r="B64" s="2" t="s">
        <v>822</v>
      </c>
      <c r="C64" s="10" t="s">
        <v>616</v>
      </c>
      <c r="D64" s="10">
        <v>1</v>
      </c>
      <c r="E64" s="10">
        <f>SUM(D57:D64)</f>
        <v>18</v>
      </c>
    </row>
    <row r="65" spans="1:4" ht="15.75" customHeight="1">
      <c r="A65" s="2" t="s">
        <v>814</v>
      </c>
      <c r="B65" s="2" t="s">
        <v>821</v>
      </c>
      <c r="C65" s="10" t="s">
        <v>674</v>
      </c>
      <c r="D65" s="10">
        <v>1</v>
      </c>
    </row>
    <row r="66" spans="1:4" ht="13">
      <c r="A66" s="2" t="s">
        <v>814</v>
      </c>
      <c r="B66" s="2" t="s">
        <v>821</v>
      </c>
      <c r="C66" s="10" t="s">
        <v>767</v>
      </c>
      <c r="D66" s="10">
        <v>1</v>
      </c>
    </row>
    <row r="67" spans="1:4" ht="13">
      <c r="A67" s="2" t="s">
        <v>814</v>
      </c>
      <c r="B67" s="2" t="s">
        <v>821</v>
      </c>
      <c r="C67" s="10" t="s">
        <v>669</v>
      </c>
      <c r="D67" s="10">
        <v>1</v>
      </c>
    </row>
    <row r="68" spans="1:4" ht="13">
      <c r="A68" s="2" t="s">
        <v>814</v>
      </c>
      <c r="B68" s="2" t="s">
        <v>821</v>
      </c>
      <c r="C68" s="10" t="s">
        <v>649</v>
      </c>
      <c r="D68" s="10">
        <v>1</v>
      </c>
    </row>
    <row r="69" spans="1:4" ht="13">
      <c r="A69" s="2" t="s">
        <v>814</v>
      </c>
      <c r="B69" s="2" t="s">
        <v>821</v>
      </c>
      <c r="C69" s="10" t="s">
        <v>688</v>
      </c>
      <c r="D69" s="10">
        <v>1</v>
      </c>
    </row>
    <row r="70" spans="1:4" ht="13">
      <c r="A70" s="2" t="s">
        <v>814</v>
      </c>
      <c r="B70" s="2" t="s">
        <v>823</v>
      </c>
      <c r="C70" s="10" t="s">
        <v>633</v>
      </c>
      <c r="D70" s="10">
        <v>1</v>
      </c>
    </row>
    <row r="71" spans="1:4" ht="13">
      <c r="A71" s="2" t="s">
        <v>814</v>
      </c>
      <c r="B71" s="2" t="s">
        <v>823</v>
      </c>
      <c r="C71" s="10" t="s">
        <v>684</v>
      </c>
      <c r="D71" s="10">
        <v>1</v>
      </c>
    </row>
    <row r="72" spans="1:4" ht="13">
      <c r="A72" s="2" t="s">
        <v>815</v>
      </c>
      <c r="B72" s="2" t="s">
        <v>822</v>
      </c>
      <c r="C72" s="10" t="s">
        <v>602</v>
      </c>
      <c r="D72" s="10">
        <v>3</v>
      </c>
    </row>
    <row r="73" spans="1:4" ht="13">
      <c r="A73" s="2" t="s">
        <v>815</v>
      </c>
      <c r="B73" s="2" t="s">
        <v>821</v>
      </c>
      <c r="C73" s="10" t="s">
        <v>440</v>
      </c>
      <c r="D73" s="10">
        <v>1</v>
      </c>
    </row>
    <row r="74" spans="1:4" ht="13">
      <c r="A74" s="2" t="s">
        <v>819</v>
      </c>
      <c r="B74" s="2" t="s">
        <v>822</v>
      </c>
      <c r="C74" s="10" t="s">
        <v>754</v>
      </c>
      <c r="D74" s="10">
        <v>1</v>
      </c>
    </row>
    <row r="75" spans="1:4" ht="13">
      <c r="A75" s="2" t="s">
        <v>819</v>
      </c>
      <c r="B75" s="2" t="s">
        <v>822</v>
      </c>
      <c r="C75" s="10" t="s">
        <v>382</v>
      </c>
      <c r="D75" s="10">
        <v>1</v>
      </c>
    </row>
    <row r="76" spans="1:4" ht="13">
      <c r="A76" s="2" t="s">
        <v>819</v>
      </c>
      <c r="B76" s="2" t="s">
        <v>822</v>
      </c>
      <c r="C76" s="10" t="s">
        <v>464</v>
      </c>
      <c r="D76" s="10">
        <v>4</v>
      </c>
    </row>
    <row r="77" spans="1:4" ht="13">
      <c r="A77" s="2" t="s">
        <v>819</v>
      </c>
      <c r="B77" s="2" t="s">
        <v>821</v>
      </c>
      <c r="C77" s="10" t="s">
        <v>97</v>
      </c>
      <c r="D77" s="10">
        <v>2</v>
      </c>
    </row>
    <row r="78" spans="1:4" ht="13">
      <c r="A78" s="2" t="s">
        <v>819</v>
      </c>
      <c r="B78" s="2" t="s">
        <v>821</v>
      </c>
      <c r="C78" s="10" t="s">
        <v>51</v>
      </c>
      <c r="D78" s="10">
        <v>1</v>
      </c>
    </row>
    <row r="79" spans="1:4" ht="13">
      <c r="A79" s="2" t="s">
        <v>819</v>
      </c>
      <c r="B79" s="2" t="s">
        <v>821</v>
      </c>
      <c r="C79" s="10" t="s">
        <v>666</v>
      </c>
      <c r="D79" s="10">
        <v>1</v>
      </c>
    </row>
    <row r="80" spans="1:4" ht="13">
      <c r="A80" s="2" t="s">
        <v>819</v>
      </c>
      <c r="B80" s="2" t="s">
        <v>821</v>
      </c>
      <c r="C80" s="10" t="s">
        <v>531</v>
      </c>
      <c r="D80" s="10">
        <v>3</v>
      </c>
    </row>
    <row r="81" spans="1:5" ht="13">
      <c r="A81" s="2" t="s">
        <v>819</v>
      </c>
      <c r="B81" s="2" t="s">
        <v>821</v>
      </c>
      <c r="C81" s="10" t="s">
        <v>735</v>
      </c>
      <c r="D81" s="10">
        <v>1</v>
      </c>
    </row>
    <row r="82" spans="1:5" ht="13">
      <c r="A82" s="2" t="s">
        <v>819</v>
      </c>
      <c r="B82" s="2" t="s">
        <v>821</v>
      </c>
      <c r="C82" s="10" t="s">
        <v>67</v>
      </c>
      <c r="D82" s="2">
        <v>2</v>
      </c>
      <c r="E82" s="10">
        <f>SUM(D77:D82)</f>
        <v>10</v>
      </c>
    </row>
    <row r="83" spans="1:5" ht="13">
      <c r="A83" s="2" t="s">
        <v>819</v>
      </c>
      <c r="B83" s="2" t="s">
        <v>823</v>
      </c>
      <c r="C83" s="10" t="s">
        <v>677</v>
      </c>
      <c r="D83" s="10">
        <v>1</v>
      </c>
    </row>
    <row r="84" spans="1:5" ht="13">
      <c r="A84" s="2" t="s">
        <v>819</v>
      </c>
      <c r="B84" s="2" t="s">
        <v>819</v>
      </c>
      <c r="C84" s="10" t="s">
        <v>56</v>
      </c>
      <c r="D84" s="2">
        <v>14</v>
      </c>
    </row>
    <row r="85" spans="1:5" ht="13">
      <c r="A85" s="2" t="s">
        <v>819</v>
      </c>
      <c r="B85" s="2" t="s">
        <v>819</v>
      </c>
      <c r="C85" s="10" t="s">
        <v>731</v>
      </c>
      <c r="D85" s="10">
        <v>1</v>
      </c>
    </row>
    <row r="86" spans="1:5" ht="13">
      <c r="A86" s="2" t="s">
        <v>819</v>
      </c>
      <c r="B86" s="2" t="s">
        <v>819</v>
      </c>
      <c r="C86" s="10" t="s">
        <v>726</v>
      </c>
      <c r="D86" s="10">
        <v>1</v>
      </c>
    </row>
    <row r="87" spans="1:5" ht="13">
      <c r="D87" s="10">
        <v>0</v>
      </c>
    </row>
    <row r="88" spans="1:5" ht="13">
      <c r="A88" s="21"/>
      <c r="B88" s="21"/>
      <c r="C88" s="20" t="s">
        <v>802</v>
      </c>
      <c r="D88" s="19">
        <v>164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42"/>
  <sheetViews>
    <sheetView tabSelected="1" workbookViewId="0">
      <selection activeCell="H24" sqref="H24"/>
    </sheetView>
  </sheetViews>
  <sheetFormatPr baseColWidth="10" defaultColWidth="12.6640625" defaultRowHeight="15.75" customHeight="1"/>
  <cols>
    <col min="1" max="1" width="21.83203125" customWidth="1"/>
    <col min="7" max="7" width="16.6640625" customWidth="1"/>
    <col min="10" max="10" width="18.83203125" customWidth="1"/>
  </cols>
  <sheetData>
    <row r="1" spans="1:11" ht="15.75" customHeight="1">
      <c r="A1" s="1" t="s">
        <v>13</v>
      </c>
      <c r="B1" s="1" t="s">
        <v>824</v>
      </c>
      <c r="D1" s="1" t="s">
        <v>794</v>
      </c>
      <c r="E1" s="1" t="s">
        <v>824</v>
      </c>
      <c r="G1" s="1" t="s">
        <v>825</v>
      </c>
      <c r="H1" s="1" t="s">
        <v>826</v>
      </c>
      <c r="J1" s="1" t="s">
        <v>827</v>
      </c>
      <c r="K1" s="1" t="s">
        <v>826</v>
      </c>
    </row>
    <row r="2" spans="1:11" ht="15.75" customHeight="1">
      <c r="A2" s="2" t="s">
        <v>116</v>
      </c>
      <c r="B2" s="2">
        <v>14</v>
      </c>
      <c r="D2" s="2">
        <v>2009</v>
      </c>
      <c r="G2" s="2" t="s">
        <v>828</v>
      </c>
      <c r="H2" s="22"/>
      <c r="J2" s="2" t="s">
        <v>36</v>
      </c>
      <c r="K2" s="2">
        <v>20</v>
      </c>
    </row>
    <row r="3" spans="1:11" ht="15.75" customHeight="1">
      <c r="A3" s="11" t="s">
        <v>87</v>
      </c>
      <c r="B3" s="2">
        <v>11</v>
      </c>
      <c r="D3" s="2">
        <f>D10+1</f>
        <v>2016</v>
      </c>
      <c r="G3" s="2" t="s">
        <v>829</v>
      </c>
      <c r="H3" s="2">
        <v>30</v>
      </c>
      <c r="J3" s="2" t="s">
        <v>737</v>
      </c>
      <c r="K3" s="2">
        <v>15</v>
      </c>
    </row>
    <row r="4" spans="1:11" ht="15.75" customHeight="1">
      <c r="A4" s="2" t="s">
        <v>166</v>
      </c>
      <c r="B4" s="2">
        <v>10</v>
      </c>
      <c r="D4" s="2">
        <f>D18+1</f>
        <v>2012</v>
      </c>
      <c r="G4" s="2" t="s">
        <v>431</v>
      </c>
      <c r="H4" s="2">
        <v>15</v>
      </c>
      <c r="J4" s="2" t="s">
        <v>474</v>
      </c>
      <c r="K4" s="2">
        <v>12</v>
      </c>
    </row>
    <row r="5" spans="1:11" ht="15.75" customHeight="1">
      <c r="A5" s="7" t="s">
        <v>830</v>
      </c>
      <c r="B5" s="2">
        <v>5</v>
      </c>
      <c r="D5" s="2">
        <f>D26+1</f>
        <v>2020</v>
      </c>
    </row>
    <row r="6" spans="1:11" ht="15.75" customHeight="1">
      <c r="A6" s="11" t="s">
        <v>44</v>
      </c>
      <c r="B6" s="2">
        <v>5</v>
      </c>
    </row>
    <row r="7" spans="1:11" ht="15.75" customHeight="1">
      <c r="A7" s="11" t="s">
        <v>468</v>
      </c>
      <c r="B7" s="2">
        <v>5</v>
      </c>
    </row>
    <row r="8" spans="1:11" ht="15.75" customHeight="1">
      <c r="A8" s="2" t="s">
        <v>88</v>
      </c>
      <c r="B8" s="2">
        <v>5</v>
      </c>
    </row>
    <row r="9" spans="1:11" ht="15.75" customHeight="1">
      <c r="A9" s="2" t="s">
        <v>790</v>
      </c>
      <c r="B9" s="2">
        <v>5</v>
      </c>
    </row>
    <row r="10" spans="1:11" ht="15.75" customHeight="1">
      <c r="A10" s="11" t="s">
        <v>328</v>
      </c>
      <c r="B10" s="2">
        <v>4</v>
      </c>
      <c r="D10" s="2">
        <f>D20+1</f>
        <v>2015</v>
      </c>
      <c r="G10" s="2" t="s">
        <v>831</v>
      </c>
      <c r="H10" s="2">
        <v>23</v>
      </c>
      <c r="J10" s="6" t="s">
        <v>701</v>
      </c>
      <c r="K10" s="2">
        <v>18</v>
      </c>
    </row>
    <row r="11" spans="1:11" ht="15.75" customHeight="1">
      <c r="A11" s="2" t="s">
        <v>464</v>
      </c>
      <c r="B11" s="2">
        <v>4</v>
      </c>
    </row>
    <row r="12" spans="1:11" ht="15.75" customHeight="1">
      <c r="A12" s="2" t="s">
        <v>478</v>
      </c>
      <c r="B12" s="2">
        <v>4</v>
      </c>
    </row>
    <row r="13" spans="1:11" ht="15.75" customHeight="1">
      <c r="A13" s="7" t="s">
        <v>832</v>
      </c>
      <c r="B13" s="2">
        <v>4</v>
      </c>
    </row>
    <row r="14" spans="1:11" ht="15.75" customHeight="1">
      <c r="A14" s="2" t="s">
        <v>237</v>
      </c>
      <c r="B14" s="2">
        <v>3</v>
      </c>
      <c r="D14" s="2">
        <f>D4+1</f>
        <v>2013</v>
      </c>
      <c r="G14" s="2" t="s">
        <v>797</v>
      </c>
      <c r="H14" s="2">
        <v>12</v>
      </c>
      <c r="J14" s="2" t="s">
        <v>537</v>
      </c>
      <c r="K14" s="2">
        <v>23</v>
      </c>
    </row>
    <row r="15" spans="1:11" ht="15.75" customHeight="1">
      <c r="A15" s="11" t="s">
        <v>370</v>
      </c>
      <c r="B15" s="2">
        <v>3</v>
      </c>
      <c r="D15" s="2">
        <f>D3+1</f>
        <v>2017</v>
      </c>
    </row>
    <row r="16" spans="1:11" ht="15.75" customHeight="1">
      <c r="A16" s="11" t="s">
        <v>602</v>
      </c>
      <c r="B16" s="2">
        <v>3</v>
      </c>
    </row>
    <row r="17" spans="1:11" ht="15.75" customHeight="1">
      <c r="A17" s="2" t="s">
        <v>614</v>
      </c>
      <c r="B17" s="2">
        <v>3</v>
      </c>
    </row>
    <row r="18" spans="1:11" ht="15.75" customHeight="1">
      <c r="A18" s="2" t="s">
        <v>155</v>
      </c>
      <c r="B18" s="2">
        <v>2</v>
      </c>
      <c r="D18" s="2">
        <v>2011</v>
      </c>
      <c r="G18" s="2" t="s">
        <v>422</v>
      </c>
      <c r="H18" s="22"/>
      <c r="J18" s="2" t="s">
        <v>417</v>
      </c>
      <c r="K18" s="2">
        <v>17</v>
      </c>
    </row>
    <row r="19" spans="1:11" ht="15.75" customHeight="1">
      <c r="A19" s="7" t="s">
        <v>433</v>
      </c>
      <c r="B19" s="2">
        <v>2</v>
      </c>
      <c r="D19" s="2">
        <f>D5+1</f>
        <v>2021</v>
      </c>
    </row>
    <row r="20" spans="1:11" ht="15.75" customHeight="1">
      <c r="A20" s="11" t="s">
        <v>425</v>
      </c>
      <c r="B20" s="2">
        <v>2</v>
      </c>
      <c r="D20" s="2">
        <f>D14+1</f>
        <v>2014</v>
      </c>
      <c r="G20" s="2" t="s">
        <v>833</v>
      </c>
      <c r="H20" s="2">
        <v>18</v>
      </c>
      <c r="J20" s="2" t="s">
        <v>619</v>
      </c>
      <c r="K20" s="2">
        <v>30</v>
      </c>
    </row>
    <row r="21" spans="1:11" ht="15.75" customHeight="1">
      <c r="A21" s="11" t="s">
        <v>598</v>
      </c>
      <c r="B21" s="2">
        <v>2</v>
      </c>
    </row>
    <row r="22" spans="1:11" ht="15.75" customHeight="1">
      <c r="A22" s="2" t="s">
        <v>527</v>
      </c>
      <c r="B22" s="2">
        <v>2</v>
      </c>
    </row>
    <row r="23" spans="1:11" ht="15.75" customHeight="1">
      <c r="A23" s="2" t="s">
        <v>736</v>
      </c>
      <c r="B23" s="2">
        <v>1</v>
      </c>
    </row>
    <row r="24" spans="1:11" ht="15.75" customHeight="1">
      <c r="A24" s="2" t="s">
        <v>142</v>
      </c>
      <c r="B24" s="2">
        <v>1</v>
      </c>
      <c r="D24" s="2">
        <v>2010</v>
      </c>
      <c r="G24" s="2" t="s">
        <v>398</v>
      </c>
      <c r="H24" s="22"/>
      <c r="J24" s="2" t="s">
        <v>112</v>
      </c>
      <c r="K24" s="2">
        <v>30</v>
      </c>
    </row>
    <row r="25" spans="1:11" ht="15.75" customHeight="1">
      <c r="A25" s="11" t="s">
        <v>382</v>
      </c>
      <c r="B25" s="2">
        <v>1</v>
      </c>
      <c r="D25" s="2">
        <f>D15+1</f>
        <v>2018</v>
      </c>
      <c r="J25" s="2" t="s">
        <v>802</v>
      </c>
      <c r="K25" s="10">
        <f>SUM(K2:K20)</f>
        <v>135</v>
      </c>
    </row>
    <row r="26" spans="1:11" ht="15.75" customHeight="1">
      <c r="A26" s="11" t="s">
        <v>421</v>
      </c>
      <c r="B26" s="2">
        <v>1</v>
      </c>
      <c r="D26" s="2">
        <f>D25+1</f>
        <v>2019</v>
      </c>
    </row>
    <row r="27" spans="1:11" ht="15.75" customHeight="1">
      <c r="A27" s="11" t="s">
        <v>441</v>
      </c>
      <c r="B27" s="2">
        <v>1</v>
      </c>
      <c r="D27" s="2">
        <f>D19+1</f>
        <v>2022</v>
      </c>
    </row>
    <row r="28" spans="1:11" ht="15.75" customHeight="1">
      <c r="A28" s="11" t="s">
        <v>445</v>
      </c>
      <c r="B28" s="2">
        <v>1</v>
      </c>
    </row>
    <row r="29" spans="1:11" ht="15.75" customHeight="1">
      <c r="A29" s="11" t="s">
        <v>462</v>
      </c>
      <c r="B29" s="2">
        <v>1</v>
      </c>
    </row>
    <row r="30" spans="1:11" ht="15.75" customHeight="1">
      <c r="A30" s="11" t="s">
        <v>587</v>
      </c>
      <c r="B30" s="2">
        <v>1</v>
      </c>
    </row>
    <row r="31" spans="1:11" ht="15.75" customHeight="1">
      <c r="A31" s="2" t="s">
        <v>745</v>
      </c>
      <c r="B31" s="2">
        <v>1</v>
      </c>
    </row>
    <row r="32" spans="1:11" ht="15.75" customHeight="1">
      <c r="A32" s="7" t="s">
        <v>685</v>
      </c>
      <c r="B32" s="2">
        <v>1</v>
      </c>
    </row>
    <row r="33" spans="1:2" ht="15.75" customHeight="1">
      <c r="A33" s="7" t="s">
        <v>764</v>
      </c>
      <c r="B33" s="2">
        <v>1</v>
      </c>
    </row>
    <row r="34" spans="1:2" ht="15.75" customHeight="1">
      <c r="A34" s="11" t="s">
        <v>754</v>
      </c>
      <c r="B34" s="2">
        <v>1</v>
      </c>
    </row>
    <row r="35" spans="1:2" ht="15.75" customHeight="1">
      <c r="A35" s="2" t="s">
        <v>768</v>
      </c>
      <c r="B35" s="2">
        <v>1</v>
      </c>
    </row>
    <row r="36" spans="1:2" ht="15.75" customHeight="1">
      <c r="A36" s="2" t="s">
        <v>777</v>
      </c>
      <c r="B36" s="2">
        <v>1</v>
      </c>
    </row>
    <row r="37" spans="1:2" ht="15.75" customHeight="1">
      <c r="A37" s="2" t="s">
        <v>834</v>
      </c>
      <c r="B37" s="2">
        <v>1</v>
      </c>
    </row>
    <row r="38" spans="1:2" ht="15.75" customHeight="1">
      <c r="A38" s="2" t="s">
        <v>649</v>
      </c>
      <c r="B38" s="2">
        <v>1</v>
      </c>
    </row>
    <row r="39" spans="1:2" ht="15.75" customHeight="1">
      <c r="A39" s="2" t="s">
        <v>653</v>
      </c>
      <c r="B39" s="2">
        <v>1</v>
      </c>
    </row>
    <row r="40" spans="1:2" ht="15.75" customHeight="1">
      <c r="A40" s="4" t="s">
        <v>689</v>
      </c>
      <c r="B40" s="2">
        <v>1</v>
      </c>
    </row>
    <row r="41" spans="1:2" ht="15.75" customHeight="1">
      <c r="A41" s="2" t="s">
        <v>79</v>
      </c>
      <c r="B41" s="2">
        <v>1</v>
      </c>
    </row>
    <row r="42" spans="1:2" ht="15.75" customHeight="1">
      <c r="A42" s="2" t="s">
        <v>671</v>
      </c>
      <c r="B42" s="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Focused_Paper_Analysis</vt:lpstr>
      <vt:lpstr>Paper Stats</vt:lpstr>
      <vt:lpstr>Meta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2022-05-03T19:12:27Z</dcterms:created>
  <dcterms:modified xsi:type="dcterms:W3CDTF">2022-05-03T19:12:33Z</dcterms:modified>
</cp:coreProperties>
</file>