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equielBoymortoCast\Documents\"/>
    </mc:Choice>
  </mc:AlternateContent>
  <xr:revisionPtr revIDLastSave="0" documentId="13_ncr:1_{2B947F90-0B2F-4415-A46C-0F17F5275F82}" xr6:coauthVersionLast="47" xr6:coauthVersionMax="47" xr10:uidLastSave="{00000000-0000-0000-0000-000000000000}"/>
  <bookViews>
    <workbookView xWindow="-110" yWindow="-110" windowWidth="19420" windowHeight="10300" xr2:uid="{B53D229C-B24F-404E-B7A4-F8A5A5442051}"/>
  </bookViews>
  <sheets>
    <sheet name="Gastos" sheetId="1" r:id="rId1"/>
    <sheet name="A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E67" i="1"/>
  <c r="F55" i="1"/>
  <c r="F56" i="1"/>
  <c r="F53" i="1"/>
  <c r="E46" i="1"/>
  <c r="E45" i="1"/>
  <c r="E9" i="1"/>
  <c r="E56" i="1"/>
  <c r="E53" i="1"/>
  <c r="F38" i="1"/>
  <c r="F40" i="1" s="1"/>
  <c r="G90" i="1"/>
  <c r="H90" i="1"/>
  <c r="E87" i="1"/>
  <c r="E61" i="1"/>
  <c r="G40" i="1"/>
  <c r="H40" i="1"/>
  <c r="I40" i="1"/>
  <c r="J40" i="1"/>
  <c r="K40" i="1"/>
  <c r="L40" i="1"/>
  <c r="C40" i="1"/>
  <c r="D40" i="1"/>
  <c r="E40" i="1"/>
  <c r="B40" i="1"/>
  <c r="C83" i="1"/>
  <c r="E58" i="1"/>
  <c r="D67" i="1"/>
  <c r="D56" i="1"/>
  <c r="D9" i="1"/>
  <c r="F24" i="1"/>
  <c r="F30" i="1" s="1"/>
  <c r="G24" i="1"/>
  <c r="G30" i="1" s="1"/>
  <c r="H24" i="1"/>
  <c r="H30" i="1" s="1"/>
  <c r="I24" i="1"/>
  <c r="I30" i="1" s="1"/>
  <c r="J24" i="1"/>
  <c r="J30" i="1" s="1"/>
  <c r="K24" i="1"/>
  <c r="K30" i="1" s="1"/>
  <c r="L24" i="1"/>
  <c r="L30" i="1" s="1"/>
  <c r="M24" i="1"/>
  <c r="M30" i="1" s="1"/>
  <c r="E3" i="1"/>
  <c r="E27" i="1"/>
  <c r="E24" i="1"/>
  <c r="D45" i="1"/>
  <c r="D55" i="1"/>
  <c r="D46" i="1"/>
  <c r="D53" i="1"/>
  <c r="D86" i="1"/>
  <c r="E30" i="1" l="1"/>
  <c r="E44" i="1"/>
  <c r="D72" i="1"/>
  <c r="F44" i="1"/>
  <c r="D3" i="1"/>
  <c r="A9" i="2"/>
  <c r="A10" i="2"/>
  <c r="A11" i="2" s="1"/>
  <c r="C10" i="2"/>
  <c r="A4" i="2"/>
  <c r="A3" i="2"/>
  <c r="A5" i="2" s="1"/>
  <c r="C5" i="2" s="1"/>
  <c r="C4" i="1"/>
  <c r="C47" i="1"/>
  <c r="B67" i="1"/>
  <c r="C45" i="1"/>
  <c r="C53" i="1"/>
  <c r="C67" i="1"/>
  <c r="C56" i="1"/>
  <c r="C54" i="1"/>
  <c r="C72" i="1"/>
  <c r="E72" i="1"/>
  <c r="F72" i="1"/>
  <c r="G72" i="1"/>
  <c r="H72" i="1"/>
  <c r="I72" i="1"/>
  <c r="J72" i="1"/>
  <c r="K72" i="1"/>
  <c r="L72" i="1"/>
  <c r="M72" i="1"/>
  <c r="G44" i="1"/>
  <c r="H44" i="1"/>
  <c r="I44" i="1"/>
  <c r="J44" i="1"/>
  <c r="K44" i="1"/>
  <c r="L44" i="1"/>
  <c r="M44" i="1"/>
  <c r="C46" i="1"/>
  <c r="C58" i="1"/>
  <c r="I95" i="1" l="1"/>
  <c r="F95" i="1"/>
  <c r="H95" i="1"/>
  <c r="G95" i="1"/>
  <c r="E95" i="1"/>
  <c r="J95" i="1"/>
  <c r="D44" i="1"/>
  <c r="D95" i="1" s="1"/>
  <c r="C65" i="1"/>
  <c r="C44" i="1" s="1"/>
  <c r="C95" i="1" s="1"/>
  <c r="B9" i="1"/>
  <c r="B10" i="1"/>
  <c r="B62" i="1"/>
  <c r="B61" i="1"/>
  <c r="B53" i="1"/>
  <c r="D28" i="1"/>
  <c r="D30" i="1" s="1"/>
  <c r="D13" i="1" s="1"/>
  <c r="C24" i="1"/>
  <c r="C30" i="1" s="1"/>
  <c r="B55" i="1"/>
  <c r="B54" i="1"/>
  <c r="B81" i="1"/>
  <c r="B56" i="1"/>
  <c r="B45" i="1"/>
  <c r="B50" i="1"/>
  <c r="B48" i="1"/>
  <c r="B73" i="1"/>
  <c r="B78" i="1"/>
  <c r="B46" i="1"/>
  <c r="B77" i="1"/>
  <c r="F13" i="1"/>
  <c r="G13" i="1"/>
  <c r="H13" i="1"/>
  <c r="I13" i="1"/>
  <c r="J13" i="1"/>
  <c r="K13" i="1"/>
  <c r="L13" i="1"/>
  <c r="M13" i="1"/>
  <c r="H11" i="1"/>
  <c r="I11" i="1"/>
  <c r="J11" i="1"/>
  <c r="K11" i="1"/>
  <c r="L11" i="1"/>
  <c r="M11" i="1"/>
  <c r="K31" i="1"/>
  <c r="L31" i="1"/>
  <c r="M40" i="1"/>
  <c r="M31" i="1" s="1"/>
  <c r="C31" i="1"/>
  <c r="D31" i="1"/>
  <c r="E31" i="1"/>
  <c r="F31" i="1"/>
  <c r="G31" i="1"/>
  <c r="H31" i="1"/>
  <c r="I31" i="1"/>
  <c r="J31" i="1"/>
  <c r="B31" i="1"/>
  <c r="B7" i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B18" i="1"/>
  <c r="B30" i="1" s="1"/>
  <c r="B44" i="1" l="1"/>
  <c r="B72" i="1"/>
  <c r="C13" i="1"/>
  <c r="B13" i="1"/>
  <c r="M42" i="1"/>
  <c r="M99" i="1" s="1"/>
  <c r="B95" i="1" l="1"/>
  <c r="F42" i="1"/>
  <c r="F97" i="1" s="1"/>
  <c r="H42" i="1"/>
  <c r="G42" i="1"/>
  <c r="G97" i="1" s="1"/>
  <c r="D42" i="1"/>
  <c r="D97" i="1" s="1"/>
  <c r="J42" i="1"/>
  <c r="I42" i="1"/>
  <c r="L42" i="1"/>
  <c r="K42" i="1"/>
  <c r="C42" i="1"/>
  <c r="C97" i="1" s="1"/>
  <c r="I99" i="1" l="1"/>
  <c r="I97" i="1"/>
  <c r="L99" i="1"/>
  <c r="L97" i="1"/>
  <c r="H99" i="1"/>
  <c r="H97" i="1"/>
  <c r="J99" i="1"/>
  <c r="J97" i="1"/>
  <c r="K99" i="1"/>
  <c r="K97" i="1"/>
  <c r="B11" i="1"/>
  <c r="B42" i="1"/>
  <c r="B97" i="1" s="1"/>
  <c r="B99" i="1" l="1"/>
  <c r="C2" i="1" l="1"/>
  <c r="C11" i="1" s="1"/>
  <c r="C99" i="1" l="1"/>
  <c r="D2" i="1" l="1"/>
  <c r="D11" i="1" l="1"/>
  <c r="D99" i="1" s="1"/>
  <c r="E2" i="1" l="1"/>
  <c r="E13" i="1"/>
  <c r="E42" i="1" s="1"/>
  <c r="E11" i="1" l="1"/>
  <c r="E99" i="1" s="1"/>
  <c r="E97" i="1"/>
  <c r="F2" i="1" l="1"/>
  <c r="F11" i="1" l="1"/>
  <c r="F99" i="1" s="1"/>
  <c r="F103" i="1" s="1"/>
  <c r="G2" i="1" l="1"/>
  <c r="G11" i="1" s="1"/>
  <c r="G99" i="1" s="1"/>
  <c r="F106" i="1"/>
</calcChain>
</file>

<file path=xl/sharedStrings.xml><?xml version="1.0" encoding="utf-8"?>
<sst xmlns="http://schemas.openxmlformats.org/spreadsheetml/2006/main" count="95" uniqueCount="85">
  <si>
    <t>Tarjeta Visa</t>
  </si>
  <si>
    <t>Tarjeta Mastercard</t>
  </si>
  <si>
    <t>Parlantes</t>
  </si>
  <si>
    <t>Zapatillas</t>
  </si>
  <si>
    <t>Sartenes</t>
  </si>
  <si>
    <t>Libros</t>
  </si>
  <si>
    <t>Padel</t>
  </si>
  <si>
    <t>Flybondi</t>
  </si>
  <si>
    <t>Nivel 6 ML</t>
  </si>
  <si>
    <t>YT Premium</t>
  </si>
  <si>
    <t>Apple</t>
  </si>
  <si>
    <t>Total tarjetas</t>
  </si>
  <si>
    <t>Ingles</t>
  </si>
  <si>
    <t>Psicoanalista</t>
  </si>
  <si>
    <t>Gimnasio</t>
  </si>
  <si>
    <t>Gastos Fijos</t>
  </si>
  <si>
    <t>Gastos Variables</t>
  </si>
  <si>
    <t>Masajista</t>
  </si>
  <si>
    <t>Total</t>
  </si>
  <si>
    <t>Dolares</t>
  </si>
  <si>
    <t>Agua</t>
  </si>
  <si>
    <t>Luz</t>
  </si>
  <si>
    <t>Gas</t>
  </si>
  <si>
    <t>Celular</t>
  </si>
  <si>
    <t>Internet</t>
  </si>
  <si>
    <t>Total disponible</t>
  </si>
  <si>
    <t>Subtotal gastos</t>
  </si>
  <si>
    <t>Otros gastos/compras</t>
  </si>
  <si>
    <t>Verduleria</t>
  </si>
  <si>
    <t>Impuesto</t>
  </si>
  <si>
    <t>Impuestos</t>
  </si>
  <si>
    <t>Supermercado</t>
  </si>
  <si>
    <t>Kiosco</t>
  </si>
  <si>
    <t>Ropa</t>
  </si>
  <si>
    <t>Seguridad vecinal</t>
  </si>
  <si>
    <t>Municipal</t>
  </si>
  <si>
    <t>Rendimientos</t>
  </si>
  <si>
    <t>Nafta</t>
  </si>
  <si>
    <t>Acciones</t>
  </si>
  <si>
    <t>Acumulado</t>
  </si>
  <si>
    <t>Sueldo 10 + internet</t>
  </si>
  <si>
    <t>Sueldo 25</t>
  </si>
  <si>
    <t>Efectivo</t>
  </si>
  <si>
    <t>Regalos</t>
  </si>
  <si>
    <t>Jodita</t>
  </si>
  <si>
    <t>Kovu</t>
  </si>
  <si>
    <t>Cine</t>
  </si>
  <si>
    <t>Farmacia</t>
  </si>
  <si>
    <t>Panaderia</t>
  </si>
  <si>
    <t>Dentista</t>
  </si>
  <si>
    <t>Carniceria</t>
  </si>
  <si>
    <t>Social</t>
  </si>
  <si>
    <t>Heladeria</t>
  </si>
  <si>
    <t>Peluquería</t>
  </si>
  <si>
    <t>Limpieza (viviana)</t>
  </si>
  <si>
    <t>Delivery</t>
  </si>
  <si>
    <t>A favor</t>
  </si>
  <si>
    <t>Estacionamiento</t>
  </si>
  <si>
    <t>Oficina</t>
  </si>
  <si>
    <t>Contratistas</t>
  </si>
  <si>
    <t>Construcción</t>
  </si>
  <si>
    <t>Artesanías</t>
  </si>
  <si>
    <t>Acciones NVIDIA</t>
  </si>
  <si>
    <t>Compra total</t>
  </si>
  <si>
    <t>Compra neta</t>
  </si>
  <si>
    <t>comision</t>
  </si>
  <si>
    <t>Pasajes</t>
  </si>
  <si>
    <t>Mendoza</t>
  </si>
  <si>
    <t>Electrodomesticos</t>
  </si>
  <si>
    <t>Cocina</t>
  </si>
  <si>
    <t>Confort</t>
  </si>
  <si>
    <t>Juegos</t>
  </si>
  <si>
    <t>Subtotal gastos y tarjetas</t>
  </si>
  <si>
    <t>Barras</t>
  </si>
  <si>
    <t>Muebles y útiles</t>
  </si>
  <si>
    <t>Futbol</t>
  </si>
  <si>
    <t>Omar/Marcela</t>
  </si>
  <si>
    <t>Apuesta</t>
  </si>
  <si>
    <t>Reserva</t>
  </si>
  <si>
    <t>Dietética</t>
  </si>
  <si>
    <t>Plantas</t>
  </si>
  <si>
    <t>Los Piojos</t>
  </si>
  <si>
    <t>Vinos mdz</t>
  </si>
  <si>
    <t>rodri</t>
  </si>
  <si>
    <t>MP al 7/11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</si>
</sst>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C0A]\ * #,##0.00_-;\-[$$-2C0A]\ * #,##0.00_-;_-[$$-2C0A]\ * &quot;-&quot;??_-;_-@_-"/>
    <numFmt numFmtId="165" formatCode="_-* #,##0.00\ [$USD]_-;\-* #,##0.00\ [$USD]_-;_-* &quot;-&quot;??\ [$USD]_-;_-@_-"/>
  </numFmts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6" tint="0.3999755851924192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" fontId="6" fillId="0" borderId="4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" fontId="0" fillId="0" borderId="0" xfId="0" applyNumberFormat="1"/>
    <xf numFmtId="17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12" borderId="1" xfId="0" applyNumberFormat="1" applyFill="1" applyBorder="1" applyAlignment="1">
      <alignment horizontal="center" vertical="center"/>
    </xf>
    <xf numFmtId="164" fontId="2" fillId="12" borderId="1" xfId="0" applyNumberFormat="1" applyFont="1" applyFill="1" applyBorder="1" applyAlignment="1">
      <alignment horizontal="center" vertical="center"/>
    </xf>
    <xf numFmtId="164" fontId="4" fillId="12" borderId="1" xfId="0" applyNumberFormat="1" applyFont="1" applyFill="1" applyBorder="1" applyAlignment="1">
      <alignment horizontal="center" vertical="center"/>
    </xf>
    <xf numFmtId="165" fontId="0" fillId="12" borderId="1" xfId="0" applyNumberFormat="1" applyFill="1" applyBorder="1" applyAlignment="1">
      <alignment horizontal="center" vertical="center"/>
    </xf>
    <xf numFmtId="164" fontId="5" fillId="12" borderId="1" xfId="0" applyNumberFormat="1" applyFont="1" applyFill="1" applyBorder="1" applyAlignment="1">
      <alignment horizontal="center" vertical="center"/>
    </xf>
    <xf numFmtId="165" fontId="4" fillId="12" borderId="1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164" fontId="0" fillId="13" borderId="1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E981-A6BC-4769-9F41-412F3C21CF65}">
  <dimension ref="A1:M106"/>
  <sheetViews>
    <sheetView tabSelected="1" zoomScale="90" zoomScaleNormal="90" workbookViewId="0">
      <pane ySplit="1" topLeftCell="A2" activePane="bottomLeft" state="frozen"/>
      <selection pane="bottomLeft" activeCell="F4" sqref="F4"/>
    </sheetView>
  </sheetViews>
  <sheetFormatPr baseColWidth="10" defaultRowHeight="14.5" x14ac:dyDescent="0.35"/>
  <cols>
    <col min="1" max="1" width="22" style="37" bestFit="1" customWidth="1"/>
    <col min="2" max="2" width="20.1796875" style="2" bestFit="1" customWidth="1"/>
    <col min="3" max="3" width="15.1796875" style="2" bestFit="1" customWidth="1"/>
    <col min="4" max="4" width="14.08984375" style="2" bestFit="1" customWidth="1"/>
    <col min="5" max="5" width="17.7265625" style="2" bestFit="1" customWidth="1"/>
    <col min="6" max="6" width="14.08984375" style="2" bestFit="1" customWidth="1"/>
    <col min="7" max="8" width="12.6328125" style="2" bestFit="1" customWidth="1"/>
    <col min="9" max="13" width="11.54296875" style="2" bestFit="1" customWidth="1"/>
    <col min="14" max="16384" width="10.90625" style="2"/>
  </cols>
  <sheetData>
    <row r="1" spans="1:13" s="53" customFormat="1" ht="16" x14ac:dyDescent="0.35">
      <c r="A1" s="13"/>
      <c r="B1" s="14">
        <v>45474</v>
      </c>
      <c r="C1" s="14">
        <v>45505</v>
      </c>
      <c r="D1" s="14">
        <v>45536</v>
      </c>
      <c r="E1" s="14">
        <v>45566</v>
      </c>
      <c r="F1" s="14">
        <v>45597</v>
      </c>
      <c r="G1" s="14">
        <v>45627</v>
      </c>
      <c r="H1" s="14">
        <v>45658</v>
      </c>
      <c r="I1" s="14">
        <v>45689</v>
      </c>
      <c r="J1" s="14">
        <v>45717</v>
      </c>
      <c r="K1" s="14">
        <v>45748</v>
      </c>
      <c r="L1" s="14">
        <v>45778</v>
      </c>
      <c r="M1" s="14">
        <v>45809</v>
      </c>
    </row>
    <row r="2" spans="1:13" x14ac:dyDescent="0.35">
      <c r="A2" s="27" t="s">
        <v>39</v>
      </c>
      <c r="B2" s="45">
        <v>795695.8</v>
      </c>
      <c r="C2" s="45">
        <f t="shared" ref="C2" si="0">+B99</f>
        <v>590197.07536000013</v>
      </c>
      <c r="D2" s="45">
        <f t="shared" ref="D2" si="1">+C99</f>
        <v>311353.08384000015</v>
      </c>
      <c r="E2" s="45">
        <f t="shared" ref="E2" si="2">+D99</f>
        <v>540965.5758400003</v>
      </c>
      <c r="F2" s="3">
        <f t="shared" ref="F2" si="3">+E99</f>
        <v>557519.63036452048</v>
      </c>
      <c r="G2" s="3">
        <f t="shared" ref="G2" si="4">+F99</f>
        <v>428724.62110852043</v>
      </c>
      <c r="H2" s="3"/>
      <c r="I2" s="3"/>
      <c r="J2" s="3"/>
      <c r="K2" s="3"/>
      <c r="L2" s="3"/>
      <c r="M2" s="3"/>
    </row>
    <row r="3" spans="1:13" x14ac:dyDescent="0.35">
      <c r="A3" s="28" t="s">
        <v>40</v>
      </c>
      <c r="B3" s="45">
        <v>214400</v>
      </c>
      <c r="C3" s="45">
        <v>221500</v>
      </c>
      <c r="D3" s="45">
        <f>224813.5+21500</f>
        <v>246313.5</v>
      </c>
      <c r="E3" s="45">
        <f>224813.5+21500</f>
        <v>246313.5</v>
      </c>
      <c r="F3" s="3">
        <f>274879.47+21500</f>
        <v>296379.46999999997</v>
      </c>
      <c r="G3" s="3"/>
      <c r="H3" s="3"/>
      <c r="I3" s="3"/>
      <c r="J3" s="3"/>
      <c r="K3" s="3"/>
      <c r="L3" s="3"/>
      <c r="M3" s="3"/>
    </row>
    <row r="4" spans="1:13" x14ac:dyDescent="0.35">
      <c r="A4" s="28" t="s">
        <v>42</v>
      </c>
      <c r="B4" s="45">
        <v>1000</v>
      </c>
      <c r="C4" s="45">
        <f>1300+1400</f>
        <v>2700</v>
      </c>
      <c r="D4" s="45">
        <v>0</v>
      </c>
      <c r="E4" s="47">
        <v>35000</v>
      </c>
      <c r="F4" s="3"/>
      <c r="G4" s="3"/>
      <c r="H4" s="3"/>
      <c r="I4" s="3"/>
      <c r="J4" s="3"/>
      <c r="K4" s="3"/>
      <c r="L4" s="3"/>
      <c r="M4" s="3"/>
    </row>
    <row r="5" spans="1:13" x14ac:dyDescent="0.35">
      <c r="A5" s="28" t="s">
        <v>41</v>
      </c>
      <c r="B5" s="45">
        <v>678135</v>
      </c>
      <c r="C5" s="45">
        <v>650300</v>
      </c>
      <c r="D5" s="45">
        <v>623160.36</v>
      </c>
      <c r="E5" s="45">
        <v>744539.42</v>
      </c>
      <c r="F5" s="3"/>
      <c r="G5" s="3"/>
      <c r="H5" s="3"/>
      <c r="I5" s="3"/>
      <c r="J5" s="3"/>
      <c r="K5" s="3"/>
      <c r="L5" s="3"/>
      <c r="M5" s="3"/>
    </row>
    <row r="6" spans="1:13" x14ac:dyDescent="0.35">
      <c r="A6" s="29" t="s">
        <v>36</v>
      </c>
      <c r="B6" s="45">
        <v>17000</v>
      </c>
      <c r="C6" s="45">
        <v>10400</v>
      </c>
      <c r="D6" s="45">
        <v>10000</v>
      </c>
      <c r="E6" s="45">
        <v>9100</v>
      </c>
      <c r="F6" s="3">
        <v>4000</v>
      </c>
      <c r="G6" s="3"/>
      <c r="H6" s="3"/>
      <c r="I6" s="3"/>
      <c r="J6" s="3"/>
      <c r="K6" s="3"/>
      <c r="L6" s="3"/>
      <c r="M6" s="3"/>
    </row>
    <row r="7" spans="1:13" s="54" customFormat="1" x14ac:dyDescent="0.35">
      <c r="A7" s="30" t="s">
        <v>19</v>
      </c>
      <c r="B7" s="50">
        <f>21.11</f>
        <v>21.11</v>
      </c>
      <c r="C7" s="50">
        <f>+B7-B93</f>
        <v>17.5</v>
      </c>
      <c r="D7" s="50">
        <f>+C7-C93</f>
        <v>13.89</v>
      </c>
      <c r="E7" s="50">
        <f>+D7-D93</f>
        <v>10.280000000000001</v>
      </c>
      <c r="F7" s="22">
        <f>+E7-E93</f>
        <v>6.6700000000000017</v>
      </c>
      <c r="G7" s="22">
        <f>+F7-F93</f>
        <v>3.0600000000000018</v>
      </c>
      <c r="H7" s="22">
        <f t="shared" ref="H7:M7" si="5">+G7-G93</f>
        <v>-0.54999999999999805</v>
      </c>
      <c r="I7" s="22">
        <f t="shared" si="5"/>
        <v>-4.1599999999999984</v>
      </c>
      <c r="J7" s="22">
        <f t="shared" si="5"/>
        <v>-7.7699999999999978</v>
      </c>
      <c r="K7" s="22">
        <f t="shared" si="5"/>
        <v>-11.379999999999997</v>
      </c>
      <c r="L7" s="22">
        <f t="shared" si="5"/>
        <v>-14.989999999999997</v>
      </c>
      <c r="M7" s="22">
        <f t="shared" si="5"/>
        <v>-18.599999999999998</v>
      </c>
    </row>
    <row r="8" spans="1:13" x14ac:dyDescent="0.35">
      <c r="A8" s="31" t="s">
        <v>38</v>
      </c>
      <c r="B8" s="24">
        <v>0</v>
      </c>
      <c r="C8" s="24">
        <v>0</v>
      </c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 s="55" customFormat="1" x14ac:dyDescent="0.35">
      <c r="A9" s="32" t="s">
        <v>56</v>
      </c>
      <c r="B9" s="47">
        <f>16000</f>
        <v>16000</v>
      </c>
      <c r="C9" s="45">
        <v>17807</v>
      </c>
      <c r="D9" s="47">
        <f>900+115000-25500</f>
        <v>90400</v>
      </c>
      <c r="E9" s="47">
        <f>57500</f>
        <v>57500</v>
      </c>
      <c r="F9" s="59">
        <v>0</v>
      </c>
      <c r="G9" s="59"/>
      <c r="H9" s="59"/>
      <c r="I9" s="59"/>
      <c r="J9" s="59"/>
      <c r="K9" s="59"/>
      <c r="L9" s="59"/>
      <c r="M9" s="6"/>
    </row>
    <row r="10" spans="1:13" s="55" customFormat="1" x14ac:dyDescent="0.35">
      <c r="A10" s="30" t="s">
        <v>7</v>
      </c>
      <c r="B10" s="47">
        <f>12800*2+2500</f>
        <v>28100</v>
      </c>
      <c r="C10" s="49"/>
      <c r="D10" s="47">
        <v>124460</v>
      </c>
      <c r="E10" s="49"/>
      <c r="F10" s="59">
        <v>0</v>
      </c>
      <c r="G10" s="59"/>
      <c r="H10" s="59"/>
      <c r="I10" s="59"/>
      <c r="J10" s="59"/>
      <c r="K10" s="59"/>
      <c r="L10" s="59"/>
      <c r="M10" s="6"/>
    </row>
    <row r="11" spans="1:13" s="37" customFormat="1" x14ac:dyDescent="0.35">
      <c r="A11" s="11" t="s">
        <v>25</v>
      </c>
      <c r="B11" s="12">
        <f t="shared" ref="B11:G11" si="6">+B2+B3+B9+B10+B6+B8+B5+B4</f>
        <v>1750330.8</v>
      </c>
      <c r="C11" s="12">
        <f t="shared" si="6"/>
        <v>1492904.0753600001</v>
      </c>
      <c r="D11" s="12">
        <f>+D2+D3+D9+D10+D6+D8+D5+D4</f>
        <v>1405686.9438400003</v>
      </c>
      <c r="E11" s="12">
        <f>+E2+E3+E9+E10+E6+E8+E5+E4</f>
        <v>1633418.4958400005</v>
      </c>
      <c r="F11" s="12">
        <f t="shared" si="6"/>
        <v>857899.10036452045</v>
      </c>
      <c r="G11" s="12">
        <f t="shared" si="6"/>
        <v>428724.62110852043</v>
      </c>
      <c r="H11" s="12">
        <f t="shared" ref="H11:M11" si="7">+H2+H3+H9+H10+H6+H8+H5</f>
        <v>0</v>
      </c>
      <c r="I11" s="12">
        <f t="shared" si="7"/>
        <v>0</v>
      </c>
      <c r="J11" s="12">
        <f t="shared" si="7"/>
        <v>0</v>
      </c>
      <c r="K11" s="12">
        <f t="shared" si="7"/>
        <v>0</v>
      </c>
      <c r="L11" s="12">
        <f t="shared" si="7"/>
        <v>0</v>
      </c>
      <c r="M11" s="12">
        <f t="shared" si="7"/>
        <v>0</v>
      </c>
    </row>
    <row r="12" spans="1:13" x14ac:dyDescent="0.35">
      <c r="A12" s="2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5">
      <c r="A13" s="17" t="s">
        <v>0</v>
      </c>
      <c r="B13" s="18">
        <f t="shared" ref="B13:M13" si="8">SUM(B14:B30)</f>
        <v>226136.20699999999</v>
      </c>
      <c r="C13" s="18">
        <f t="shared" ref="C13:H13" si="9">SUM(C14:C30)</f>
        <v>407491.40388</v>
      </c>
      <c r="D13" s="18">
        <f t="shared" si="9"/>
        <v>366206.36800000002</v>
      </c>
      <c r="E13" s="18">
        <f t="shared" si="9"/>
        <v>270185.34175548004</v>
      </c>
      <c r="F13" s="18">
        <f t="shared" si="9"/>
        <v>261211.03323999999</v>
      </c>
      <c r="G13" s="18">
        <f t="shared" si="9"/>
        <v>71237.603879999995</v>
      </c>
      <c r="H13" s="18">
        <f t="shared" si="9"/>
        <v>58587.603879999995</v>
      </c>
      <c r="I13" s="18">
        <f t="shared" si="8"/>
        <v>58587.603879999995</v>
      </c>
      <c r="J13" s="18">
        <f t="shared" si="8"/>
        <v>58587.603879999995</v>
      </c>
      <c r="K13" s="18">
        <f t="shared" si="8"/>
        <v>58587.603879999995</v>
      </c>
      <c r="L13" s="18">
        <f t="shared" si="8"/>
        <v>58587.603879999995</v>
      </c>
      <c r="M13" s="18">
        <f t="shared" si="8"/>
        <v>10963.4</v>
      </c>
    </row>
    <row r="14" spans="1:13" x14ac:dyDescent="0.35">
      <c r="A14" s="33" t="s">
        <v>2</v>
      </c>
      <c r="B14" s="45">
        <v>41059.49</v>
      </c>
      <c r="C14" s="45">
        <v>41059.49</v>
      </c>
      <c r="D14" s="45">
        <v>41050</v>
      </c>
      <c r="E14" s="45">
        <v>41059.49</v>
      </c>
      <c r="F14" s="3">
        <v>41059.49</v>
      </c>
      <c r="G14" s="3">
        <v>41059.49</v>
      </c>
      <c r="H14" s="3">
        <v>41059.49</v>
      </c>
      <c r="I14" s="3">
        <v>41059.49</v>
      </c>
      <c r="J14" s="3">
        <v>41059.49</v>
      </c>
      <c r="K14" s="3">
        <v>41059.49</v>
      </c>
      <c r="L14" s="3">
        <v>41059.49</v>
      </c>
      <c r="M14" s="3"/>
    </row>
    <row r="15" spans="1:13" x14ac:dyDescent="0.35">
      <c r="A15" s="33" t="s">
        <v>3</v>
      </c>
      <c r="B15" s="45">
        <v>6000</v>
      </c>
      <c r="C15" s="45">
        <v>6000</v>
      </c>
      <c r="D15" s="45">
        <v>6000</v>
      </c>
      <c r="E15" s="45">
        <v>6000</v>
      </c>
      <c r="F15" s="3">
        <v>6000</v>
      </c>
      <c r="G15" s="3">
        <v>6000</v>
      </c>
      <c r="H15" s="3">
        <v>6000</v>
      </c>
      <c r="I15" s="3">
        <v>6000</v>
      </c>
      <c r="J15" s="3">
        <v>6000</v>
      </c>
      <c r="K15" s="3">
        <v>6000</v>
      </c>
      <c r="L15" s="3">
        <v>6000</v>
      </c>
      <c r="M15" s="3"/>
    </row>
    <row r="16" spans="1:13" x14ac:dyDescent="0.35">
      <c r="A16" s="33" t="s">
        <v>31</v>
      </c>
      <c r="B16" s="45">
        <v>68837.789999999994</v>
      </c>
      <c r="C16" s="45">
        <v>0</v>
      </c>
      <c r="D16" s="45">
        <v>0</v>
      </c>
      <c r="E16" s="45">
        <v>0</v>
      </c>
      <c r="F16" s="3">
        <v>131155.76999999999</v>
      </c>
      <c r="G16" s="3">
        <v>0</v>
      </c>
      <c r="H16" s="3"/>
      <c r="I16" s="3"/>
      <c r="J16" s="3"/>
      <c r="K16" s="3"/>
      <c r="L16" s="1"/>
      <c r="M16" s="1"/>
    </row>
    <row r="17" spans="1:13" x14ac:dyDescent="0.35">
      <c r="A17" s="33" t="s">
        <v>31</v>
      </c>
      <c r="B17" s="45">
        <v>65870.52</v>
      </c>
      <c r="C17" s="45">
        <v>0</v>
      </c>
      <c r="D17" s="45">
        <v>0</v>
      </c>
      <c r="E17" s="45">
        <v>0</v>
      </c>
      <c r="F17" s="3">
        <v>0</v>
      </c>
      <c r="G17" s="3">
        <v>0</v>
      </c>
      <c r="H17" s="3"/>
      <c r="I17" s="3"/>
      <c r="J17" s="3"/>
      <c r="K17" s="3"/>
      <c r="L17" s="1"/>
      <c r="M17" s="1"/>
    </row>
    <row r="18" spans="1:13" x14ac:dyDescent="0.35">
      <c r="A18" s="33" t="s">
        <v>66</v>
      </c>
      <c r="B18" s="45">
        <f>37686.95</f>
        <v>37686.949999999997</v>
      </c>
      <c r="C18" s="45">
        <v>0</v>
      </c>
      <c r="D18" s="45">
        <v>0</v>
      </c>
      <c r="E18" s="45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35">
      <c r="A19" s="33" t="s">
        <v>33</v>
      </c>
      <c r="B19" s="45">
        <v>0</v>
      </c>
      <c r="C19" s="45">
        <v>150000</v>
      </c>
      <c r="D19" s="45">
        <v>150000</v>
      </c>
      <c r="E19" s="45">
        <v>150000</v>
      </c>
      <c r="F19" s="3">
        <v>31565.01</v>
      </c>
      <c r="G19" s="3">
        <v>0</v>
      </c>
      <c r="H19" s="3"/>
      <c r="I19" s="3"/>
      <c r="J19" s="3"/>
      <c r="K19" s="3"/>
      <c r="L19" s="3"/>
      <c r="M19" s="3"/>
    </row>
    <row r="20" spans="1:13" x14ac:dyDescent="0.35">
      <c r="A20" s="33" t="s">
        <v>69</v>
      </c>
      <c r="B20" s="45">
        <v>0</v>
      </c>
      <c r="C20" s="45">
        <v>0</v>
      </c>
      <c r="D20" s="45">
        <v>88200</v>
      </c>
      <c r="E20" s="45">
        <v>0</v>
      </c>
      <c r="F20" s="3">
        <v>0</v>
      </c>
      <c r="G20" s="3">
        <v>0</v>
      </c>
      <c r="H20" s="3"/>
      <c r="I20" s="3"/>
      <c r="J20" s="3"/>
      <c r="K20" s="3"/>
      <c r="L20" s="3"/>
      <c r="M20" s="3"/>
    </row>
    <row r="21" spans="1:13" x14ac:dyDescent="0.35">
      <c r="A21" s="33" t="s">
        <v>70</v>
      </c>
      <c r="B21" s="45">
        <v>0</v>
      </c>
      <c r="C21" s="45">
        <v>0</v>
      </c>
      <c r="D21" s="45">
        <v>37000</v>
      </c>
      <c r="E21" s="45">
        <v>0</v>
      </c>
      <c r="F21" s="3">
        <v>0</v>
      </c>
      <c r="G21" s="3">
        <v>0</v>
      </c>
      <c r="H21" s="3"/>
      <c r="I21" s="3"/>
      <c r="J21" s="3"/>
      <c r="K21" s="3"/>
      <c r="L21" s="3"/>
      <c r="M21" s="3"/>
    </row>
    <row r="22" spans="1:13" x14ac:dyDescent="0.35">
      <c r="A22" s="33" t="s">
        <v>68</v>
      </c>
      <c r="B22" s="45">
        <v>0</v>
      </c>
      <c r="C22" s="45">
        <v>169000</v>
      </c>
      <c r="D22" s="45">
        <v>0</v>
      </c>
      <c r="E22" s="45">
        <v>0</v>
      </c>
      <c r="F22" s="3">
        <v>0</v>
      </c>
      <c r="G22" s="3">
        <v>0</v>
      </c>
      <c r="H22" s="3"/>
      <c r="I22" s="3"/>
      <c r="J22" s="3"/>
      <c r="K22" s="3"/>
      <c r="L22" s="3"/>
      <c r="M22" s="3"/>
    </row>
    <row r="23" spans="1:13" x14ac:dyDescent="0.35">
      <c r="A23" s="33" t="s">
        <v>8</v>
      </c>
      <c r="B23" s="45">
        <v>4000</v>
      </c>
      <c r="C23" s="45">
        <v>4000</v>
      </c>
      <c r="D23" s="45">
        <v>4000</v>
      </c>
      <c r="E23" s="45">
        <v>6000</v>
      </c>
      <c r="F23" s="3">
        <v>6000</v>
      </c>
      <c r="G23" s="3">
        <v>6000</v>
      </c>
      <c r="H23" s="3">
        <v>6000</v>
      </c>
      <c r="I23" s="3">
        <v>6000</v>
      </c>
      <c r="J23" s="3">
        <v>6000</v>
      </c>
      <c r="K23" s="3">
        <v>6000</v>
      </c>
      <c r="L23" s="3">
        <v>6000</v>
      </c>
      <c r="M23" s="3">
        <v>6000</v>
      </c>
    </row>
    <row r="24" spans="1:13" ht="14" customHeight="1" x14ac:dyDescent="0.35">
      <c r="A24" s="33" t="s">
        <v>9</v>
      </c>
      <c r="B24" s="45">
        <v>0</v>
      </c>
      <c r="C24" s="45">
        <f>3700*2</f>
        <v>7400</v>
      </c>
      <c r="D24" s="45">
        <v>0</v>
      </c>
      <c r="E24" s="45">
        <f>3700</f>
        <v>3700</v>
      </c>
      <c r="F24" s="3">
        <f>3700</f>
        <v>3700</v>
      </c>
      <c r="G24" s="3">
        <f>3700</f>
        <v>3700</v>
      </c>
      <c r="H24" s="3">
        <f>3700</f>
        <v>3700</v>
      </c>
      <c r="I24" s="3">
        <f>3700</f>
        <v>3700</v>
      </c>
      <c r="J24" s="3">
        <f>3700</f>
        <v>3700</v>
      </c>
      <c r="K24" s="3">
        <f>3700</f>
        <v>3700</v>
      </c>
      <c r="L24" s="3">
        <f>3700</f>
        <v>3700</v>
      </c>
      <c r="M24" s="3">
        <f>3700</f>
        <v>3700</v>
      </c>
    </row>
    <row r="25" spans="1:13" ht="14" customHeight="1" x14ac:dyDescent="0.35">
      <c r="A25" s="33" t="s">
        <v>37</v>
      </c>
      <c r="B25" s="45">
        <v>0</v>
      </c>
      <c r="C25" s="45">
        <v>0</v>
      </c>
      <c r="D25" s="45">
        <v>0</v>
      </c>
      <c r="E25" s="45">
        <v>40700</v>
      </c>
      <c r="F25" s="3">
        <v>25000</v>
      </c>
      <c r="G25" s="3"/>
      <c r="H25" s="3"/>
      <c r="I25" s="3"/>
      <c r="J25" s="3"/>
      <c r="K25" s="3"/>
      <c r="L25" s="3"/>
      <c r="M25" s="3"/>
    </row>
    <row r="26" spans="1:13" ht="14" customHeight="1" x14ac:dyDescent="0.35">
      <c r="A26" s="33" t="s">
        <v>82</v>
      </c>
      <c r="B26" s="45">
        <v>0</v>
      </c>
      <c r="C26" s="45">
        <v>0</v>
      </c>
      <c r="D26" s="45">
        <v>0</v>
      </c>
      <c r="E26" s="45">
        <v>12500</v>
      </c>
      <c r="F26" s="3">
        <v>12500</v>
      </c>
      <c r="G26" s="3">
        <v>12500</v>
      </c>
      <c r="H26" s="3"/>
      <c r="I26" s="3"/>
      <c r="J26" s="3"/>
      <c r="K26" s="3"/>
      <c r="L26" s="3"/>
      <c r="M26" s="3"/>
    </row>
    <row r="27" spans="1:13" ht="14" customHeight="1" x14ac:dyDescent="0.35">
      <c r="A27" s="33" t="s">
        <v>71</v>
      </c>
      <c r="B27" s="45">
        <v>0</v>
      </c>
      <c r="C27" s="45">
        <v>0</v>
      </c>
      <c r="D27" s="45">
        <v>0</v>
      </c>
      <c r="E27" s="45">
        <f>2.99*1016.921+869.19+1978.89</f>
        <v>5888.6737900000007</v>
      </c>
      <c r="F27" s="3">
        <v>0</v>
      </c>
      <c r="G27" s="3">
        <v>0</v>
      </c>
      <c r="H27" s="3"/>
      <c r="I27" s="3"/>
      <c r="J27" s="3"/>
      <c r="K27" s="3"/>
      <c r="L27" s="3"/>
      <c r="M27" s="3"/>
    </row>
    <row r="28" spans="1:13" x14ac:dyDescent="0.35">
      <c r="A28" s="33" t="s">
        <v>73</v>
      </c>
      <c r="B28" s="45">
        <v>0</v>
      </c>
      <c r="C28" s="45">
        <v>25200</v>
      </c>
      <c r="D28" s="45">
        <f>17807*2</f>
        <v>35614</v>
      </c>
      <c r="E28" s="45">
        <v>0</v>
      </c>
      <c r="F28" s="3">
        <v>0</v>
      </c>
      <c r="G28" s="3">
        <v>0</v>
      </c>
      <c r="H28" s="3"/>
      <c r="I28" s="3"/>
      <c r="J28" s="3"/>
      <c r="K28" s="3"/>
      <c r="L28" s="3"/>
      <c r="M28" s="3"/>
    </row>
    <row r="29" spans="1:13" x14ac:dyDescent="0.35">
      <c r="A29" s="51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x14ac:dyDescent="0.35">
      <c r="A30" s="33" t="s">
        <v>29</v>
      </c>
      <c r="B30" s="45">
        <f>(SUM(B14:B29)*1.2%)</f>
        <v>2681.4569999999999</v>
      </c>
      <c r="C30" s="45">
        <f t="shared" ref="C30:D30" si="10">(SUM(C14:C29)*1.2%)</f>
        <v>4831.9138800000001</v>
      </c>
      <c r="D30" s="45">
        <f t="shared" si="10"/>
        <v>4342.3680000000004</v>
      </c>
      <c r="E30" s="45">
        <f>(SUM(E14:E29)*1.2%)+3700*0.21+3700*0.1</f>
        <v>4337.1779654800002</v>
      </c>
      <c r="F30" s="45">
        <f t="shared" ref="F30:M30" si="11">(SUM(F14:F29)*1.2%)+3700*0.21+3700*0.1</f>
        <v>4230.7632400000002</v>
      </c>
      <c r="G30" s="3">
        <f t="shared" si="11"/>
        <v>1978.1138799999999</v>
      </c>
      <c r="H30" s="3">
        <f t="shared" si="11"/>
        <v>1828.1138799999999</v>
      </c>
      <c r="I30" s="3">
        <f t="shared" si="11"/>
        <v>1828.1138799999999</v>
      </c>
      <c r="J30" s="3">
        <f t="shared" si="11"/>
        <v>1828.1138799999999</v>
      </c>
      <c r="K30" s="3">
        <f t="shared" si="11"/>
        <v>1828.1138799999999</v>
      </c>
      <c r="L30" s="3">
        <f t="shared" si="11"/>
        <v>1828.1138799999999</v>
      </c>
      <c r="M30" s="3">
        <f t="shared" si="11"/>
        <v>1263.4000000000001</v>
      </c>
    </row>
    <row r="31" spans="1:13" x14ac:dyDescent="0.35">
      <c r="A31" s="5" t="s">
        <v>1</v>
      </c>
      <c r="B31" s="7">
        <f t="shared" ref="B31:K31" si="12">SUM(B32:B40)</f>
        <v>51537.587639999998</v>
      </c>
      <c r="C31" s="7">
        <f t="shared" si="12"/>
        <v>32309.587640000002</v>
      </c>
      <c r="D31" s="7">
        <f t="shared" si="12"/>
        <v>0</v>
      </c>
      <c r="E31" s="7">
        <f t="shared" si="12"/>
        <v>239988.52372</v>
      </c>
      <c r="F31" s="7">
        <f t="shared" si="12"/>
        <v>30383.446016000002</v>
      </c>
      <c r="G31" s="7">
        <f t="shared" si="12"/>
        <v>127412.17632</v>
      </c>
      <c r="H31" s="7">
        <f t="shared" si="12"/>
        <v>0</v>
      </c>
      <c r="I31" s="7">
        <f t="shared" si="12"/>
        <v>0</v>
      </c>
      <c r="J31" s="7">
        <f t="shared" si="12"/>
        <v>0</v>
      </c>
      <c r="K31" s="7">
        <f t="shared" si="12"/>
        <v>0</v>
      </c>
      <c r="L31" s="7">
        <f>SUM(L32:L41)</f>
        <v>0</v>
      </c>
      <c r="M31" s="7">
        <f>SUM(M32:M41)</f>
        <v>0</v>
      </c>
    </row>
    <row r="32" spans="1:13" x14ac:dyDescent="0.35">
      <c r="A32" s="33" t="s">
        <v>4</v>
      </c>
      <c r="B32" s="45">
        <v>16493.14</v>
      </c>
      <c r="C32" s="45">
        <v>16493.14</v>
      </c>
      <c r="D32" s="45">
        <v>0</v>
      </c>
      <c r="E32" s="45">
        <v>0</v>
      </c>
      <c r="F32" s="45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35">
      <c r="A33" s="33" t="s">
        <v>5</v>
      </c>
      <c r="B33" s="45">
        <v>15433.33</v>
      </c>
      <c r="C33" s="45">
        <v>15433.33</v>
      </c>
      <c r="D33" s="45">
        <v>0</v>
      </c>
      <c r="E33" s="45">
        <v>0</v>
      </c>
      <c r="F33" s="45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35">
      <c r="A34" s="33" t="s">
        <v>7</v>
      </c>
      <c r="B34" s="45">
        <v>0</v>
      </c>
      <c r="C34" s="45">
        <v>0</v>
      </c>
      <c r="D34" s="45">
        <v>0</v>
      </c>
      <c r="E34" s="45">
        <v>237142.81</v>
      </c>
      <c r="F34" s="45">
        <v>0</v>
      </c>
      <c r="G34" s="3"/>
      <c r="H34" s="3"/>
      <c r="I34" s="3"/>
      <c r="J34" s="3"/>
      <c r="K34" s="3"/>
      <c r="L34" s="3"/>
      <c r="M34" s="3"/>
    </row>
    <row r="35" spans="1:13" x14ac:dyDescent="0.35">
      <c r="A35" s="33" t="s">
        <v>6</v>
      </c>
      <c r="B35" s="45">
        <v>19000</v>
      </c>
      <c r="C35" s="45">
        <v>0</v>
      </c>
      <c r="D35" s="45">
        <v>0</v>
      </c>
      <c r="E35" s="45">
        <v>0</v>
      </c>
      <c r="F35" s="45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35">
      <c r="A36" s="33" t="s">
        <v>31</v>
      </c>
      <c r="B36" s="45">
        <v>0</v>
      </c>
      <c r="C36" s="45">
        <v>0</v>
      </c>
      <c r="D36" s="45">
        <v>0</v>
      </c>
      <c r="E36" s="45">
        <v>0</v>
      </c>
      <c r="F36" s="45">
        <v>0</v>
      </c>
      <c r="G36" s="3">
        <v>84500</v>
      </c>
      <c r="H36" s="3"/>
      <c r="I36" s="3"/>
      <c r="J36" s="3"/>
      <c r="K36" s="3"/>
      <c r="L36" s="3"/>
      <c r="M36" s="3"/>
    </row>
    <row r="37" spans="1:13" x14ac:dyDescent="0.35">
      <c r="A37" s="33" t="s">
        <v>45</v>
      </c>
      <c r="B37" s="45">
        <v>0</v>
      </c>
      <c r="C37" s="45">
        <v>0</v>
      </c>
      <c r="D37" s="45">
        <v>0</v>
      </c>
      <c r="E37" s="45">
        <v>0</v>
      </c>
      <c r="F37" s="45">
        <v>0</v>
      </c>
      <c r="G37" s="3">
        <v>41401.360000000001</v>
      </c>
      <c r="H37" s="3"/>
      <c r="I37" s="3"/>
      <c r="J37" s="3"/>
      <c r="K37" s="3"/>
      <c r="L37" s="3"/>
      <c r="M37" s="3"/>
    </row>
    <row r="38" spans="1:13" x14ac:dyDescent="0.35">
      <c r="A38" s="33" t="s">
        <v>37</v>
      </c>
      <c r="B38" s="45">
        <v>0</v>
      </c>
      <c r="C38" s="45">
        <v>0</v>
      </c>
      <c r="D38" s="45">
        <v>0</v>
      </c>
      <c r="E38" s="45">
        <v>0</v>
      </c>
      <c r="F38" s="45">
        <f>37528.96*0.8</f>
        <v>30023.168000000001</v>
      </c>
      <c r="G38" s="3"/>
      <c r="H38" s="3"/>
      <c r="I38" s="3"/>
      <c r="J38" s="3"/>
      <c r="K38" s="3"/>
      <c r="L38" s="3"/>
      <c r="M38" s="3"/>
    </row>
    <row r="39" spans="1:13" s="58" customFormat="1" x14ac:dyDescent="0.35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</row>
    <row r="40" spans="1:13" x14ac:dyDescent="0.35">
      <c r="A40" s="33" t="s">
        <v>30</v>
      </c>
      <c r="B40" s="45">
        <f>SUM(B32:B38)*1.2%</f>
        <v>611.11764000000005</v>
      </c>
      <c r="C40" s="45">
        <f t="shared" ref="C40:L40" si="13">SUM(C32:C38)*1.2%</f>
        <v>383.11763999999999</v>
      </c>
      <c r="D40" s="45">
        <f t="shared" si="13"/>
        <v>0</v>
      </c>
      <c r="E40" s="45">
        <f t="shared" si="13"/>
        <v>2845.7137200000002</v>
      </c>
      <c r="F40" s="45">
        <f t="shared" si="13"/>
        <v>360.27801600000004</v>
      </c>
      <c r="G40" s="3">
        <f t="shared" si="13"/>
        <v>1510.8163200000001</v>
      </c>
      <c r="H40" s="3">
        <f t="shared" si="13"/>
        <v>0</v>
      </c>
      <c r="I40" s="3">
        <f t="shared" si="13"/>
        <v>0</v>
      </c>
      <c r="J40" s="3">
        <f t="shared" si="13"/>
        <v>0</v>
      </c>
      <c r="K40" s="3">
        <f t="shared" si="13"/>
        <v>0</v>
      </c>
      <c r="L40" s="3">
        <f t="shared" si="13"/>
        <v>0</v>
      </c>
      <c r="M40" s="3">
        <f t="shared" ref="M40" si="14">SUM(M32:M35)*1.2%</f>
        <v>0</v>
      </c>
    </row>
    <row r="41" spans="1:13" x14ac:dyDescent="0.35">
      <c r="A41" s="33"/>
      <c r="B41" s="3"/>
      <c r="C41" s="3"/>
      <c r="D41" s="3"/>
      <c r="E41" s="3"/>
      <c r="F41" s="3"/>
      <c r="G41" s="3"/>
      <c r="H41" s="3"/>
      <c r="I41" s="3"/>
      <c r="J41" s="3"/>
      <c r="K41" s="3"/>
      <c r="L41" s="1"/>
      <c r="M41" s="1"/>
    </row>
    <row r="42" spans="1:13" s="37" customFormat="1" ht="15.5" customHeight="1" x14ac:dyDescent="0.35">
      <c r="A42" s="8" t="s">
        <v>11</v>
      </c>
      <c r="B42" s="9">
        <f t="shared" ref="B42:M42" si="15">+B31+B13</f>
        <v>277673.79463999998</v>
      </c>
      <c r="C42" s="9">
        <f t="shared" si="15"/>
        <v>439800.99151999998</v>
      </c>
      <c r="D42" s="9">
        <f t="shared" si="15"/>
        <v>366206.36800000002</v>
      </c>
      <c r="E42" s="9">
        <f t="shared" si="15"/>
        <v>510173.86547548004</v>
      </c>
      <c r="F42" s="9">
        <f t="shared" si="15"/>
        <v>291594.47925600002</v>
      </c>
      <c r="G42" s="9">
        <f t="shared" si="15"/>
        <v>198649.78019999998</v>
      </c>
      <c r="H42" s="9">
        <f t="shared" si="15"/>
        <v>58587.603879999995</v>
      </c>
      <c r="I42" s="9">
        <f t="shared" si="15"/>
        <v>58587.603879999995</v>
      </c>
      <c r="J42" s="9">
        <f t="shared" si="15"/>
        <v>58587.603879999995</v>
      </c>
      <c r="K42" s="9">
        <f t="shared" si="15"/>
        <v>58587.603879999995</v>
      </c>
      <c r="L42" s="9">
        <f t="shared" si="15"/>
        <v>58587.603879999995</v>
      </c>
      <c r="M42" s="9">
        <f t="shared" si="15"/>
        <v>10963.4</v>
      </c>
    </row>
    <row r="43" spans="1:13" x14ac:dyDescent="0.35">
      <c r="A43" s="34"/>
      <c r="B43" s="3"/>
      <c r="C43" s="3"/>
      <c r="D43" s="3"/>
      <c r="E43" s="3"/>
      <c r="F43" s="3"/>
      <c r="G43" s="3"/>
      <c r="H43" s="3"/>
      <c r="I43" s="3"/>
      <c r="J43" s="3"/>
      <c r="K43" s="3"/>
      <c r="L43" s="1"/>
      <c r="M43" s="1"/>
    </row>
    <row r="44" spans="1:13" x14ac:dyDescent="0.35">
      <c r="A44" s="4" t="s">
        <v>15</v>
      </c>
      <c r="B44" s="46">
        <f>+SUM(B45:B71)</f>
        <v>625709.92999999993</v>
      </c>
      <c r="C44" s="46">
        <f t="shared" ref="C44:M44" si="16">+SUM(C45:C71)</f>
        <v>619300</v>
      </c>
      <c r="D44" s="46">
        <f t="shared" si="16"/>
        <v>417165</v>
      </c>
      <c r="E44" s="46">
        <f>+SUM(E45:E71)</f>
        <v>356525</v>
      </c>
      <c r="F44" s="26">
        <f t="shared" si="16"/>
        <v>137580</v>
      </c>
      <c r="G44" s="26">
        <f t="shared" si="16"/>
        <v>0</v>
      </c>
      <c r="H44" s="26">
        <f t="shared" si="16"/>
        <v>0</v>
      </c>
      <c r="I44" s="26">
        <f t="shared" si="16"/>
        <v>0</v>
      </c>
      <c r="J44" s="26">
        <f t="shared" si="16"/>
        <v>0</v>
      </c>
      <c r="K44" s="26">
        <f t="shared" si="16"/>
        <v>0</v>
      </c>
      <c r="L44" s="26">
        <f t="shared" si="16"/>
        <v>0</v>
      </c>
      <c r="M44" s="26">
        <f t="shared" si="16"/>
        <v>0</v>
      </c>
    </row>
    <row r="45" spans="1:13" x14ac:dyDescent="0.35">
      <c r="A45" s="38" t="s">
        <v>12</v>
      </c>
      <c r="B45" s="45">
        <f>8600*4</f>
        <v>34400</v>
      </c>
      <c r="C45" s="45">
        <f>10300*5</f>
        <v>51500</v>
      </c>
      <c r="D45" s="45">
        <f>10300*4</f>
        <v>41200</v>
      </c>
      <c r="E45" s="45">
        <f>10300*5</f>
        <v>51500</v>
      </c>
      <c r="F45" s="3"/>
      <c r="G45" s="3"/>
      <c r="H45" s="3"/>
      <c r="I45" s="3"/>
      <c r="J45" s="3"/>
      <c r="K45" s="3"/>
      <c r="L45" s="3"/>
      <c r="M45" s="3"/>
    </row>
    <row r="46" spans="1:13" x14ac:dyDescent="0.35">
      <c r="A46" s="38" t="s">
        <v>13</v>
      </c>
      <c r="B46" s="45">
        <f>9000+9000+9000+9000</f>
        <v>36000</v>
      </c>
      <c r="C46" s="45">
        <f>9000+9000+9000+9000+9000</f>
        <v>45000</v>
      </c>
      <c r="D46" s="45">
        <f>9000+9000+9000+9000</f>
        <v>36000</v>
      </c>
      <c r="E46" s="45">
        <f>9000+9000+9000+9000+9000</f>
        <v>45000</v>
      </c>
      <c r="F46" s="3">
        <v>13000</v>
      </c>
      <c r="G46" s="3"/>
      <c r="H46" s="3"/>
      <c r="I46" s="3"/>
      <c r="J46" s="3"/>
      <c r="K46" s="3"/>
      <c r="L46" s="3"/>
      <c r="M46" s="3"/>
    </row>
    <row r="47" spans="1:13" x14ac:dyDescent="0.35">
      <c r="A47" s="36" t="s">
        <v>14</v>
      </c>
      <c r="B47" s="45">
        <v>18000</v>
      </c>
      <c r="C47" s="45">
        <f>1800+20000</f>
        <v>21800</v>
      </c>
      <c r="D47" s="45">
        <v>35000</v>
      </c>
      <c r="E47" s="45">
        <v>22000</v>
      </c>
      <c r="F47" s="3"/>
      <c r="G47" s="3"/>
      <c r="H47" s="3"/>
      <c r="I47" s="3"/>
      <c r="J47" s="3"/>
      <c r="K47" s="3"/>
      <c r="L47" s="3"/>
      <c r="M47" s="3"/>
    </row>
    <row r="48" spans="1:13" x14ac:dyDescent="0.35">
      <c r="A48" s="35" t="s">
        <v>20</v>
      </c>
      <c r="B48" s="45">
        <f>5840+14800</f>
        <v>20640</v>
      </c>
      <c r="C48" s="45">
        <v>17000</v>
      </c>
      <c r="D48" s="45">
        <v>11240</v>
      </c>
      <c r="E48" s="45">
        <v>17800</v>
      </c>
      <c r="F48" s="3"/>
      <c r="G48" s="3"/>
      <c r="H48" s="3"/>
      <c r="I48" s="3"/>
      <c r="J48" s="3"/>
      <c r="K48" s="3"/>
      <c r="L48" s="3"/>
      <c r="M48" s="3"/>
    </row>
    <row r="49" spans="1:13" x14ac:dyDescent="0.35">
      <c r="A49" s="36" t="s">
        <v>21</v>
      </c>
      <c r="B49" s="45">
        <v>16800</v>
      </c>
      <c r="C49" s="45">
        <v>19000</v>
      </c>
      <c r="D49" s="45">
        <v>14560</v>
      </c>
      <c r="E49" s="45">
        <v>13150</v>
      </c>
      <c r="F49" s="3"/>
      <c r="G49" s="3"/>
      <c r="H49" s="3"/>
      <c r="I49" s="3"/>
      <c r="J49" s="3"/>
      <c r="K49" s="3"/>
      <c r="L49" s="3"/>
      <c r="M49" s="3"/>
    </row>
    <row r="50" spans="1:13" x14ac:dyDescent="0.35">
      <c r="A50" s="36" t="s">
        <v>22</v>
      </c>
      <c r="B50" s="45">
        <f>3945+3940</f>
        <v>7885</v>
      </c>
      <c r="C50" s="45">
        <v>23850</v>
      </c>
      <c r="D50" s="45">
        <v>23825</v>
      </c>
      <c r="E50" s="45">
        <v>9200</v>
      </c>
      <c r="F50" s="3"/>
      <c r="G50" s="3"/>
      <c r="H50" s="3"/>
      <c r="I50" s="3"/>
      <c r="J50" s="3"/>
      <c r="K50" s="3"/>
      <c r="L50" s="3"/>
      <c r="M50" s="3"/>
    </row>
    <row r="51" spans="1:13" x14ac:dyDescent="0.35">
      <c r="A51" s="36" t="s">
        <v>23</v>
      </c>
      <c r="B51" s="45">
        <v>6750</v>
      </c>
      <c r="C51" s="45">
        <v>7500</v>
      </c>
      <c r="D51" s="45">
        <v>8250</v>
      </c>
      <c r="E51" s="45">
        <v>9000</v>
      </c>
      <c r="F51" s="3"/>
      <c r="G51" s="3"/>
      <c r="H51" s="3"/>
      <c r="I51" s="3"/>
      <c r="J51" s="3"/>
      <c r="K51" s="3"/>
      <c r="L51" s="3"/>
      <c r="M51" s="3"/>
    </row>
    <row r="52" spans="1:13" x14ac:dyDescent="0.35">
      <c r="A52" s="36" t="s">
        <v>24</v>
      </c>
      <c r="B52" s="45">
        <v>14700</v>
      </c>
      <c r="C52" s="45">
        <v>16700</v>
      </c>
      <c r="D52" s="45">
        <v>18400</v>
      </c>
      <c r="E52" s="45">
        <v>20100</v>
      </c>
      <c r="F52" s="1"/>
      <c r="G52" s="3"/>
      <c r="H52" s="3"/>
      <c r="I52" s="3"/>
      <c r="J52" s="3"/>
      <c r="K52" s="3"/>
      <c r="L52" s="3"/>
      <c r="M52" s="3"/>
    </row>
    <row r="53" spans="1:13" x14ac:dyDescent="0.35">
      <c r="A53" s="38" t="s">
        <v>6</v>
      </c>
      <c r="B53" s="45">
        <f>4800+4800+5500+2200+4750</f>
        <v>22050</v>
      </c>
      <c r="C53" s="45">
        <f>6000+6600+6000</f>
        <v>18600</v>
      </c>
      <c r="D53" s="45">
        <f>7100+7000+7700</f>
        <v>21800</v>
      </c>
      <c r="E53" s="45">
        <f>7000+7700+7000+5000+10000+17000-6000-6000-9000+7000</f>
        <v>39700</v>
      </c>
      <c r="F53" s="3">
        <f>28000-7000*3+7000</f>
        <v>14000</v>
      </c>
      <c r="G53" s="3"/>
      <c r="H53" s="3"/>
      <c r="I53" s="3"/>
      <c r="J53" s="3"/>
      <c r="K53" s="3"/>
      <c r="L53" s="3"/>
      <c r="M53" s="3"/>
    </row>
    <row r="54" spans="1:13" x14ac:dyDescent="0.35">
      <c r="A54" s="36" t="s">
        <v>31</v>
      </c>
      <c r="B54" s="45">
        <f>60600+4300</f>
        <v>64900</v>
      </c>
      <c r="C54" s="45">
        <f>40000+12400-8700+33600+17000</f>
        <v>94300</v>
      </c>
      <c r="D54" s="45">
        <v>0</v>
      </c>
      <c r="E54" s="45">
        <v>0</v>
      </c>
      <c r="F54" s="3"/>
      <c r="G54" s="3"/>
      <c r="H54" s="3"/>
      <c r="I54" s="3"/>
      <c r="J54" s="3"/>
      <c r="K54" s="3"/>
      <c r="L54" s="3"/>
      <c r="M54" s="3"/>
    </row>
    <row r="55" spans="1:13" x14ac:dyDescent="0.35">
      <c r="A55" s="36" t="s">
        <v>50</v>
      </c>
      <c r="B55" s="45">
        <f>10000+50200</f>
        <v>60200</v>
      </c>
      <c r="C55" s="45">
        <v>26500</v>
      </c>
      <c r="D55" s="45">
        <f>31200+27470+12600</f>
        <v>71270</v>
      </c>
      <c r="E55" s="45">
        <v>23700</v>
      </c>
      <c r="F55" s="3">
        <f>15690+27000+20000</f>
        <v>62690</v>
      </c>
      <c r="G55" s="3"/>
      <c r="H55" s="3"/>
      <c r="I55" s="3"/>
      <c r="J55" s="3"/>
      <c r="K55" s="3"/>
      <c r="L55" s="3"/>
      <c r="M55" s="3"/>
    </row>
    <row r="56" spans="1:13" x14ac:dyDescent="0.35">
      <c r="A56" s="36" t="s">
        <v>28</v>
      </c>
      <c r="B56" s="45">
        <f>2000+9500</f>
        <v>11500</v>
      </c>
      <c r="C56" s="45">
        <f>30000+11700</f>
        <v>41700</v>
      </c>
      <c r="D56" s="45">
        <f>2500+2550+3400+12000</f>
        <v>20450</v>
      </c>
      <c r="E56" s="45">
        <f>14000+3200</f>
        <v>17200</v>
      </c>
      <c r="F56" s="3">
        <f>3390+8000</f>
        <v>11390</v>
      </c>
      <c r="G56" s="3"/>
      <c r="H56" s="3"/>
      <c r="I56" s="3"/>
      <c r="J56" s="3"/>
      <c r="K56" s="3"/>
      <c r="L56" s="3"/>
      <c r="M56" s="3"/>
    </row>
    <row r="57" spans="1:13" x14ac:dyDescent="0.35">
      <c r="A57" s="36" t="s">
        <v>79</v>
      </c>
      <c r="B57" s="45">
        <v>0</v>
      </c>
      <c r="C57" s="45">
        <v>0</v>
      </c>
      <c r="D57" s="45">
        <v>0</v>
      </c>
      <c r="E57" s="45">
        <v>15000</v>
      </c>
      <c r="F57" s="3"/>
      <c r="G57" s="3"/>
      <c r="H57" s="3"/>
      <c r="I57" s="3"/>
      <c r="J57" s="3"/>
      <c r="K57" s="3"/>
      <c r="L57" s="3"/>
      <c r="M57" s="3"/>
    </row>
    <row r="58" spans="1:13" x14ac:dyDescent="0.35">
      <c r="A58" s="38" t="s">
        <v>48</v>
      </c>
      <c r="B58" s="45">
        <v>0</v>
      </c>
      <c r="C58" s="45">
        <f>7400+6000+20700</f>
        <v>34100</v>
      </c>
      <c r="D58" s="45">
        <v>4000</v>
      </c>
      <c r="E58" s="45">
        <f>2500</f>
        <v>2500</v>
      </c>
      <c r="F58" s="3"/>
      <c r="G58" s="3"/>
      <c r="H58" s="3"/>
      <c r="I58" s="3"/>
      <c r="J58" s="3"/>
      <c r="K58" s="3"/>
      <c r="L58" s="3"/>
      <c r="M58" s="3"/>
    </row>
    <row r="59" spans="1:13" x14ac:dyDescent="0.35">
      <c r="A59" s="36" t="s">
        <v>47</v>
      </c>
      <c r="B59" s="45">
        <v>0</v>
      </c>
      <c r="C59" s="45">
        <v>1200</v>
      </c>
      <c r="D59" s="45">
        <v>2700</v>
      </c>
      <c r="E59" s="45">
        <v>6500</v>
      </c>
      <c r="F59" s="3"/>
      <c r="G59" s="3"/>
      <c r="H59" s="3"/>
      <c r="I59" s="3"/>
      <c r="J59" s="3"/>
      <c r="K59" s="3"/>
      <c r="L59" s="3"/>
      <c r="M59" s="3"/>
    </row>
    <row r="60" spans="1:13" x14ac:dyDescent="0.35">
      <c r="A60" s="39" t="s">
        <v>32</v>
      </c>
      <c r="B60" s="45">
        <v>12650</v>
      </c>
      <c r="C60" s="45">
        <v>0</v>
      </c>
      <c r="D60" s="45">
        <v>0</v>
      </c>
      <c r="E60" s="45">
        <v>0</v>
      </c>
      <c r="F60" s="3"/>
      <c r="G60" s="3"/>
      <c r="H60" s="3"/>
      <c r="I60" s="3"/>
      <c r="J60" s="3"/>
      <c r="K60" s="3"/>
      <c r="L60" s="3"/>
      <c r="M60" s="3"/>
    </row>
    <row r="61" spans="1:13" x14ac:dyDescent="0.35">
      <c r="A61" s="39" t="s">
        <v>52</v>
      </c>
      <c r="B61" s="45">
        <f>9000+14500</f>
        <v>23500</v>
      </c>
      <c r="C61" s="45">
        <v>5000</v>
      </c>
      <c r="D61" s="45">
        <v>5200</v>
      </c>
      <c r="E61" s="45">
        <f>9900+5500</f>
        <v>15400</v>
      </c>
      <c r="F61" s="3"/>
      <c r="G61" s="3"/>
      <c r="H61" s="3"/>
      <c r="I61" s="3"/>
      <c r="J61" s="3"/>
      <c r="K61" s="3"/>
      <c r="L61" s="3"/>
      <c r="M61" s="3"/>
    </row>
    <row r="62" spans="1:13" x14ac:dyDescent="0.35">
      <c r="A62" s="39" t="s">
        <v>55</v>
      </c>
      <c r="B62" s="45">
        <f>14400+6000+7300</f>
        <v>27700</v>
      </c>
      <c r="C62" s="45">
        <v>0</v>
      </c>
      <c r="D62" s="45">
        <v>0</v>
      </c>
      <c r="E62" s="45">
        <v>0</v>
      </c>
      <c r="F62" s="3">
        <v>11400</v>
      </c>
      <c r="G62" s="3"/>
      <c r="H62" s="3"/>
      <c r="I62" s="3"/>
      <c r="J62" s="3"/>
      <c r="K62" s="3"/>
      <c r="L62" s="3"/>
      <c r="M62" s="3"/>
    </row>
    <row r="63" spans="1:13" x14ac:dyDescent="0.35">
      <c r="A63" s="36" t="s">
        <v>34</v>
      </c>
      <c r="B63" s="45">
        <v>5000</v>
      </c>
      <c r="C63" s="47">
        <v>5000</v>
      </c>
      <c r="D63" s="45">
        <v>5000</v>
      </c>
      <c r="E63" s="47">
        <v>5000</v>
      </c>
      <c r="F63" s="3">
        <v>5000</v>
      </c>
      <c r="G63" s="3"/>
      <c r="H63" s="3"/>
      <c r="I63" s="3"/>
      <c r="J63" s="3"/>
      <c r="K63" s="3"/>
      <c r="L63" s="3"/>
      <c r="M63" s="3"/>
    </row>
    <row r="64" spans="1:13" x14ac:dyDescent="0.35">
      <c r="A64" s="36" t="s">
        <v>35</v>
      </c>
      <c r="B64" s="45">
        <v>15000</v>
      </c>
      <c r="C64" s="47">
        <v>15000</v>
      </c>
      <c r="D64" s="45">
        <v>17500</v>
      </c>
      <c r="E64" s="45">
        <v>0</v>
      </c>
      <c r="F64" s="3"/>
      <c r="G64" s="3"/>
      <c r="H64" s="3"/>
      <c r="I64" s="3"/>
      <c r="J64" s="3"/>
      <c r="K64" s="3"/>
      <c r="L64" s="3"/>
      <c r="M64" s="3"/>
    </row>
    <row r="65" spans="1:13" x14ac:dyDescent="0.35">
      <c r="A65" s="38" t="s">
        <v>45</v>
      </c>
      <c r="B65" s="45">
        <v>10500</v>
      </c>
      <c r="C65" s="47">
        <f>2600+2700+27000+25000</f>
        <v>57300</v>
      </c>
      <c r="D65" s="45">
        <v>0</v>
      </c>
      <c r="E65" s="45">
        <v>0</v>
      </c>
      <c r="F65" s="3"/>
      <c r="G65" s="3"/>
      <c r="H65" s="3"/>
      <c r="I65" s="3"/>
      <c r="J65" s="3"/>
      <c r="K65" s="3"/>
      <c r="L65" s="3"/>
      <c r="M65" s="3"/>
    </row>
    <row r="66" spans="1:13" x14ac:dyDescent="0.35">
      <c r="A66" s="38" t="s">
        <v>37</v>
      </c>
      <c r="B66" s="45">
        <v>40100</v>
      </c>
      <c r="C66" s="45">
        <v>20000</v>
      </c>
      <c r="D66" s="45">
        <v>0</v>
      </c>
      <c r="E66" s="45">
        <v>0</v>
      </c>
      <c r="F66" s="3"/>
      <c r="G66" s="3"/>
      <c r="H66" s="3"/>
      <c r="I66" s="3"/>
      <c r="J66" s="3"/>
      <c r="K66" s="3"/>
      <c r="L66" s="3"/>
      <c r="M66" s="3"/>
    </row>
    <row r="67" spans="1:13" x14ac:dyDescent="0.35">
      <c r="A67" s="38" t="s">
        <v>51</v>
      </c>
      <c r="B67" s="45">
        <f>15000+9000+14800+22000</f>
        <v>60800</v>
      </c>
      <c r="C67" s="45">
        <f>12000+21500+18850+12500+9700+7200</f>
        <v>81750</v>
      </c>
      <c r="D67" s="47">
        <f>21700-8400-5100+27750+7220+28200+30150+8000-13250-13250-2250</f>
        <v>80770</v>
      </c>
      <c r="E67" s="47">
        <f>4000+7600+45100-11275-11275-11000+68000-16625*3-3000-(3300+200)</f>
        <v>34775</v>
      </c>
      <c r="F67" s="3">
        <v>20100</v>
      </c>
      <c r="G67" s="3"/>
      <c r="H67" s="3"/>
      <c r="I67" s="3"/>
      <c r="J67" s="3"/>
      <c r="K67" s="3"/>
      <c r="L67" s="3"/>
      <c r="M67" s="3"/>
    </row>
    <row r="68" spans="1:13" x14ac:dyDescent="0.35">
      <c r="A68" s="38" t="s">
        <v>53</v>
      </c>
      <c r="B68" s="45">
        <v>9500</v>
      </c>
      <c r="C68" s="45">
        <v>8000</v>
      </c>
      <c r="D68" s="45">
        <v>0</v>
      </c>
      <c r="E68" s="45">
        <v>9000</v>
      </c>
      <c r="F68" s="3"/>
      <c r="G68" s="3"/>
      <c r="H68" s="3"/>
      <c r="I68" s="3"/>
      <c r="J68" s="3"/>
      <c r="K68" s="3"/>
      <c r="L68" s="3"/>
      <c r="M68" s="3"/>
    </row>
    <row r="69" spans="1:13" x14ac:dyDescent="0.35">
      <c r="A69" s="38" t="s">
        <v>54</v>
      </c>
      <c r="B69" s="45">
        <v>14500</v>
      </c>
      <c r="C69" s="45">
        <v>8500</v>
      </c>
      <c r="D69" s="45">
        <v>0</v>
      </c>
      <c r="E69" s="45">
        <v>0</v>
      </c>
      <c r="F69" s="3"/>
      <c r="G69" s="3"/>
      <c r="H69" s="3"/>
      <c r="I69" s="3"/>
      <c r="J69" s="3"/>
      <c r="K69" s="3"/>
      <c r="L69" s="3"/>
      <c r="M69" s="3"/>
    </row>
    <row r="70" spans="1:13" x14ac:dyDescent="0.35">
      <c r="A70" s="34" t="s">
        <v>38</v>
      </c>
      <c r="B70" s="45">
        <v>92634.93</v>
      </c>
      <c r="C70" s="45">
        <v>0</v>
      </c>
      <c r="D70" s="45">
        <v>0</v>
      </c>
      <c r="E70" s="45">
        <v>0</v>
      </c>
      <c r="F70" s="3"/>
      <c r="G70" s="3"/>
      <c r="H70" s="3"/>
      <c r="I70" s="3"/>
      <c r="J70" s="3"/>
      <c r="K70" s="3"/>
      <c r="L70" s="3"/>
      <c r="M70" s="3"/>
    </row>
    <row r="71" spans="1:13" x14ac:dyDescent="0.35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35">
      <c r="A72" s="10" t="s">
        <v>16</v>
      </c>
      <c r="B72" s="46">
        <f t="shared" ref="B72:M72" si="17">+SUM(B73:B91)</f>
        <v>256750</v>
      </c>
      <c r="C72" s="46">
        <f t="shared" si="17"/>
        <v>122450</v>
      </c>
      <c r="D72" s="46">
        <f t="shared" si="17"/>
        <v>81350</v>
      </c>
      <c r="E72" s="46">
        <f t="shared" si="17"/>
        <v>209200</v>
      </c>
      <c r="F72" s="26">
        <f t="shared" si="17"/>
        <v>0</v>
      </c>
      <c r="G72" s="26">
        <f t="shared" si="17"/>
        <v>66666.666666666672</v>
      </c>
      <c r="H72" s="26">
        <f t="shared" si="17"/>
        <v>66666.666666666672</v>
      </c>
      <c r="I72" s="26">
        <f t="shared" si="17"/>
        <v>0</v>
      </c>
      <c r="J72" s="26">
        <f t="shared" si="17"/>
        <v>0</v>
      </c>
      <c r="K72" s="26">
        <f t="shared" si="17"/>
        <v>0</v>
      </c>
      <c r="L72" s="26">
        <f t="shared" si="17"/>
        <v>0</v>
      </c>
      <c r="M72" s="26">
        <f t="shared" si="17"/>
        <v>0</v>
      </c>
    </row>
    <row r="73" spans="1:13" x14ac:dyDescent="0.35">
      <c r="A73" s="34" t="s">
        <v>17</v>
      </c>
      <c r="B73" s="45">
        <f>6000+7500</f>
        <v>13500</v>
      </c>
      <c r="C73" s="45">
        <v>10000</v>
      </c>
      <c r="D73" s="45">
        <v>0</v>
      </c>
      <c r="E73" s="45">
        <v>0</v>
      </c>
      <c r="F73" s="3"/>
      <c r="G73" s="3"/>
      <c r="H73" s="3"/>
      <c r="I73" s="3"/>
      <c r="J73" s="3"/>
      <c r="K73" s="3"/>
      <c r="L73" s="3"/>
      <c r="M73" s="3"/>
    </row>
    <row r="74" spans="1:13" x14ac:dyDescent="0.35">
      <c r="A74" s="34" t="s">
        <v>58</v>
      </c>
      <c r="B74" s="45">
        <v>0</v>
      </c>
      <c r="C74" s="45">
        <v>9400</v>
      </c>
      <c r="D74" s="45">
        <v>13000</v>
      </c>
      <c r="E74" s="45">
        <v>0</v>
      </c>
      <c r="F74" s="3"/>
      <c r="G74" s="3"/>
      <c r="H74" s="3"/>
      <c r="I74" s="3"/>
      <c r="J74" s="3"/>
      <c r="K74" s="1"/>
      <c r="L74" s="1"/>
      <c r="M74" s="1"/>
    </row>
    <row r="75" spans="1:13" x14ac:dyDescent="0.35">
      <c r="A75" s="34" t="s">
        <v>59</v>
      </c>
      <c r="B75" s="45">
        <v>5000</v>
      </c>
      <c r="C75" s="45">
        <v>0</v>
      </c>
      <c r="D75" s="45">
        <v>0</v>
      </c>
      <c r="E75" s="45">
        <v>0</v>
      </c>
      <c r="F75" s="3"/>
      <c r="G75" s="3"/>
      <c r="H75" s="3"/>
      <c r="I75" s="3"/>
      <c r="J75" s="3"/>
      <c r="K75" s="1"/>
      <c r="L75" s="1"/>
      <c r="M75" s="1"/>
    </row>
    <row r="76" spans="1:13" x14ac:dyDescent="0.35">
      <c r="A76" s="34" t="s">
        <v>43</v>
      </c>
      <c r="B76" s="45">
        <v>4200</v>
      </c>
      <c r="C76" s="45">
        <v>5300</v>
      </c>
      <c r="D76" s="45">
        <v>0</v>
      </c>
      <c r="E76" s="45">
        <v>0</v>
      </c>
      <c r="F76" s="3"/>
      <c r="G76" s="3"/>
      <c r="H76" s="3"/>
      <c r="I76" s="3"/>
      <c r="J76" s="3"/>
      <c r="K76" s="1"/>
      <c r="L76" s="1"/>
      <c r="M76" s="1"/>
    </row>
    <row r="77" spans="1:13" x14ac:dyDescent="0.35">
      <c r="A77" s="34" t="s">
        <v>33</v>
      </c>
      <c r="B77" s="45">
        <f>35000+20000</f>
        <v>55000</v>
      </c>
      <c r="C77" s="45">
        <v>4000</v>
      </c>
      <c r="D77" s="45">
        <v>0</v>
      </c>
      <c r="E77" s="45">
        <v>0</v>
      </c>
      <c r="F77" s="3"/>
      <c r="G77" s="3"/>
      <c r="H77" s="3"/>
      <c r="I77" s="3"/>
      <c r="J77" s="1"/>
      <c r="K77" s="1"/>
      <c r="L77" s="1"/>
      <c r="M77" s="1"/>
    </row>
    <row r="78" spans="1:13" x14ac:dyDescent="0.35">
      <c r="A78" s="34" t="s">
        <v>44</v>
      </c>
      <c r="B78" s="45">
        <f>21700+33000+25000</f>
        <v>79700</v>
      </c>
      <c r="C78" s="45">
        <v>28750</v>
      </c>
      <c r="D78" s="45">
        <v>0</v>
      </c>
      <c r="E78" s="45">
        <v>0</v>
      </c>
      <c r="F78" s="3"/>
      <c r="G78" s="3"/>
      <c r="H78" s="3"/>
      <c r="I78" s="3"/>
      <c r="J78" s="1"/>
      <c r="K78" s="1"/>
      <c r="L78" s="1"/>
      <c r="M78" s="1"/>
    </row>
    <row r="79" spans="1:13" x14ac:dyDescent="0.35">
      <c r="A79" s="34" t="s">
        <v>60</v>
      </c>
      <c r="B79" s="45">
        <v>66850</v>
      </c>
      <c r="C79" s="45">
        <v>0</v>
      </c>
      <c r="D79" s="45">
        <v>0</v>
      </c>
      <c r="E79" s="45">
        <v>0</v>
      </c>
      <c r="F79" s="3"/>
      <c r="G79" s="3"/>
      <c r="H79" s="3"/>
      <c r="I79" s="3"/>
      <c r="J79" s="1"/>
      <c r="K79" s="1"/>
      <c r="L79" s="1"/>
      <c r="M79" s="1"/>
    </row>
    <row r="80" spans="1:13" x14ac:dyDescent="0.35">
      <c r="A80" s="34" t="s">
        <v>61</v>
      </c>
      <c r="B80" s="45">
        <v>5000</v>
      </c>
      <c r="C80" s="45">
        <v>0</v>
      </c>
      <c r="D80" s="45">
        <v>0</v>
      </c>
      <c r="E80" s="45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.5" customHeight="1" x14ac:dyDescent="0.35">
      <c r="A81" s="34" t="s">
        <v>46</v>
      </c>
      <c r="B81" s="45">
        <f>25000</f>
        <v>25000</v>
      </c>
      <c r="C81" s="45">
        <v>4300</v>
      </c>
      <c r="D81" s="45">
        <v>0</v>
      </c>
      <c r="E81" s="45">
        <v>0</v>
      </c>
      <c r="F81" s="3"/>
      <c r="G81" s="3"/>
      <c r="H81" s="3"/>
      <c r="I81" s="3"/>
      <c r="J81" s="1"/>
      <c r="K81" s="1"/>
      <c r="L81" s="1"/>
      <c r="M81" s="1"/>
    </row>
    <row r="82" spans="1:13" x14ac:dyDescent="0.35">
      <c r="A82" s="34" t="s">
        <v>75</v>
      </c>
      <c r="B82" s="45">
        <v>2500</v>
      </c>
      <c r="C82" s="45">
        <v>8700</v>
      </c>
      <c r="D82" s="45">
        <v>0</v>
      </c>
      <c r="E82" s="45">
        <v>0</v>
      </c>
      <c r="F82" s="3"/>
      <c r="G82" s="3"/>
      <c r="H82" s="3"/>
      <c r="I82" s="3"/>
      <c r="J82" s="1"/>
      <c r="K82" s="1"/>
      <c r="L82" s="1"/>
      <c r="M82" s="1"/>
    </row>
    <row r="83" spans="1:13" x14ac:dyDescent="0.35">
      <c r="A83" s="34" t="s">
        <v>74</v>
      </c>
      <c r="B83" s="45">
        <v>0</v>
      </c>
      <c r="C83" s="45">
        <f>8500+8500</f>
        <v>17000</v>
      </c>
      <c r="D83" s="45">
        <v>0</v>
      </c>
      <c r="E83" s="45">
        <v>0</v>
      </c>
      <c r="F83" s="3"/>
      <c r="G83" s="3"/>
      <c r="H83" s="3"/>
      <c r="I83" s="3"/>
      <c r="J83" s="1"/>
      <c r="K83" s="1"/>
      <c r="L83" s="1"/>
      <c r="M83" s="1"/>
    </row>
    <row r="84" spans="1:13" x14ac:dyDescent="0.35">
      <c r="A84" s="34" t="s">
        <v>49</v>
      </c>
      <c r="B84" s="45">
        <v>0</v>
      </c>
      <c r="C84" s="45">
        <v>25000</v>
      </c>
      <c r="D84" s="45">
        <v>0</v>
      </c>
      <c r="E84" s="45">
        <v>0</v>
      </c>
      <c r="F84" s="3"/>
      <c r="G84" s="3"/>
      <c r="H84" s="3"/>
      <c r="I84" s="3"/>
      <c r="J84" s="1"/>
      <c r="K84" s="1"/>
      <c r="L84" s="1"/>
      <c r="M84" s="1"/>
    </row>
    <row r="85" spans="1:13" x14ac:dyDescent="0.35">
      <c r="A85" s="34" t="s">
        <v>57</v>
      </c>
      <c r="B85" s="45">
        <v>0</v>
      </c>
      <c r="C85" s="47">
        <v>10000</v>
      </c>
      <c r="D85" s="45">
        <v>0</v>
      </c>
      <c r="E85" s="45">
        <v>0</v>
      </c>
      <c r="F85" s="3"/>
      <c r="G85" s="3"/>
      <c r="H85" s="3"/>
      <c r="I85" s="3"/>
      <c r="J85" s="1"/>
      <c r="K85" s="1"/>
      <c r="L85" s="1"/>
      <c r="M85" s="1"/>
    </row>
    <row r="86" spans="1:13" x14ac:dyDescent="0.35">
      <c r="A86" s="34" t="s">
        <v>67</v>
      </c>
      <c r="B86" s="45">
        <v>0</v>
      </c>
      <c r="C86" s="45">
        <v>0</v>
      </c>
      <c r="D86" s="45">
        <f>9000+8300+11900+7000+32150</f>
        <v>68350</v>
      </c>
      <c r="E86" s="45">
        <v>0</v>
      </c>
      <c r="F86" s="3"/>
      <c r="G86" s="3"/>
      <c r="H86" s="3"/>
      <c r="I86" s="3"/>
      <c r="J86" s="1"/>
      <c r="K86" s="1"/>
      <c r="L86" s="1"/>
      <c r="M86" s="1"/>
    </row>
    <row r="87" spans="1:13" x14ac:dyDescent="0.35">
      <c r="A87" s="34" t="s">
        <v>76</v>
      </c>
      <c r="B87" s="45">
        <v>0</v>
      </c>
      <c r="C87" s="45">
        <v>0</v>
      </c>
      <c r="D87" s="45">
        <v>0</v>
      </c>
      <c r="E87" s="45">
        <f>46200+75000</f>
        <v>121200</v>
      </c>
      <c r="F87" s="43"/>
      <c r="G87" s="43"/>
      <c r="H87" s="43"/>
      <c r="I87" s="3"/>
      <c r="J87" s="1"/>
      <c r="K87" s="1"/>
      <c r="L87" s="1"/>
      <c r="M87" s="1"/>
    </row>
    <row r="88" spans="1:13" x14ac:dyDescent="0.35">
      <c r="A88" s="34" t="s">
        <v>77</v>
      </c>
      <c r="B88" s="45">
        <v>0</v>
      </c>
      <c r="C88" s="45">
        <v>0</v>
      </c>
      <c r="D88" s="45">
        <v>0</v>
      </c>
      <c r="E88" s="45">
        <v>5000</v>
      </c>
      <c r="F88" s="3"/>
      <c r="G88" s="3"/>
      <c r="H88" s="3"/>
      <c r="I88" s="3"/>
      <c r="J88" s="1"/>
      <c r="K88" s="1"/>
      <c r="L88" s="1"/>
      <c r="M88" s="1"/>
    </row>
    <row r="89" spans="1:13" x14ac:dyDescent="0.35">
      <c r="A89" s="34" t="s">
        <v>80</v>
      </c>
      <c r="B89" s="45">
        <v>0</v>
      </c>
      <c r="C89" s="45">
        <v>0</v>
      </c>
      <c r="D89" s="45">
        <v>0</v>
      </c>
      <c r="E89" s="45">
        <v>53000</v>
      </c>
      <c r="F89" s="3"/>
      <c r="G89" s="3"/>
      <c r="H89" s="3"/>
      <c r="I89" s="3"/>
      <c r="J89" s="1"/>
      <c r="K89" s="1"/>
      <c r="L89" s="1"/>
      <c r="M89" s="1"/>
    </row>
    <row r="90" spans="1:13" x14ac:dyDescent="0.35">
      <c r="A90" s="34" t="s">
        <v>81</v>
      </c>
      <c r="B90" s="45">
        <v>0</v>
      </c>
      <c r="C90" s="45">
        <v>0</v>
      </c>
      <c r="D90" s="45">
        <v>0</v>
      </c>
      <c r="E90" s="45">
        <v>30000</v>
      </c>
      <c r="F90" s="3">
        <v>0</v>
      </c>
      <c r="G90" s="3">
        <f t="shared" ref="G90:H90" si="18">200000/3</f>
        <v>66666.666666666672</v>
      </c>
      <c r="H90" s="3">
        <f t="shared" si="18"/>
        <v>66666.666666666672</v>
      </c>
      <c r="I90" s="3"/>
      <c r="J90" s="1"/>
      <c r="K90" s="1"/>
      <c r="L90" s="1"/>
      <c r="M90" s="1"/>
    </row>
    <row r="91" spans="1:13" x14ac:dyDescent="0.35">
      <c r="A91" s="34"/>
      <c r="B91" s="3"/>
      <c r="C91" s="3"/>
      <c r="D91" s="3"/>
      <c r="E91" s="3"/>
      <c r="F91" s="3"/>
      <c r="G91" s="3"/>
      <c r="H91" s="3"/>
      <c r="I91" s="3"/>
      <c r="J91" s="1"/>
      <c r="K91" s="1"/>
      <c r="L91" s="1"/>
      <c r="M91" s="1"/>
    </row>
    <row r="92" spans="1:13" x14ac:dyDescent="0.35">
      <c r="A92" s="23" t="s">
        <v>27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34" t="s">
        <v>10</v>
      </c>
      <c r="B93" s="48">
        <v>3.61</v>
      </c>
      <c r="C93" s="48">
        <v>3.61</v>
      </c>
      <c r="D93" s="48">
        <v>3.61</v>
      </c>
      <c r="E93" s="48">
        <v>3.61</v>
      </c>
      <c r="F93" s="21">
        <v>3.61</v>
      </c>
      <c r="G93" s="21">
        <v>3.61</v>
      </c>
      <c r="H93" s="21">
        <v>3.61</v>
      </c>
      <c r="I93" s="21">
        <v>3.61</v>
      </c>
      <c r="J93" s="21">
        <v>3.61</v>
      </c>
      <c r="K93" s="21">
        <v>3.61</v>
      </c>
      <c r="L93" s="21">
        <v>3.61</v>
      </c>
      <c r="M93" s="21">
        <v>3.61</v>
      </c>
    </row>
    <row r="94" spans="1:13" x14ac:dyDescent="0.35">
      <c r="A94" s="3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s="37" customFormat="1" x14ac:dyDescent="0.35">
      <c r="A95" s="19" t="s">
        <v>26</v>
      </c>
      <c r="B95" s="20">
        <f t="shared" ref="B95:J95" si="19">B72+B44</f>
        <v>882459.92999999993</v>
      </c>
      <c r="C95" s="20">
        <f t="shared" si="19"/>
        <v>741750</v>
      </c>
      <c r="D95" s="20">
        <f t="shared" si="19"/>
        <v>498515</v>
      </c>
      <c r="E95" s="20">
        <f t="shared" si="19"/>
        <v>565725</v>
      </c>
      <c r="F95" s="20">
        <f t="shared" si="19"/>
        <v>137580</v>
      </c>
      <c r="G95" s="20">
        <f t="shared" si="19"/>
        <v>66666.666666666672</v>
      </c>
      <c r="H95" s="20">
        <f t="shared" si="19"/>
        <v>66666.666666666672</v>
      </c>
      <c r="I95" s="20">
        <f t="shared" si="19"/>
        <v>0</v>
      </c>
      <c r="J95" s="20">
        <f t="shared" si="19"/>
        <v>0</v>
      </c>
      <c r="K95" s="19"/>
      <c r="L95" s="19"/>
      <c r="M95" s="19"/>
    </row>
    <row r="96" spans="1:13" x14ac:dyDescent="0.35">
      <c r="A96" s="3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s="37" customFormat="1" x14ac:dyDescent="0.35">
      <c r="A97" s="19" t="s">
        <v>72</v>
      </c>
      <c r="B97" s="20">
        <f t="shared" ref="B97:L97" si="20">+B95+B42</f>
        <v>1160133.7246399999</v>
      </c>
      <c r="C97" s="20">
        <f t="shared" si="20"/>
        <v>1181550.9915199999</v>
      </c>
      <c r="D97" s="20">
        <f t="shared" si="20"/>
        <v>864721.36800000002</v>
      </c>
      <c r="E97" s="20">
        <f t="shared" si="20"/>
        <v>1075898.86547548</v>
      </c>
      <c r="F97" s="20">
        <f t="shared" si="20"/>
        <v>429174.47925600002</v>
      </c>
      <c r="G97" s="20">
        <f t="shared" si="20"/>
        <v>265316.44686666667</v>
      </c>
      <c r="H97" s="20">
        <f t="shared" si="20"/>
        <v>125254.27054666667</v>
      </c>
      <c r="I97" s="20">
        <f t="shared" si="20"/>
        <v>58587.603879999995</v>
      </c>
      <c r="J97" s="20">
        <f t="shared" si="20"/>
        <v>58587.603879999995</v>
      </c>
      <c r="K97" s="20">
        <f t="shared" si="20"/>
        <v>58587.603879999995</v>
      </c>
      <c r="L97" s="20">
        <f t="shared" si="20"/>
        <v>58587.603879999995</v>
      </c>
      <c r="M97" s="19"/>
    </row>
    <row r="98" spans="1:13" x14ac:dyDescent="0.35">
      <c r="A98" s="3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s="37" customFormat="1" x14ac:dyDescent="0.35">
      <c r="A99" s="15" t="s">
        <v>18</v>
      </c>
      <c r="B99" s="16">
        <f t="shared" ref="B99:M99" si="21">B11-B95-B42</f>
        <v>590197.07536000013</v>
      </c>
      <c r="C99" s="16">
        <f t="shared" si="21"/>
        <v>311353.08384000015</v>
      </c>
      <c r="D99" s="16">
        <f t="shared" si="21"/>
        <v>540965.5758400003</v>
      </c>
      <c r="E99" s="16">
        <f t="shared" si="21"/>
        <v>557519.63036452048</v>
      </c>
      <c r="F99" s="16">
        <f t="shared" si="21"/>
        <v>428724.62110852043</v>
      </c>
      <c r="G99" s="16">
        <f t="shared" si="21"/>
        <v>163408.17424185376</v>
      </c>
      <c r="H99" s="16">
        <f t="shared" si="21"/>
        <v>-125254.27054666667</v>
      </c>
      <c r="I99" s="16">
        <f t="shared" si="21"/>
        <v>-58587.603879999995</v>
      </c>
      <c r="J99" s="16">
        <f t="shared" si="21"/>
        <v>-58587.603879999995</v>
      </c>
      <c r="K99" s="16">
        <f t="shared" si="21"/>
        <v>-58587.603879999995</v>
      </c>
      <c r="L99" s="16">
        <f t="shared" si="21"/>
        <v>-58587.603879999995</v>
      </c>
      <c r="M99" s="16">
        <f t="shared" si="21"/>
        <v>-10963.4</v>
      </c>
    </row>
    <row r="101" spans="1:13" x14ac:dyDescent="0.35">
      <c r="C101" s="25"/>
    </row>
    <row r="102" spans="1:13" x14ac:dyDescent="0.35">
      <c r="C102" s="25"/>
      <c r="E102" s="2" t="s">
        <v>78</v>
      </c>
      <c r="F102" s="44">
        <v>133000</v>
      </c>
      <c r="G102" s="44"/>
    </row>
    <row r="103" spans="1:13" x14ac:dyDescent="0.35">
      <c r="C103" s="25"/>
      <c r="F103" s="44">
        <f>+F99-F102+F13</f>
        <v>556935.65434852045</v>
      </c>
    </row>
    <row r="104" spans="1:13" x14ac:dyDescent="0.35">
      <c r="E104" s="44" t="s">
        <v>83</v>
      </c>
      <c r="F104" s="44">
        <v>7000</v>
      </c>
    </row>
    <row r="105" spans="1:13" x14ac:dyDescent="0.35">
      <c r="F105" s="44"/>
    </row>
    <row r="106" spans="1:13" x14ac:dyDescent="0.35">
      <c r="E106" s="2" t="s">
        <v>84</v>
      </c>
      <c r="F106" s="44">
        <f>+F103-F104</f>
        <v>549935.65434852045</v>
      </c>
    </row>
  </sheetData>
  <phoneticPr fontId="3" type="noConversion"/>
  <pageMargins left="0.7" right="0.7" top="0.75" bottom="0.75" header="0.3" footer="0.3"/>
  <ignoredErrors>
    <ignoredError sqref="C13 C46 E30 D45:D4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BF4-D326-4304-9BD7-4FDA0AD46C27}">
  <dimension ref="A1:C12"/>
  <sheetViews>
    <sheetView workbookViewId="0">
      <selection activeCell="E11" sqref="E11"/>
    </sheetView>
  </sheetViews>
  <sheetFormatPr baseColWidth="10" defaultRowHeight="14.5" x14ac:dyDescent="0.35"/>
  <cols>
    <col min="1" max="1" width="14.26953125" bestFit="1" customWidth="1"/>
    <col min="2" max="2" width="11.36328125" bestFit="1" customWidth="1"/>
    <col min="3" max="3" width="12.90625" bestFit="1" customWidth="1"/>
  </cols>
  <sheetData>
    <row r="1" spans="1:3" x14ac:dyDescent="0.35">
      <c r="A1" t="s">
        <v>62</v>
      </c>
    </row>
    <row r="2" spans="1:3" x14ac:dyDescent="0.35">
      <c r="A2" s="42"/>
    </row>
    <row r="3" spans="1:3" x14ac:dyDescent="0.35">
      <c r="A3" s="42">
        <f>+Gastos!B70</f>
        <v>92634.93</v>
      </c>
      <c r="B3" t="s">
        <v>63</v>
      </c>
      <c r="C3" s="41">
        <v>45474</v>
      </c>
    </row>
    <row r="4" spans="1:3" x14ac:dyDescent="0.35">
      <c r="A4" s="42">
        <f>7520*12</f>
        <v>90240</v>
      </c>
      <c r="B4" t="s">
        <v>64</v>
      </c>
      <c r="C4" s="41">
        <v>45474</v>
      </c>
    </row>
    <row r="5" spans="1:3" x14ac:dyDescent="0.35">
      <c r="A5" s="42">
        <f>+A3-A4</f>
        <v>2394.929999999993</v>
      </c>
      <c r="B5" t="s">
        <v>65</v>
      </c>
      <c r="C5" s="40">
        <f>+A5*100/A4</f>
        <v>2.6539561170212687</v>
      </c>
    </row>
    <row r="6" spans="1:3" x14ac:dyDescent="0.35">
      <c r="A6" s="42"/>
    </row>
    <row r="7" spans="1:3" x14ac:dyDescent="0.35">
      <c r="A7" s="42"/>
    </row>
    <row r="8" spans="1:3" x14ac:dyDescent="0.35">
      <c r="A8" s="42"/>
    </row>
    <row r="9" spans="1:3" x14ac:dyDescent="0.35">
      <c r="A9" s="42">
        <f>103500*7520/A4</f>
        <v>8625</v>
      </c>
    </row>
    <row r="10" spans="1:3" x14ac:dyDescent="0.35">
      <c r="A10" s="42">
        <f>+A9*12</f>
        <v>103500</v>
      </c>
      <c r="C10">
        <f>2.65%*100000</f>
        <v>2650</v>
      </c>
    </row>
    <row r="11" spans="1:3" x14ac:dyDescent="0.35">
      <c r="A11" s="42">
        <f>+A10-C10</f>
        <v>100850</v>
      </c>
    </row>
    <row r="12" spans="1:3" x14ac:dyDescent="0.35">
      <c r="A12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Gastos</vt:lpstr>
      <vt:lpstr>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Boymorto Castagna</dc:creator>
  <cp:lastModifiedBy>Ezequiel Boymorto Castagna</cp:lastModifiedBy>
  <dcterms:created xsi:type="dcterms:W3CDTF">2024-06-13T17:52:52Z</dcterms:created>
  <dcterms:modified xsi:type="dcterms:W3CDTF">2024-11-08T14:39:30Z</dcterms:modified>
</cp:coreProperties>
</file>