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30" activeTab="1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" i="2" l="1"/>
  <c r="E27" i="2"/>
  <c r="E24" i="2"/>
  <c r="E23" i="2"/>
  <c r="E22" i="2"/>
  <c r="E20" i="2"/>
  <c r="E15" i="2"/>
  <c r="E14" i="2"/>
  <c r="E13" i="2"/>
  <c r="E11" i="2"/>
  <c r="E7" i="2"/>
  <c r="E6" i="2"/>
  <c r="I112" i="1" l="1"/>
  <c r="I111" i="1"/>
  <c r="F109" i="1"/>
  <c r="I109" i="1" s="1"/>
  <c r="E109" i="1"/>
  <c r="D109" i="1"/>
  <c r="F108" i="1"/>
  <c r="G108" i="1" s="1"/>
  <c r="E108" i="1"/>
  <c r="D108" i="1"/>
  <c r="B108" i="1"/>
  <c r="G103" i="1"/>
  <c r="H101" i="1"/>
  <c r="I101" i="1" s="1"/>
  <c r="G102" i="1" s="1"/>
  <c r="G104" i="1" s="1"/>
  <c r="L88" i="1"/>
  <c r="E87" i="1"/>
  <c r="E85" i="1"/>
  <c r="E83" i="1"/>
  <c r="M82" i="1"/>
  <c r="M81" i="1"/>
  <c r="E81" i="1"/>
  <c r="M79" i="1"/>
  <c r="F79" i="1"/>
  <c r="I79" i="1" s="1"/>
  <c r="I78" i="1"/>
  <c r="F78" i="1"/>
  <c r="H77" i="1"/>
  <c r="D77" i="1"/>
  <c r="I77" i="1" s="1"/>
  <c r="D72" i="1"/>
  <c r="G70" i="1"/>
  <c r="E68" i="1"/>
  <c r="E66" i="1"/>
  <c r="E64" i="1"/>
  <c r="E62" i="1"/>
  <c r="F61" i="1"/>
  <c r="D61" i="1"/>
  <c r="F62" i="1" s="1"/>
  <c r="I62" i="1" s="1"/>
  <c r="I60" i="1"/>
  <c r="F60" i="1"/>
  <c r="F59" i="1"/>
  <c r="I59" i="1" s="1"/>
  <c r="I58" i="1"/>
  <c r="H58" i="1"/>
  <c r="G58" i="1"/>
  <c r="H55" i="1"/>
  <c r="H50" i="1"/>
  <c r="F50" i="1"/>
  <c r="D50" i="1"/>
  <c r="L49" i="1"/>
  <c r="L48" i="1"/>
  <c r="N45" i="1"/>
  <c r="E45" i="1"/>
  <c r="O43" i="1"/>
  <c r="N43" i="1"/>
  <c r="E43" i="1"/>
  <c r="E41" i="1"/>
  <c r="E39" i="1"/>
  <c r="I37" i="1"/>
  <c r="F37" i="1"/>
  <c r="F36" i="1"/>
  <c r="I36" i="1" s="1"/>
  <c r="I35" i="1"/>
  <c r="H35" i="1"/>
  <c r="G35" i="1"/>
  <c r="D38" i="1" s="1"/>
  <c r="I32" i="1"/>
  <c r="D32" i="1"/>
  <c r="L23" i="1"/>
  <c r="L22" i="1"/>
  <c r="E22" i="1"/>
  <c r="L21" i="1"/>
  <c r="E20" i="1"/>
  <c r="E18" i="1"/>
  <c r="N17" i="1"/>
  <c r="N16" i="1"/>
  <c r="E16" i="1"/>
  <c r="N15" i="1"/>
  <c r="N14" i="1"/>
  <c r="I14" i="1"/>
  <c r="F14" i="1"/>
  <c r="N13" i="1"/>
  <c r="F13" i="1"/>
  <c r="I13" i="1" s="1"/>
  <c r="N12" i="1"/>
  <c r="H12" i="1"/>
  <c r="I12" i="1" s="1"/>
  <c r="G12" i="1"/>
  <c r="D15" i="1" s="1"/>
  <c r="I9" i="1"/>
  <c r="D9" i="1"/>
  <c r="G15" i="1" l="1"/>
  <c r="F16" i="1"/>
  <c r="I16" i="1" s="1"/>
  <c r="F15" i="1"/>
  <c r="H15" i="1" s="1"/>
  <c r="K109" i="1"/>
  <c r="J109" i="1"/>
  <c r="H38" i="1"/>
  <c r="D40" i="1" s="1"/>
  <c r="F38" i="1"/>
  <c r="G38" i="1" s="1"/>
  <c r="F39" i="1"/>
  <c r="I39" i="1" s="1"/>
  <c r="H61" i="1"/>
  <c r="D63" i="1" s="1"/>
  <c r="H108" i="1"/>
  <c r="H109" i="1"/>
  <c r="G109" i="1"/>
  <c r="I108" i="1"/>
  <c r="G61" i="1"/>
  <c r="G77" i="1"/>
  <c r="D80" i="1" s="1"/>
  <c r="D17" i="1" l="1"/>
  <c r="I15" i="1"/>
  <c r="F40" i="1"/>
  <c r="G40" i="1" s="1"/>
  <c r="G31" i="1"/>
  <c r="F41" i="1"/>
  <c r="I41" i="1" s="1"/>
  <c r="H40" i="1"/>
  <c r="D42" i="1" s="1"/>
  <c r="I40" i="1"/>
  <c r="F64" i="1"/>
  <c r="I64" i="1" s="1"/>
  <c r="F66" i="1" s="1"/>
  <c r="F63" i="1"/>
  <c r="F80" i="1"/>
  <c r="G80" i="1" s="1"/>
  <c r="F81" i="1"/>
  <c r="I81" i="1" s="1"/>
  <c r="I38" i="1"/>
  <c r="K108" i="1"/>
  <c r="J108" i="1"/>
  <c r="I61" i="1"/>
  <c r="K43" i="1" l="1"/>
  <c r="F43" i="1"/>
  <c r="F42" i="1"/>
  <c r="G42" i="1" s="1"/>
  <c r="D44" i="1" s="1"/>
  <c r="H80" i="1"/>
  <c r="H31" i="1"/>
  <c r="H32" i="1" s="1"/>
  <c r="G32" i="1"/>
  <c r="G63" i="1"/>
  <c r="H63" i="1" s="1"/>
  <c r="D65" i="1" s="1"/>
  <c r="F17" i="1"/>
  <c r="G8" i="1"/>
  <c r="F18" i="1"/>
  <c r="I18" i="1" s="1"/>
  <c r="F20" i="1" s="1"/>
  <c r="F44" i="1" l="1"/>
  <c r="I44" i="1" s="1"/>
  <c r="K44" i="1" s="1"/>
  <c r="F45" i="1"/>
  <c r="D82" i="1"/>
  <c r="I80" i="1"/>
  <c r="G9" i="1"/>
  <c r="H8" i="1"/>
  <c r="H9" i="1" s="1"/>
  <c r="I42" i="1"/>
  <c r="G17" i="1"/>
  <c r="H17" i="1" s="1"/>
  <c r="D19" i="1" s="1"/>
  <c r="G65" i="1"/>
  <c r="F65" i="1"/>
  <c r="I63" i="1"/>
  <c r="F82" i="1" l="1"/>
  <c r="G82" i="1" s="1"/>
  <c r="F83" i="1"/>
  <c r="I83" i="1" s="1"/>
  <c r="I82" i="1"/>
  <c r="H82" i="1"/>
  <c r="D84" i="1" s="1"/>
  <c r="G44" i="1"/>
  <c r="D46" i="1" s="1"/>
  <c r="H65" i="1"/>
  <c r="D67" i="1"/>
  <c r="F19" i="1"/>
  <c r="G19" i="1" s="1"/>
  <c r="I45" i="1"/>
  <c r="G45" i="1"/>
  <c r="I17" i="1"/>
  <c r="H19" i="1" l="1"/>
  <c r="D21" i="1"/>
  <c r="F46" i="1"/>
  <c r="G46" i="1" s="1"/>
  <c r="F84" i="1"/>
  <c r="I84" i="1" s="1"/>
  <c r="G84" i="1"/>
  <c r="D86" i="1" s="1"/>
  <c r="K65" i="1"/>
  <c r="L82" i="1" s="1"/>
  <c r="L83" i="1" s="1"/>
  <c r="H72" i="1"/>
  <c r="F85" i="1"/>
  <c r="K84" i="1"/>
  <c r="F68" i="1"/>
  <c r="F67" i="1"/>
  <c r="I67" i="1" s="1"/>
  <c r="K67" i="1" s="1"/>
  <c r="I65" i="1"/>
  <c r="G68" i="1" l="1"/>
  <c r="I68" i="1"/>
  <c r="I46" i="1"/>
  <c r="K46" i="1" s="1"/>
  <c r="L28" i="1" s="1"/>
  <c r="G67" i="1"/>
  <c r="D69" i="1" s="1"/>
  <c r="F21" i="1"/>
  <c r="I21" i="1" s="1"/>
  <c r="K21" i="1" s="1"/>
  <c r="F22" i="1"/>
  <c r="G22" i="1" s="1"/>
  <c r="F87" i="1"/>
  <c r="F86" i="1"/>
  <c r="G86" i="1" s="1"/>
  <c r="D88" i="1" s="1"/>
  <c r="K20" i="1"/>
  <c r="L42" i="1" s="1"/>
  <c r="I19" i="1"/>
  <c r="F88" i="1" l="1"/>
  <c r="I88" i="1" s="1"/>
  <c r="M44" i="1"/>
  <c r="N23" i="1"/>
  <c r="G21" i="1"/>
  <c r="D23" i="1" s="1"/>
  <c r="I69" i="1"/>
  <c r="K69" i="1" s="1"/>
  <c r="G69" i="1"/>
  <c r="F69" i="1"/>
  <c r="N42" i="1"/>
  <c r="L39" i="1"/>
  <c r="M39" i="1" s="1"/>
  <c r="L43" i="1"/>
  <c r="I86" i="1"/>
  <c r="K86" i="1" s="1"/>
  <c r="L86" i="1" s="1"/>
  <c r="O86" i="1" s="1"/>
  <c r="I87" i="1"/>
  <c r="G87" i="1"/>
  <c r="F23" i="1" l="1"/>
  <c r="G23" i="1"/>
  <c r="K23" i="1" s="1"/>
  <c r="L27" i="1" s="1"/>
  <c r="L29" i="1" s="1"/>
  <c r="G53" i="1" s="1"/>
  <c r="J89" i="1"/>
  <c r="M60" i="1" s="1"/>
  <c r="M59" i="1"/>
  <c r="M61" i="1" s="1"/>
  <c r="M41" i="1"/>
  <c r="L47" i="1"/>
  <c r="G88" i="1"/>
  <c r="K71" i="1" l="1"/>
  <c r="M63" i="1"/>
  <c r="G54" i="1"/>
  <c r="G55" i="1"/>
  <c r="I55" i="1" s="1"/>
</calcChain>
</file>

<file path=xl/sharedStrings.xml><?xml version="1.0" encoding="utf-8"?>
<sst xmlns="http://schemas.openxmlformats.org/spreadsheetml/2006/main" count="220" uniqueCount="90">
  <si>
    <t>ALTOZABAL S.A.</t>
  </si>
  <si>
    <t>U$ 2579</t>
  </si>
  <si>
    <t>POR CUOTA</t>
  </si>
  <si>
    <t>SEPTIEMBRE 2023</t>
  </si>
  <si>
    <t>CLIENTE</t>
  </si>
  <si>
    <t>CUOTAS</t>
  </si>
  <si>
    <t>No CUOTA</t>
  </si>
  <si>
    <t>CUOTA</t>
  </si>
  <si>
    <t>INDICE CAC</t>
  </si>
  <si>
    <t>AJUSTE</t>
  </si>
  <si>
    <t>VALOR</t>
  </si>
  <si>
    <t>BASE</t>
  </si>
  <si>
    <t>RE-AJUSTE</t>
  </si>
  <si>
    <t>ACTUALIZADA</t>
  </si>
  <si>
    <t>DUEK ADRIAN</t>
  </si>
  <si>
    <t>INDICE</t>
  </si>
  <si>
    <t>CUOTA ACTUAL</t>
  </si>
  <si>
    <t>ABONADO</t>
  </si>
  <si>
    <t>PENDIENTE</t>
  </si>
  <si>
    <t>FECHA</t>
  </si>
  <si>
    <t>DUEK</t>
  </si>
  <si>
    <t>BOLETO</t>
  </si>
  <si>
    <t>JULIO</t>
  </si>
  <si>
    <t>MAY</t>
  </si>
  <si>
    <t>MAYO</t>
  </si>
  <si>
    <t>JUNIO</t>
  </si>
  <si>
    <t>1 CUOTA - AGOSTO</t>
  </si>
  <si>
    <t>DIFERENCIA DE PORCENTAJE</t>
  </si>
  <si>
    <t>2 CUOTA - SEPTIEMBRE</t>
  </si>
  <si>
    <t>3 CUOTA - OCTUBRE</t>
  </si>
  <si>
    <t>agosto</t>
  </si>
  <si>
    <t>Sep</t>
  </si>
  <si>
    <t>oct</t>
  </si>
  <si>
    <t>20/11/123</t>
  </si>
  <si>
    <t>con boleto dia 5/11/23</t>
  </si>
  <si>
    <t>importe diciembre</t>
  </si>
  <si>
    <t xml:space="preserve">uf 307 </t>
  </si>
  <si>
    <t>A</t>
  </si>
  <si>
    <t>B</t>
  </si>
  <si>
    <t>CUOTA PROX</t>
  </si>
  <si>
    <t>falta</t>
  </si>
  <si>
    <t>cbio 875 / 3/11/23</t>
  </si>
  <si>
    <t>45 cuotas</t>
  </si>
  <si>
    <t>cbio 840/890 7/11/23</t>
  </si>
  <si>
    <t>ABONO EN 2 CH</t>
  </si>
  <si>
    <t xml:space="preserve"> A SU FAVOR</t>
  </si>
  <si>
    <t xml:space="preserve">Total dpto 1 </t>
  </si>
  <si>
    <t>Total dpto 2</t>
  </si>
  <si>
    <t>uf 408</t>
  </si>
  <si>
    <t>TOTAL</t>
  </si>
  <si>
    <t>ALTOZABAL SA</t>
  </si>
  <si>
    <t>el 407 teneia 51,15</t>
  </si>
  <si>
    <t>PISO</t>
  </si>
  <si>
    <t>ESTADO</t>
  </si>
  <si>
    <t>UF</t>
  </si>
  <si>
    <t>m2</t>
  </si>
  <si>
    <t>Amenities</t>
  </si>
  <si>
    <t>Total</t>
  </si>
  <si>
    <t>PRECIO</t>
  </si>
  <si>
    <t xml:space="preserve">TIPO </t>
  </si>
  <si>
    <t>Cubiertos</t>
  </si>
  <si>
    <t>Balcon</t>
  </si>
  <si>
    <t>Descubiertos</t>
  </si>
  <si>
    <t>2 Ambientes</t>
  </si>
  <si>
    <t xml:space="preserve">DUEK </t>
  </si>
  <si>
    <t>Precio de venta sin desc</t>
  </si>
  <si>
    <t>descuento no le cobra el 4%</t>
  </si>
  <si>
    <t>Duek</t>
  </si>
  <si>
    <t>tc-</t>
  </si>
  <si>
    <t xml:space="preserve">Dolares </t>
  </si>
  <si>
    <t>Total pesos</t>
  </si>
  <si>
    <t xml:space="preserve">45 cuotas de </t>
  </si>
  <si>
    <t>$</t>
  </si>
  <si>
    <t>indice cac</t>
  </si>
  <si>
    <t xml:space="preserve">Primera cuota </t>
  </si>
  <si>
    <t>desde</t>
  </si>
  <si>
    <t>a la fecha</t>
  </si>
  <si>
    <t>alquler diferencia</t>
  </si>
  <si>
    <t>luz</t>
  </si>
  <si>
    <t>detalle de consumo de luz</t>
  </si>
  <si>
    <t>3 dias de enero al 1/2/24</t>
  </si>
  <si>
    <t>vencimiento</t>
  </si>
  <si>
    <t xml:space="preserve">dolares </t>
  </si>
  <si>
    <t>no se retapiza este tipo de silla</t>
  </si>
  <si>
    <t>cbio tomado a $ 1,135,-</t>
  </si>
  <si>
    <t>3 meses de $ 8,000,- s/contrato</t>
  </si>
  <si>
    <t>presupuesto de pintura</t>
  </si>
  <si>
    <t>deposito de garantia</t>
  </si>
  <si>
    <t>gastos</t>
  </si>
  <si>
    <t>a reintegrar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</si>
</sst>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\ _€_-;\-* #,##0.00\ _€_-;_-* &quot;-&quot;??\ _€_-;_-@_-"/>
    <numFmt numFmtId="164" formatCode="_ * #,##0.00_ ;_ * \-#,##0.00_ ;_ * &quot;-&quot;??_ ;_ @_ "/>
    <numFmt numFmtId="165" formatCode="_ [$$-2C0A]\ * #,##0.00_ ;_ [$$-2C0A]\ * \-#,##0.00_ ;_ [$$-2C0A]\ * &quot;-&quot;??_ ;_ @_ "/>
    <numFmt numFmtId="166" formatCode="_-* #,##0.00_-;\-* #,##0.00_-;_-* &quot;-&quot;??_-;_-@_-"/>
    <numFmt numFmtId="167" formatCode="_ * #,##0.00_ ;_ * \-#,##0.00_ ;_ * \-??_ ;_ @_ "/>
    <numFmt numFmtId="168" formatCode="_ [$$-2C0A]\ * #,##0.00_ ;_ [$$-2C0A]\ * \-#,##0.00_ ;_ [$$-2C0A]\ * \-??_ ;_ @_ "/>
    <numFmt numFmtId="169" formatCode="dd/mm/yyyy;@"/>
    <numFmt numFmtId="170" formatCode="_-[$$-2C0A]\ * #,##0.00_-;\-[$$-2C0A]\ * #,##0.00_-;_-[$$-2C0A]\ * &quot;-&quot;??_-;_-@_-"/>
    <numFmt numFmtId="171" formatCode="_-[$USD]\ * #,##0.00_-;\-[$USD]\ * #,##0.00_-;_-[$USD]\ * &quot;-&quot;??_-;_-@_-"/>
    <numFmt numFmtId="172" formatCode="_-[$USD]\ * #,##0_-;\-[$USD]\ * #,##0_-;_-[$USD]\ * &quot;-&quot;??_-;_-@_-"/>
    <numFmt numFmtId="173" formatCode="_-[$$-2C0A]\ * #,##0_-;\-[$$-2C0A]\ * #,##0_-;_-[$$-2C0A]\ * &quot;-&quot;??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Euphemia"/>
      <family val="2"/>
    </font>
    <font>
      <sz val="11"/>
      <color theme="1"/>
      <name val="Euphemia"/>
      <family val="2"/>
    </font>
    <font>
      <b/>
      <sz val="11"/>
      <color theme="1"/>
      <name val="Euphemia"/>
      <family val="2"/>
    </font>
    <font>
      <b/>
      <sz val="10"/>
      <color theme="0"/>
      <name val="Euphemia"/>
      <family val="2"/>
    </font>
    <font>
      <b/>
      <sz val="11"/>
      <color theme="0"/>
      <name val="Euphemia"/>
      <family val="2"/>
    </font>
    <font>
      <sz val="10"/>
      <color theme="1"/>
      <name val="Euphemia"/>
      <family val="2"/>
    </font>
    <font>
      <sz val="10"/>
      <color theme="3"/>
      <name val="Euphemia"/>
      <family val="2"/>
    </font>
    <font>
      <b/>
      <sz val="12"/>
      <color rgb="FFFF0000"/>
      <name val="Euphemia"/>
      <family val="2"/>
    </font>
    <font>
      <sz val="10"/>
      <name val="Euphemia"/>
      <family val="2"/>
    </font>
    <font>
      <b/>
      <sz val="10"/>
      <color theme="3"/>
      <name val="Euphemia"/>
      <family val="2"/>
    </font>
    <font>
      <sz val="10"/>
      <color rgb="FF000000"/>
      <name val="Euphemia"/>
      <family val="2"/>
    </font>
    <font>
      <sz val="9"/>
      <color theme="1"/>
      <name val="Euphemia"/>
      <family val="2"/>
    </font>
    <font>
      <b/>
      <sz val="12"/>
      <color theme="1"/>
      <name val="Euphemia"/>
      <family val="2"/>
    </font>
    <font>
      <b/>
      <sz val="16"/>
      <color theme="0"/>
      <name val="Ebrima"/>
    </font>
    <font>
      <b/>
      <sz val="11"/>
      <color theme="1"/>
      <name val="Ebrima"/>
    </font>
    <font>
      <b/>
      <sz val="11"/>
      <color theme="3" tint="-0.249977111117893"/>
      <name val="Ebrima"/>
    </font>
    <font>
      <sz val="11"/>
      <color theme="3" tint="-0.249977111117893"/>
      <name val="Ebrima"/>
    </font>
    <font>
      <sz val="11"/>
      <name val="Ebrima"/>
    </font>
    <font>
      <sz val="11"/>
      <color theme="1"/>
      <name val="Ebrima"/>
    </font>
    <font>
      <b/>
      <sz val="11"/>
      <color theme="0"/>
      <name val="Ebrima"/>
    </font>
    <font>
      <b/>
      <sz val="11"/>
      <color theme="3"/>
      <name val="Ebrima"/>
    </font>
    <font>
      <b/>
      <i/>
      <sz val="11"/>
      <color theme="1"/>
      <name val="Ebrima"/>
    </font>
  </fonts>
  <fills count="12">
    <fill>
      <patternFill patternType="none"/>
    </fill>
    <fill>
      <patternFill patternType="gray125"/>
    </fill>
    <fill>
      <patternFill patternType="solid">
        <fgColor theme="3" tint="0.39997558519241921"/>
        <bgColor rgb="FF993366"/>
      </patternFill>
    </fill>
    <fill>
      <patternFill patternType="solid">
        <fgColor theme="3" tint="0.79998168889431442"/>
        <bgColor rgb="FF99336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CCCCF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/>
        <bgColor indexed="64"/>
      </patternFill>
    </fill>
  </fills>
  <borders count="37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7" fillId="0" borderId="0" xfId="0" applyFont="1"/>
    <xf numFmtId="0" fontId="8" fillId="3" borderId="7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10" fontId="9" fillId="3" borderId="10" xfId="2" applyNumberFormat="1" applyFont="1" applyFill="1" applyBorder="1" applyAlignment="1">
      <alignment horizontal="center" vertical="center" wrapText="1"/>
    </xf>
    <xf numFmtId="167" fontId="8" fillId="3" borderId="0" xfId="0" applyNumberFormat="1" applyFont="1" applyFill="1" applyAlignment="1">
      <alignment horizontal="center"/>
    </xf>
    <xf numFmtId="167" fontId="8" fillId="3" borderId="11" xfId="0" applyNumberFormat="1" applyFont="1" applyFill="1" applyBorder="1" applyAlignment="1">
      <alignment horizontal="center"/>
    </xf>
    <xf numFmtId="167" fontId="8" fillId="3" borderId="3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wrapText="1"/>
    </xf>
    <xf numFmtId="0" fontId="10" fillId="0" borderId="14" xfId="0" applyFont="1" applyBorder="1" applyAlignment="1">
      <alignment horizontal="center" wrapText="1"/>
    </xf>
    <xf numFmtId="168" fontId="10" fillId="4" borderId="14" xfId="1" applyNumberFormat="1" applyFont="1" applyFill="1" applyBorder="1" applyAlignment="1">
      <alignment vertical="center" wrapText="1"/>
    </xf>
    <xf numFmtId="10" fontId="10" fillId="0" borderId="14" xfId="1" applyNumberFormat="1" applyFont="1" applyFill="1" applyBorder="1" applyAlignment="1">
      <alignment vertical="center" wrapText="1"/>
    </xf>
    <xf numFmtId="10" fontId="11" fillId="0" borderId="15" xfId="1" applyNumberFormat="1" applyFont="1" applyFill="1" applyBorder="1" applyAlignment="1">
      <alignment vertical="center" wrapText="1"/>
    </xf>
    <xf numFmtId="168" fontId="11" fillId="0" borderId="15" xfId="1" applyNumberFormat="1" applyFont="1" applyFill="1" applyBorder="1" applyAlignment="1">
      <alignment vertical="center" wrapText="1"/>
    </xf>
    <xf numFmtId="168" fontId="11" fillId="4" borderId="14" xfId="1" applyNumberFormat="1" applyFont="1" applyFill="1" applyBorder="1" applyAlignment="1">
      <alignment vertical="center" wrapText="1"/>
    </xf>
    <xf numFmtId="168" fontId="10" fillId="0" borderId="14" xfId="1" applyNumberFormat="1" applyFont="1" applyFill="1" applyBorder="1" applyAlignment="1">
      <alignment vertical="center" wrapText="1"/>
    </xf>
    <xf numFmtId="168" fontId="12" fillId="0" borderId="12" xfId="1" applyNumberFormat="1" applyFont="1" applyFill="1" applyBorder="1" applyAlignment="1">
      <alignment vertical="center" wrapText="1"/>
    </xf>
    <xf numFmtId="165" fontId="7" fillId="0" borderId="0" xfId="0" applyNumberFormat="1" applyFont="1"/>
    <xf numFmtId="164" fontId="7" fillId="0" borderId="0" xfId="0" applyNumberFormat="1" applyFont="1"/>
    <xf numFmtId="43" fontId="7" fillId="0" borderId="0" xfId="1" applyFont="1"/>
    <xf numFmtId="0" fontId="12" fillId="0" borderId="0" xfId="0" applyFont="1" applyAlignment="1">
      <alignment horizontal="center" vertical="center"/>
    </xf>
    <xf numFmtId="168" fontId="5" fillId="5" borderId="16" xfId="1" applyNumberFormat="1" applyFont="1" applyFill="1" applyBorder="1" applyAlignment="1">
      <alignment vertical="center"/>
    </xf>
    <xf numFmtId="168" fontId="5" fillId="5" borderId="8" xfId="1" applyNumberFormat="1" applyFont="1" applyFill="1" applyBorder="1" applyAlignment="1">
      <alignment vertical="center"/>
    </xf>
    <xf numFmtId="14" fontId="3" fillId="0" borderId="0" xfId="0" applyNumberFormat="1" applyFont="1"/>
    <xf numFmtId="10" fontId="10" fillId="0" borderId="14" xfId="2" applyNumberFormat="1" applyFont="1" applyFill="1" applyBorder="1" applyAlignment="1">
      <alignment vertical="center" wrapText="1"/>
    </xf>
    <xf numFmtId="169" fontId="12" fillId="0" borderId="12" xfId="1" applyNumberFormat="1" applyFont="1" applyFill="1" applyBorder="1" applyAlignment="1">
      <alignment vertical="center" wrapText="1"/>
    </xf>
    <xf numFmtId="10" fontId="3" fillId="0" borderId="0" xfId="0" applyNumberFormat="1" applyFont="1"/>
    <xf numFmtId="170" fontId="3" fillId="0" borderId="0" xfId="0" applyNumberFormat="1" applyFont="1"/>
    <xf numFmtId="0" fontId="10" fillId="6" borderId="13" xfId="0" applyFont="1" applyFill="1" applyBorder="1" applyAlignment="1">
      <alignment horizontal="center" wrapText="1"/>
    </xf>
    <xf numFmtId="170" fontId="7" fillId="0" borderId="0" xfId="0" applyNumberFormat="1" applyFont="1"/>
    <xf numFmtId="168" fontId="3" fillId="0" borderId="0" xfId="0" applyNumberFormat="1" applyFont="1"/>
    <xf numFmtId="168" fontId="3" fillId="7" borderId="0" xfId="0" applyNumberFormat="1" applyFont="1" applyFill="1"/>
    <xf numFmtId="170" fontId="3" fillId="8" borderId="0" xfId="0" applyNumberFormat="1" applyFont="1" applyFill="1"/>
    <xf numFmtId="0" fontId="3" fillId="0" borderId="17" xfId="0" applyFont="1" applyBorder="1"/>
    <xf numFmtId="0" fontId="3" fillId="0" borderId="1" xfId="0" applyFont="1" applyBorder="1"/>
    <xf numFmtId="0" fontId="3" fillId="0" borderId="18" xfId="0" applyFont="1" applyBorder="1"/>
    <xf numFmtId="168" fontId="3" fillId="0" borderId="19" xfId="0" applyNumberFormat="1" applyFont="1" applyBorder="1"/>
    <xf numFmtId="0" fontId="3" fillId="0" borderId="20" xfId="0" applyFont="1" applyBorder="1"/>
    <xf numFmtId="170" fontId="3" fillId="0" borderId="3" xfId="0" applyNumberFormat="1" applyFont="1" applyBorder="1"/>
    <xf numFmtId="168" fontId="4" fillId="0" borderId="0" xfId="0" applyNumberFormat="1" applyFont="1"/>
    <xf numFmtId="170" fontId="3" fillId="9" borderId="0" xfId="0" applyNumberFormat="1" applyFont="1" applyFill="1"/>
    <xf numFmtId="171" fontId="3" fillId="9" borderId="0" xfId="0" applyNumberFormat="1" applyFont="1" applyFill="1"/>
    <xf numFmtId="168" fontId="13" fillId="0" borderId="0" xfId="0" applyNumberFormat="1" applyFont="1"/>
    <xf numFmtId="170" fontId="3" fillId="7" borderId="0" xfId="0" applyNumberFormat="1" applyFont="1" applyFill="1"/>
    <xf numFmtId="170" fontId="3" fillId="10" borderId="0" xfId="0" applyNumberFormat="1" applyFont="1" applyFill="1"/>
    <xf numFmtId="4" fontId="14" fillId="10" borderId="0" xfId="0" applyNumberFormat="1" applyFont="1" applyFill="1"/>
    <xf numFmtId="0" fontId="14" fillId="10" borderId="0" xfId="0" applyFont="1" applyFill="1"/>
    <xf numFmtId="4" fontId="4" fillId="0" borderId="17" xfId="0" applyNumberFormat="1" applyFont="1" applyBorder="1"/>
    <xf numFmtId="4" fontId="4" fillId="0" borderId="1" xfId="0" applyNumberFormat="1" applyFont="1" applyBorder="1"/>
    <xf numFmtId="4" fontId="4" fillId="0" borderId="18" xfId="0" applyNumberFormat="1" applyFont="1" applyBorder="1"/>
    <xf numFmtId="4" fontId="4" fillId="0" borderId="19" xfId="0" applyNumberFormat="1" applyFont="1" applyBorder="1"/>
    <xf numFmtId="4" fontId="4" fillId="0" borderId="20" xfId="0" applyNumberFormat="1" applyFont="1" applyBorder="1"/>
    <xf numFmtId="4" fontId="4" fillId="0" borderId="3" xfId="0" applyNumberFormat="1" applyFont="1" applyBorder="1"/>
    <xf numFmtId="4" fontId="4" fillId="0" borderId="21" xfId="0" applyNumberFormat="1" applyFont="1" applyBorder="1"/>
    <xf numFmtId="0" fontId="3" fillId="8" borderId="0" xfId="0" applyFont="1" applyFill="1"/>
    <xf numFmtId="4" fontId="3" fillId="10" borderId="0" xfId="0" applyNumberFormat="1" applyFont="1" applyFill="1"/>
    <xf numFmtId="14" fontId="3" fillId="10" borderId="0" xfId="0" applyNumberFormat="1" applyFont="1" applyFill="1"/>
    <xf numFmtId="0" fontId="16" fillId="0" borderId="0" xfId="0" applyFont="1"/>
    <xf numFmtId="0" fontId="15" fillId="0" borderId="0" xfId="0" applyFont="1" applyAlignment="1">
      <alignment horizontal="center" vertical="center"/>
    </xf>
    <xf numFmtId="0" fontId="17" fillId="4" borderId="22" xfId="0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0" fontId="17" fillId="4" borderId="24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7" fillId="4" borderId="25" xfId="0" applyFont="1" applyFill="1" applyBorder="1" applyAlignment="1">
      <alignment horizontal="center" vertical="center"/>
    </xf>
    <xf numFmtId="0" fontId="17" fillId="4" borderId="26" xfId="0" applyFont="1" applyFill="1" applyBorder="1" applyAlignment="1">
      <alignment horizontal="center" vertical="center"/>
    </xf>
    <xf numFmtId="0" fontId="17" fillId="4" borderId="27" xfId="0" applyFont="1" applyFill="1" applyBorder="1" applyAlignment="1">
      <alignment horizontal="center" vertical="center"/>
    </xf>
    <xf numFmtId="0" fontId="17" fillId="4" borderId="11" xfId="0" applyFont="1" applyFill="1" applyBorder="1" applyAlignment="1">
      <alignment horizontal="center" vertical="center"/>
    </xf>
    <xf numFmtId="9" fontId="17" fillId="4" borderId="11" xfId="2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11" borderId="28" xfId="0" applyFont="1" applyFill="1" applyBorder="1" applyAlignment="1">
      <alignment horizontal="center" vertical="center" textRotation="90" wrapText="1"/>
    </xf>
    <xf numFmtId="4" fontId="20" fillId="0" borderId="18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20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71" fontId="22" fillId="4" borderId="19" xfId="0" applyNumberFormat="1" applyFont="1" applyFill="1" applyBorder="1" applyAlignment="1">
      <alignment horizontal="center" vertical="center"/>
    </xf>
    <xf numFmtId="166" fontId="16" fillId="0" borderId="19" xfId="0" applyNumberFormat="1" applyFont="1" applyBorder="1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3" fillId="0" borderId="0" xfId="0" applyFont="1"/>
    <xf numFmtId="172" fontId="20" fillId="0" borderId="0" xfId="0" applyNumberFormat="1" applyFont="1"/>
    <xf numFmtId="43" fontId="16" fillId="0" borderId="0" xfId="1" applyFont="1" applyFill="1" applyAlignment="1">
      <alignment horizontal="center"/>
    </xf>
    <xf numFmtId="0" fontId="16" fillId="0" borderId="0" xfId="0" applyFont="1" applyAlignment="1">
      <alignment horizontal="center"/>
    </xf>
    <xf numFmtId="171" fontId="20" fillId="0" borderId="0" xfId="0" applyNumberFormat="1" applyFont="1"/>
    <xf numFmtId="171" fontId="16" fillId="0" borderId="0" xfId="0" applyNumberFormat="1" applyFont="1"/>
    <xf numFmtId="0" fontId="16" fillId="0" borderId="29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32" xfId="0" applyFont="1" applyBorder="1" applyAlignment="1">
      <alignment horizontal="center" wrapText="1"/>
    </xf>
    <xf numFmtId="0" fontId="16" fillId="0" borderId="33" xfId="0" applyFont="1" applyBorder="1" applyAlignment="1">
      <alignment horizontal="center" wrapText="1"/>
    </xf>
    <xf numFmtId="9" fontId="16" fillId="0" borderId="34" xfId="0" applyNumberFormat="1" applyFont="1" applyBorder="1" applyAlignment="1">
      <alignment horizontal="center" wrapText="1"/>
    </xf>
    <xf numFmtId="9" fontId="16" fillId="0" borderId="35" xfId="0" applyNumberFormat="1" applyFont="1" applyBorder="1" applyAlignment="1">
      <alignment horizontal="center" wrapText="1"/>
    </xf>
    <xf numFmtId="0" fontId="16" fillId="0" borderId="36" xfId="0" applyFont="1" applyBorder="1" applyAlignment="1">
      <alignment horizontal="center" wrapText="1"/>
    </xf>
    <xf numFmtId="9" fontId="16" fillId="0" borderId="34" xfId="0" applyNumberFormat="1" applyFont="1" applyBorder="1" applyAlignment="1">
      <alignment wrapText="1"/>
    </xf>
    <xf numFmtId="0" fontId="16" fillId="0" borderId="34" xfId="0" applyFont="1" applyBorder="1" applyAlignment="1">
      <alignment horizontal="center" wrapText="1"/>
    </xf>
    <xf numFmtId="17" fontId="16" fillId="0" borderId="35" xfId="0" applyNumberFormat="1" applyFont="1" applyBorder="1" applyAlignment="1">
      <alignment horizontal="center" wrapText="1"/>
    </xf>
    <xf numFmtId="0" fontId="16" fillId="0" borderId="20" xfId="0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171" fontId="20" fillId="0" borderId="3" xfId="0" applyNumberFormat="1" applyFont="1" applyBorder="1" applyAlignment="1">
      <alignment horizontal="center"/>
    </xf>
    <xf numFmtId="171" fontId="20" fillId="0" borderId="20" xfId="0" applyNumberFormat="1" applyFont="1" applyBorder="1" applyAlignment="1">
      <alignment horizontal="center"/>
    </xf>
    <xf numFmtId="172" fontId="20" fillId="0" borderId="3" xfId="0" applyNumberFormat="1" applyFont="1" applyBorder="1" applyAlignment="1">
      <alignment horizontal="center"/>
    </xf>
    <xf numFmtId="173" fontId="20" fillId="0" borderId="20" xfId="0" applyNumberFormat="1" applyFont="1" applyBorder="1" applyAlignment="1">
      <alignment horizontal="center"/>
    </xf>
    <xf numFmtId="173" fontId="20" fillId="0" borderId="4" xfId="0" applyNumberFormat="1" applyFont="1" applyBorder="1" applyAlignment="1">
      <alignment horizontal="center"/>
    </xf>
    <xf numFmtId="173" fontId="20" fillId="0" borderId="3" xfId="0" applyNumberFormat="1" applyFont="1" applyBorder="1" applyAlignment="1">
      <alignment horizontal="center"/>
    </xf>
    <xf numFmtId="173" fontId="20" fillId="0" borderId="20" xfId="0" applyNumberFormat="1" applyFont="1" applyBorder="1"/>
    <xf numFmtId="173" fontId="20" fillId="0" borderId="4" xfId="0" applyNumberFormat="1" applyFont="1" applyBorder="1"/>
    <xf numFmtId="173" fontId="20" fillId="0" borderId="3" xfId="0" applyNumberFormat="1" applyFont="1" applyBorder="1"/>
    <xf numFmtId="17" fontId="20" fillId="0" borderId="4" xfId="0" applyNumberFormat="1" applyFont="1" applyBorder="1"/>
    <xf numFmtId="17" fontId="20" fillId="0" borderId="3" xfId="0" applyNumberFormat="1" applyFont="1" applyBorder="1"/>
    <xf numFmtId="2" fontId="16" fillId="0" borderId="30" xfId="0" applyNumberFormat="1" applyFont="1" applyBorder="1" applyAlignment="1">
      <alignment horizontal="center"/>
    </xf>
    <xf numFmtId="171" fontId="20" fillId="0" borderId="29" xfId="0" applyNumberFormat="1" applyFont="1" applyBorder="1" applyAlignment="1">
      <alignment horizontal="center"/>
    </xf>
    <xf numFmtId="172" fontId="20" fillId="0" borderId="30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6" fillId="2" borderId="2" xfId="1" applyNumberFormat="1" applyFont="1" applyFill="1" applyBorder="1" applyAlignment="1">
      <alignment horizontal="center" vertical="center"/>
    </xf>
    <xf numFmtId="49" fontId="6" fillId="2" borderId="1" xfId="1" applyNumberFormat="1" applyFont="1" applyFill="1" applyBorder="1" applyAlignment="1">
      <alignment horizontal="center" vertical="center"/>
    </xf>
    <xf numFmtId="49" fontId="6" fillId="2" borderId="4" xfId="1" applyNumberFormat="1" applyFont="1" applyFill="1" applyBorder="1" applyAlignment="1">
      <alignment horizontal="center" vertical="center"/>
    </xf>
    <xf numFmtId="49" fontId="6" fillId="2" borderId="3" xfId="1" applyNumberFormat="1" applyFont="1" applyFill="1" applyBorder="1" applyAlignment="1">
      <alignment horizontal="center" vertical="center"/>
    </xf>
    <xf numFmtId="49" fontId="5" fillId="2" borderId="2" xfId="1" applyNumberFormat="1" applyFont="1" applyFill="1" applyBorder="1" applyAlignment="1">
      <alignment horizontal="center" vertical="center"/>
    </xf>
    <xf numFmtId="49" fontId="5" fillId="2" borderId="4" xfId="1" applyNumberFormat="1" applyFont="1" applyFill="1" applyBorder="1" applyAlignment="1">
      <alignment horizontal="center" vertical="center"/>
    </xf>
    <xf numFmtId="49" fontId="5" fillId="2" borderId="1" xfId="1" applyNumberFormat="1" applyFont="1" applyFill="1" applyBorder="1" applyAlignment="1">
      <alignment horizontal="center" vertical="center"/>
    </xf>
    <xf numFmtId="49" fontId="5" fillId="2" borderId="3" xfId="1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20" fillId="0" borderId="29" xfId="0" applyFont="1" applyBorder="1" applyAlignment="1">
      <alignment horizontal="center"/>
    </xf>
    <xf numFmtId="0" fontId="20" fillId="0" borderId="30" xfId="0" applyFont="1" applyBorder="1" applyAlignment="1">
      <alignment horizontal="center"/>
    </xf>
    <xf numFmtId="0" fontId="15" fillId="11" borderId="17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15" fillId="11" borderId="20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horizontal="center" vertical="center"/>
    </xf>
    <xf numFmtId="0" fontId="16" fillId="0" borderId="29" xfId="0" applyFont="1" applyBorder="1" applyAlignment="1">
      <alignment horizontal="center"/>
    </xf>
    <xf numFmtId="0" fontId="16" fillId="0" borderId="30" xfId="0" applyFont="1" applyBorder="1" applyAlignment="1">
      <alignment horizontal="center"/>
    </xf>
    <xf numFmtId="0" fontId="16" fillId="0" borderId="31" xfId="0" applyFont="1" applyBorder="1" applyAlignment="1">
      <alignment horizontal="center"/>
    </xf>
    <xf numFmtId="0" fontId="0" fillId="0" borderId="0" xfId="0" applyBorder="1"/>
    <xf numFmtId="0" fontId="0" fillId="0" borderId="17" xfId="0" applyBorder="1"/>
    <xf numFmtId="0" fontId="0" fillId="0" borderId="2" xfId="0" applyBorder="1"/>
    <xf numFmtId="0" fontId="0" fillId="0" borderId="1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4" xfId="0" applyBorder="1"/>
    <xf numFmtId="0" fontId="0" fillId="0" borderId="3" xfId="0" applyBorder="1"/>
    <xf numFmtId="14" fontId="0" fillId="0" borderId="18" xfId="0" applyNumberFormat="1" applyBorder="1"/>
    <xf numFmtId="14" fontId="0" fillId="0" borderId="0" xfId="0" applyNumberFormat="1" applyBorder="1"/>
    <xf numFmtId="4" fontId="0" fillId="0" borderId="0" xfId="0" applyNumberFormat="1" applyBorder="1"/>
    <xf numFmtId="4" fontId="0" fillId="0" borderId="21" xfId="0" applyNumberFormat="1" applyBorder="1"/>
    <xf numFmtId="4" fontId="0" fillId="0" borderId="0" xfId="0" applyNumberFormat="1"/>
  </cellXfs>
  <cellStyles count="3">
    <cellStyle name="Millares" xfId="1" builtinId="3"/>
    <cellStyle name="Normal" xfId="0" builtinId="0"/>
    <cellStyle name="Porcentaje" xfId="2" builtinId="5"/>
  </cellStyles>
  <dxfs count="3">
    <dxf>
      <font>
        <b/>
        <i val="0"/>
        <color rgb="FF00B050"/>
      </font>
      <fill>
        <patternFill>
          <bgColor theme="6" tint="0.59996337778862885"/>
        </patternFill>
      </fill>
    </dxf>
    <dxf>
      <font>
        <b/>
        <i val="0"/>
        <color rgb="FFFF0000"/>
      </font>
      <fill>
        <patternFill>
          <bgColor rgb="FFFFC9C9"/>
        </patternFill>
      </fill>
    </dxf>
    <dxf>
      <font>
        <b/>
        <i val="0"/>
        <color rgb="FFCC6600"/>
      </font>
      <fill>
        <patternFill>
          <bgColor rgb="FFFFF2B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35"/>
  <sheetViews>
    <sheetView workbookViewId="0">
      <selection activeCell="A13" sqref="A13:J14"/>
    </sheetView>
  </sheetViews>
  <sheetFormatPr baseColWidth="10" defaultColWidth="11.42578125" defaultRowHeight="14.25"/>
  <cols>
    <col min="1" max="1" width="31.5703125" style="2" customWidth="1"/>
    <col min="2" max="2" width="7.5703125" style="2" customWidth="1"/>
    <col min="3" max="3" width="17.5703125" style="2" bestFit="1" customWidth="1"/>
    <col min="4" max="4" width="16.85546875" style="2" bestFit="1" customWidth="1"/>
    <col min="5" max="5" width="19.140625" style="2" bestFit="1" customWidth="1"/>
    <col min="6" max="6" width="19.7109375" style="2" bestFit="1" customWidth="1"/>
    <col min="7" max="7" width="24.140625" style="2" customWidth="1"/>
    <col min="8" max="8" width="20.140625" style="2" bestFit="1" customWidth="1"/>
    <col min="9" max="9" width="21.85546875" style="2" customWidth="1"/>
    <col min="10" max="10" width="19.7109375" style="2" bestFit="1" customWidth="1"/>
    <col min="11" max="11" width="20.5703125" style="2" bestFit="1" customWidth="1"/>
    <col min="12" max="12" width="21.42578125" style="2" bestFit="1" customWidth="1"/>
    <col min="13" max="13" width="29.5703125" style="2" bestFit="1" customWidth="1"/>
    <col min="14" max="14" width="18.28515625" style="2" bestFit="1" customWidth="1"/>
    <col min="15" max="15" width="21.42578125" style="2" bestFit="1" customWidth="1"/>
    <col min="16" max="16" width="14" style="2" bestFit="1" customWidth="1"/>
    <col min="17" max="17" width="13.140625" style="2" bestFit="1" customWidth="1"/>
    <col min="18" max="18" width="6" style="2" bestFit="1" customWidth="1"/>
    <col min="19" max="19" width="16.85546875" style="2" bestFit="1" customWidth="1"/>
    <col min="20" max="20" width="17" style="2" bestFit="1" customWidth="1"/>
    <col min="21" max="21" width="12.28515625" style="2" bestFit="1" customWidth="1"/>
    <col min="22" max="22" width="19.7109375" style="2" customWidth="1"/>
    <col min="23" max="16384" width="11.42578125" style="2"/>
  </cols>
  <sheetData>
    <row r="2" spans="1:27" ht="18">
      <c r="A2" s="1" t="s">
        <v>0</v>
      </c>
      <c r="D2" s="3"/>
      <c r="L2" s="4" t="s">
        <v>1</v>
      </c>
    </row>
    <row r="3" spans="1:27" ht="15" thickBot="1">
      <c r="E3" s="5"/>
      <c r="F3" s="6"/>
      <c r="L3" s="2" t="s">
        <v>2</v>
      </c>
    </row>
    <row r="4" spans="1:27">
      <c r="A4" s="127"/>
      <c r="B4" s="129" t="s">
        <v>3</v>
      </c>
      <c r="C4" s="129"/>
      <c r="D4" s="129"/>
      <c r="E4" s="129"/>
      <c r="F4" s="129"/>
      <c r="G4" s="129"/>
      <c r="H4" s="130"/>
      <c r="I4" s="133"/>
      <c r="J4" s="135"/>
      <c r="K4" s="7"/>
    </row>
    <row r="5" spans="1:27" ht="15.75" thickBot="1">
      <c r="A5" s="128"/>
      <c r="B5" s="131"/>
      <c r="C5" s="131"/>
      <c r="D5" s="131"/>
      <c r="E5" s="131"/>
      <c r="F5" s="131"/>
      <c r="G5" s="131"/>
      <c r="H5" s="132"/>
      <c r="I5" s="134"/>
      <c r="J5" s="136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ht="15">
      <c r="A6" s="137" t="s">
        <v>4</v>
      </c>
      <c r="B6" s="139" t="s">
        <v>5</v>
      </c>
      <c r="C6" s="8" t="s">
        <v>6</v>
      </c>
      <c r="D6" s="9" t="s">
        <v>7</v>
      </c>
      <c r="E6" s="8" t="s">
        <v>8</v>
      </c>
      <c r="F6" s="9" t="s">
        <v>9</v>
      </c>
      <c r="G6" s="8" t="s">
        <v>7</v>
      </c>
      <c r="H6" s="9" t="s">
        <v>10</v>
      </c>
      <c r="I6" s="8"/>
      <c r="J6" s="10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ht="16.5" thickBot="1">
      <c r="A7" s="138"/>
      <c r="B7" s="140"/>
      <c r="C7" s="11"/>
      <c r="D7" s="12" t="s">
        <v>11</v>
      </c>
      <c r="E7" s="13"/>
      <c r="F7" s="14" t="s">
        <v>12</v>
      </c>
      <c r="G7" s="11" t="s">
        <v>13</v>
      </c>
      <c r="H7" s="12" t="s">
        <v>7</v>
      </c>
      <c r="I7" s="15"/>
      <c r="J7" s="16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ht="15">
      <c r="A8" s="17" t="s">
        <v>14</v>
      </c>
      <c r="B8" s="18">
        <v>48</v>
      </c>
      <c r="C8" s="19">
        <v>3</v>
      </c>
      <c r="D8" s="20">
        <v>762763</v>
      </c>
      <c r="E8" s="21">
        <v>9.2999999999999999E-2</v>
      </c>
      <c r="F8" s="22">
        <v>0.03</v>
      </c>
      <c r="G8" s="23">
        <f>D17</f>
        <v>942080.95366999996</v>
      </c>
      <c r="H8" s="24">
        <f>G8*E8+G8</f>
        <v>1029694.4823613099</v>
      </c>
      <c r="I8" s="25"/>
      <c r="J8" s="26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ht="15.75" thickBot="1">
      <c r="A9" s="7"/>
      <c r="B9" s="7"/>
      <c r="C9" s="27"/>
      <c r="D9" s="28">
        <f>+C9*1%</f>
        <v>0</v>
      </c>
      <c r="E9" s="29"/>
      <c r="F9" s="30"/>
      <c r="G9" s="31">
        <f>+G8</f>
        <v>942080.95366999996</v>
      </c>
      <c r="H9" s="32">
        <f>+H8</f>
        <v>1029694.4823613099</v>
      </c>
      <c r="I9" s="32">
        <f>SUM(I8:I8)</f>
        <v>0</v>
      </c>
      <c r="J9" s="32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ht="15">
      <c r="A10" s="7"/>
      <c r="B10" s="7"/>
      <c r="C10" s="27"/>
      <c r="D10" s="28"/>
      <c r="E10" s="29"/>
      <c r="F10" s="3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27">
      <c r="D11" s="2" t="s">
        <v>7</v>
      </c>
      <c r="E11" s="6" t="s">
        <v>15</v>
      </c>
      <c r="F11" s="2" t="s">
        <v>9</v>
      </c>
      <c r="G11" s="2" t="s">
        <v>16</v>
      </c>
      <c r="H11" s="2" t="s">
        <v>17</v>
      </c>
      <c r="I11" s="2" t="s">
        <v>18</v>
      </c>
      <c r="J11" s="2" t="s">
        <v>19</v>
      </c>
      <c r="K11" s="33"/>
    </row>
    <row r="12" spans="1:27">
      <c r="A12" s="17" t="s">
        <v>20</v>
      </c>
      <c r="B12" s="18">
        <v>48</v>
      </c>
      <c r="C12" s="19">
        <v>1</v>
      </c>
      <c r="D12" s="20">
        <v>762763</v>
      </c>
      <c r="E12" s="34"/>
      <c r="F12" s="23"/>
      <c r="G12" s="23">
        <f>+D12+E12+F12</f>
        <v>762763</v>
      </c>
      <c r="H12" s="24">
        <f>+D12</f>
        <v>762763</v>
      </c>
      <c r="I12" s="25">
        <f>D12-H12</f>
        <v>0</v>
      </c>
      <c r="J12" s="35">
        <v>45114</v>
      </c>
      <c r="K12" s="33" t="s">
        <v>21</v>
      </c>
      <c r="N12" s="4">
        <f>36612650/45</f>
        <v>813614.4444444445</v>
      </c>
      <c r="O12" s="2" t="s">
        <v>22</v>
      </c>
    </row>
    <row r="13" spans="1:27">
      <c r="A13" s="17" t="s">
        <v>20</v>
      </c>
      <c r="B13" s="18" t="s">
        <v>23</v>
      </c>
      <c r="C13" s="19" t="s">
        <v>9</v>
      </c>
      <c r="D13" s="20"/>
      <c r="E13" s="34">
        <v>6.8000000000000005E-2</v>
      </c>
      <c r="F13" s="23">
        <f>+D12*E13</f>
        <v>51867.884000000005</v>
      </c>
      <c r="G13" s="23"/>
      <c r="H13" s="24"/>
      <c r="I13" s="25">
        <f>F13</f>
        <v>51867.884000000005</v>
      </c>
      <c r="J13" s="35">
        <v>45066</v>
      </c>
      <c r="K13" s="33" t="s">
        <v>9</v>
      </c>
      <c r="N13" s="4">
        <f>813614.44*6.8%+813614.44</f>
        <v>868940.22191999992</v>
      </c>
      <c r="O13" s="2" t="s">
        <v>24</v>
      </c>
    </row>
    <row r="14" spans="1:27" ht="13.5" customHeight="1">
      <c r="A14" s="17" t="s">
        <v>20</v>
      </c>
      <c r="B14" s="18" t="s">
        <v>25</v>
      </c>
      <c r="C14" s="19" t="s">
        <v>9</v>
      </c>
      <c r="D14" s="20"/>
      <c r="E14" s="34">
        <v>6.2E-2</v>
      </c>
      <c r="F14" s="23">
        <f>D12*6.2%</f>
        <v>47291.305999999997</v>
      </c>
      <c r="G14" s="23"/>
      <c r="H14" s="24"/>
      <c r="I14" s="25">
        <f>F14</f>
        <v>47291.305999999997</v>
      </c>
      <c r="J14" s="35">
        <v>45097</v>
      </c>
      <c r="K14" s="33" t="s">
        <v>9</v>
      </c>
      <c r="N14" s="4">
        <f>868940.2*6.2%+868940.2</f>
        <v>922814.49239999999</v>
      </c>
      <c r="O14" s="2" t="s">
        <v>25</v>
      </c>
    </row>
    <row r="15" spans="1:27">
      <c r="A15" s="17" t="s">
        <v>20</v>
      </c>
      <c r="B15" s="18"/>
      <c r="C15" s="19">
        <v>2</v>
      </c>
      <c r="D15" s="20">
        <f>+G12+F13+F14</f>
        <v>861922.19</v>
      </c>
      <c r="E15" s="34">
        <v>6.2E-2</v>
      </c>
      <c r="F15" s="23">
        <f>D15*E15</f>
        <v>53439.175779999998</v>
      </c>
      <c r="G15" s="23">
        <f>+D15+F15</f>
        <v>915361.36577999999</v>
      </c>
      <c r="H15" s="24">
        <f>D15+F15</f>
        <v>915361.36577999999</v>
      </c>
      <c r="I15" s="25">
        <f>D15+F15-H15</f>
        <v>0</v>
      </c>
      <c r="J15" s="35">
        <v>45147</v>
      </c>
      <c r="K15" s="33"/>
      <c r="N15" s="4">
        <f>922814.49*9.3%+922814.49</f>
        <v>1008636.23757</v>
      </c>
      <c r="O15" s="2" t="s">
        <v>26</v>
      </c>
    </row>
    <row r="16" spans="1:27">
      <c r="A16" s="17" t="s">
        <v>20</v>
      </c>
      <c r="B16" s="18" t="s">
        <v>22</v>
      </c>
      <c r="C16" s="19" t="s">
        <v>9</v>
      </c>
      <c r="D16" s="20">
        <v>0</v>
      </c>
      <c r="E16" s="34">
        <f>9.3%-6.2%</f>
        <v>3.1000000000000014E-2</v>
      </c>
      <c r="F16" s="23">
        <f>D15*E16</f>
        <v>26719.58789000001</v>
      </c>
      <c r="G16" s="23"/>
      <c r="H16" s="24"/>
      <c r="I16" s="25">
        <f>D16+F16-H16</f>
        <v>26719.58789000001</v>
      </c>
      <c r="J16" s="35">
        <v>45158</v>
      </c>
      <c r="K16" s="36"/>
      <c r="L16" s="2" t="s">
        <v>27</v>
      </c>
      <c r="N16" s="4">
        <f>1008636.24*19.7%+1008636.24</f>
        <v>1207337.5792799999</v>
      </c>
      <c r="O16" s="2" t="s">
        <v>28</v>
      </c>
    </row>
    <row r="17" spans="1:16">
      <c r="A17" s="17" t="s">
        <v>20</v>
      </c>
      <c r="B17" s="18"/>
      <c r="C17" s="19">
        <v>3</v>
      </c>
      <c r="D17" s="20">
        <f>H15+F16</f>
        <v>942080.95366999996</v>
      </c>
      <c r="E17" s="34">
        <v>9.2999999999999999E-2</v>
      </c>
      <c r="F17" s="23">
        <f>D17*E17</f>
        <v>87613.528691309999</v>
      </c>
      <c r="G17" s="23">
        <f>+D17+E17+F17</f>
        <v>1029694.5753613099</v>
      </c>
      <c r="H17" s="24">
        <f>G17</f>
        <v>1029694.5753613099</v>
      </c>
      <c r="I17" s="25">
        <f>D17+F17-H17</f>
        <v>-9.2999999993480742E-2</v>
      </c>
      <c r="J17" s="35">
        <v>45170</v>
      </c>
      <c r="K17" s="37"/>
      <c r="N17" s="4">
        <f>1207337.58*19.7%+1207337.58</f>
        <v>1445183.08326</v>
      </c>
      <c r="O17" s="2" t="s">
        <v>29</v>
      </c>
    </row>
    <row r="18" spans="1:16" ht="15">
      <c r="A18" s="17" t="s">
        <v>20</v>
      </c>
      <c r="B18" s="18" t="s">
        <v>30</v>
      </c>
      <c r="C18" s="19" t="s">
        <v>9</v>
      </c>
      <c r="D18" s="20"/>
      <c r="E18" s="34">
        <f>19.7%-9.3%</f>
        <v>0.10399999999999997</v>
      </c>
      <c r="F18" s="23">
        <f>D17*E18</f>
        <v>97976.419181679972</v>
      </c>
      <c r="G18" s="23"/>
      <c r="H18" s="24"/>
      <c r="I18" s="25">
        <f>D18+F18-H18</f>
        <v>97976.419181679972</v>
      </c>
      <c r="J18" s="35">
        <v>45189</v>
      </c>
      <c r="N18"/>
      <c r="O18"/>
      <c r="P18"/>
    </row>
    <row r="19" spans="1:16" ht="15">
      <c r="A19" s="17" t="s">
        <v>20</v>
      </c>
      <c r="B19" s="18"/>
      <c r="C19" s="19">
        <v>4</v>
      </c>
      <c r="D19" s="20">
        <f>H17+F18</f>
        <v>1127670.9945429899</v>
      </c>
      <c r="E19" s="34">
        <v>0.19700000000000001</v>
      </c>
      <c r="F19" s="23">
        <f>D19*E19</f>
        <v>222151.185924969</v>
      </c>
      <c r="G19" s="23">
        <f>+D19+E19+F19</f>
        <v>1349822.3774679587</v>
      </c>
      <c r="H19" s="24">
        <f>+G19</f>
        <v>1349822.3774679587</v>
      </c>
      <c r="I19" s="25">
        <f>D19+F19-H19</f>
        <v>-0.19699999992735684</v>
      </c>
      <c r="J19" s="35">
        <v>45200</v>
      </c>
      <c r="N19"/>
      <c r="O19"/>
      <c r="P19"/>
    </row>
    <row r="20" spans="1:16" ht="15">
      <c r="A20" s="17" t="s">
        <v>20</v>
      </c>
      <c r="B20" s="38" t="s">
        <v>31</v>
      </c>
      <c r="C20" s="19" t="s">
        <v>9</v>
      </c>
      <c r="D20" s="20"/>
      <c r="E20" s="34">
        <f>8.9%</f>
        <v>8.900000000000001E-2</v>
      </c>
      <c r="F20" s="23">
        <f>I18</f>
        <v>97976.419181679972</v>
      </c>
      <c r="G20" s="23">
        <v>0</v>
      </c>
      <c r="H20" s="24"/>
      <c r="I20" s="25">
        <v>0</v>
      </c>
      <c r="J20" s="35">
        <v>45219</v>
      </c>
      <c r="K20" s="39">
        <f>+H19+I18</f>
        <v>1447798.7966496388</v>
      </c>
      <c r="N20"/>
      <c r="O20"/>
      <c r="P20"/>
    </row>
    <row r="21" spans="1:16">
      <c r="A21" s="17" t="s">
        <v>20</v>
      </c>
      <c r="B21" s="18"/>
      <c r="C21" s="19">
        <v>5</v>
      </c>
      <c r="D21" s="20">
        <f>+G19+F20</f>
        <v>1447798.7966496388</v>
      </c>
      <c r="E21" s="34">
        <v>8.8999999999999996E-2</v>
      </c>
      <c r="F21" s="23">
        <f>+D21*E21</f>
        <v>128854.09290181784</v>
      </c>
      <c r="G21" s="23">
        <f>+D21+E21+F21</f>
        <v>1576652.9785514565</v>
      </c>
      <c r="H21" s="24">
        <v>1576652.89</v>
      </c>
      <c r="I21" s="25">
        <f>D21+F21-H21</f>
        <v>-4.4854334555566311E-4</v>
      </c>
      <c r="J21" s="35">
        <v>45231</v>
      </c>
      <c r="K21" s="40">
        <f>I21</f>
        <v>-4.4854334555566311E-4</v>
      </c>
      <c r="L21" s="2">
        <f>915361.37+26719.59+87613.53</f>
        <v>1029694.49</v>
      </c>
    </row>
    <row r="22" spans="1:16">
      <c r="A22" s="17" t="s">
        <v>20</v>
      </c>
      <c r="B22" s="38" t="s">
        <v>32</v>
      </c>
      <c r="C22" s="19" t="s">
        <v>9</v>
      </c>
      <c r="D22" s="20"/>
      <c r="E22" s="34">
        <f>11%-E21</f>
        <v>2.1000000000000005E-2</v>
      </c>
      <c r="F22" s="23">
        <f>D21*E22</f>
        <v>30403.77472964242</v>
      </c>
      <c r="G22" s="23">
        <f t="shared" ref="G22" si="0">+D22+E22+F22</f>
        <v>30403.795729642421</v>
      </c>
      <c r="H22" s="24"/>
      <c r="I22" s="25">
        <v>0</v>
      </c>
      <c r="J22" s="35" t="s">
        <v>33</v>
      </c>
      <c r="L22" s="2">
        <f>861922.19*9.3%</f>
        <v>80158.76367</v>
      </c>
    </row>
    <row r="23" spans="1:16">
      <c r="A23" s="17" t="s">
        <v>20</v>
      </c>
      <c r="B23" s="18"/>
      <c r="C23" s="19">
        <v>6</v>
      </c>
      <c r="D23" s="20">
        <f>+G21+F22</f>
        <v>1607056.7532810988</v>
      </c>
      <c r="E23" s="34">
        <v>0.11</v>
      </c>
      <c r="F23" s="23">
        <f>+D23*E23</f>
        <v>176776.24286092087</v>
      </c>
      <c r="G23" s="23">
        <f>+D23+F23</f>
        <v>1783832.9961420198</v>
      </c>
      <c r="H23" s="24">
        <v>1814236.77</v>
      </c>
      <c r="I23" s="25">
        <v>0</v>
      </c>
      <c r="J23" s="35">
        <v>45261</v>
      </c>
      <c r="K23" s="41">
        <f>+G23+G22</f>
        <v>1814236.7918716623</v>
      </c>
      <c r="L23" s="2">
        <f>942080.95*19.7%</f>
        <v>185589.94714999996</v>
      </c>
      <c r="N23" s="42">
        <f>K21+I44</f>
        <v>1051102.5229392913</v>
      </c>
      <c r="O23" s="2" t="s">
        <v>34</v>
      </c>
    </row>
    <row r="24" spans="1:16">
      <c r="A24" s="17" t="s">
        <v>20</v>
      </c>
      <c r="B24" s="18"/>
      <c r="C24" s="19"/>
      <c r="D24" s="25"/>
      <c r="E24" s="34"/>
      <c r="F24" s="23"/>
      <c r="G24" s="23"/>
      <c r="H24" s="24"/>
      <c r="I24" s="25"/>
      <c r="J24" s="26"/>
    </row>
    <row r="25" spans="1:16" ht="15" thickBot="1">
      <c r="K25" s="37"/>
    </row>
    <row r="26" spans="1:16" ht="15" thickBot="1">
      <c r="K26" s="43" t="s">
        <v>35</v>
      </c>
      <c r="L26" s="44" t="s">
        <v>36</v>
      </c>
    </row>
    <row r="27" spans="1:16">
      <c r="A27" s="127"/>
      <c r="B27" s="129" t="s">
        <v>3</v>
      </c>
      <c r="C27" s="129"/>
      <c r="D27" s="129"/>
      <c r="E27" s="129"/>
      <c r="F27" s="129"/>
      <c r="G27" s="129"/>
      <c r="H27" s="130"/>
      <c r="I27" s="133"/>
      <c r="J27" s="133"/>
      <c r="K27" s="45" t="s">
        <v>37</v>
      </c>
      <c r="L27" s="46">
        <f>+K23</f>
        <v>1814236.7918716623</v>
      </c>
    </row>
    <row r="28" spans="1:16" ht="15" thickBot="1">
      <c r="A28" s="128"/>
      <c r="B28" s="131"/>
      <c r="C28" s="131"/>
      <c r="D28" s="131"/>
      <c r="E28" s="131"/>
      <c r="F28" s="131"/>
      <c r="G28" s="131"/>
      <c r="H28" s="132"/>
      <c r="I28" s="134"/>
      <c r="J28" s="134"/>
      <c r="K28" s="47" t="s">
        <v>38</v>
      </c>
      <c r="L28" s="48">
        <f>+K46</f>
        <v>1209491.9004955054</v>
      </c>
    </row>
    <row r="29" spans="1:16" ht="15">
      <c r="A29" s="137" t="s">
        <v>4</v>
      </c>
      <c r="B29" s="139" t="s">
        <v>5</v>
      </c>
      <c r="C29" s="8" t="s">
        <v>6</v>
      </c>
      <c r="D29" s="9" t="s">
        <v>7</v>
      </c>
      <c r="E29" s="8" t="s">
        <v>8</v>
      </c>
      <c r="F29" s="9" t="s">
        <v>9</v>
      </c>
      <c r="G29" s="8" t="s">
        <v>7</v>
      </c>
      <c r="H29" s="9" t="s">
        <v>10</v>
      </c>
      <c r="I29" s="8"/>
      <c r="J29" s="10"/>
      <c r="L29" s="49">
        <f>SUM(L27:L28)</f>
        <v>3023728.6923671677</v>
      </c>
    </row>
    <row r="30" spans="1:16" ht="16.5" thickBot="1">
      <c r="A30" s="138"/>
      <c r="B30" s="140"/>
      <c r="C30" s="11"/>
      <c r="D30" s="12" t="s">
        <v>11</v>
      </c>
      <c r="E30" s="13"/>
      <c r="F30" s="14" t="s">
        <v>12</v>
      </c>
      <c r="G30" s="11" t="s">
        <v>13</v>
      </c>
      <c r="H30" s="12" t="s">
        <v>39</v>
      </c>
      <c r="I30" s="15"/>
      <c r="J30" s="16"/>
    </row>
    <row r="31" spans="1:16">
      <c r="A31" s="17" t="s">
        <v>14</v>
      </c>
      <c r="B31" s="18">
        <v>48</v>
      </c>
      <c r="C31" s="19">
        <v>3</v>
      </c>
      <c r="D31" s="20">
        <v>508508.96</v>
      </c>
      <c r="E31" s="21">
        <v>9.2999999999999999E-2</v>
      </c>
      <c r="F31" s="22">
        <v>0.03</v>
      </c>
      <c r="G31" s="23">
        <f>D40</f>
        <v>628054.33140640019</v>
      </c>
      <c r="H31" s="24">
        <f>G31*E31+G31</f>
        <v>686463.38422719541</v>
      </c>
      <c r="I31" s="25"/>
      <c r="J31" s="26"/>
    </row>
    <row r="32" spans="1:16" ht="15" thickBot="1">
      <c r="A32" s="7"/>
      <c r="B32" s="7"/>
      <c r="C32" s="27"/>
      <c r="D32" s="28">
        <f>+C32*1%</f>
        <v>0</v>
      </c>
      <c r="E32" s="29"/>
      <c r="F32" s="30"/>
      <c r="G32" s="31">
        <f>+G31</f>
        <v>628054.33140640019</v>
      </c>
      <c r="H32" s="32">
        <f>+H31</f>
        <v>686463.38422719541</v>
      </c>
      <c r="I32" s="32">
        <f>SUM(I31:I31)</f>
        <v>0</v>
      </c>
      <c r="J32" s="32"/>
    </row>
    <row r="33" spans="1:15">
      <c r="A33" s="7"/>
      <c r="B33" s="7"/>
      <c r="C33" s="27"/>
      <c r="D33" s="28"/>
      <c r="E33" s="29"/>
      <c r="F33" s="30"/>
    </row>
    <row r="34" spans="1:15">
      <c r="D34" s="2" t="s">
        <v>7</v>
      </c>
      <c r="E34" s="6" t="s">
        <v>15</v>
      </c>
      <c r="F34" s="2" t="s">
        <v>9</v>
      </c>
      <c r="G34" s="2" t="s">
        <v>16</v>
      </c>
      <c r="H34" s="2" t="s">
        <v>17</v>
      </c>
      <c r="I34" s="2" t="s">
        <v>18</v>
      </c>
      <c r="J34" s="2" t="s">
        <v>19</v>
      </c>
    </row>
    <row r="35" spans="1:15">
      <c r="A35" s="17" t="s">
        <v>20</v>
      </c>
      <c r="B35" s="18">
        <v>48</v>
      </c>
      <c r="C35" s="19">
        <v>1</v>
      </c>
      <c r="D35" s="20">
        <v>508508.96</v>
      </c>
      <c r="E35" s="34"/>
      <c r="F35" s="23"/>
      <c r="G35" s="23">
        <f>+D35+E35+F35</f>
        <v>508508.96</v>
      </c>
      <c r="H35" s="24">
        <f>+D35</f>
        <v>508508.96</v>
      </c>
      <c r="I35" s="25">
        <f>D35-H35</f>
        <v>0</v>
      </c>
      <c r="J35" s="35">
        <v>45114</v>
      </c>
    </row>
    <row r="36" spans="1:15">
      <c r="A36" s="17" t="s">
        <v>20</v>
      </c>
      <c r="B36" s="18" t="s">
        <v>24</v>
      </c>
      <c r="C36" s="19" t="s">
        <v>9</v>
      </c>
      <c r="D36" s="20"/>
      <c r="E36" s="34">
        <v>6.8000000000000005E-2</v>
      </c>
      <c r="F36" s="23">
        <f>+D35*E36</f>
        <v>34578.609280000004</v>
      </c>
      <c r="G36" s="23"/>
      <c r="H36" s="24"/>
      <c r="I36" s="25">
        <f>F36</f>
        <v>34578.609280000004</v>
      </c>
      <c r="J36" s="35">
        <v>45066</v>
      </c>
    </row>
    <row r="37" spans="1:15">
      <c r="A37" s="17" t="s">
        <v>20</v>
      </c>
      <c r="B37" s="18" t="s">
        <v>25</v>
      </c>
      <c r="C37" s="19" t="s">
        <v>9</v>
      </c>
      <c r="D37" s="20"/>
      <c r="E37" s="34">
        <v>6.2E-2</v>
      </c>
      <c r="F37" s="23">
        <f>D35*E37</f>
        <v>31527.555520000002</v>
      </c>
      <c r="G37" s="23"/>
      <c r="H37" s="24"/>
      <c r="I37" s="25">
        <f>F37</f>
        <v>31527.555520000002</v>
      </c>
      <c r="J37" s="35">
        <v>45097</v>
      </c>
    </row>
    <row r="38" spans="1:15">
      <c r="A38" s="17" t="s">
        <v>20</v>
      </c>
      <c r="B38" s="18"/>
      <c r="C38" s="19">
        <v>2</v>
      </c>
      <c r="D38" s="20">
        <f>+G35+F36+F37</f>
        <v>574615.12480000011</v>
      </c>
      <c r="E38" s="34">
        <v>6.2E-2</v>
      </c>
      <c r="F38" s="23">
        <f>D38*E38</f>
        <v>35626.137737600009</v>
      </c>
      <c r="G38" s="23">
        <f>+D38+F38</f>
        <v>610241.26253760012</v>
      </c>
      <c r="H38" s="24">
        <f>D38+F38</f>
        <v>610241.26253760012</v>
      </c>
      <c r="I38" s="25">
        <f>D38+F38-H38</f>
        <v>0</v>
      </c>
      <c r="J38" s="35">
        <v>45147</v>
      </c>
    </row>
    <row r="39" spans="1:15">
      <c r="A39" s="17" t="s">
        <v>20</v>
      </c>
      <c r="B39" s="18" t="s">
        <v>22</v>
      </c>
      <c r="C39" s="19" t="s">
        <v>9</v>
      </c>
      <c r="D39" s="20">
        <v>0</v>
      </c>
      <c r="E39" s="34">
        <f>9.3%-6.2%</f>
        <v>3.1000000000000014E-2</v>
      </c>
      <c r="F39" s="23">
        <f>D38*E39</f>
        <v>17813.068868800012</v>
      </c>
      <c r="G39" s="23"/>
      <c r="H39" s="24"/>
      <c r="I39" s="25">
        <f>D39+F39-H39</f>
        <v>17813.068868800012</v>
      </c>
      <c r="J39" s="35">
        <v>45127</v>
      </c>
      <c r="K39" s="37"/>
      <c r="L39" s="37">
        <f>L42*8.9%</f>
        <v>134667.36379331551</v>
      </c>
      <c r="M39" s="37">
        <f>+L42+L39</f>
        <v>1647783.81090922</v>
      </c>
    </row>
    <row r="40" spans="1:15">
      <c r="A40" s="17" t="s">
        <v>20</v>
      </c>
      <c r="B40" s="18"/>
      <c r="C40" s="19">
        <v>3</v>
      </c>
      <c r="D40" s="20">
        <f>H38+F39</f>
        <v>628054.33140640019</v>
      </c>
      <c r="E40" s="34">
        <v>9.2999999999999999E-2</v>
      </c>
      <c r="F40" s="23">
        <f>D40*E40</f>
        <v>58409.052820795216</v>
      </c>
      <c r="G40" s="23">
        <f t="shared" ref="G40:G44" si="1">+D40+E40+F40</f>
        <v>686463.4772271954</v>
      </c>
      <c r="H40" s="24">
        <f>D40+F40</f>
        <v>686463.38422719541</v>
      </c>
      <c r="I40" s="25">
        <f t="shared" ref="I40:I44" si="2">D40+F40-H40</f>
        <v>0</v>
      </c>
      <c r="J40" s="35">
        <v>45170</v>
      </c>
    </row>
    <row r="41" spans="1:15">
      <c r="A41" s="17" t="s">
        <v>20</v>
      </c>
      <c r="B41" s="18" t="s">
        <v>30</v>
      </c>
      <c r="C41" s="19" t="s">
        <v>9</v>
      </c>
      <c r="D41" s="20"/>
      <c r="E41" s="34">
        <f>19.7%-9.3%</f>
        <v>0.10399999999999997</v>
      </c>
      <c r="F41" s="23">
        <f>D40*E41</f>
        <v>65317.650466265601</v>
      </c>
      <c r="G41" s="23"/>
      <c r="H41" s="24"/>
      <c r="I41" s="25">
        <f>D41+F41-H41</f>
        <v>65317.650466265601</v>
      </c>
      <c r="J41" s="35">
        <v>45189</v>
      </c>
      <c r="M41" s="37">
        <f>+M44-M39</f>
        <v>-596681.2879699287</v>
      </c>
    </row>
    <row r="42" spans="1:15">
      <c r="A42" s="17" t="s">
        <v>20</v>
      </c>
      <c r="B42" s="18"/>
      <c r="C42" s="19">
        <v>4</v>
      </c>
      <c r="D42" s="20">
        <f>H40+F41</f>
        <v>751781.03469346103</v>
      </c>
      <c r="E42" s="34">
        <v>0.19700000000000001</v>
      </c>
      <c r="F42" s="23">
        <f>D42*E42</f>
        <v>148100.86383461184</v>
      </c>
      <c r="G42" s="23">
        <f>+D42+E42+F42</f>
        <v>899882.09552807291</v>
      </c>
      <c r="H42" s="24"/>
      <c r="I42" s="25">
        <f t="shared" ref="I42" si="3">D42+F42-H42</f>
        <v>899881.89852807287</v>
      </c>
      <c r="J42" s="35">
        <v>45200</v>
      </c>
      <c r="L42" s="50">
        <f>K43+K20</f>
        <v>1513116.4471159044</v>
      </c>
      <c r="N42" s="37">
        <f>L42+H49</f>
        <v>3912802.4471159047</v>
      </c>
    </row>
    <row r="43" spans="1:15">
      <c r="A43" s="17" t="s">
        <v>20</v>
      </c>
      <c r="B43" s="38" t="s">
        <v>31</v>
      </c>
      <c r="C43" s="19" t="s">
        <v>9</v>
      </c>
      <c r="D43" s="20"/>
      <c r="E43" s="34">
        <f>8.9%</f>
        <v>8.900000000000001E-2</v>
      </c>
      <c r="F43" s="23">
        <f>I41</f>
        <v>65317.650466265601</v>
      </c>
      <c r="G43" s="23"/>
      <c r="H43" s="24">
        <v>0</v>
      </c>
      <c r="I43" s="25">
        <v>0</v>
      </c>
      <c r="J43" s="35">
        <v>45219</v>
      </c>
      <c r="K43" s="37">
        <f>+H42+I41</f>
        <v>65317.650466265601</v>
      </c>
      <c r="L43" s="51">
        <f>L42/833</f>
        <v>1816.4663230683127</v>
      </c>
      <c r="N43" s="4">
        <f>4812684.54/833</f>
        <v>5777.5324609843938</v>
      </c>
      <c r="O43" s="2">
        <f>4812684.54/935</f>
        <v>5147.2561925133687</v>
      </c>
    </row>
    <row r="44" spans="1:15">
      <c r="A44" s="17" t="s">
        <v>20</v>
      </c>
      <c r="B44" s="18"/>
      <c r="C44" s="19">
        <v>5</v>
      </c>
      <c r="D44" s="20">
        <f>+G42+F43</f>
        <v>965199.74599433853</v>
      </c>
      <c r="E44" s="34">
        <v>8.8999999999999996E-2</v>
      </c>
      <c r="F44" s="23">
        <f>+D44*E44</f>
        <v>85902.77739349613</v>
      </c>
      <c r="G44" s="23">
        <f t="shared" si="1"/>
        <v>1051102.6123878346</v>
      </c>
      <c r="H44" s="24">
        <v>0</v>
      </c>
      <c r="I44" s="25">
        <f t="shared" si="2"/>
        <v>1051102.5233878347</v>
      </c>
      <c r="J44" s="35">
        <v>45231</v>
      </c>
      <c r="K44" s="52">
        <f>I44</f>
        <v>1051102.5233878347</v>
      </c>
      <c r="M44" s="37">
        <f>K21+K44</f>
        <v>1051102.5229392913</v>
      </c>
      <c r="N44" s="4">
        <v>-5100</v>
      </c>
    </row>
    <row r="45" spans="1:15">
      <c r="A45" s="17" t="s">
        <v>20</v>
      </c>
      <c r="B45" s="38" t="s">
        <v>32</v>
      </c>
      <c r="C45" s="19" t="s">
        <v>9</v>
      </c>
      <c r="D45" s="20"/>
      <c r="E45" s="34">
        <f>11%-E44</f>
        <v>2.1000000000000005E-2</v>
      </c>
      <c r="F45" s="23">
        <f>+D44*E45</f>
        <v>20269.194665881114</v>
      </c>
      <c r="G45" s="23">
        <f>+D45+F45</f>
        <v>20269.194665881114</v>
      </c>
      <c r="H45" s="24"/>
      <c r="I45" s="25">
        <f>D45+F45-H45</f>
        <v>20269.194665881114</v>
      </c>
      <c r="J45" s="35">
        <v>45250</v>
      </c>
      <c r="N45" s="4">
        <f>SUM(N43:N44)</f>
        <v>677.53246098439377</v>
      </c>
      <c r="O45" s="2" t="s">
        <v>40</v>
      </c>
    </row>
    <row r="46" spans="1:15">
      <c r="A46" s="17" t="s">
        <v>20</v>
      </c>
      <c r="B46" s="18"/>
      <c r="C46" s="19">
        <v>6</v>
      </c>
      <c r="D46" s="20">
        <f>+G44+F45</f>
        <v>1071371.8070537157</v>
      </c>
      <c r="E46" s="34">
        <v>0.11</v>
      </c>
      <c r="F46" s="23">
        <f>+D46*E46</f>
        <v>117850.89877590873</v>
      </c>
      <c r="G46" s="23">
        <f>+D46+F46</f>
        <v>1189222.7058296243</v>
      </c>
      <c r="H46" s="24"/>
      <c r="I46" s="25">
        <f>D46+F46-H46</f>
        <v>1189222.7058296243</v>
      </c>
      <c r="J46" s="35">
        <v>45261</v>
      </c>
      <c r="K46" s="53">
        <f>+I46+I45</f>
        <v>1209491.9004955054</v>
      </c>
    </row>
    <row r="47" spans="1:15">
      <c r="I47" s="37"/>
      <c r="J47" s="37"/>
      <c r="L47" s="54">
        <f>M44+L86</f>
        <v>3854043.693488779</v>
      </c>
    </row>
    <row r="48" spans="1:15">
      <c r="E48" s="40"/>
      <c r="L48" s="4">
        <f>5241013.47/875</f>
        <v>5989.7296799999995</v>
      </c>
      <c r="M48" s="2" t="s">
        <v>41</v>
      </c>
    </row>
    <row r="49" spans="1:14" ht="15.75">
      <c r="B49" s="2" t="s">
        <v>42</v>
      </c>
      <c r="C49" s="2">
        <v>1</v>
      </c>
      <c r="D49" s="4"/>
      <c r="E49" s="4"/>
      <c r="F49" s="4"/>
      <c r="G49" s="4"/>
      <c r="H49" s="4">
        <v>2399686</v>
      </c>
      <c r="I49" s="4"/>
      <c r="J49" s="33">
        <v>45200</v>
      </c>
      <c r="L49" s="55">
        <f>5241013.474/840</f>
        <v>6239.3017547619056</v>
      </c>
      <c r="M49" s="56" t="s">
        <v>43</v>
      </c>
      <c r="N49" s="56"/>
    </row>
    <row r="50" spans="1:14">
      <c r="C50" s="2">
        <v>2</v>
      </c>
      <c r="D50" s="4">
        <f>H49</f>
        <v>2399686</v>
      </c>
      <c r="E50" s="34">
        <v>8.8999999999999996E-2</v>
      </c>
      <c r="F50" s="4">
        <f>H49*E50</f>
        <v>213572.054</v>
      </c>
      <c r="G50" s="4"/>
      <c r="H50" s="4">
        <f>D50+F50</f>
        <v>2613258.054</v>
      </c>
      <c r="I50" s="4"/>
      <c r="J50" s="33">
        <v>45231</v>
      </c>
    </row>
    <row r="51" spans="1:14">
      <c r="D51" s="4"/>
      <c r="E51" s="4"/>
      <c r="F51" s="4"/>
      <c r="G51" s="4"/>
      <c r="H51" s="4"/>
      <c r="I51" s="4"/>
      <c r="J51" s="33"/>
    </row>
    <row r="52" spans="1:14" ht="15" thickBot="1">
      <c r="D52" s="4"/>
      <c r="E52" s="4"/>
      <c r="F52" s="4"/>
      <c r="G52" s="4"/>
      <c r="H52" s="4" t="s">
        <v>44</v>
      </c>
      <c r="I52" s="4" t="s">
        <v>45</v>
      </c>
      <c r="J52" s="33"/>
    </row>
    <row r="53" spans="1:14" ht="15">
      <c r="D53" s="4"/>
      <c r="E53" s="4"/>
      <c r="F53" s="57" t="s">
        <v>46</v>
      </c>
      <c r="G53" s="58">
        <f>+L29</f>
        <v>3023728.6923671677</v>
      </c>
      <c r="H53" s="4"/>
      <c r="I53" s="4"/>
      <c r="J53" s="33"/>
    </row>
    <row r="54" spans="1:14" ht="15.75" thickBot="1">
      <c r="D54" s="4"/>
      <c r="E54" s="4"/>
      <c r="F54" s="59" t="s">
        <v>47</v>
      </c>
      <c r="G54" s="60">
        <f>+M61</f>
        <v>3225312.9439671105</v>
      </c>
      <c r="H54" s="4"/>
      <c r="I54" s="4"/>
      <c r="J54" s="33"/>
    </row>
    <row r="55" spans="1:14" ht="15.75" thickBot="1">
      <c r="D55" s="4"/>
      <c r="E55" s="4"/>
      <c r="F55" s="61"/>
      <c r="G55" s="62">
        <f>SUM(G53:G54)</f>
        <v>6249041.6363342777</v>
      </c>
      <c r="H55" s="63">
        <f>-4050000*2</f>
        <v>-8100000</v>
      </c>
      <c r="I55" s="60">
        <f>G55+H55</f>
        <v>-1850958.3636657223</v>
      </c>
      <c r="J55" s="33"/>
    </row>
    <row r="56" spans="1:14">
      <c r="D56" s="4"/>
      <c r="E56" s="4"/>
      <c r="F56" s="4"/>
      <c r="G56" s="4"/>
      <c r="H56" s="4"/>
      <c r="I56" s="4"/>
    </row>
    <row r="57" spans="1:14" ht="15" thickBot="1">
      <c r="D57" s="4"/>
      <c r="E57" s="4"/>
      <c r="F57" s="4"/>
      <c r="G57" s="4"/>
      <c r="H57" s="4"/>
      <c r="I57" s="4"/>
    </row>
    <row r="58" spans="1:14">
      <c r="A58" s="17" t="s">
        <v>20</v>
      </c>
      <c r="B58" s="18">
        <v>45</v>
      </c>
      <c r="C58" s="19">
        <v>1</v>
      </c>
      <c r="D58" s="20">
        <v>813614.44</v>
      </c>
      <c r="E58" s="34"/>
      <c r="F58" s="23"/>
      <c r="G58" s="23">
        <f>+D58+E58+F58</f>
        <v>813614.44</v>
      </c>
      <c r="H58" s="24">
        <f>+D58</f>
        <v>813614.44</v>
      </c>
      <c r="I58" s="25">
        <f>D58-H58</f>
        <v>0</v>
      </c>
      <c r="J58" s="35">
        <v>45114</v>
      </c>
      <c r="L58" s="43" t="s">
        <v>35</v>
      </c>
      <c r="M58" s="44" t="s">
        <v>48</v>
      </c>
    </row>
    <row r="59" spans="1:14">
      <c r="A59" s="17" t="s">
        <v>20</v>
      </c>
      <c r="B59" s="18" t="s">
        <v>23</v>
      </c>
      <c r="C59" s="19" t="s">
        <v>9</v>
      </c>
      <c r="D59" s="20"/>
      <c r="E59" s="34">
        <v>6.8000000000000005E-2</v>
      </c>
      <c r="F59" s="23">
        <f>+D58*E59</f>
        <v>55325.781920000001</v>
      </c>
      <c r="G59" s="23"/>
      <c r="H59" s="24"/>
      <c r="I59" s="25">
        <f>F59</f>
        <v>55325.781920000001</v>
      </c>
      <c r="J59" s="35">
        <v>45066</v>
      </c>
      <c r="L59" s="45" t="s">
        <v>37</v>
      </c>
      <c r="M59" s="46">
        <f>+K69</f>
        <v>1935187.2202633452</v>
      </c>
    </row>
    <row r="60" spans="1:14" ht="15" thickBot="1">
      <c r="A60" s="17" t="s">
        <v>20</v>
      </c>
      <c r="B60" s="18" t="s">
        <v>25</v>
      </c>
      <c r="C60" s="19" t="s">
        <v>9</v>
      </c>
      <c r="D60" s="20"/>
      <c r="E60" s="34">
        <v>6.2E-2</v>
      </c>
      <c r="F60" s="23">
        <f>D58*6.2%</f>
        <v>50444.095279999994</v>
      </c>
      <c r="G60" s="23"/>
      <c r="H60" s="24"/>
      <c r="I60" s="25">
        <f>F60</f>
        <v>50444.095279999994</v>
      </c>
      <c r="J60" s="35">
        <v>45097</v>
      </c>
      <c r="L60" s="47" t="s">
        <v>38</v>
      </c>
      <c r="M60" s="48">
        <f>+J89</f>
        <v>1290125.7237037653</v>
      </c>
    </row>
    <row r="61" spans="1:14" ht="15">
      <c r="A61" s="17" t="s">
        <v>20</v>
      </c>
      <c r="B61" s="18"/>
      <c r="C61" s="19">
        <v>2</v>
      </c>
      <c r="D61" s="20">
        <f>+G58+F59+F60</f>
        <v>919384.31719999993</v>
      </c>
      <c r="E61" s="34">
        <v>6.2E-2</v>
      </c>
      <c r="F61" s="23">
        <f>D61*E61</f>
        <v>57001.827666399993</v>
      </c>
      <c r="G61" s="23">
        <f>+D61+F61</f>
        <v>976386.14486639993</v>
      </c>
      <c r="H61" s="24">
        <f>D61+F61</f>
        <v>976386.14486639993</v>
      </c>
      <c r="I61" s="25">
        <f>D61+F61-H61</f>
        <v>0</v>
      </c>
      <c r="J61" s="35">
        <v>45147</v>
      </c>
      <c r="M61" s="49">
        <f>SUM(M59:M60)</f>
        <v>3225312.9439671105</v>
      </c>
    </row>
    <row r="62" spans="1:14">
      <c r="A62" s="17" t="s">
        <v>20</v>
      </c>
      <c r="B62" s="18" t="s">
        <v>22</v>
      </c>
      <c r="C62" s="19" t="s">
        <v>9</v>
      </c>
      <c r="D62" s="20">
        <v>0</v>
      </c>
      <c r="E62" s="34">
        <f>9.3%-6.2%</f>
        <v>3.1000000000000014E-2</v>
      </c>
      <c r="F62" s="23">
        <f>D61*E62</f>
        <v>28500.913833200011</v>
      </c>
      <c r="G62" s="23"/>
      <c r="H62" s="24"/>
      <c r="I62" s="25">
        <f>D62+F62-H62</f>
        <v>28500.913833200011</v>
      </c>
      <c r="J62" s="35">
        <v>45158</v>
      </c>
      <c r="M62" s="2">
        <v>3258791</v>
      </c>
    </row>
    <row r="63" spans="1:14">
      <c r="A63" s="17" t="s">
        <v>20</v>
      </c>
      <c r="B63" s="18"/>
      <c r="C63" s="19">
        <v>3</v>
      </c>
      <c r="D63" s="20">
        <f>H61+F62</f>
        <v>1004887.0586995999</v>
      </c>
      <c r="E63" s="34">
        <v>9.2999999999999999E-2</v>
      </c>
      <c r="F63" s="23">
        <f>D63*E63</f>
        <v>93454.496459062793</v>
      </c>
      <c r="G63" s="23">
        <f>+D63+E63+F63</f>
        <v>1098341.6481586627</v>
      </c>
      <c r="H63" s="24">
        <f>G63</f>
        <v>1098341.6481586627</v>
      </c>
      <c r="I63" s="25">
        <f>D63+F63-H63</f>
        <v>-9.3000000109896064E-2</v>
      </c>
      <c r="J63" s="35">
        <v>45170</v>
      </c>
      <c r="M63" s="40">
        <f>+M61-M62</f>
        <v>-33478.056032889523</v>
      </c>
    </row>
    <row r="64" spans="1:14">
      <c r="A64" s="17" t="s">
        <v>20</v>
      </c>
      <c r="B64" s="18" t="s">
        <v>30</v>
      </c>
      <c r="C64" s="19" t="s">
        <v>9</v>
      </c>
      <c r="D64" s="20"/>
      <c r="E64" s="34">
        <f>19.7%-9.3%</f>
        <v>0.10399999999999997</v>
      </c>
      <c r="F64" s="23">
        <f>D63*E64</f>
        <v>104508.25410475837</v>
      </c>
      <c r="G64" s="23"/>
      <c r="H64" s="24"/>
      <c r="I64" s="25">
        <f>D64+F64-H64</f>
        <v>104508.25410475837</v>
      </c>
      <c r="J64" s="35">
        <v>45189</v>
      </c>
    </row>
    <row r="65" spans="1:13">
      <c r="A65" s="17" t="s">
        <v>20</v>
      </c>
      <c r="B65" s="18"/>
      <c r="C65" s="19">
        <v>4</v>
      </c>
      <c r="D65" s="20">
        <f>H63+F64</f>
        <v>1202849.9022634211</v>
      </c>
      <c r="E65" s="34">
        <v>0.19700000000000001</v>
      </c>
      <c r="F65" s="23">
        <f>D65*E65</f>
        <v>236961.43074589397</v>
      </c>
      <c r="G65" s="23">
        <f>+D65+E65+F65</f>
        <v>1439811.5300093149</v>
      </c>
      <c r="H65" s="24">
        <f>+G65</f>
        <v>1439811.5300093149</v>
      </c>
      <c r="I65" s="25">
        <f>D65+F65-H65</f>
        <v>-0.1969999996945262</v>
      </c>
      <c r="J65" s="35">
        <v>45200</v>
      </c>
      <c r="K65" s="37">
        <f>+H65+I64</f>
        <v>1544319.7841140733</v>
      </c>
    </row>
    <row r="66" spans="1:13">
      <c r="A66" s="17" t="s">
        <v>20</v>
      </c>
      <c r="B66" s="38" t="s">
        <v>31</v>
      </c>
      <c r="C66" s="19" t="s">
        <v>9</v>
      </c>
      <c r="D66" s="20"/>
      <c r="E66" s="34">
        <f>8.9%</f>
        <v>8.900000000000001E-2</v>
      </c>
      <c r="F66" s="23">
        <f>I64</f>
        <v>104508.25410475837</v>
      </c>
      <c r="G66" s="23"/>
      <c r="H66" s="24">
        <v>0</v>
      </c>
      <c r="I66" s="25">
        <v>0</v>
      </c>
      <c r="J66" s="35">
        <v>45219</v>
      </c>
    </row>
    <row r="67" spans="1:13">
      <c r="A67" s="17" t="s">
        <v>20</v>
      </c>
      <c r="B67" s="18"/>
      <c r="C67" s="19">
        <v>5</v>
      </c>
      <c r="D67" s="20">
        <f>+G65+F66</f>
        <v>1544319.7841140733</v>
      </c>
      <c r="E67" s="34">
        <v>8.8999999999999996E-2</v>
      </c>
      <c r="F67" s="23">
        <f>+D67*E67</f>
        <v>137444.46078615251</v>
      </c>
      <c r="G67" s="23">
        <f t="shared" ref="G67:G68" si="4">+D67+E67+F67</f>
        <v>1681764.3339002258</v>
      </c>
      <c r="H67" s="24">
        <v>0</v>
      </c>
      <c r="I67" s="25">
        <f t="shared" ref="I67:I68" si="5">D67+F67-H67</f>
        <v>1681764.2449002257</v>
      </c>
      <c r="J67" s="35">
        <v>45231</v>
      </c>
      <c r="K67" s="40">
        <f>I67</f>
        <v>1681764.2449002257</v>
      </c>
    </row>
    <row r="68" spans="1:13">
      <c r="A68" s="17" t="s">
        <v>20</v>
      </c>
      <c r="B68" s="38" t="s">
        <v>32</v>
      </c>
      <c r="C68" s="19" t="s">
        <v>9</v>
      </c>
      <c r="D68" s="20"/>
      <c r="E68" s="34">
        <f>11%-E67</f>
        <v>2.1000000000000005E-2</v>
      </c>
      <c r="F68" s="23">
        <f>+D67*E68</f>
        <v>32430.715466395544</v>
      </c>
      <c r="G68" s="23">
        <f t="shared" si="4"/>
        <v>32430.736466395545</v>
      </c>
      <c r="H68" s="24"/>
      <c r="I68" s="25">
        <f t="shared" si="5"/>
        <v>32430.715466395544</v>
      </c>
      <c r="J68" s="35">
        <v>45250</v>
      </c>
    </row>
    <row r="69" spans="1:13">
      <c r="A69" s="17" t="s">
        <v>20</v>
      </c>
      <c r="B69" s="18"/>
      <c r="C69" s="19">
        <v>6</v>
      </c>
      <c r="D69" s="20">
        <f>+G67+F68</f>
        <v>1714195.0493666213</v>
      </c>
      <c r="E69" s="34">
        <v>0.11</v>
      </c>
      <c r="F69" s="23">
        <f>+D69*E69</f>
        <v>188561.45543032835</v>
      </c>
      <c r="G69" s="23">
        <f>+D69+F69</f>
        <v>1902756.5047969497</v>
      </c>
      <c r="H69" s="24"/>
      <c r="I69" s="25">
        <f>D69+F69-H69</f>
        <v>1902756.5047969497</v>
      </c>
      <c r="J69" s="35">
        <v>45261</v>
      </c>
      <c r="K69" s="53">
        <f>+I69+I68</f>
        <v>1935187.2202633452</v>
      </c>
    </row>
    <row r="70" spans="1:13">
      <c r="A70" s="17" t="s">
        <v>20</v>
      </c>
      <c r="B70" s="18"/>
      <c r="C70" s="19"/>
      <c r="D70" s="25"/>
      <c r="E70" s="34">
        <v>0</v>
      </c>
      <c r="F70" s="23"/>
      <c r="G70" s="23">
        <f>+D70+E70+F70</f>
        <v>0</v>
      </c>
      <c r="H70" s="24"/>
      <c r="I70" s="25"/>
      <c r="J70" s="26"/>
    </row>
    <row r="71" spans="1:13">
      <c r="K71" s="37">
        <f>+K69+K46+K23+J89</f>
        <v>6249041.6363342786</v>
      </c>
    </row>
    <row r="72" spans="1:13">
      <c r="D72" s="2">
        <f>813614.44+626196</f>
        <v>1439810.44</v>
      </c>
      <c r="H72" s="40">
        <f>H65+H84</f>
        <v>1439811.5300093149</v>
      </c>
    </row>
    <row r="73" spans="1:13">
      <c r="H73" s="40"/>
    </row>
    <row r="74" spans="1:13">
      <c r="H74" s="40"/>
    </row>
    <row r="75" spans="1:13">
      <c r="H75" s="40"/>
    </row>
    <row r="76" spans="1:13">
      <c r="H76" s="40"/>
    </row>
    <row r="77" spans="1:13">
      <c r="A77" s="17" t="s">
        <v>20</v>
      </c>
      <c r="B77" s="18">
        <v>45</v>
      </c>
      <c r="C77" s="19">
        <v>1</v>
      </c>
      <c r="D77" s="20">
        <f>542410</f>
        <v>542410</v>
      </c>
      <c r="E77" s="34"/>
      <c r="F77" s="23"/>
      <c r="G77" s="23">
        <f>+D77+E77+F77</f>
        <v>542410</v>
      </c>
      <c r="H77" s="24">
        <f>+D77</f>
        <v>542410</v>
      </c>
      <c r="I77" s="25">
        <f>D77-H77</f>
        <v>0</v>
      </c>
      <c r="J77" s="35">
        <v>45114</v>
      </c>
    </row>
    <row r="78" spans="1:13">
      <c r="A78" s="17" t="s">
        <v>20</v>
      </c>
      <c r="B78" s="18" t="s">
        <v>24</v>
      </c>
      <c r="C78" s="19" t="s">
        <v>9</v>
      </c>
      <c r="D78" s="20"/>
      <c r="E78" s="34">
        <v>6.8000000000000005E-2</v>
      </c>
      <c r="F78" s="23">
        <f>+D77*E78</f>
        <v>36883.880000000005</v>
      </c>
      <c r="G78" s="23"/>
      <c r="H78" s="24"/>
      <c r="I78" s="25">
        <f>F78</f>
        <v>36883.880000000005</v>
      </c>
      <c r="J78" s="35">
        <v>45066</v>
      </c>
    </row>
    <row r="79" spans="1:13">
      <c r="A79" s="17" t="s">
        <v>20</v>
      </c>
      <c r="B79" s="18" t="s">
        <v>25</v>
      </c>
      <c r="C79" s="19" t="s">
        <v>9</v>
      </c>
      <c r="D79" s="20"/>
      <c r="E79" s="34">
        <v>6.2E-2</v>
      </c>
      <c r="F79" s="23">
        <f>D77*E79</f>
        <v>33629.42</v>
      </c>
      <c r="G79" s="23"/>
      <c r="H79" s="24"/>
      <c r="I79" s="25">
        <f>F79</f>
        <v>33629.42</v>
      </c>
      <c r="J79" s="35">
        <v>45097</v>
      </c>
      <c r="M79" s="2">
        <f>6282519.74/930</f>
        <v>6755.3975698924733</v>
      </c>
    </row>
    <row r="80" spans="1:13">
      <c r="A80" s="17" t="s">
        <v>20</v>
      </c>
      <c r="B80" s="18"/>
      <c r="C80" s="19">
        <v>2</v>
      </c>
      <c r="D80" s="20">
        <f>+G77+F78+F79</f>
        <v>612923.30000000005</v>
      </c>
      <c r="E80" s="34">
        <v>6.2E-2</v>
      </c>
      <c r="F80" s="23">
        <f>D80*E80</f>
        <v>38001.244600000005</v>
      </c>
      <c r="G80" s="23">
        <f>+D80+F80</f>
        <v>650924.54460000002</v>
      </c>
      <c r="H80" s="24">
        <f>D80+F80</f>
        <v>650924.54460000002</v>
      </c>
      <c r="I80" s="25">
        <f>D80+F80-H80</f>
        <v>0</v>
      </c>
      <c r="J80" s="35">
        <v>45147</v>
      </c>
    </row>
    <row r="81" spans="1:15">
      <c r="A81" s="17" t="s">
        <v>20</v>
      </c>
      <c r="B81" s="18" t="s">
        <v>22</v>
      </c>
      <c r="C81" s="19" t="s">
        <v>9</v>
      </c>
      <c r="D81" s="20">
        <v>0</v>
      </c>
      <c r="E81" s="34">
        <f>9.3%-6.2%</f>
        <v>3.1000000000000014E-2</v>
      </c>
      <c r="F81" s="23">
        <f>D80*E81</f>
        <v>19000.62230000001</v>
      </c>
      <c r="G81" s="23"/>
      <c r="H81" s="24"/>
      <c r="I81" s="25">
        <f>D81+F81-H81</f>
        <v>19000.62230000001</v>
      </c>
      <c r="J81" s="35">
        <v>45127</v>
      </c>
      <c r="M81" s="64">
        <f>6282519.74*2-8100000</f>
        <v>4465039.4800000004</v>
      </c>
    </row>
    <row r="82" spans="1:15">
      <c r="A82" s="17" t="s">
        <v>20</v>
      </c>
      <c r="B82" s="18"/>
      <c r="C82" s="19">
        <v>3</v>
      </c>
      <c r="D82" s="20">
        <f>H80+F81</f>
        <v>669925.16690000007</v>
      </c>
      <c r="E82" s="34">
        <v>9.2999999999999999E-2</v>
      </c>
      <c r="F82" s="23">
        <f>D82*E82</f>
        <v>62303.040521700008</v>
      </c>
      <c r="G82" s="23">
        <f t="shared" ref="G82" si="6">+D82+E82+F82</f>
        <v>732228.30042170011</v>
      </c>
      <c r="H82" s="24">
        <f>D82+F82</f>
        <v>732228.20742170012</v>
      </c>
      <c r="I82" s="25">
        <f t="shared" ref="I82" si="7">D82+F82-H82</f>
        <v>0</v>
      </c>
      <c r="J82" s="35">
        <v>45170</v>
      </c>
      <c r="L82" s="37">
        <f>+K65+K84</f>
        <v>1613992.0014716731</v>
      </c>
      <c r="M82" s="64">
        <f>4465039.48/930</f>
        <v>4801.1177204301084</v>
      </c>
    </row>
    <row r="83" spans="1:15">
      <c r="A83" s="17" t="s">
        <v>20</v>
      </c>
      <c r="B83" s="18" t="s">
        <v>30</v>
      </c>
      <c r="C83" s="19" t="s">
        <v>9</v>
      </c>
      <c r="D83" s="20"/>
      <c r="E83" s="34">
        <f>19.7%-9.3%</f>
        <v>0.10399999999999997</v>
      </c>
      <c r="F83" s="23">
        <f>D82*E83</f>
        <v>69672.217357599991</v>
      </c>
      <c r="G83" s="23"/>
      <c r="H83" s="24"/>
      <c r="I83" s="25">
        <f>D83+F83-H83</f>
        <v>69672.217357599991</v>
      </c>
      <c r="J83" s="35">
        <v>45189</v>
      </c>
      <c r="L83" s="37">
        <f>+L82-H72</f>
        <v>174180.47146235825</v>
      </c>
    </row>
    <row r="84" spans="1:15">
      <c r="A84" s="17" t="s">
        <v>20</v>
      </c>
      <c r="B84" s="18"/>
      <c r="C84" s="19">
        <v>4</v>
      </c>
      <c r="D84" s="20">
        <f>H82+F83</f>
        <v>801900.42477930011</v>
      </c>
      <c r="E84" s="34">
        <v>0.19700000000000001</v>
      </c>
      <c r="F84" s="23">
        <f>D84*E84</f>
        <v>157974.38368152213</v>
      </c>
      <c r="G84" s="23">
        <f>+D84+E84+F84</f>
        <v>959875.00546082226</v>
      </c>
      <c r="H84" s="24"/>
      <c r="I84" s="25">
        <f t="shared" ref="I84" si="8">D84+F84-H84</f>
        <v>959874.80846082221</v>
      </c>
      <c r="J84" s="35">
        <v>45200</v>
      </c>
      <c r="K84" s="37">
        <f>+H84+I83</f>
        <v>69672.217357599991</v>
      </c>
    </row>
    <row r="85" spans="1:15">
      <c r="A85" s="17" t="s">
        <v>20</v>
      </c>
      <c r="B85" s="38" t="s">
        <v>31</v>
      </c>
      <c r="C85" s="19" t="s">
        <v>9</v>
      </c>
      <c r="D85" s="20"/>
      <c r="E85" s="34">
        <f>8.9%</f>
        <v>8.900000000000001E-2</v>
      </c>
      <c r="F85" s="23">
        <f>I83</f>
        <v>69672.217357599991</v>
      </c>
      <c r="G85" s="23"/>
      <c r="H85" s="24">
        <v>0</v>
      </c>
      <c r="I85" s="25">
        <v>0</v>
      </c>
      <c r="J85" s="35">
        <v>45219</v>
      </c>
    </row>
    <row r="86" spans="1:15">
      <c r="A86" s="17" t="s">
        <v>20</v>
      </c>
      <c r="B86" s="18"/>
      <c r="C86" s="19">
        <v>5</v>
      </c>
      <c r="D86" s="20">
        <f>+G84+F85</f>
        <v>1029547.2228184222</v>
      </c>
      <c r="E86" s="34">
        <v>8.8999999999999996E-2</v>
      </c>
      <c r="F86" s="23">
        <f>+D86*E86</f>
        <v>91629.702830839582</v>
      </c>
      <c r="G86" s="23">
        <f>+D86+E86+F86</f>
        <v>1121177.014649262</v>
      </c>
      <c r="H86" s="24">
        <v>0</v>
      </c>
      <c r="I86" s="25">
        <f t="shared" ref="I86" si="9">D86+F86-H86</f>
        <v>1121176.9256492618</v>
      </c>
      <c r="J86" s="35">
        <v>45231</v>
      </c>
      <c r="K86" s="40">
        <f>I86</f>
        <v>1121176.9256492618</v>
      </c>
      <c r="L86" s="37">
        <f>K67+K86</f>
        <v>2802941.1705494877</v>
      </c>
      <c r="M86" s="33">
        <v>45231</v>
      </c>
      <c r="O86" s="37">
        <f>L86-2613258.05</f>
        <v>189683.12054948788</v>
      </c>
    </row>
    <row r="87" spans="1:15">
      <c r="A87" s="17" t="s">
        <v>20</v>
      </c>
      <c r="B87" s="38" t="s">
        <v>32</v>
      </c>
      <c r="C87" s="19" t="s">
        <v>9</v>
      </c>
      <c r="D87" s="20"/>
      <c r="E87" s="34">
        <f>11%-E86</f>
        <v>2.1000000000000005E-2</v>
      </c>
      <c r="F87" s="23">
        <f>D86*E87</f>
        <v>21620.491679186871</v>
      </c>
      <c r="G87" s="23">
        <f>+D87+E87+F87</f>
        <v>21620.512679186872</v>
      </c>
      <c r="H87" s="24"/>
      <c r="I87" s="25">
        <f>D87+F87-H87</f>
        <v>21620.491679186871</v>
      </c>
      <c r="J87" s="35">
        <v>45250</v>
      </c>
    </row>
    <row r="88" spans="1:15">
      <c r="A88" s="17" t="s">
        <v>20</v>
      </c>
      <c r="B88" s="18"/>
      <c r="C88" s="19">
        <v>6</v>
      </c>
      <c r="D88" s="20">
        <f>+G86+F87</f>
        <v>1142797.5063284489</v>
      </c>
      <c r="E88" s="34">
        <v>0.11</v>
      </c>
      <c r="F88" s="23">
        <f>+D88*E88</f>
        <v>125707.72569612938</v>
      </c>
      <c r="G88" s="23">
        <f>+D88+F88</f>
        <v>1268505.2320245784</v>
      </c>
      <c r="H88" s="24"/>
      <c r="I88" s="25">
        <f>D88+F88-H88</f>
        <v>1268505.2320245784</v>
      </c>
      <c r="J88" s="35">
        <v>45261</v>
      </c>
      <c r="K88" s="2" t="s">
        <v>49</v>
      </c>
      <c r="L88" s="65">
        <f>2802941.17+2627755.41</f>
        <v>5430696.5800000001</v>
      </c>
      <c r="M88" s="66">
        <v>45231</v>
      </c>
    </row>
    <row r="89" spans="1:15">
      <c r="H89" s="40"/>
      <c r="J89" s="53">
        <f>+I87+I88</f>
        <v>1290125.7237037653</v>
      </c>
    </row>
    <row r="90" spans="1:15">
      <c r="H90" s="40"/>
    </row>
    <row r="91" spans="1:15">
      <c r="H91" s="40"/>
    </row>
    <row r="92" spans="1:15">
      <c r="H92" s="40"/>
    </row>
    <row r="93" spans="1:15">
      <c r="H93" s="40"/>
    </row>
    <row r="94" spans="1:15">
      <c r="H94" s="40"/>
    </row>
    <row r="96" spans="1:15" ht="15" thickBot="1"/>
    <row r="97" spans="1:13" ht="16.5">
      <c r="A97" s="143" t="s">
        <v>50</v>
      </c>
      <c r="B97" s="144"/>
      <c r="C97" s="144"/>
      <c r="D97" s="144"/>
      <c r="E97" s="144"/>
      <c r="F97" s="144"/>
      <c r="G97" s="144"/>
      <c r="H97" s="144"/>
      <c r="I97" s="144"/>
      <c r="J97" s="144"/>
      <c r="K97" s="67" t="s">
        <v>51</v>
      </c>
      <c r="L97"/>
      <c r="M97"/>
    </row>
    <row r="98" spans="1:13" ht="26.25" thickBot="1">
      <c r="A98" s="145"/>
      <c r="B98" s="146"/>
      <c r="C98" s="146"/>
      <c r="D98" s="146"/>
      <c r="E98" s="146"/>
      <c r="F98" s="146"/>
      <c r="G98" s="146"/>
      <c r="H98" s="146"/>
      <c r="I98" s="146"/>
      <c r="J98" s="146"/>
      <c r="K98" s="68"/>
      <c r="L98"/>
      <c r="M98"/>
    </row>
    <row r="99" spans="1:13" ht="16.5">
      <c r="A99" s="69" t="s">
        <v>52</v>
      </c>
      <c r="B99" s="70" t="s">
        <v>53</v>
      </c>
      <c r="C99" s="71" t="s">
        <v>54</v>
      </c>
      <c r="D99" s="72" t="s">
        <v>55</v>
      </c>
      <c r="E99" s="72" t="s">
        <v>55</v>
      </c>
      <c r="F99" s="72" t="s">
        <v>55</v>
      </c>
      <c r="G99" s="72" t="s">
        <v>56</v>
      </c>
      <c r="H99" s="72" t="s">
        <v>57</v>
      </c>
      <c r="I99" s="73" t="s">
        <v>58</v>
      </c>
      <c r="J99" s="74" t="s">
        <v>59</v>
      </c>
      <c r="K99" s="75"/>
      <c r="L99"/>
      <c r="M99"/>
    </row>
    <row r="100" spans="1:13" ht="17.25" thickBot="1">
      <c r="A100" s="76"/>
      <c r="B100" s="77"/>
      <c r="C100" s="78"/>
      <c r="D100" s="79" t="s">
        <v>60</v>
      </c>
      <c r="E100" s="79" t="s">
        <v>61</v>
      </c>
      <c r="F100" s="79" t="s">
        <v>62</v>
      </c>
      <c r="G100" s="80">
        <v>0.04</v>
      </c>
      <c r="H100" s="79" t="s">
        <v>55</v>
      </c>
      <c r="I100" s="81" t="s">
        <v>49</v>
      </c>
      <c r="J100" s="82" t="s">
        <v>54</v>
      </c>
      <c r="K100" s="83"/>
      <c r="L100"/>
      <c r="M100"/>
    </row>
    <row r="101" spans="1:13" ht="16.5">
      <c r="A101" s="84"/>
      <c r="B101" s="85"/>
      <c r="C101" s="86">
        <v>408</v>
      </c>
      <c r="D101" s="87">
        <v>43.91</v>
      </c>
      <c r="E101" s="87">
        <v>4.5599999999999996</v>
      </c>
      <c r="F101" s="88">
        <v>0</v>
      </c>
      <c r="G101" s="88">
        <v>1.7564</v>
      </c>
      <c r="H101" s="89">
        <f>SUM(D101:G101)</f>
        <v>50.226399999999998</v>
      </c>
      <c r="I101" s="90">
        <f>+H101*2500</f>
        <v>125566</v>
      </c>
      <c r="J101" s="91" t="s">
        <v>63</v>
      </c>
      <c r="K101" s="83" t="s">
        <v>64</v>
      </c>
      <c r="L101" s="83"/>
      <c r="M101" s="83"/>
    </row>
    <row r="102" spans="1:13" ht="16.5">
      <c r="A102" s="92"/>
      <c r="B102" s="93"/>
      <c r="C102" s="92"/>
      <c r="D102" s="92"/>
      <c r="E102" s="94" t="s">
        <v>65</v>
      </c>
      <c r="F102" s="92"/>
      <c r="G102" s="95">
        <f>+I101</f>
        <v>125566</v>
      </c>
      <c r="H102" s="92"/>
      <c r="I102" s="67"/>
      <c r="J102" s="67"/>
      <c r="K102" s="96"/>
      <c r="L102" s="93"/>
      <c r="M102" s="97"/>
    </row>
    <row r="103" spans="1:13" ht="16.5">
      <c r="A103" s="92"/>
      <c r="B103" s="93"/>
      <c r="C103" s="92"/>
      <c r="D103" s="92"/>
      <c r="E103" s="94" t="s">
        <v>66</v>
      </c>
      <c r="F103" s="92"/>
      <c r="G103" s="98">
        <f>-G101*2500</f>
        <v>-4391</v>
      </c>
      <c r="H103" s="92"/>
      <c r="I103" s="99"/>
      <c r="J103" s="67"/>
      <c r="K103" s="96"/>
      <c r="L103" s="93"/>
      <c r="M103" s="97"/>
    </row>
    <row r="104" spans="1:13" ht="16.5">
      <c r="A104" s="92"/>
      <c r="B104" s="93"/>
      <c r="C104" s="92"/>
      <c r="D104" s="92"/>
      <c r="E104" s="92"/>
      <c r="F104" s="92"/>
      <c r="G104" s="90">
        <f>SUM(G102:G103)</f>
        <v>121175</v>
      </c>
      <c r="H104" s="92"/>
      <c r="I104" s="67"/>
      <c r="J104" s="67"/>
      <c r="K104" s="96"/>
      <c r="L104" s="93"/>
      <c r="M104" s="97"/>
    </row>
    <row r="105" spans="1:13" ht="17.25" thickBot="1">
      <c r="A105" s="92"/>
      <c r="B105" s="93"/>
      <c r="C105" s="92"/>
      <c r="D105" s="92"/>
      <c r="E105" s="92"/>
      <c r="F105" s="92"/>
      <c r="G105" s="92"/>
      <c r="H105" s="92"/>
      <c r="I105" s="67"/>
      <c r="J105" s="67"/>
      <c r="K105" s="96"/>
      <c r="L105" s="93"/>
      <c r="M105" s="97"/>
    </row>
    <row r="106" spans="1:13" ht="17.25" thickBot="1">
      <c r="A106" s="100" t="s">
        <v>67</v>
      </c>
      <c r="B106" s="101"/>
      <c r="C106" s="102" t="s">
        <v>68</v>
      </c>
      <c r="D106" s="147" t="s">
        <v>69</v>
      </c>
      <c r="E106" s="148"/>
      <c r="F106" s="147" t="s">
        <v>70</v>
      </c>
      <c r="G106" s="149"/>
      <c r="H106" s="148"/>
      <c r="I106" s="147" t="s">
        <v>71</v>
      </c>
      <c r="J106" s="149"/>
      <c r="K106" s="148"/>
      <c r="L106" s="141"/>
      <c r="M106" s="142"/>
    </row>
    <row r="107" spans="1:13" ht="17.25" thickBot="1">
      <c r="A107" s="103" t="s">
        <v>54</v>
      </c>
      <c r="B107" s="104" t="s">
        <v>55</v>
      </c>
      <c r="C107" s="103">
        <v>493</v>
      </c>
      <c r="D107" s="105">
        <v>0.6</v>
      </c>
      <c r="E107" s="106">
        <v>0.4</v>
      </c>
      <c r="F107" s="103" t="s">
        <v>72</v>
      </c>
      <c r="G107" s="105">
        <v>0.6</v>
      </c>
      <c r="H107" s="106">
        <v>0.4</v>
      </c>
      <c r="I107" s="107" t="s">
        <v>71</v>
      </c>
      <c r="J107" s="105">
        <v>0.6</v>
      </c>
      <c r="K107" s="108">
        <v>0.4</v>
      </c>
      <c r="L107" s="109" t="s">
        <v>73</v>
      </c>
      <c r="M107" s="110" t="s">
        <v>74</v>
      </c>
    </row>
    <row r="108" spans="1:13" ht="17.25" thickBot="1">
      <c r="A108" s="111">
        <v>307</v>
      </c>
      <c r="B108" s="112" t="e">
        <f>+#REF!+#REF!</f>
        <v>#REF!</v>
      </c>
      <c r="C108" s="113">
        <v>123775</v>
      </c>
      <c r="D108" s="114">
        <f>C108*60%</f>
        <v>74265</v>
      </c>
      <c r="E108" s="115">
        <f>C108*40%</f>
        <v>49510</v>
      </c>
      <c r="F108" s="116">
        <f>C108*C107</f>
        <v>61021075</v>
      </c>
      <c r="G108" s="117">
        <f>F108*G107+5</f>
        <v>36612650</v>
      </c>
      <c r="H108" s="118">
        <f>F108*H107-5</f>
        <v>24408425</v>
      </c>
      <c r="I108" s="119">
        <f>F108/48</f>
        <v>1271272.3958333333</v>
      </c>
      <c r="J108" s="120">
        <f>I108*0.6</f>
        <v>762763.43749999988</v>
      </c>
      <c r="K108" s="121">
        <f>I108*K107</f>
        <v>508508.95833333331</v>
      </c>
      <c r="L108" s="122">
        <v>45047</v>
      </c>
      <c r="M108" s="123">
        <v>45108</v>
      </c>
    </row>
    <row r="109" spans="1:13" ht="17.25" thickBot="1">
      <c r="A109" s="100">
        <v>408</v>
      </c>
      <c r="B109" s="124">
        <v>50.23</v>
      </c>
      <c r="C109" s="113">
        <v>123775</v>
      </c>
      <c r="D109" s="125">
        <f>C109*60%</f>
        <v>74265</v>
      </c>
      <c r="E109" s="126">
        <f>C109*40%</f>
        <v>49510</v>
      </c>
      <c r="F109" s="116">
        <f>C109*C107</f>
        <v>61021075</v>
      </c>
      <c r="G109" s="117">
        <f>F109*G107+5</f>
        <v>36612650</v>
      </c>
      <c r="H109" s="118">
        <f>F109*H107-5</f>
        <v>24408425</v>
      </c>
      <c r="I109" s="119">
        <f>F109/45</f>
        <v>1356023.888888889</v>
      </c>
      <c r="J109" s="120">
        <f>I109*0.6</f>
        <v>813614.33333333337</v>
      </c>
      <c r="K109" s="121">
        <f>I109*K107</f>
        <v>542409.55555555562</v>
      </c>
      <c r="L109" s="122">
        <v>45047</v>
      </c>
      <c r="M109" s="123">
        <v>45108</v>
      </c>
    </row>
    <row r="111" spans="1:13">
      <c r="I111" s="2">
        <f>1271272+127127</f>
        <v>1398399</v>
      </c>
    </row>
    <row r="112" spans="1:13">
      <c r="I112" s="2">
        <f>1271272*7%+1271272</f>
        <v>1360261.04</v>
      </c>
    </row>
    <row r="113" spans="1:23" ht="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</row>
    <row r="114" spans="1:23" ht="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</row>
    <row r="115" spans="1:23" ht="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</row>
    <row r="116" spans="1:23" ht="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</row>
    <row r="117" spans="1:23" ht="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</row>
    <row r="118" spans="1:23" ht="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</row>
    <row r="119" spans="1:23" ht="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</row>
    <row r="120" spans="1:23" ht="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</row>
    <row r="121" spans="1:23" ht="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</row>
    <row r="122" spans="1:23" ht="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</row>
    <row r="123" spans="1:23" ht="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</row>
    <row r="124" spans="1:23" ht="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</row>
    <row r="125" spans="1:23" ht="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</row>
    <row r="126" spans="1:23" ht="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</row>
    <row r="127" spans="1:23" ht="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</row>
    <row r="128" spans="1:23" ht="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</row>
    <row r="129" spans="1:23" ht="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</row>
    <row r="130" spans="1:23" ht="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</row>
    <row r="131" spans="1:23" ht="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</row>
    <row r="132" spans="1:23" ht="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</row>
    <row r="133" spans="1:23" ht="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</row>
    <row r="134" spans="1:23" ht="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</row>
    <row r="135" spans="1:23" ht="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</row>
  </sheetData>
  <mergeCells count="15">
    <mergeCell ref="L106:M106"/>
    <mergeCell ref="A29:A30"/>
    <mergeCell ref="B29:B30"/>
    <mergeCell ref="A97:J98"/>
    <mergeCell ref="D106:E106"/>
    <mergeCell ref="F106:H106"/>
    <mergeCell ref="I106:K106"/>
    <mergeCell ref="A27:A28"/>
    <mergeCell ref="B27:H28"/>
    <mergeCell ref="I27:J28"/>
    <mergeCell ref="A4:A5"/>
    <mergeCell ref="B4:H5"/>
    <mergeCell ref="I4:J5"/>
    <mergeCell ref="A6:A7"/>
    <mergeCell ref="B6:B7"/>
  </mergeCells>
  <conditionalFormatting sqref="B101">
    <cfRule type="containsText" dxfId="2" priority="1" stopIfTrue="1" operator="containsText" text="RESERVADO">
      <formula>NOT(ISERROR(SEARCH("RESERVADO",B101)))</formula>
    </cfRule>
    <cfRule type="containsText" dxfId="1" priority="2" stopIfTrue="1" operator="containsText" text="VENDIDO">
      <formula>NOT(ISERROR(SEARCH("VENDIDO",B101)))</formula>
    </cfRule>
    <cfRule type="containsText" dxfId="0" priority="3" stopIfTrue="1" operator="containsText" text="DISPONIBLE">
      <formula>NOT(ISERROR(SEARCH("DISPONIBLE",B101)))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29"/>
  <sheetViews>
    <sheetView tabSelected="1" workbookViewId="0">
      <selection activeCell="I23" sqref="I23"/>
    </sheetView>
  </sheetViews>
  <sheetFormatPr baseColWidth="10" defaultRowHeight="15"/>
  <sheetData>
    <row r="4" spans="3:8" ht="15.75" thickBot="1">
      <c r="C4" t="s">
        <v>79</v>
      </c>
    </row>
    <row r="5" spans="3:8">
      <c r="C5" s="151" t="s">
        <v>75</v>
      </c>
      <c r="D5" s="152" t="s">
        <v>76</v>
      </c>
      <c r="E5" s="152"/>
      <c r="F5" s="152"/>
      <c r="G5" s="152" t="s">
        <v>81</v>
      </c>
      <c r="H5" s="153"/>
    </row>
    <row r="6" spans="3:8">
      <c r="C6" s="159">
        <v>45228</v>
      </c>
      <c r="D6" s="160">
        <v>45246</v>
      </c>
      <c r="E6" s="161">
        <f>9920.14/59*19</f>
        <v>3194.6213559322032</v>
      </c>
      <c r="F6" s="150"/>
      <c r="G6" s="160">
        <v>45265</v>
      </c>
      <c r="H6" s="155"/>
    </row>
    <row r="7" spans="3:8">
      <c r="C7" s="159">
        <v>45228</v>
      </c>
      <c r="D7" s="160">
        <v>45246</v>
      </c>
      <c r="E7" s="161">
        <f>9816.49/59*19</f>
        <v>3161.2425423728814</v>
      </c>
      <c r="F7" s="150"/>
      <c r="G7" s="160">
        <v>45299</v>
      </c>
      <c r="H7" s="155"/>
    </row>
    <row r="8" spans="3:8">
      <c r="C8" s="154"/>
      <c r="D8" s="150"/>
      <c r="E8" s="161"/>
      <c r="F8" s="150"/>
      <c r="G8" s="150"/>
      <c r="H8" s="155"/>
    </row>
    <row r="9" spans="3:8">
      <c r="C9" s="159">
        <v>45246</v>
      </c>
      <c r="D9" s="160">
        <v>45309</v>
      </c>
      <c r="E9" s="161">
        <v>11459.15</v>
      </c>
      <c r="F9" s="150"/>
      <c r="G9" s="160">
        <v>45328</v>
      </c>
      <c r="H9" s="155"/>
    </row>
    <row r="10" spans="3:8">
      <c r="C10" s="159">
        <v>45246</v>
      </c>
      <c r="D10" s="160">
        <v>45309</v>
      </c>
      <c r="E10" s="161">
        <v>11459.15</v>
      </c>
      <c r="F10" s="150"/>
      <c r="G10" s="160">
        <v>45355</v>
      </c>
      <c r="H10" s="155"/>
    </row>
    <row r="11" spans="3:8">
      <c r="C11" s="159">
        <v>45309</v>
      </c>
      <c r="D11" s="160">
        <v>45323</v>
      </c>
      <c r="E11" s="161">
        <f>11459.15/63*14</f>
        <v>2546.4777777777776</v>
      </c>
      <c r="F11" s="150"/>
      <c r="G11" s="160">
        <v>45355</v>
      </c>
      <c r="H11" s="155"/>
    </row>
    <row r="12" spans="3:8">
      <c r="C12" s="154"/>
      <c r="D12" s="150"/>
      <c r="E12" s="150"/>
      <c r="F12" s="150"/>
      <c r="G12" s="150"/>
      <c r="H12" s="155"/>
    </row>
    <row r="13" spans="3:8">
      <c r="C13" s="154"/>
      <c r="D13" s="150"/>
      <c r="E13" s="161">
        <f>SUM(E6:E12)</f>
        <v>31820.641676082865</v>
      </c>
      <c r="F13" s="150"/>
      <c r="G13" s="150"/>
      <c r="H13" s="155"/>
    </row>
    <row r="14" spans="3:8" ht="15.75" thickBot="1">
      <c r="C14" s="154"/>
      <c r="D14" s="150"/>
      <c r="E14" s="161">
        <f>-24000</f>
        <v>-24000</v>
      </c>
      <c r="F14" s="150" t="s">
        <v>85</v>
      </c>
      <c r="G14" s="150"/>
      <c r="H14" s="155"/>
    </row>
    <row r="15" spans="3:8" ht="15.75" thickBot="1">
      <c r="C15" s="154"/>
      <c r="D15" s="150"/>
      <c r="E15" s="162">
        <f>SUM(E13:E14)</f>
        <v>7820.6416760828652</v>
      </c>
      <c r="F15" s="150"/>
      <c r="G15" s="150"/>
      <c r="H15" s="155"/>
    </row>
    <row r="16" spans="3:8">
      <c r="C16" s="154"/>
      <c r="D16" s="150"/>
      <c r="E16" s="150"/>
      <c r="F16" s="150"/>
      <c r="G16" s="150"/>
      <c r="H16" s="155"/>
    </row>
    <row r="17" spans="3:8" ht="15.75" thickBot="1">
      <c r="C17" s="156"/>
      <c r="D17" s="157"/>
      <c r="E17" s="157"/>
      <c r="F17" s="157"/>
      <c r="G17" s="157"/>
      <c r="H17" s="158"/>
    </row>
    <row r="19" spans="3:8">
      <c r="C19" t="s">
        <v>84</v>
      </c>
      <c r="E19" t="s">
        <v>82</v>
      </c>
    </row>
    <row r="20" spans="3:8">
      <c r="C20" t="s">
        <v>80</v>
      </c>
      <c r="E20" s="163">
        <f>1100/30*3</f>
        <v>110</v>
      </c>
      <c r="F20" t="s">
        <v>77</v>
      </c>
    </row>
    <row r="21" spans="3:8">
      <c r="E21" s="163">
        <v>7</v>
      </c>
      <c r="F21" t="s">
        <v>78</v>
      </c>
    </row>
    <row r="22" spans="3:8">
      <c r="E22" s="163">
        <f>423500/1135</f>
        <v>373.12775330396477</v>
      </c>
      <c r="F22" t="s">
        <v>86</v>
      </c>
    </row>
    <row r="23" spans="3:8" ht="15.75" thickBot="1">
      <c r="E23" s="163">
        <f>140000/1135</f>
        <v>123.34801762114537</v>
      </c>
      <c r="F23" t="s">
        <v>83</v>
      </c>
    </row>
    <row r="24" spans="3:8" ht="15.75" thickBot="1">
      <c r="E24" s="162">
        <f>SUM(E20:E23)</f>
        <v>613.47577092511017</v>
      </c>
    </row>
    <row r="26" spans="3:8">
      <c r="C26" t="s">
        <v>87</v>
      </c>
      <c r="E26" s="163">
        <v>1000</v>
      </c>
    </row>
    <row r="27" spans="3:8" ht="15.75" thickBot="1">
      <c r="C27" t="s">
        <v>88</v>
      </c>
      <c r="E27" s="163">
        <f>-613</f>
        <v>-613</v>
      </c>
    </row>
    <row r="28" spans="3:8" ht="15.75" thickBot="1">
      <c r="C28" t="s">
        <v>89</v>
      </c>
      <c r="E28" s="162">
        <f>SUM(E26:E27)</f>
        <v>387</v>
      </c>
    </row>
    <row r="29" spans="3:8">
      <c r="E29" s="163"/>
    </row>
  </sheetData>
  <pageMargins left="0.70866141732283472" right="0.70866141732283472" top="0.74803149606299213" bottom="0.74803149606299213" header="0.31496062992125984" footer="0.31496062992125984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2024-02-08T23:36:48Z</cp:lastPrinted>
  <dcterms:created xsi:type="dcterms:W3CDTF">2024-01-11T22:54:53Z</dcterms:created>
  <dcterms:modified xsi:type="dcterms:W3CDTF">2024-02-08T23:37:34Z</dcterms:modified>
</cp:coreProperties>
</file>